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Questa_cartella_di_lavoro1"/>
  <mc:AlternateContent xmlns:mc="http://schemas.openxmlformats.org/markup-compatibility/2006">
    <mc:Choice Requires="x15">
      <x15ac:absPath xmlns:x15ac="http://schemas.microsoft.com/office/spreadsheetml/2010/11/ac" url="C:\Modesto\PythonKursai\Baigiamasis\"/>
    </mc:Choice>
  </mc:AlternateContent>
  <xr:revisionPtr revIDLastSave="0" documentId="8_{3CA47220-C62E-4522-9DED-48F5F7F6F9B8}" xr6:coauthVersionLast="47" xr6:coauthVersionMax="47" xr10:uidLastSave="{00000000-0000-0000-0000-000000000000}"/>
  <bookViews>
    <workbookView xWindow="-28920" yWindow="-120" windowWidth="29040" windowHeight="15720" tabRatio="677" firstSheet="6" activeTab="6" xr2:uid="{00000000-000D-0000-FFFF-FFFF00000000}"/>
  </bookViews>
  <sheets>
    <sheet name="BASIS_INFO" sheetId="1" state="hidden" r:id="rId1"/>
    <sheet name="ROSTERS" sheetId="33" state="hidden" r:id="rId2"/>
    <sheet name="SCHEDULE" sheetId="34" state="hidden" r:id="rId3"/>
    <sheet name="SoS" sheetId="47" state="hidden" r:id="rId4"/>
    <sheet name="TEAMS_GbG" sheetId="41" r:id="rId5"/>
    <sheet name="OPPS_GbG" sheetId="42" r:id="rId6"/>
    <sheet name="TEAMS_STATS" sheetId="44" r:id="rId7"/>
    <sheet name="OPPS_STATS" sheetId="46" r:id="rId8"/>
  </sheets>
  <externalReferences>
    <externalReference r:id="rId9"/>
  </externalReferences>
  <definedNames>
    <definedName name="GAME_SEGMENT">BASIS_INFO!$T$2:$T$6</definedName>
    <definedName name="LOCATION">BASIS_INFO!$Q$2:$Q$4</definedName>
    <definedName name="MODE">BASIS_INFO!$P$2:$P$3</definedName>
    <definedName name="OUTCOME">BASIS_INFO!$R$2:$R$4</definedName>
    <definedName name="PLAYER_LIST">#REF!</definedName>
    <definedName name="Teams_number">BASIS_INFO!$E$3:$E$34</definedName>
    <definedName name="TM_TAG">BASIS_INFO!$G$3:$G$34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" i="47" l="1"/>
  <c r="H5" i="47"/>
  <c r="F5" i="47"/>
  <c r="D5" i="47"/>
  <c r="F3" i="47"/>
  <c r="B8" i="46"/>
  <c r="B8" i="44" l="1"/>
  <c r="B500" i="33" l="1"/>
  <c r="A500" i="33" s="1"/>
  <c r="B499" i="33"/>
  <c r="A499" i="33" s="1"/>
  <c r="B498" i="33"/>
  <c r="A498" i="33" s="1"/>
  <c r="B497" i="33"/>
  <c r="A497" i="33" s="1"/>
  <c r="B496" i="33"/>
  <c r="A496" i="33" s="1"/>
  <c r="B495" i="33"/>
  <c r="A495" i="33" s="1"/>
  <c r="B494" i="33"/>
  <c r="A494" i="33" s="1"/>
  <c r="B493" i="33"/>
  <c r="A493" i="33" s="1"/>
  <c r="B492" i="33"/>
  <c r="A492" i="33" s="1"/>
  <c r="B491" i="33"/>
  <c r="A491" i="33" s="1"/>
  <c r="B490" i="33"/>
  <c r="A490" i="33" s="1"/>
  <c r="B489" i="33"/>
  <c r="A489" i="33" s="1"/>
  <c r="B488" i="33"/>
  <c r="A488" i="33" s="1"/>
  <c r="B487" i="33"/>
  <c r="A487" i="33" s="1"/>
  <c r="B486" i="33"/>
  <c r="A486" i="33" s="1"/>
  <c r="B485" i="33"/>
  <c r="A485" i="33" s="1"/>
  <c r="B484" i="33"/>
  <c r="A484" i="33" s="1"/>
  <c r="B483" i="33"/>
  <c r="A483" i="33" s="1"/>
  <c r="B482" i="33"/>
  <c r="A482" i="33" s="1"/>
  <c r="B481" i="33"/>
  <c r="A481" i="33" s="1"/>
  <c r="B480" i="33"/>
  <c r="A480" i="33" s="1"/>
  <c r="B479" i="33"/>
  <c r="A479" i="33" s="1"/>
  <c r="B478" i="33"/>
  <c r="A478" i="33" s="1"/>
  <c r="B477" i="33"/>
  <c r="A477" i="33" s="1"/>
  <c r="B476" i="33"/>
  <c r="A476" i="33" s="1"/>
  <c r="B475" i="33"/>
  <c r="A475" i="33" s="1"/>
  <c r="B474" i="33"/>
  <c r="A474" i="33" s="1"/>
  <c r="B473" i="33"/>
  <c r="A473" i="33" s="1"/>
  <c r="B472" i="33"/>
  <c r="A472" i="33" s="1"/>
  <c r="B471" i="33"/>
  <c r="A471" i="33" s="1"/>
  <c r="B470" i="33"/>
  <c r="A470" i="33" s="1"/>
  <c r="B469" i="33"/>
  <c r="A469" i="33" s="1"/>
  <c r="B468" i="33"/>
  <c r="A468" i="33" s="1"/>
  <c r="B467" i="33"/>
  <c r="A467" i="33" s="1"/>
  <c r="B466" i="33"/>
  <c r="A466" i="33" s="1"/>
  <c r="B465" i="33"/>
  <c r="A465" i="33" s="1"/>
  <c r="B464" i="33"/>
  <c r="A464" i="33" s="1"/>
  <c r="B463" i="33"/>
  <c r="A463" i="33" s="1"/>
  <c r="B462" i="33"/>
  <c r="A462" i="33" s="1"/>
  <c r="B461" i="33"/>
  <c r="A461" i="33" s="1"/>
  <c r="B460" i="33"/>
  <c r="A460" i="33" s="1"/>
  <c r="B459" i="33"/>
  <c r="A459" i="33" s="1"/>
  <c r="B458" i="33"/>
  <c r="A458" i="33" s="1"/>
  <c r="B457" i="33"/>
  <c r="A457" i="33" s="1"/>
  <c r="B456" i="33"/>
  <c r="A456" i="33" s="1"/>
  <c r="B455" i="33"/>
  <c r="A455" i="33" s="1"/>
  <c r="B454" i="33"/>
  <c r="A454" i="33" s="1"/>
  <c r="B453" i="33"/>
  <c r="A453" i="33" s="1"/>
  <c r="B452" i="33"/>
  <c r="A452" i="33" s="1"/>
  <c r="B451" i="33"/>
  <c r="A451" i="33" s="1"/>
  <c r="B450" i="33"/>
  <c r="A450" i="33" s="1"/>
  <c r="B449" i="33"/>
  <c r="A449" i="33" s="1"/>
  <c r="B448" i="33"/>
  <c r="A448" i="33" s="1"/>
  <c r="B447" i="33"/>
  <c r="A447" i="33" s="1"/>
  <c r="B446" i="33"/>
  <c r="A446" i="33" s="1"/>
  <c r="B445" i="33"/>
  <c r="A445" i="33" s="1"/>
  <c r="B444" i="33"/>
  <c r="A444" i="33" s="1"/>
  <c r="B443" i="33"/>
  <c r="A443" i="33" s="1"/>
  <c r="B442" i="33"/>
  <c r="A442" i="33" s="1"/>
  <c r="B441" i="33"/>
  <c r="A441" i="33" s="1"/>
  <c r="B440" i="33"/>
  <c r="A440" i="33" s="1"/>
  <c r="B439" i="33"/>
  <c r="A439" i="33" s="1"/>
  <c r="B438" i="33"/>
  <c r="A438" i="33" s="1"/>
  <c r="B437" i="33"/>
  <c r="A437" i="33" s="1"/>
  <c r="B436" i="33"/>
  <c r="A436" i="33" s="1"/>
  <c r="B435" i="33"/>
  <c r="A435" i="33" s="1"/>
  <c r="B434" i="33"/>
  <c r="A434" i="33" s="1"/>
  <c r="B433" i="33"/>
  <c r="A433" i="33" s="1"/>
  <c r="B432" i="33"/>
  <c r="A432" i="33" s="1"/>
  <c r="B431" i="33"/>
  <c r="A431" i="33" s="1"/>
  <c r="B430" i="33"/>
  <c r="A430" i="33" s="1"/>
  <c r="B429" i="33"/>
  <c r="A429" i="33" s="1"/>
  <c r="B428" i="33"/>
  <c r="A428" i="33" s="1"/>
  <c r="B427" i="33"/>
  <c r="A427" i="33" s="1"/>
  <c r="B426" i="33"/>
  <c r="A426" i="33" s="1"/>
  <c r="B425" i="33"/>
  <c r="A425" i="33" s="1"/>
  <c r="B424" i="33"/>
  <c r="A424" i="33" s="1"/>
  <c r="B423" i="33"/>
  <c r="A423" i="33" s="1"/>
  <c r="B422" i="33"/>
  <c r="A422" i="33" s="1"/>
  <c r="B421" i="33"/>
  <c r="A421" i="33" s="1"/>
  <c r="B420" i="33"/>
  <c r="A420" i="33" s="1"/>
  <c r="B419" i="33"/>
  <c r="A419" i="33" s="1"/>
  <c r="B418" i="33"/>
  <c r="A418" i="33" s="1"/>
  <c r="B417" i="33"/>
  <c r="A417" i="33" s="1"/>
  <c r="B416" i="33"/>
  <c r="A416" i="33" s="1"/>
  <c r="B415" i="33"/>
  <c r="A415" i="33" s="1"/>
  <c r="B414" i="33"/>
  <c r="A414" i="33" s="1"/>
  <c r="B413" i="33"/>
  <c r="A413" i="33" s="1"/>
  <c r="B412" i="33"/>
  <c r="A412" i="33" s="1"/>
  <c r="B411" i="33"/>
  <c r="A411" i="33" s="1"/>
  <c r="B410" i="33"/>
  <c r="A410" i="33" s="1"/>
  <c r="B409" i="33"/>
  <c r="A409" i="33" s="1"/>
  <c r="B408" i="33"/>
  <c r="A408" i="33" s="1"/>
  <c r="B407" i="33"/>
  <c r="A407" i="33" s="1"/>
  <c r="B406" i="33"/>
  <c r="A406" i="33" s="1"/>
  <c r="B405" i="33"/>
  <c r="A405" i="33" s="1"/>
  <c r="B404" i="33"/>
  <c r="A404" i="33" s="1"/>
  <c r="B403" i="33"/>
  <c r="A403" i="33" s="1"/>
  <c r="B402" i="33"/>
  <c r="A402" i="33" s="1"/>
  <c r="B401" i="33"/>
  <c r="A401" i="33" s="1"/>
  <c r="B400" i="33"/>
  <c r="A400" i="33" s="1"/>
  <c r="B399" i="33"/>
  <c r="A399" i="33" s="1"/>
  <c r="B398" i="33"/>
  <c r="A398" i="33" s="1"/>
  <c r="B397" i="33"/>
  <c r="A397" i="33" s="1"/>
  <c r="B396" i="33"/>
  <c r="A396" i="33" s="1"/>
  <c r="B395" i="33"/>
  <c r="A395" i="33" s="1"/>
  <c r="B394" i="33"/>
  <c r="A394" i="33" s="1"/>
  <c r="B393" i="33"/>
  <c r="A393" i="33" s="1"/>
  <c r="B392" i="33"/>
  <c r="A392" i="33" s="1"/>
  <c r="B391" i="33"/>
  <c r="A391" i="33" s="1"/>
  <c r="B390" i="33"/>
  <c r="A390" i="33" s="1"/>
  <c r="B389" i="33"/>
  <c r="A389" i="33" s="1"/>
  <c r="B388" i="33"/>
  <c r="A388" i="33" s="1"/>
  <c r="B387" i="33"/>
  <c r="A387" i="33" s="1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J1634" i="34"/>
  <c r="I1634" i="34"/>
  <c r="H1634" i="34"/>
  <c r="G1634" i="34"/>
  <c r="F1634" i="34"/>
  <c r="E1634" i="34"/>
  <c r="D1634" i="34"/>
  <c r="C1634" i="34"/>
  <c r="B1634" i="34"/>
  <c r="J1633" i="34"/>
  <c r="I1633" i="34"/>
  <c r="H1633" i="34"/>
  <c r="G1633" i="34"/>
  <c r="F1633" i="34"/>
  <c r="E1633" i="34"/>
  <c r="D1633" i="34"/>
  <c r="C1633" i="34"/>
  <c r="B1633" i="34"/>
  <c r="J1632" i="34"/>
  <c r="I1632" i="34"/>
  <c r="H1632" i="34"/>
  <c r="G1632" i="34"/>
  <c r="F1632" i="34"/>
  <c r="E1632" i="34"/>
  <c r="D1632" i="34"/>
  <c r="C1632" i="34"/>
  <c r="B1632" i="34"/>
  <c r="J1631" i="34"/>
  <c r="I1631" i="34"/>
  <c r="H1631" i="34"/>
  <c r="G1631" i="34"/>
  <c r="F1631" i="34"/>
  <c r="E1631" i="34"/>
  <c r="D1631" i="34"/>
  <c r="C1631" i="34"/>
  <c r="B1631" i="34"/>
  <c r="J1630" i="34"/>
  <c r="I1630" i="34"/>
  <c r="H1630" i="34"/>
  <c r="G1630" i="34"/>
  <c r="F1630" i="34"/>
  <c r="E1630" i="34"/>
  <c r="D1630" i="34"/>
  <c r="C1630" i="34"/>
  <c r="B1630" i="34"/>
  <c r="J1629" i="34"/>
  <c r="I1629" i="34"/>
  <c r="H1629" i="34"/>
  <c r="G1629" i="34"/>
  <c r="F1629" i="34"/>
  <c r="E1629" i="34"/>
  <c r="D1629" i="34"/>
  <c r="C1629" i="34"/>
  <c r="B1629" i="34"/>
  <c r="J1628" i="34"/>
  <c r="I1628" i="34"/>
  <c r="H1628" i="34"/>
  <c r="G1628" i="34"/>
  <c r="F1628" i="34"/>
  <c r="E1628" i="34"/>
  <c r="D1628" i="34"/>
  <c r="C1628" i="34"/>
  <c r="B1628" i="34"/>
  <c r="J1627" i="34"/>
  <c r="I1627" i="34"/>
  <c r="H1627" i="34"/>
  <c r="G1627" i="34"/>
  <c r="F1627" i="34"/>
  <c r="E1627" i="34"/>
  <c r="D1627" i="34"/>
  <c r="C1627" i="34"/>
  <c r="B1627" i="34"/>
  <c r="J1626" i="34"/>
  <c r="I1626" i="34"/>
  <c r="H1626" i="34"/>
  <c r="G1626" i="34"/>
  <c r="F1626" i="34"/>
  <c r="E1626" i="34"/>
  <c r="D1626" i="34"/>
  <c r="C1626" i="34"/>
  <c r="B1626" i="34"/>
  <c r="J1625" i="34"/>
  <c r="I1625" i="34"/>
  <c r="H1625" i="34"/>
  <c r="G1625" i="34"/>
  <c r="F1625" i="34"/>
  <c r="E1625" i="34"/>
  <c r="D1625" i="34"/>
  <c r="C1625" i="34"/>
  <c r="B1625" i="34"/>
  <c r="J1624" i="34"/>
  <c r="I1624" i="34"/>
  <c r="H1624" i="34"/>
  <c r="G1624" i="34"/>
  <c r="F1624" i="34"/>
  <c r="E1624" i="34"/>
  <c r="D1624" i="34"/>
  <c r="C1624" i="34"/>
  <c r="B1624" i="34"/>
  <c r="J1623" i="34"/>
  <c r="I1623" i="34"/>
  <c r="H1623" i="34"/>
  <c r="G1623" i="34"/>
  <c r="F1623" i="34"/>
  <c r="E1623" i="34"/>
  <c r="D1623" i="34"/>
  <c r="C1623" i="34"/>
  <c r="B1623" i="34"/>
  <c r="J1622" i="34"/>
  <c r="I1622" i="34"/>
  <c r="H1622" i="34"/>
  <c r="G1622" i="34"/>
  <c r="F1622" i="34"/>
  <c r="E1622" i="34"/>
  <c r="D1622" i="34"/>
  <c r="C1622" i="34"/>
  <c r="B1622" i="34"/>
  <c r="J1621" i="34"/>
  <c r="I1621" i="34"/>
  <c r="H1621" i="34"/>
  <c r="G1621" i="34"/>
  <c r="F1621" i="34"/>
  <c r="E1621" i="34"/>
  <c r="D1621" i="34"/>
  <c r="C1621" i="34"/>
  <c r="B1621" i="34"/>
  <c r="J1620" i="34"/>
  <c r="I1620" i="34"/>
  <c r="H1620" i="34"/>
  <c r="G1620" i="34"/>
  <c r="F1620" i="34"/>
  <c r="E1620" i="34"/>
  <c r="D1620" i="34"/>
  <c r="C1620" i="34"/>
  <c r="B1620" i="34"/>
  <c r="J1619" i="34"/>
  <c r="I1619" i="34"/>
  <c r="H1619" i="34"/>
  <c r="G1619" i="34"/>
  <c r="F1619" i="34"/>
  <c r="E1619" i="34"/>
  <c r="D1619" i="34"/>
  <c r="C1619" i="34"/>
  <c r="B1619" i="34"/>
  <c r="J1618" i="34"/>
  <c r="I1618" i="34"/>
  <c r="H1618" i="34"/>
  <c r="G1618" i="34"/>
  <c r="F1618" i="34"/>
  <c r="E1618" i="34"/>
  <c r="D1618" i="34"/>
  <c r="C1618" i="34"/>
  <c r="B1618" i="34"/>
  <c r="J1617" i="34"/>
  <c r="I1617" i="34"/>
  <c r="H1617" i="34"/>
  <c r="G1617" i="34"/>
  <c r="F1617" i="34"/>
  <c r="E1617" i="34"/>
  <c r="D1617" i="34"/>
  <c r="C1617" i="34"/>
  <c r="B1617" i="34"/>
  <c r="J1616" i="34"/>
  <c r="I1616" i="34"/>
  <c r="H1616" i="34"/>
  <c r="G1616" i="34"/>
  <c r="F1616" i="34"/>
  <c r="E1616" i="34"/>
  <c r="D1616" i="34"/>
  <c r="C1616" i="34"/>
  <c r="B1616" i="34"/>
  <c r="J1615" i="34"/>
  <c r="I1615" i="34"/>
  <c r="H1615" i="34"/>
  <c r="G1615" i="34"/>
  <c r="F1615" i="34"/>
  <c r="E1615" i="34"/>
  <c r="D1615" i="34"/>
  <c r="C1615" i="34"/>
  <c r="B1615" i="34"/>
  <c r="J1614" i="34"/>
  <c r="I1614" i="34"/>
  <c r="H1614" i="34"/>
  <c r="G1614" i="34"/>
  <c r="F1614" i="34"/>
  <c r="E1614" i="34"/>
  <c r="D1614" i="34"/>
  <c r="C1614" i="34"/>
  <c r="B1614" i="34"/>
  <c r="J1613" i="34"/>
  <c r="I1613" i="34"/>
  <c r="H1613" i="34"/>
  <c r="G1613" i="34"/>
  <c r="F1613" i="34"/>
  <c r="E1613" i="34"/>
  <c r="D1613" i="34"/>
  <c r="C1613" i="34"/>
  <c r="B1613" i="34"/>
  <c r="J1612" i="34"/>
  <c r="I1612" i="34"/>
  <c r="H1612" i="34"/>
  <c r="G1612" i="34"/>
  <c r="F1612" i="34"/>
  <c r="E1612" i="34"/>
  <c r="D1612" i="34"/>
  <c r="C1612" i="34"/>
  <c r="B1612" i="34"/>
  <c r="J1611" i="34"/>
  <c r="I1611" i="34"/>
  <c r="H1611" i="34"/>
  <c r="G1611" i="34"/>
  <c r="F1611" i="34"/>
  <c r="E1611" i="34"/>
  <c r="D1611" i="34"/>
  <c r="C1611" i="34"/>
  <c r="B1611" i="34"/>
  <c r="J1610" i="34"/>
  <c r="I1610" i="34"/>
  <c r="H1610" i="34"/>
  <c r="G1610" i="34"/>
  <c r="F1610" i="34"/>
  <c r="E1610" i="34"/>
  <c r="D1610" i="34"/>
  <c r="C1610" i="34"/>
  <c r="B1610" i="34"/>
  <c r="J1609" i="34"/>
  <c r="I1609" i="34"/>
  <c r="H1609" i="34"/>
  <c r="G1609" i="34"/>
  <c r="F1609" i="34"/>
  <c r="E1609" i="34"/>
  <c r="D1609" i="34"/>
  <c r="C1609" i="34"/>
  <c r="B1609" i="34"/>
  <c r="J1608" i="34"/>
  <c r="I1608" i="34"/>
  <c r="H1608" i="34"/>
  <c r="G1608" i="34"/>
  <c r="F1608" i="34"/>
  <c r="E1608" i="34"/>
  <c r="D1608" i="34"/>
  <c r="C1608" i="34"/>
  <c r="B1608" i="34"/>
  <c r="J1607" i="34"/>
  <c r="I1607" i="34"/>
  <c r="H1607" i="34"/>
  <c r="G1607" i="34"/>
  <c r="F1607" i="34"/>
  <c r="E1607" i="34"/>
  <c r="D1607" i="34"/>
  <c r="C1607" i="34"/>
  <c r="B1607" i="34"/>
  <c r="J1606" i="34"/>
  <c r="I1606" i="34"/>
  <c r="H1606" i="34"/>
  <c r="G1606" i="34"/>
  <c r="F1606" i="34"/>
  <c r="E1606" i="34"/>
  <c r="D1606" i="34"/>
  <c r="C1606" i="34"/>
  <c r="B1606" i="34"/>
  <c r="J1605" i="34"/>
  <c r="I1605" i="34"/>
  <c r="H1605" i="34"/>
  <c r="G1605" i="34"/>
  <c r="F1605" i="34"/>
  <c r="E1605" i="34"/>
  <c r="D1605" i="34"/>
  <c r="C1605" i="34"/>
  <c r="B1605" i="34"/>
  <c r="J1604" i="34"/>
  <c r="I1604" i="34"/>
  <c r="H1604" i="34"/>
  <c r="G1604" i="34"/>
  <c r="F1604" i="34"/>
  <c r="E1604" i="34"/>
  <c r="D1604" i="34"/>
  <c r="C1604" i="34"/>
  <c r="B1604" i="34"/>
  <c r="J1603" i="34"/>
  <c r="I1603" i="34"/>
  <c r="H1603" i="34"/>
  <c r="G1603" i="34"/>
  <c r="F1603" i="34"/>
  <c r="E1603" i="34"/>
  <c r="D1603" i="34"/>
  <c r="C1603" i="34"/>
  <c r="B1603" i="34"/>
  <c r="J1602" i="34"/>
  <c r="I1602" i="34"/>
  <c r="H1602" i="34"/>
  <c r="G1602" i="34"/>
  <c r="F1602" i="34"/>
  <c r="E1602" i="34"/>
  <c r="D1602" i="34"/>
  <c r="C1602" i="34"/>
  <c r="B1602" i="34"/>
  <c r="J1601" i="34"/>
  <c r="I1601" i="34"/>
  <c r="H1601" i="34"/>
  <c r="G1601" i="34"/>
  <c r="F1601" i="34"/>
  <c r="E1601" i="34"/>
  <c r="D1601" i="34"/>
  <c r="C1601" i="34"/>
  <c r="B1601" i="34"/>
  <c r="J1600" i="34"/>
  <c r="I1600" i="34"/>
  <c r="H1600" i="34"/>
  <c r="G1600" i="34"/>
  <c r="F1600" i="34"/>
  <c r="E1600" i="34"/>
  <c r="D1600" i="34"/>
  <c r="C1600" i="34"/>
  <c r="B1600" i="34"/>
  <c r="J1599" i="34"/>
  <c r="I1599" i="34"/>
  <c r="H1599" i="34"/>
  <c r="G1599" i="34"/>
  <c r="F1599" i="34"/>
  <c r="E1599" i="34"/>
  <c r="D1599" i="34"/>
  <c r="C1599" i="34"/>
  <c r="B1599" i="34"/>
  <c r="J1598" i="34"/>
  <c r="I1598" i="34"/>
  <c r="H1598" i="34"/>
  <c r="G1598" i="34"/>
  <c r="F1598" i="34"/>
  <c r="E1598" i="34"/>
  <c r="D1598" i="34"/>
  <c r="C1598" i="34"/>
  <c r="B1598" i="34"/>
  <c r="J1597" i="34"/>
  <c r="I1597" i="34"/>
  <c r="H1597" i="34"/>
  <c r="G1597" i="34"/>
  <c r="F1597" i="34"/>
  <c r="E1597" i="34"/>
  <c r="D1597" i="34"/>
  <c r="C1597" i="34"/>
  <c r="B1597" i="34"/>
  <c r="J1596" i="34"/>
  <c r="I1596" i="34"/>
  <c r="H1596" i="34"/>
  <c r="G1596" i="34"/>
  <c r="F1596" i="34"/>
  <c r="E1596" i="34"/>
  <c r="D1596" i="34"/>
  <c r="C1596" i="34"/>
  <c r="B1596" i="34"/>
  <c r="J1595" i="34"/>
  <c r="I1595" i="34"/>
  <c r="H1595" i="34"/>
  <c r="G1595" i="34"/>
  <c r="F1595" i="34"/>
  <c r="E1595" i="34"/>
  <c r="D1595" i="34"/>
  <c r="C1595" i="34"/>
  <c r="B1595" i="34"/>
  <c r="J1594" i="34"/>
  <c r="I1594" i="34"/>
  <c r="H1594" i="34"/>
  <c r="G1594" i="34"/>
  <c r="F1594" i="34"/>
  <c r="E1594" i="34"/>
  <c r="D1594" i="34"/>
  <c r="C1594" i="34"/>
  <c r="B1594" i="34"/>
  <c r="J1593" i="34"/>
  <c r="I1593" i="34"/>
  <c r="H1593" i="34"/>
  <c r="G1593" i="34"/>
  <c r="F1593" i="34"/>
  <c r="E1593" i="34"/>
  <c r="D1593" i="34"/>
  <c r="C1593" i="34"/>
  <c r="B1593" i="34"/>
  <c r="J1592" i="34"/>
  <c r="I1592" i="34"/>
  <c r="H1592" i="34"/>
  <c r="G1592" i="34"/>
  <c r="F1592" i="34"/>
  <c r="E1592" i="34"/>
  <c r="D1592" i="34"/>
  <c r="C1592" i="34"/>
  <c r="B1592" i="34"/>
  <c r="J1591" i="34"/>
  <c r="I1591" i="34"/>
  <c r="H1591" i="34"/>
  <c r="G1591" i="34"/>
  <c r="F1591" i="34"/>
  <c r="E1591" i="34"/>
  <c r="D1591" i="34"/>
  <c r="C1591" i="34"/>
  <c r="B1591" i="34"/>
  <c r="J1590" i="34"/>
  <c r="I1590" i="34"/>
  <c r="H1590" i="34"/>
  <c r="G1590" i="34"/>
  <c r="F1590" i="34"/>
  <c r="E1590" i="34"/>
  <c r="D1590" i="34"/>
  <c r="C1590" i="34"/>
  <c r="B1590" i="34"/>
  <c r="J1589" i="34"/>
  <c r="I1589" i="34"/>
  <c r="H1589" i="34"/>
  <c r="G1589" i="34"/>
  <c r="F1589" i="34"/>
  <c r="E1589" i="34"/>
  <c r="D1589" i="34"/>
  <c r="C1589" i="34"/>
  <c r="B1589" i="34"/>
  <c r="J1588" i="34"/>
  <c r="I1588" i="34"/>
  <c r="H1588" i="34"/>
  <c r="G1588" i="34"/>
  <c r="F1588" i="34"/>
  <c r="E1588" i="34"/>
  <c r="D1588" i="34"/>
  <c r="C1588" i="34"/>
  <c r="B1588" i="34"/>
  <c r="J1587" i="34"/>
  <c r="I1587" i="34"/>
  <c r="H1587" i="34"/>
  <c r="G1587" i="34"/>
  <c r="F1587" i="34"/>
  <c r="E1587" i="34"/>
  <c r="D1587" i="34"/>
  <c r="C1587" i="34"/>
  <c r="B1587" i="34"/>
  <c r="J1586" i="34"/>
  <c r="I1586" i="34"/>
  <c r="H1586" i="34"/>
  <c r="G1586" i="34"/>
  <c r="F1586" i="34"/>
  <c r="E1586" i="34"/>
  <c r="D1586" i="34"/>
  <c r="C1586" i="34"/>
  <c r="B1586" i="34"/>
  <c r="J1585" i="34"/>
  <c r="I1585" i="34"/>
  <c r="H1585" i="34"/>
  <c r="G1585" i="34"/>
  <c r="F1585" i="34"/>
  <c r="E1585" i="34"/>
  <c r="D1585" i="34"/>
  <c r="C1585" i="34"/>
  <c r="B1585" i="34"/>
  <c r="J1584" i="34"/>
  <c r="I1584" i="34"/>
  <c r="H1584" i="34"/>
  <c r="G1584" i="34"/>
  <c r="F1584" i="34"/>
  <c r="E1584" i="34"/>
  <c r="D1584" i="34"/>
  <c r="C1584" i="34"/>
  <c r="B1584" i="34"/>
  <c r="J1583" i="34"/>
  <c r="I1583" i="34"/>
  <c r="H1583" i="34"/>
  <c r="G1583" i="34"/>
  <c r="F1583" i="34"/>
  <c r="E1583" i="34"/>
  <c r="D1583" i="34"/>
  <c r="C1583" i="34"/>
  <c r="B1583" i="34"/>
  <c r="J1582" i="34"/>
  <c r="I1582" i="34"/>
  <c r="H1582" i="34"/>
  <c r="G1582" i="34"/>
  <c r="F1582" i="34"/>
  <c r="E1582" i="34"/>
  <c r="D1582" i="34"/>
  <c r="C1582" i="34"/>
  <c r="B1582" i="34"/>
  <c r="J1581" i="34"/>
  <c r="I1581" i="34"/>
  <c r="H1581" i="34"/>
  <c r="G1581" i="34"/>
  <c r="F1581" i="34"/>
  <c r="E1581" i="34"/>
  <c r="D1581" i="34"/>
  <c r="C1581" i="34"/>
  <c r="B1581" i="34"/>
  <c r="J1580" i="34"/>
  <c r="I1580" i="34"/>
  <c r="H1580" i="34"/>
  <c r="G1580" i="34"/>
  <c r="F1580" i="34"/>
  <c r="E1580" i="34"/>
  <c r="D1580" i="34"/>
  <c r="C1580" i="34"/>
  <c r="B1580" i="34"/>
  <c r="J1579" i="34"/>
  <c r="I1579" i="34"/>
  <c r="H1579" i="34"/>
  <c r="G1579" i="34"/>
  <c r="F1579" i="34"/>
  <c r="E1579" i="34"/>
  <c r="D1579" i="34"/>
  <c r="C1579" i="34"/>
  <c r="B1579" i="34"/>
  <c r="J1578" i="34"/>
  <c r="I1578" i="34"/>
  <c r="H1578" i="34"/>
  <c r="G1578" i="34"/>
  <c r="F1578" i="34"/>
  <c r="E1578" i="34"/>
  <c r="D1578" i="34"/>
  <c r="C1578" i="34"/>
  <c r="B1578" i="34"/>
  <c r="J1577" i="34"/>
  <c r="I1577" i="34"/>
  <c r="H1577" i="34"/>
  <c r="G1577" i="34"/>
  <c r="F1577" i="34"/>
  <c r="E1577" i="34"/>
  <c r="D1577" i="34"/>
  <c r="C1577" i="34"/>
  <c r="B1577" i="34"/>
  <c r="J1576" i="34"/>
  <c r="I1576" i="34"/>
  <c r="H1576" i="34"/>
  <c r="G1576" i="34"/>
  <c r="F1576" i="34"/>
  <c r="E1576" i="34"/>
  <c r="D1576" i="34"/>
  <c r="C1576" i="34"/>
  <c r="B1576" i="34"/>
  <c r="J1575" i="34"/>
  <c r="I1575" i="34"/>
  <c r="H1575" i="34"/>
  <c r="G1575" i="34"/>
  <c r="F1575" i="34"/>
  <c r="E1575" i="34"/>
  <c r="D1575" i="34"/>
  <c r="C1575" i="34"/>
  <c r="B1575" i="34"/>
  <c r="J1574" i="34"/>
  <c r="I1574" i="34"/>
  <c r="H1574" i="34"/>
  <c r="G1574" i="34"/>
  <c r="F1574" i="34"/>
  <c r="E1574" i="34"/>
  <c r="D1574" i="34"/>
  <c r="C1574" i="34"/>
  <c r="B1574" i="34"/>
  <c r="J1573" i="34"/>
  <c r="I1573" i="34"/>
  <c r="H1573" i="34"/>
  <c r="G1573" i="34"/>
  <c r="F1573" i="34"/>
  <c r="E1573" i="34"/>
  <c r="D1573" i="34"/>
  <c r="C1573" i="34"/>
  <c r="B1573" i="34"/>
  <c r="J1572" i="34"/>
  <c r="I1572" i="34"/>
  <c r="H1572" i="34"/>
  <c r="G1572" i="34"/>
  <c r="F1572" i="34"/>
  <c r="E1572" i="34"/>
  <c r="D1572" i="34"/>
  <c r="C1572" i="34"/>
  <c r="B1572" i="34"/>
  <c r="J1571" i="34"/>
  <c r="I1571" i="34"/>
  <c r="H1571" i="34"/>
  <c r="G1571" i="34"/>
  <c r="F1571" i="34"/>
  <c r="E1571" i="34"/>
  <c r="D1571" i="34"/>
  <c r="C1571" i="34"/>
  <c r="B1571" i="34"/>
  <c r="J1570" i="34"/>
  <c r="I1570" i="34"/>
  <c r="H1570" i="34"/>
  <c r="G1570" i="34"/>
  <c r="F1570" i="34"/>
  <c r="E1570" i="34"/>
  <c r="D1570" i="34"/>
  <c r="C1570" i="34"/>
  <c r="B1570" i="34"/>
  <c r="J1569" i="34"/>
  <c r="I1569" i="34"/>
  <c r="H1569" i="34"/>
  <c r="G1569" i="34"/>
  <c r="F1569" i="34"/>
  <c r="E1569" i="34"/>
  <c r="D1569" i="34"/>
  <c r="C1569" i="34"/>
  <c r="B1569" i="34"/>
  <c r="J1568" i="34"/>
  <c r="I1568" i="34"/>
  <c r="H1568" i="34"/>
  <c r="G1568" i="34"/>
  <c r="F1568" i="34"/>
  <c r="E1568" i="34"/>
  <c r="D1568" i="34"/>
  <c r="C1568" i="34"/>
  <c r="B1568" i="34"/>
  <c r="J1567" i="34"/>
  <c r="I1567" i="34"/>
  <c r="H1567" i="34"/>
  <c r="G1567" i="34"/>
  <c r="F1567" i="34"/>
  <c r="E1567" i="34"/>
  <c r="D1567" i="34"/>
  <c r="C1567" i="34"/>
  <c r="B1567" i="34"/>
  <c r="J1566" i="34"/>
  <c r="I1566" i="34"/>
  <c r="H1566" i="34"/>
  <c r="G1566" i="34"/>
  <c r="F1566" i="34"/>
  <c r="E1566" i="34"/>
  <c r="D1566" i="34"/>
  <c r="C1566" i="34"/>
  <c r="B1566" i="34"/>
  <c r="J1565" i="34"/>
  <c r="I1565" i="34"/>
  <c r="H1565" i="34"/>
  <c r="G1565" i="34"/>
  <c r="F1565" i="34"/>
  <c r="E1565" i="34"/>
  <c r="D1565" i="34"/>
  <c r="C1565" i="34"/>
  <c r="B1565" i="34"/>
  <c r="J1564" i="34"/>
  <c r="I1564" i="34"/>
  <c r="H1564" i="34"/>
  <c r="G1564" i="34"/>
  <c r="F1564" i="34"/>
  <c r="E1564" i="34"/>
  <c r="D1564" i="34"/>
  <c r="C1564" i="34"/>
  <c r="B1564" i="34"/>
  <c r="J1563" i="34"/>
  <c r="I1563" i="34"/>
  <c r="H1563" i="34"/>
  <c r="G1563" i="34"/>
  <c r="F1563" i="34"/>
  <c r="E1563" i="34"/>
  <c r="D1563" i="34"/>
  <c r="C1563" i="34"/>
  <c r="B1563" i="34"/>
  <c r="J1562" i="34"/>
  <c r="I1562" i="34"/>
  <c r="H1562" i="34"/>
  <c r="G1562" i="34"/>
  <c r="F1562" i="34"/>
  <c r="E1562" i="34"/>
  <c r="D1562" i="34"/>
  <c r="C1562" i="34"/>
  <c r="B1562" i="34"/>
  <c r="J1561" i="34"/>
  <c r="I1561" i="34"/>
  <c r="H1561" i="34"/>
  <c r="G1561" i="34"/>
  <c r="F1561" i="34"/>
  <c r="E1561" i="34"/>
  <c r="D1561" i="34"/>
  <c r="C1561" i="34"/>
  <c r="B1561" i="34"/>
  <c r="J1560" i="34"/>
  <c r="I1560" i="34"/>
  <c r="H1560" i="34"/>
  <c r="G1560" i="34"/>
  <c r="F1560" i="34"/>
  <c r="E1560" i="34"/>
  <c r="D1560" i="34"/>
  <c r="C1560" i="34"/>
  <c r="B1560" i="34"/>
  <c r="J1559" i="34"/>
  <c r="I1559" i="34"/>
  <c r="H1559" i="34"/>
  <c r="G1559" i="34"/>
  <c r="F1559" i="34"/>
  <c r="E1559" i="34"/>
  <c r="D1559" i="34"/>
  <c r="C1559" i="34"/>
  <c r="B1559" i="34"/>
  <c r="J1558" i="34"/>
  <c r="I1558" i="34"/>
  <c r="H1558" i="34"/>
  <c r="G1558" i="34"/>
  <c r="F1558" i="34"/>
  <c r="E1558" i="34"/>
  <c r="D1558" i="34"/>
  <c r="C1558" i="34"/>
  <c r="B1558" i="34"/>
  <c r="J1557" i="34"/>
  <c r="I1557" i="34"/>
  <c r="H1557" i="34"/>
  <c r="G1557" i="34"/>
  <c r="F1557" i="34"/>
  <c r="E1557" i="34"/>
  <c r="D1557" i="34"/>
  <c r="C1557" i="34"/>
  <c r="B1557" i="34"/>
  <c r="J1556" i="34"/>
  <c r="I1556" i="34"/>
  <c r="H1556" i="34"/>
  <c r="G1556" i="34"/>
  <c r="F1556" i="34"/>
  <c r="E1556" i="34"/>
  <c r="D1556" i="34"/>
  <c r="C1556" i="34"/>
  <c r="B1556" i="34"/>
  <c r="J1555" i="34"/>
  <c r="I1555" i="34"/>
  <c r="H1555" i="34"/>
  <c r="G1555" i="34"/>
  <c r="F1555" i="34"/>
  <c r="E1555" i="34"/>
  <c r="D1555" i="34"/>
  <c r="C1555" i="34"/>
  <c r="B1555" i="34"/>
  <c r="J1554" i="34"/>
  <c r="I1554" i="34"/>
  <c r="H1554" i="34"/>
  <c r="G1554" i="34"/>
  <c r="F1554" i="34"/>
  <c r="E1554" i="34"/>
  <c r="D1554" i="34"/>
  <c r="C1554" i="34"/>
  <c r="B1554" i="34"/>
  <c r="J1553" i="34"/>
  <c r="I1553" i="34"/>
  <c r="H1553" i="34"/>
  <c r="G1553" i="34"/>
  <c r="F1553" i="34"/>
  <c r="E1553" i="34"/>
  <c r="D1553" i="34"/>
  <c r="C1553" i="34"/>
  <c r="B1553" i="34"/>
  <c r="J1552" i="34"/>
  <c r="I1552" i="34"/>
  <c r="H1552" i="34"/>
  <c r="G1552" i="34"/>
  <c r="F1552" i="34"/>
  <c r="E1552" i="34"/>
  <c r="D1552" i="34"/>
  <c r="C1552" i="34"/>
  <c r="B1552" i="34"/>
  <c r="J1551" i="34"/>
  <c r="I1551" i="34"/>
  <c r="H1551" i="34"/>
  <c r="G1551" i="34"/>
  <c r="F1551" i="34"/>
  <c r="E1551" i="34"/>
  <c r="D1551" i="34"/>
  <c r="C1551" i="34"/>
  <c r="B1551" i="34"/>
  <c r="J1550" i="34"/>
  <c r="I1550" i="34"/>
  <c r="H1550" i="34"/>
  <c r="G1550" i="34"/>
  <c r="F1550" i="34"/>
  <c r="E1550" i="34"/>
  <c r="D1550" i="34"/>
  <c r="C1550" i="34"/>
  <c r="B1550" i="34"/>
  <c r="J1549" i="34"/>
  <c r="I1549" i="34"/>
  <c r="H1549" i="34"/>
  <c r="G1549" i="34"/>
  <c r="F1549" i="34"/>
  <c r="E1549" i="34"/>
  <c r="D1549" i="34"/>
  <c r="C1549" i="34"/>
  <c r="B1549" i="34"/>
  <c r="J1548" i="34"/>
  <c r="I1548" i="34"/>
  <c r="H1548" i="34"/>
  <c r="G1548" i="34"/>
  <c r="F1548" i="34"/>
  <c r="E1548" i="34"/>
  <c r="D1548" i="34"/>
  <c r="C1548" i="34"/>
  <c r="B1548" i="34"/>
  <c r="J1547" i="34"/>
  <c r="I1547" i="34"/>
  <c r="H1547" i="34"/>
  <c r="G1547" i="34"/>
  <c r="F1547" i="34"/>
  <c r="E1547" i="34"/>
  <c r="D1547" i="34"/>
  <c r="C1547" i="34"/>
  <c r="B1547" i="34"/>
  <c r="J1546" i="34"/>
  <c r="I1546" i="34"/>
  <c r="H1546" i="34"/>
  <c r="G1546" i="34"/>
  <c r="F1546" i="34"/>
  <c r="E1546" i="34"/>
  <c r="D1546" i="34"/>
  <c r="C1546" i="34"/>
  <c r="B1546" i="34"/>
  <c r="J1545" i="34"/>
  <c r="I1545" i="34"/>
  <c r="H1545" i="34"/>
  <c r="G1545" i="34"/>
  <c r="F1545" i="34"/>
  <c r="E1545" i="34"/>
  <c r="D1545" i="34"/>
  <c r="C1545" i="34"/>
  <c r="B1545" i="34"/>
  <c r="J1544" i="34"/>
  <c r="I1544" i="34"/>
  <c r="H1544" i="34"/>
  <c r="G1544" i="34"/>
  <c r="F1544" i="34"/>
  <c r="E1544" i="34"/>
  <c r="D1544" i="34"/>
  <c r="C1544" i="34"/>
  <c r="B1544" i="34"/>
  <c r="J1543" i="34"/>
  <c r="I1543" i="34"/>
  <c r="H1543" i="34"/>
  <c r="G1543" i="34"/>
  <c r="F1543" i="34"/>
  <c r="E1543" i="34"/>
  <c r="D1543" i="34"/>
  <c r="C1543" i="34"/>
  <c r="B1543" i="34"/>
  <c r="J1542" i="34"/>
  <c r="I1542" i="34"/>
  <c r="H1542" i="34"/>
  <c r="G1542" i="34"/>
  <c r="F1542" i="34"/>
  <c r="E1542" i="34"/>
  <c r="D1542" i="34"/>
  <c r="C1542" i="34"/>
  <c r="B1542" i="34"/>
  <c r="J1541" i="34"/>
  <c r="I1541" i="34"/>
  <c r="H1541" i="34"/>
  <c r="G1541" i="34"/>
  <c r="F1541" i="34"/>
  <c r="E1541" i="34"/>
  <c r="D1541" i="34"/>
  <c r="C1541" i="34"/>
  <c r="B1541" i="34"/>
  <c r="J1540" i="34"/>
  <c r="I1540" i="34"/>
  <c r="H1540" i="34"/>
  <c r="G1540" i="34"/>
  <c r="F1540" i="34"/>
  <c r="E1540" i="34"/>
  <c r="D1540" i="34"/>
  <c r="C1540" i="34"/>
  <c r="B1540" i="34"/>
  <c r="J1539" i="34"/>
  <c r="I1539" i="34"/>
  <c r="H1539" i="34"/>
  <c r="G1539" i="34"/>
  <c r="F1539" i="34"/>
  <c r="E1539" i="34"/>
  <c r="D1539" i="34"/>
  <c r="C1539" i="34"/>
  <c r="B1539" i="34"/>
  <c r="J1538" i="34"/>
  <c r="I1538" i="34"/>
  <c r="H1538" i="34"/>
  <c r="G1538" i="34"/>
  <c r="F1538" i="34"/>
  <c r="E1538" i="34"/>
  <c r="D1538" i="34"/>
  <c r="C1538" i="34"/>
  <c r="B1538" i="34"/>
  <c r="J1537" i="34"/>
  <c r="I1537" i="34"/>
  <c r="H1537" i="34"/>
  <c r="G1537" i="34"/>
  <c r="F1537" i="34"/>
  <c r="E1537" i="34"/>
  <c r="D1537" i="34"/>
  <c r="C1537" i="34"/>
  <c r="B1537" i="34"/>
  <c r="J1536" i="34"/>
  <c r="I1536" i="34"/>
  <c r="H1536" i="34"/>
  <c r="G1536" i="34"/>
  <c r="F1536" i="34"/>
  <c r="E1536" i="34"/>
  <c r="D1536" i="34"/>
  <c r="C1536" i="34"/>
  <c r="B1536" i="34"/>
  <c r="J1535" i="34"/>
  <c r="I1535" i="34"/>
  <c r="H1535" i="34"/>
  <c r="G1535" i="34"/>
  <c r="F1535" i="34"/>
  <c r="E1535" i="34"/>
  <c r="D1535" i="34"/>
  <c r="C1535" i="34"/>
  <c r="B1535" i="34"/>
  <c r="J1534" i="34"/>
  <c r="I1534" i="34"/>
  <c r="H1534" i="34"/>
  <c r="G1534" i="34"/>
  <c r="F1534" i="34"/>
  <c r="E1534" i="34"/>
  <c r="D1534" i="34"/>
  <c r="C1534" i="34"/>
  <c r="B1534" i="34"/>
  <c r="J1533" i="34"/>
  <c r="I1533" i="34"/>
  <c r="H1533" i="34"/>
  <c r="G1533" i="34"/>
  <c r="F1533" i="34"/>
  <c r="E1533" i="34"/>
  <c r="D1533" i="34"/>
  <c r="C1533" i="34"/>
  <c r="B1533" i="34"/>
  <c r="J1532" i="34"/>
  <c r="I1532" i="34"/>
  <c r="H1532" i="34"/>
  <c r="G1532" i="34"/>
  <c r="F1532" i="34"/>
  <c r="E1532" i="34"/>
  <c r="D1532" i="34"/>
  <c r="C1532" i="34"/>
  <c r="B1532" i="34"/>
  <c r="J1531" i="34"/>
  <c r="I1531" i="34"/>
  <c r="H1531" i="34"/>
  <c r="G1531" i="34"/>
  <c r="F1531" i="34"/>
  <c r="E1531" i="34"/>
  <c r="D1531" i="34"/>
  <c r="C1531" i="34"/>
  <c r="B1531" i="34"/>
  <c r="J1530" i="34"/>
  <c r="I1530" i="34"/>
  <c r="H1530" i="34"/>
  <c r="G1530" i="34"/>
  <c r="F1530" i="34"/>
  <c r="E1530" i="34"/>
  <c r="D1530" i="34"/>
  <c r="C1530" i="34"/>
  <c r="B1530" i="34"/>
  <c r="J1529" i="34"/>
  <c r="I1529" i="34"/>
  <c r="H1529" i="34"/>
  <c r="G1529" i="34"/>
  <c r="F1529" i="34"/>
  <c r="E1529" i="34"/>
  <c r="D1529" i="34"/>
  <c r="C1529" i="34"/>
  <c r="B1529" i="34"/>
  <c r="J1528" i="34"/>
  <c r="I1528" i="34"/>
  <c r="H1528" i="34"/>
  <c r="G1528" i="34"/>
  <c r="F1528" i="34"/>
  <c r="E1528" i="34"/>
  <c r="D1528" i="34"/>
  <c r="C1528" i="34"/>
  <c r="B1528" i="34"/>
  <c r="J1527" i="34"/>
  <c r="I1527" i="34"/>
  <c r="H1527" i="34"/>
  <c r="G1527" i="34"/>
  <c r="F1527" i="34"/>
  <c r="E1527" i="34"/>
  <c r="D1527" i="34"/>
  <c r="C1527" i="34"/>
  <c r="B1527" i="34"/>
  <c r="J1526" i="34"/>
  <c r="I1526" i="34"/>
  <c r="H1526" i="34"/>
  <c r="G1526" i="34"/>
  <c r="F1526" i="34"/>
  <c r="E1526" i="34"/>
  <c r="D1526" i="34"/>
  <c r="C1526" i="34"/>
  <c r="B1526" i="34"/>
  <c r="J1525" i="34"/>
  <c r="I1525" i="34"/>
  <c r="H1525" i="34"/>
  <c r="G1525" i="34"/>
  <c r="F1525" i="34"/>
  <c r="E1525" i="34"/>
  <c r="D1525" i="34"/>
  <c r="C1525" i="34"/>
  <c r="B1525" i="34"/>
  <c r="J1524" i="34"/>
  <c r="I1524" i="34"/>
  <c r="H1524" i="34"/>
  <c r="G1524" i="34"/>
  <c r="F1524" i="34"/>
  <c r="E1524" i="34"/>
  <c r="D1524" i="34"/>
  <c r="C1524" i="34"/>
  <c r="B1524" i="34"/>
  <c r="J1523" i="34"/>
  <c r="I1523" i="34"/>
  <c r="H1523" i="34"/>
  <c r="G1523" i="34"/>
  <c r="F1523" i="34"/>
  <c r="E1523" i="34"/>
  <c r="D1523" i="34"/>
  <c r="C1523" i="34"/>
  <c r="B1523" i="34"/>
  <c r="J1522" i="34"/>
  <c r="I1522" i="34"/>
  <c r="H1522" i="34"/>
  <c r="G1522" i="34"/>
  <c r="F1522" i="34"/>
  <c r="E1522" i="34"/>
  <c r="D1522" i="34"/>
  <c r="C1522" i="34"/>
  <c r="B1522" i="34"/>
  <c r="J1521" i="34"/>
  <c r="I1521" i="34"/>
  <c r="H1521" i="34"/>
  <c r="G1521" i="34"/>
  <c r="F1521" i="34"/>
  <c r="E1521" i="34"/>
  <c r="D1521" i="34"/>
  <c r="C1521" i="34"/>
  <c r="B1521" i="34"/>
  <c r="J1520" i="34"/>
  <c r="I1520" i="34"/>
  <c r="H1520" i="34"/>
  <c r="G1520" i="34"/>
  <c r="F1520" i="34"/>
  <c r="E1520" i="34"/>
  <c r="D1520" i="34"/>
  <c r="C1520" i="34"/>
  <c r="B1520" i="34"/>
  <c r="J1519" i="34"/>
  <c r="I1519" i="34"/>
  <c r="H1519" i="34"/>
  <c r="G1519" i="34"/>
  <c r="F1519" i="34"/>
  <c r="E1519" i="34"/>
  <c r="D1519" i="34"/>
  <c r="C1519" i="34"/>
  <c r="B1519" i="34"/>
  <c r="J1518" i="34"/>
  <c r="I1518" i="34"/>
  <c r="H1518" i="34"/>
  <c r="G1518" i="34"/>
  <c r="F1518" i="34"/>
  <c r="E1518" i="34"/>
  <c r="D1518" i="34"/>
  <c r="C1518" i="34"/>
  <c r="B1518" i="34"/>
  <c r="J1517" i="34"/>
  <c r="I1517" i="34"/>
  <c r="H1517" i="34"/>
  <c r="G1517" i="34"/>
  <c r="F1517" i="34"/>
  <c r="E1517" i="34"/>
  <c r="D1517" i="34"/>
  <c r="C1517" i="34"/>
  <c r="B1517" i="34"/>
  <c r="J1516" i="34"/>
  <c r="I1516" i="34"/>
  <c r="H1516" i="34"/>
  <c r="G1516" i="34"/>
  <c r="F1516" i="34"/>
  <c r="E1516" i="34"/>
  <c r="D1516" i="34"/>
  <c r="C1516" i="34"/>
  <c r="B1516" i="34"/>
  <c r="J1515" i="34"/>
  <c r="I1515" i="34"/>
  <c r="H1515" i="34"/>
  <c r="G1515" i="34"/>
  <c r="F1515" i="34"/>
  <c r="E1515" i="34"/>
  <c r="D1515" i="34"/>
  <c r="C1515" i="34"/>
  <c r="B1515" i="34"/>
  <c r="J1514" i="34"/>
  <c r="I1514" i="34"/>
  <c r="H1514" i="34"/>
  <c r="G1514" i="34"/>
  <c r="F1514" i="34"/>
  <c r="E1514" i="34"/>
  <c r="D1514" i="34"/>
  <c r="C1514" i="34"/>
  <c r="B1514" i="34"/>
  <c r="J1513" i="34"/>
  <c r="I1513" i="34"/>
  <c r="H1513" i="34"/>
  <c r="G1513" i="34"/>
  <c r="F1513" i="34"/>
  <c r="E1513" i="34"/>
  <c r="D1513" i="34"/>
  <c r="C1513" i="34"/>
  <c r="B1513" i="34"/>
  <c r="J1512" i="34"/>
  <c r="I1512" i="34"/>
  <c r="H1512" i="34"/>
  <c r="G1512" i="34"/>
  <c r="F1512" i="34"/>
  <c r="E1512" i="34"/>
  <c r="D1512" i="34"/>
  <c r="C1512" i="34"/>
  <c r="B1512" i="34"/>
  <c r="J1511" i="34"/>
  <c r="I1511" i="34"/>
  <c r="H1511" i="34"/>
  <c r="G1511" i="34"/>
  <c r="F1511" i="34"/>
  <c r="E1511" i="34"/>
  <c r="D1511" i="34"/>
  <c r="C1511" i="34"/>
  <c r="B1511" i="34"/>
  <c r="J1510" i="34"/>
  <c r="I1510" i="34"/>
  <c r="H1510" i="34"/>
  <c r="G1510" i="34"/>
  <c r="F1510" i="34"/>
  <c r="E1510" i="34"/>
  <c r="D1510" i="34"/>
  <c r="C1510" i="34"/>
  <c r="B1510" i="34"/>
  <c r="J1509" i="34"/>
  <c r="I1509" i="34"/>
  <c r="H1509" i="34"/>
  <c r="G1509" i="34"/>
  <c r="F1509" i="34"/>
  <c r="E1509" i="34"/>
  <c r="D1509" i="34"/>
  <c r="C1509" i="34"/>
  <c r="B1509" i="34"/>
  <c r="J1508" i="34"/>
  <c r="I1508" i="34"/>
  <c r="H1508" i="34"/>
  <c r="G1508" i="34"/>
  <c r="F1508" i="34"/>
  <c r="E1508" i="34"/>
  <c r="D1508" i="34"/>
  <c r="C1508" i="34"/>
  <c r="B1508" i="34"/>
  <c r="J1507" i="34"/>
  <c r="I1507" i="34"/>
  <c r="H1507" i="34"/>
  <c r="G1507" i="34"/>
  <c r="F1507" i="34"/>
  <c r="E1507" i="34"/>
  <c r="D1507" i="34"/>
  <c r="C1507" i="34"/>
  <c r="B1507" i="34"/>
  <c r="J1506" i="34"/>
  <c r="I1506" i="34"/>
  <c r="H1506" i="34"/>
  <c r="G1506" i="34"/>
  <c r="F1506" i="34"/>
  <c r="E1506" i="34"/>
  <c r="D1506" i="34"/>
  <c r="C1506" i="34"/>
  <c r="B1506" i="34"/>
  <c r="J1505" i="34"/>
  <c r="I1505" i="34"/>
  <c r="H1505" i="34"/>
  <c r="G1505" i="34"/>
  <c r="F1505" i="34"/>
  <c r="E1505" i="34"/>
  <c r="D1505" i="34"/>
  <c r="C1505" i="34"/>
  <c r="B1505" i="34"/>
  <c r="J1504" i="34"/>
  <c r="I1504" i="34"/>
  <c r="H1504" i="34"/>
  <c r="G1504" i="34"/>
  <c r="F1504" i="34"/>
  <c r="E1504" i="34"/>
  <c r="D1504" i="34"/>
  <c r="C1504" i="34"/>
  <c r="B1504" i="34"/>
  <c r="J1503" i="34"/>
  <c r="I1503" i="34"/>
  <c r="H1503" i="34"/>
  <c r="G1503" i="34"/>
  <c r="F1503" i="34"/>
  <c r="E1503" i="34"/>
  <c r="D1503" i="34"/>
  <c r="C1503" i="34"/>
  <c r="B1503" i="34"/>
  <c r="J1502" i="34"/>
  <c r="I1502" i="34"/>
  <c r="H1502" i="34"/>
  <c r="G1502" i="34"/>
  <c r="F1502" i="34"/>
  <c r="E1502" i="34"/>
  <c r="D1502" i="34"/>
  <c r="C1502" i="34"/>
  <c r="B1502" i="34"/>
  <c r="J1501" i="34"/>
  <c r="I1501" i="34"/>
  <c r="H1501" i="34"/>
  <c r="G1501" i="34"/>
  <c r="F1501" i="34"/>
  <c r="E1501" i="34"/>
  <c r="D1501" i="34"/>
  <c r="C1501" i="34"/>
  <c r="B1501" i="34"/>
  <c r="J1500" i="34"/>
  <c r="I1500" i="34"/>
  <c r="H1500" i="34"/>
  <c r="G1500" i="34"/>
  <c r="F1500" i="34"/>
  <c r="E1500" i="34"/>
  <c r="D1500" i="34"/>
  <c r="C1500" i="34"/>
  <c r="B1500" i="34"/>
  <c r="J1499" i="34"/>
  <c r="I1499" i="34"/>
  <c r="H1499" i="34"/>
  <c r="G1499" i="34"/>
  <c r="F1499" i="34"/>
  <c r="E1499" i="34"/>
  <c r="D1499" i="34"/>
  <c r="C1499" i="34"/>
  <c r="B1499" i="34"/>
  <c r="J1498" i="34"/>
  <c r="I1498" i="34"/>
  <c r="H1498" i="34"/>
  <c r="G1498" i="34"/>
  <c r="F1498" i="34"/>
  <c r="E1498" i="34"/>
  <c r="D1498" i="34"/>
  <c r="C1498" i="34"/>
  <c r="B1498" i="34"/>
  <c r="J1497" i="34"/>
  <c r="I1497" i="34"/>
  <c r="H1497" i="34"/>
  <c r="G1497" i="34"/>
  <c r="F1497" i="34"/>
  <c r="E1497" i="34"/>
  <c r="D1497" i="34"/>
  <c r="C1497" i="34"/>
  <c r="B1497" i="34"/>
  <c r="J1496" i="34"/>
  <c r="I1496" i="34"/>
  <c r="H1496" i="34"/>
  <c r="G1496" i="34"/>
  <c r="F1496" i="34"/>
  <c r="E1496" i="34"/>
  <c r="D1496" i="34"/>
  <c r="C1496" i="34"/>
  <c r="B1496" i="34"/>
  <c r="J1495" i="34"/>
  <c r="I1495" i="34"/>
  <c r="H1495" i="34"/>
  <c r="G1495" i="34"/>
  <c r="F1495" i="34"/>
  <c r="E1495" i="34"/>
  <c r="D1495" i="34"/>
  <c r="C1495" i="34"/>
  <c r="B1495" i="34"/>
  <c r="J1494" i="34"/>
  <c r="I1494" i="34"/>
  <c r="H1494" i="34"/>
  <c r="G1494" i="34"/>
  <c r="F1494" i="34"/>
  <c r="E1494" i="34"/>
  <c r="D1494" i="34"/>
  <c r="C1494" i="34"/>
  <c r="B1494" i="34"/>
  <c r="J1493" i="34"/>
  <c r="I1493" i="34"/>
  <c r="H1493" i="34"/>
  <c r="G1493" i="34"/>
  <c r="F1493" i="34"/>
  <c r="E1493" i="34"/>
  <c r="D1493" i="34"/>
  <c r="C1493" i="34"/>
  <c r="B1493" i="34"/>
  <c r="J1492" i="34"/>
  <c r="I1492" i="34"/>
  <c r="H1492" i="34"/>
  <c r="G1492" i="34"/>
  <c r="F1492" i="34"/>
  <c r="E1492" i="34"/>
  <c r="D1492" i="34"/>
  <c r="C1492" i="34"/>
  <c r="B1492" i="34"/>
  <c r="J1491" i="34"/>
  <c r="I1491" i="34"/>
  <c r="H1491" i="34"/>
  <c r="G1491" i="34"/>
  <c r="F1491" i="34"/>
  <c r="E1491" i="34"/>
  <c r="D1491" i="34"/>
  <c r="C1491" i="34"/>
  <c r="B1491" i="34"/>
  <c r="J1490" i="34"/>
  <c r="I1490" i="34"/>
  <c r="H1490" i="34"/>
  <c r="G1490" i="34"/>
  <c r="F1490" i="34"/>
  <c r="E1490" i="34"/>
  <c r="D1490" i="34"/>
  <c r="C1490" i="34"/>
  <c r="B1490" i="34"/>
  <c r="J1489" i="34"/>
  <c r="I1489" i="34"/>
  <c r="H1489" i="34"/>
  <c r="G1489" i="34"/>
  <c r="F1489" i="34"/>
  <c r="E1489" i="34"/>
  <c r="D1489" i="34"/>
  <c r="C1489" i="34"/>
  <c r="B1489" i="34"/>
  <c r="J1488" i="34"/>
  <c r="I1488" i="34"/>
  <c r="H1488" i="34"/>
  <c r="G1488" i="34"/>
  <c r="F1488" i="34"/>
  <c r="E1488" i="34"/>
  <c r="D1488" i="34"/>
  <c r="C1488" i="34"/>
  <c r="B1488" i="34"/>
  <c r="J1487" i="34"/>
  <c r="I1487" i="34"/>
  <c r="H1487" i="34"/>
  <c r="G1487" i="34"/>
  <c r="F1487" i="34"/>
  <c r="E1487" i="34"/>
  <c r="D1487" i="34"/>
  <c r="C1487" i="34"/>
  <c r="B1487" i="34"/>
  <c r="J1486" i="34"/>
  <c r="I1486" i="34"/>
  <c r="H1486" i="34"/>
  <c r="G1486" i="34"/>
  <c r="F1486" i="34"/>
  <c r="E1486" i="34"/>
  <c r="D1486" i="34"/>
  <c r="C1486" i="34"/>
  <c r="B1486" i="34"/>
  <c r="J1485" i="34"/>
  <c r="I1485" i="34"/>
  <c r="H1485" i="34"/>
  <c r="G1485" i="34"/>
  <c r="F1485" i="34"/>
  <c r="E1485" i="34"/>
  <c r="D1485" i="34"/>
  <c r="C1485" i="34"/>
  <c r="B1485" i="34"/>
  <c r="J1484" i="34"/>
  <c r="I1484" i="34"/>
  <c r="H1484" i="34"/>
  <c r="G1484" i="34"/>
  <c r="F1484" i="34"/>
  <c r="E1484" i="34"/>
  <c r="D1484" i="34"/>
  <c r="C1484" i="34"/>
  <c r="B1484" i="34"/>
  <c r="J1483" i="34"/>
  <c r="I1483" i="34"/>
  <c r="H1483" i="34"/>
  <c r="G1483" i="34"/>
  <c r="F1483" i="34"/>
  <c r="E1483" i="34"/>
  <c r="D1483" i="34"/>
  <c r="C1483" i="34"/>
  <c r="B1483" i="34"/>
  <c r="J1482" i="34"/>
  <c r="I1482" i="34"/>
  <c r="H1482" i="34"/>
  <c r="G1482" i="34"/>
  <c r="F1482" i="34"/>
  <c r="E1482" i="34"/>
  <c r="D1482" i="34"/>
  <c r="C1482" i="34"/>
  <c r="B1482" i="34"/>
  <c r="J1481" i="34"/>
  <c r="I1481" i="34"/>
  <c r="H1481" i="34"/>
  <c r="G1481" i="34"/>
  <c r="F1481" i="34"/>
  <c r="E1481" i="34"/>
  <c r="D1481" i="34"/>
  <c r="C1481" i="34"/>
  <c r="B1481" i="34"/>
  <c r="J1480" i="34"/>
  <c r="I1480" i="34"/>
  <c r="H1480" i="34"/>
  <c r="G1480" i="34"/>
  <c r="F1480" i="34"/>
  <c r="E1480" i="34"/>
  <c r="D1480" i="34"/>
  <c r="C1480" i="34"/>
  <c r="B1480" i="34"/>
  <c r="J1479" i="34"/>
  <c r="I1479" i="34"/>
  <c r="H1479" i="34"/>
  <c r="G1479" i="34"/>
  <c r="F1479" i="34"/>
  <c r="E1479" i="34"/>
  <c r="D1479" i="34"/>
  <c r="C1479" i="34"/>
  <c r="B1479" i="34"/>
  <c r="J1478" i="34"/>
  <c r="I1478" i="34"/>
  <c r="H1478" i="34"/>
  <c r="G1478" i="34"/>
  <c r="F1478" i="34"/>
  <c r="E1478" i="34"/>
  <c r="D1478" i="34"/>
  <c r="C1478" i="34"/>
  <c r="B1478" i="34"/>
  <c r="J1477" i="34"/>
  <c r="I1477" i="34"/>
  <c r="H1477" i="34"/>
  <c r="G1477" i="34"/>
  <c r="F1477" i="34"/>
  <c r="E1477" i="34"/>
  <c r="D1477" i="34"/>
  <c r="C1477" i="34"/>
  <c r="B1477" i="34"/>
  <c r="J1476" i="34"/>
  <c r="I1476" i="34"/>
  <c r="H1476" i="34"/>
  <c r="G1476" i="34"/>
  <c r="F1476" i="34"/>
  <c r="E1476" i="34"/>
  <c r="D1476" i="34"/>
  <c r="C1476" i="34"/>
  <c r="B1476" i="34"/>
  <c r="J1475" i="34"/>
  <c r="I1475" i="34"/>
  <c r="H1475" i="34"/>
  <c r="G1475" i="34"/>
  <c r="F1475" i="34"/>
  <c r="E1475" i="34"/>
  <c r="D1475" i="34"/>
  <c r="C1475" i="34"/>
  <c r="B1475" i="34"/>
  <c r="J1474" i="34"/>
  <c r="I1474" i="34"/>
  <c r="H1474" i="34"/>
  <c r="G1474" i="34"/>
  <c r="F1474" i="34"/>
  <c r="E1474" i="34"/>
  <c r="D1474" i="34"/>
  <c r="C1474" i="34"/>
  <c r="B1474" i="34"/>
  <c r="J1473" i="34"/>
  <c r="I1473" i="34"/>
  <c r="H1473" i="34"/>
  <c r="G1473" i="34"/>
  <c r="F1473" i="34"/>
  <c r="E1473" i="34"/>
  <c r="D1473" i="34"/>
  <c r="C1473" i="34"/>
  <c r="B1473" i="34"/>
  <c r="J1472" i="34"/>
  <c r="I1472" i="34"/>
  <c r="H1472" i="34"/>
  <c r="G1472" i="34"/>
  <c r="F1472" i="34"/>
  <c r="E1472" i="34"/>
  <c r="D1472" i="34"/>
  <c r="C1472" i="34"/>
  <c r="B1472" i="34"/>
  <c r="J1471" i="34"/>
  <c r="I1471" i="34"/>
  <c r="H1471" i="34"/>
  <c r="G1471" i="34"/>
  <c r="F1471" i="34"/>
  <c r="E1471" i="34"/>
  <c r="D1471" i="34"/>
  <c r="C1471" i="34"/>
  <c r="B1471" i="34"/>
  <c r="J1470" i="34"/>
  <c r="I1470" i="34"/>
  <c r="H1470" i="34"/>
  <c r="G1470" i="34"/>
  <c r="F1470" i="34"/>
  <c r="E1470" i="34"/>
  <c r="D1470" i="34"/>
  <c r="C1470" i="34"/>
  <c r="B1470" i="34"/>
  <c r="J1469" i="34"/>
  <c r="I1469" i="34"/>
  <c r="H1469" i="34"/>
  <c r="G1469" i="34"/>
  <c r="F1469" i="34"/>
  <c r="E1469" i="34"/>
  <c r="D1469" i="34"/>
  <c r="C1469" i="34"/>
  <c r="B1469" i="34"/>
  <c r="J1468" i="34"/>
  <c r="I1468" i="34"/>
  <c r="H1468" i="34"/>
  <c r="G1468" i="34"/>
  <c r="F1468" i="34"/>
  <c r="E1468" i="34"/>
  <c r="D1468" i="34"/>
  <c r="C1468" i="34"/>
  <c r="B1468" i="34"/>
  <c r="J1467" i="34"/>
  <c r="I1467" i="34"/>
  <c r="H1467" i="34"/>
  <c r="G1467" i="34"/>
  <c r="F1467" i="34"/>
  <c r="E1467" i="34"/>
  <c r="D1467" i="34"/>
  <c r="C1467" i="34"/>
  <c r="B1467" i="34"/>
  <c r="J1466" i="34"/>
  <c r="I1466" i="34"/>
  <c r="H1466" i="34"/>
  <c r="G1466" i="34"/>
  <c r="F1466" i="34"/>
  <c r="E1466" i="34"/>
  <c r="D1466" i="34"/>
  <c r="C1466" i="34"/>
  <c r="B1466" i="34"/>
  <c r="J1465" i="34"/>
  <c r="I1465" i="34"/>
  <c r="H1465" i="34"/>
  <c r="G1465" i="34"/>
  <c r="F1465" i="34"/>
  <c r="E1465" i="34"/>
  <c r="D1465" i="34"/>
  <c r="C1465" i="34"/>
  <c r="B1465" i="34"/>
  <c r="J1464" i="34"/>
  <c r="I1464" i="34"/>
  <c r="H1464" i="34"/>
  <c r="G1464" i="34"/>
  <c r="F1464" i="34"/>
  <c r="E1464" i="34"/>
  <c r="D1464" i="34"/>
  <c r="C1464" i="34"/>
  <c r="B1464" i="34"/>
  <c r="J1463" i="34"/>
  <c r="I1463" i="34"/>
  <c r="H1463" i="34"/>
  <c r="G1463" i="34"/>
  <c r="F1463" i="34"/>
  <c r="E1463" i="34"/>
  <c r="D1463" i="34"/>
  <c r="C1463" i="34"/>
  <c r="B1463" i="34"/>
  <c r="J1462" i="34"/>
  <c r="I1462" i="34"/>
  <c r="H1462" i="34"/>
  <c r="G1462" i="34"/>
  <c r="F1462" i="34"/>
  <c r="E1462" i="34"/>
  <c r="D1462" i="34"/>
  <c r="C1462" i="34"/>
  <c r="B1462" i="34"/>
  <c r="J1461" i="34"/>
  <c r="I1461" i="34"/>
  <c r="H1461" i="34"/>
  <c r="G1461" i="34"/>
  <c r="F1461" i="34"/>
  <c r="E1461" i="34"/>
  <c r="D1461" i="34"/>
  <c r="C1461" i="34"/>
  <c r="B1461" i="34"/>
  <c r="J1460" i="34"/>
  <c r="I1460" i="34"/>
  <c r="H1460" i="34"/>
  <c r="G1460" i="34"/>
  <c r="F1460" i="34"/>
  <c r="E1460" i="34"/>
  <c r="D1460" i="34"/>
  <c r="C1460" i="34"/>
  <c r="B1460" i="34"/>
  <c r="J1459" i="34"/>
  <c r="I1459" i="34"/>
  <c r="H1459" i="34"/>
  <c r="G1459" i="34"/>
  <c r="F1459" i="34"/>
  <c r="E1459" i="34"/>
  <c r="D1459" i="34"/>
  <c r="C1459" i="34"/>
  <c r="B1459" i="34"/>
  <c r="J1458" i="34"/>
  <c r="I1458" i="34"/>
  <c r="H1458" i="34"/>
  <c r="G1458" i="34"/>
  <c r="F1458" i="34"/>
  <c r="E1458" i="34"/>
  <c r="D1458" i="34"/>
  <c r="C1458" i="34"/>
  <c r="B1458" i="34"/>
  <c r="J1457" i="34"/>
  <c r="I1457" i="34"/>
  <c r="H1457" i="34"/>
  <c r="G1457" i="34"/>
  <c r="F1457" i="34"/>
  <c r="E1457" i="34"/>
  <c r="D1457" i="34"/>
  <c r="C1457" i="34"/>
  <c r="B1457" i="34"/>
  <c r="J1456" i="34"/>
  <c r="I1456" i="34"/>
  <c r="H1456" i="34"/>
  <c r="G1456" i="34"/>
  <c r="F1456" i="34"/>
  <c r="E1456" i="34"/>
  <c r="D1456" i="34"/>
  <c r="C1456" i="34"/>
  <c r="B1456" i="34"/>
  <c r="J1455" i="34"/>
  <c r="I1455" i="34"/>
  <c r="H1455" i="34"/>
  <c r="G1455" i="34"/>
  <c r="F1455" i="34"/>
  <c r="E1455" i="34"/>
  <c r="D1455" i="34"/>
  <c r="C1455" i="34"/>
  <c r="B1455" i="34"/>
  <c r="J1454" i="34"/>
  <c r="I1454" i="34"/>
  <c r="H1454" i="34"/>
  <c r="G1454" i="34"/>
  <c r="F1454" i="34"/>
  <c r="E1454" i="34"/>
  <c r="D1454" i="34"/>
  <c r="C1454" i="34"/>
  <c r="B1454" i="34"/>
  <c r="J1453" i="34"/>
  <c r="I1453" i="34"/>
  <c r="H1453" i="34"/>
  <c r="G1453" i="34"/>
  <c r="F1453" i="34"/>
  <c r="E1453" i="34"/>
  <c r="D1453" i="34"/>
  <c r="C1453" i="34"/>
  <c r="B1453" i="34"/>
  <c r="J1452" i="34"/>
  <c r="I1452" i="34"/>
  <c r="H1452" i="34"/>
  <c r="G1452" i="34"/>
  <c r="F1452" i="34"/>
  <c r="E1452" i="34"/>
  <c r="D1452" i="34"/>
  <c r="C1452" i="34"/>
  <c r="B1452" i="34"/>
  <c r="J1451" i="34"/>
  <c r="I1451" i="34"/>
  <c r="H1451" i="34"/>
  <c r="G1451" i="34"/>
  <c r="F1451" i="34"/>
  <c r="E1451" i="34"/>
  <c r="D1451" i="34"/>
  <c r="C1451" i="34"/>
  <c r="B1451" i="34"/>
  <c r="J1450" i="34"/>
  <c r="I1450" i="34"/>
  <c r="H1450" i="34"/>
  <c r="G1450" i="34"/>
  <c r="F1450" i="34"/>
  <c r="E1450" i="34"/>
  <c r="D1450" i="34"/>
  <c r="C1450" i="34"/>
  <c r="B1450" i="34"/>
  <c r="J1449" i="34"/>
  <c r="I1449" i="34"/>
  <c r="H1449" i="34"/>
  <c r="G1449" i="34"/>
  <c r="F1449" i="34"/>
  <c r="E1449" i="34"/>
  <c r="D1449" i="34"/>
  <c r="C1449" i="34"/>
  <c r="B1449" i="34"/>
  <c r="J1448" i="34"/>
  <c r="I1448" i="34"/>
  <c r="H1448" i="34"/>
  <c r="G1448" i="34"/>
  <c r="F1448" i="34"/>
  <c r="E1448" i="34"/>
  <c r="D1448" i="34"/>
  <c r="C1448" i="34"/>
  <c r="B1448" i="34"/>
  <c r="J1447" i="34"/>
  <c r="I1447" i="34"/>
  <c r="H1447" i="34"/>
  <c r="G1447" i="34"/>
  <c r="F1447" i="34"/>
  <c r="E1447" i="34"/>
  <c r="D1447" i="34"/>
  <c r="C1447" i="34"/>
  <c r="B1447" i="34"/>
  <c r="J1446" i="34"/>
  <c r="I1446" i="34"/>
  <c r="H1446" i="34"/>
  <c r="G1446" i="34"/>
  <c r="F1446" i="34"/>
  <c r="E1446" i="34"/>
  <c r="D1446" i="34"/>
  <c r="C1446" i="34"/>
  <c r="B1446" i="34"/>
  <c r="J1445" i="34"/>
  <c r="I1445" i="34"/>
  <c r="H1445" i="34"/>
  <c r="G1445" i="34"/>
  <c r="F1445" i="34"/>
  <c r="E1445" i="34"/>
  <c r="D1445" i="34"/>
  <c r="C1445" i="34"/>
  <c r="B1445" i="34"/>
  <c r="J1444" i="34"/>
  <c r="I1444" i="34"/>
  <c r="H1444" i="34"/>
  <c r="G1444" i="34"/>
  <c r="F1444" i="34"/>
  <c r="E1444" i="34"/>
  <c r="D1444" i="34"/>
  <c r="C1444" i="34"/>
  <c r="B1444" i="34"/>
  <c r="J1443" i="34"/>
  <c r="I1443" i="34"/>
  <c r="H1443" i="34"/>
  <c r="G1443" i="34"/>
  <c r="F1443" i="34"/>
  <c r="E1443" i="34"/>
  <c r="D1443" i="34"/>
  <c r="C1443" i="34"/>
  <c r="B1443" i="34"/>
  <c r="J1442" i="34"/>
  <c r="I1442" i="34"/>
  <c r="H1442" i="34"/>
  <c r="G1442" i="34"/>
  <c r="F1442" i="34"/>
  <c r="E1442" i="34"/>
  <c r="D1442" i="34"/>
  <c r="C1442" i="34"/>
  <c r="B1442" i="34"/>
  <c r="J1441" i="34"/>
  <c r="I1441" i="34"/>
  <c r="H1441" i="34"/>
  <c r="G1441" i="34"/>
  <c r="F1441" i="34"/>
  <c r="E1441" i="34"/>
  <c r="D1441" i="34"/>
  <c r="C1441" i="34"/>
  <c r="B1441" i="34"/>
  <c r="J1440" i="34"/>
  <c r="I1440" i="34"/>
  <c r="H1440" i="34"/>
  <c r="G1440" i="34"/>
  <c r="F1440" i="34"/>
  <c r="E1440" i="34"/>
  <c r="D1440" i="34"/>
  <c r="C1440" i="34"/>
  <c r="B1440" i="34"/>
  <c r="J1439" i="34"/>
  <c r="I1439" i="34"/>
  <c r="H1439" i="34"/>
  <c r="G1439" i="34"/>
  <c r="F1439" i="34"/>
  <c r="E1439" i="34"/>
  <c r="D1439" i="34"/>
  <c r="C1439" i="34"/>
  <c r="B1439" i="34"/>
  <c r="J1438" i="34"/>
  <c r="I1438" i="34"/>
  <c r="H1438" i="34"/>
  <c r="G1438" i="34"/>
  <c r="F1438" i="34"/>
  <c r="E1438" i="34"/>
  <c r="D1438" i="34"/>
  <c r="C1438" i="34"/>
  <c r="B1438" i="34"/>
  <c r="J1437" i="34"/>
  <c r="I1437" i="34"/>
  <c r="H1437" i="34"/>
  <c r="G1437" i="34"/>
  <c r="F1437" i="34"/>
  <c r="E1437" i="34"/>
  <c r="D1437" i="34"/>
  <c r="C1437" i="34"/>
  <c r="B1437" i="34"/>
  <c r="J1436" i="34"/>
  <c r="I1436" i="34"/>
  <c r="H1436" i="34"/>
  <c r="G1436" i="34"/>
  <c r="F1436" i="34"/>
  <c r="E1436" i="34"/>
  <c r="D1436" i="34"/>
  <c r="C1436" i="34"/>
  <c r="B1436" i="34"/>
  <c r="J1435" i="34"/>
  <c r="I1435" i="34"/>
  <c r="H1435" i="34"/>
  <c r="G1435" i="34"/>
  <c r="F1435" i="34"/>
  <c r="E1435" i="34"/>
  <c r="D1435" i="34"/>
  <c r="C1435" i="34"/>
  <c r="B1435" i="34"/>
  <c r="J1434" i="34"/>
  <c r="I1434" i="34"/>
  <c r="H1434" i="34"/>
  <c r="G1434" i="34"/>
  <c r="F1434" i="34"/>
  <c r="E1434" i="34"/>
  <c r="D1434" i="34"/>
  <c r="C1434" i="34"/>
  <c r="B1434" i="34"/>
  <c r="J1433" i="34"/>
  <c r="I1433" i="34"/>
  <c r="H1433" i="34"/>
  <c r="G1433" i="34"/>
  <c r="F1433" i="34"/>
  <c r="E1433" i="34"/>
  <c r="D1433" i="34"/>
  <c r="C1433" i="34"/>
  <c r="B1433" i="34"/>
  <c r="J1432" i="34"/>
  <c r="I1432" i="34"/>
  <c r="H1432" i="34"/>
  <c r="G1432" i="34"/>
  <c r="F1432" i="34"/>
  <c r="E1432" i="34"/>
  <c r="D1432" i="34"/>
  <c r="C1432" i="34"/>
  <c r="B1432" i="34"/>
  <c r="J1431" i="34"/>
  <c r="I1431" i="34"/>
  <c r="H1431" i="34"/>
  <c r="G1431" i="34"/>
  <c r="F1431" i="34"/>
  <c r="E1431" i="34"/>
  <c r="D1431" i="34"/>
  <c r="C1431" i="34"/>
  <c r="B1431" i="34"/>
  <c r="J1430" i="34"/>
  <c r="I1430" i="34"/>
  <c r="H1430" i="34"/>
  <c r="G1430" i="34"/>
  <c r="F1430" i="34"/>
  <c r="E1430" i="34"/>
  <c r="D1430" i="34"/>
  <c r="C1430" i="34"/>
  <c r="B1430" i="34"/>
  <c r="J1429" i="34"/>
  <c r="I1429" i="34"/>
  <c r="H1429" i="34"/>
  <c r="G1429" i="34"/>
  <c r="F1429" i="34"/>
  <c r="E1429" i="34"/>
  <c r="D1429" i="34"/>
  <c r="C1429" i="34"/>
  <c r="B1429" i="34"/>
  <c r="J1428" i="34"/>
  <c r="I1428" i="34"/>
  <c r="H1428" i="34"/>
  <c r="G1428" i="34"/>
  <c r="F1428" i="34"/>
  <c r="E1428" i="34"/>
  <c r="D1428" i="34"/>
  <c r="C1428" i="34"/>
  <c r="B1428" i="34"/>
  <c r="J1427" i="34"/>
  <c r="I1427" i="34"/>
  <c r="H1427" i="34"/>
  <c r="G1427" i="34"/>
  <c r="F1427" i="34"/>
  <c r="E1427" i="34"/>
  <c r="D1427" i="34"/>
  <c r="C1427" i="34"/>
  <c r="B1427" i="34"/>
  <c r="J1426" i="34"/>
  <c r="I1426" i="34"/>
  <c r="H1426" i="34"/>
  <c r="G1426" i="34"/>
  <c r="F1426" i="34"/>
  <c r="E1426" i="34"/>
  <c r="D1426" i="34"/>
  <c r="C1426" i="34"/>
  <c r="B1426" i="34"/>
  <c r="J1425" i="34"/>
  <c r="I1425" i="34"/>
  <c r="H1425" i="34"/>
  <c r="G1425" i="34"/>
  <c r="F1425" i="34"/>
  <c r="E1425" i="34"/>
  <c r="D1425" i="34"/>
  <c r="C1425" i="34"/>
  <c r="B1425" i="34"/>
  <c r="J1424" i="34"/>
  <c r="I1424" i="34"/>
  <c r="H1424" i="34"/>
  <c r="G1424" i="34"/>
  <c r="F1424" i="34"/>
  <c r="E1424" i="34"/>
  <c r="D1424" i="34"/>
  <c r="C1424" i="34"/>
  <c r="B1424" i="34"/>
  <c r="J1423" i="34"/>
  <c r="I1423" i="34"/>
  <c r="H1423" i="34"/>
  <c r="G1423" i="34"/>
  <c r="F1423" i="34"/>
  <c r="E1423" i="34"/>
  <c r="D1423" i="34"/>
  <c r="C1423" i="34"/>
  <c r="B1423" i="34"/>
  <c r="J1422" i="34"/>
  <c r="I1422" i="34"/>
  <c r="H1422" i="34"/>
  <c r="G1422" i="34"/>
  <c r="F1422" i="34"/>
  <c r="E1422" i="34"/>
  <c r="D1422" i="34"/>
  <c r="C1422" i="34"/>
  <c r="B1422" i="34"/>
  <c r="J1421" i="34"/>
  <c r="I1421" i="34"/>
  <c r="H1421" i="34"/>
  <c r="G1421" i="34"/>
  <c r="F1421" i="34"/>
  <c r="E1421" i="34"/>
  <c r="D1421" i="34"/>
  <c r="C1421" i="34"/>
  <c r="B1421" i="34"/>
  <c r="J1420" i="34"/>
  <c r="I1420" i="34"/>
  <c r="H1420" i="34"/>
  <c r="G1420" i="34"/>
  <c r="F1420" i="34"/>
  <c r="E1420" i="34"/>
  <c r="D1420" i="34"/>
  <c r="C1420" i="34"/>
  <c r="B1420" i="34"/>
  <c r="J1419" i="34"/>
  <c r="I1419" i="34"/>
  <c r="H1419" i="34"/>
  <c r="G1419" i="34"/>
  <c r="F1419" i="34"/>
  <c r="E1419" i="34"/>
  <c r="D1419" i="34"/>
  <c r="C1419" i="34"/>
  <c r="B1419" i="34"/>
  <c r="J1418" i="34"/>
  <c r="I1418" i="34"/>
  <c r="H1418" i="34"/>
  <c r="G1418" i="34"/>
  <c r="F1418" i="34"/>
  <c r="E1418" i="34"/>
  <c r="D1418" i="34"/>
  <c r="C1418" i="34"/>
  <c r="B1418" i="34"/>
  <c r="J1417" i="34"/>
  <c r="I1417" i="34"/>
  <c r="H1417" i="34"/>
  <c r="G1417" i="34"/>
  <c r="F1417" i="34"/>
  <c r="E1417" i="34"/>
  <c r="D1417" i="34"/>
  <c r="C1417" i="34"/>
  <c r="B1417" i="34"/>
  <c r="J1416" i="34"/>
  <c r="I1416" i="34"/>
  <c r="H1416" i="34"/>
  <c r="G1416" i="34"/>
  <c r="F1416" i="34"/>
  <c r="E1416" i="34"/>
  <c r="D1416" i="34"/>
  <c r="C1416" i="34"/>
  <c r="B1416" i="34"/>
  <c r="J1415" i="34"/>
  <c r="I1415" i="34"/>
  <c r="H1415" i="34"/>
  <c r="G1415" i="34"/>
  <c r="F1415" i="34"/>
  <c r="E1415" i="34"/>
  <c r="D1415" i="34"/>
  <c r="C1415" i="34"/>
  <c r="B1415" i="34"/>
  <c r="J1414" i="34"/>
  <c r="I1414" i="34"/>
  <c r="H1414" i="34"/>
  <c r="G1414" i="34"/>
  <c r="F1414" i="34"/>
  <c r="E1414" i="34"/>
  <c r="D1414" i="34"/>
  <c r="C1414" i="34"/>
  <c r="B1414" i="34"/>
  <c r="J1413" i="34"/>
  <c r="I1413" i="34"/>
  <c r="H1413" i="34"/>
  <c r="G1413" i="34"/>
  <c r="F1413" i="34"/>
  <c r="E1413" i="34"/>
  <c r="D1413" i="34"/>
  <c r="C1413" i="34"/>
  <c r="B1413" i="34"/>
  <c r="J1412" i="34"/>
  <c r="I1412" i="34"/>
  <c r="H1412" i="34"/>
  <c r="G1412" i="34"/>
  <c r="F1412" i="34"/>
  <c r="E1412" i="34"/>
  <c r="D1412" i="34"/>
  <c r="C1412" i="34"/>
  <c r="B1412" i="34"/>
  <c r="J1411" i="34"/>
  <c r="I1411" i="34"/>
  <c r="H1411" i="34"/>
  <c r="G1411" i="34"/>
  <c r="F1411" i="34"/>
  <c r="E1411" i="34"/>
  <c r="D1411" i="34"/>
  <c r="C1411" i="34"/>
  <c r="B1411" i="34"/>
  <c r="J1410" i="34"/>
  <c r="I1410" i="34"/>
  <c r="H1410" i="34"/>
  <c r="G1410" i="34"/>
  <c r="F1410" i="34"/>
  <c r="E1410" i="34"/>
  <c r="D1410" i="34"/>
  <c r="C1410" i="34"/>
  <c r="B1410" i="34"/>
  <c r="J1409" i="34"/>
  <c r="I1409" i="34"/>
  <c r="H1409" i="34"/>
  <c r="G1409" i="34"/>
  <c r="F1409" i="34"/>
  <c r="E1409" i="34"/>
  <c r="D1409" i="34"/>
  <c r="C1409" i="34"/>
  <c r="B1409" i="34"/>
  <c r="J1408" i="34"/>
  <c r="I1408" i="34"/>
  <c r="H1408" i="34"/>
  <c r="G1408" i="34"/>
  <c r="F1408" i="34"/>
  <c r="E1408" i="34"/>
  <c r="D1408" i="34"/>
  <c r="C1408" i="34"/>
  <c r="B1408" i="34"/>
  <c r="J1407" i="34"/>
  <c r="I1407" i="34"/>
  <c r="H1407" i="34"/>
  <c r="G1407" i="34"/>
  <c r="F1407" i="34"/>
  <c r="E1407" i="34"/>
  <c r="D1407" i="34"/>
  <c r="C1407" i="34"/>
  <c r="B1407" i="34"/>
  <c r="J1406" i="34"/>
  <c r="I1406" i="34"/>
  <c r="H1406" i="34"/>
  <c r="G1406" i="34"/>
  <c r="F1406" i="34"/>
  <c r="E1406" i="34"/>
  <c r="D1406" i="34"/>
  <c r="C1406" i="34"/>
  <c r="B1406" i="34"/>
  <c r="J1405" i="34"/>
  <c r="I1405" i="34"/>
  <c r="H1405" i="34"/>
  <c r="G1405" i="34"/>
  <c r="F1405" i="34"/>
  <c r="E1405" i="34"/>
  <c r="D1405" i="34"/>
  <c r="C1405" i="34"/>
  <c r="B1405" i="34"/>
  <c r="J1404" i="34"/>
  <c r="I1404" i="34"/>
  <c r="H1404" i="34"/>
  <c r="G1404" i="34"/>
  <c r="F1404" i="34"/>
  <c r="E1404" i="34"/>
  <c r="D1404" i="34"/>
  <c r="C1404" i="34"/>
  <c r="B1404" i="34"/>
  <c r="J1403" i="34"/>
  <c r="I1403" i="34"/>
  <c r="H1403" i="34"/>
  <c r="G1403" i="34"/>
  <c r="F1403" i="34"/>
  <c r="E1403" i="34"/>
  <c r="D1403" i="34"/>
  <c r="C1403" i="34"/>
  <c r="B1403" i="34"/>
  <c r="J1402" i="34"/>
  <c r="I1402" i="34"/>
  <c r="H1402" i="34"/>
  <c r="G1402" i="34"/>
  <c r="F1402" i="34"/>
  <c r="E1402" i="34"/>
  <c r="D1402" i="34"/>
  <c r="C1402" i="34"/>
  <c r="B1402" i="34"/>
  <c r="J1401" i="34"/>
  <c r="I1401" i="34"/>
  <c r="H1401" i="34"/>
  <c r="G1401" i="34"/>
  <c r="F1401" i="34"/>
  <c r="E1401" i="34"/>
  <c r="D1401" i="34"/>
  <c r="C1401" i="34"/>
  <c r="B1401" i="34"/>
  <c r="J1400" i="34"/>
  <c r="I1400" i="34"/>
  <c r="H1400" i="34"/>
  <c r="G1400" i="34"/>
  <c r="F1400" i="34"/>
  <c r="E1400" i="34"/>
  <c r="D1400" i="34"/>
  <c r="C1400" i="34"/>
  <c r="B1400" i="34"/>
  <c r="J1399" i="34"/>
  <c r="I1399" i="34"/>
  <c r="H1399" i="34"/>
  <c r="G1399" i="34"/>
  <c r="F1399" i="34"/>
  <c r="E1399" i="34"/>
  <c r="D1399" i="34"/>
  <c r="C1399" i="34"/>
  <c r="B1399" i="34"/>
  <c r="J1398" i="34"/>
  <c r="I1398" i="34"/>
  <c r="H1398" i="34"/>
  <c r="G1398" i="34"/>
  <c r="F1398" i="34"/>
  <c r="E1398" i="34"/>
  <c r="D1398" i="34"/>
  <c r="C1398" i="34"/>
  <c r="B1398" i="34"/>
  <c r="J1397" i="34"/>
  <c r="I1397" i="34"/>
  <c r="H1397" i="34"/>
  <c r="G1397" i="34"/>
  <c r="F1397" i="34"/>
  <c r="E1397" i="34"/>
  <c r="D1397" i="34"/>
  <c r="C1397" i="34"/>
  <c r="B1397" i="34"/>
  <c r="J1396" i="34"/>
  <c r="I1396" i="34"/>
  <c r="H1396" i="34"/>
  <c r="G1396" i="34"/>
  <c r="F1396" i="34"/>
  <c r="E1396" i="34"/>
  <c r="D1396" i="34"/>
  <c r="C1396" i="34"/>
  <c r="B1396" i="34"/>
  <c r="J1395" i="34"/>
  <c r="I1395" i="34"/>
  <c r="H1395" i="34"/>
  <c r="G1395" i="34"/>
  <c r="F1395" i="34"/>
  <c r="E1395" i="34"/>
  <c r="D1395" i="34"/>
  <c r="C1395" i="34"/>
  <c r="B1395" i="34"/>
  <c r="J1394" i="34"/>
  <c r="I1394" i="34"/>
  <c r="H1394" i="34"/>
  <c r="G1394" i="34"/>
  <c r="F1394" i="34"/>
  <c r="E1394" i="34"/>
  <c r="D1394" i="34"/>
  <c r="C1394" i="34"/>
  <c r="B1394" i="34"/>
  <c r="J1393" i="34"/>
  <c r="I1393" i="34"/>
  <c r="H1393" i="34"/>
  <c r="G1393" i="34"/>
  <c r="F1393" i="34"/>
  <c r="E1393" i="34"/>
  <c r="D1393" i="34"/>
  <c r="C1393" i="34"/>
  <c r="B1393" i="34"/>
  <c r="J1392" i="34"/>
  <c r="I1392" i="34"/>
  <c r="H1392" i="34"/>
  <c r="G1392" i="34"/>
  <c r="F1392" i="34"/>
  <c r="E1392" i="34"/>
  <c r="D1392" i="34"/>
  <c r="C1392" i="34"/>
  <c r="B1392" i="34"/>
  <c r="J1391" i="34"/>
  <c r="I1391" i="34"/>
  <c r="H1391" i="34"/>
  <c r="G1391" i="34"/>
  <c r="F1391" i="34"/>
  <c r="E1391" i="34"/>
  <c r="D1391" i="34"/>
  <c r="C1391" i="34"/>
  <c r="B1391" i="34"/>
  <c r="J1390" i="34"/>
  <c r="I1390" i="34"/>
  <c r="H1390" i="34"/>
  <c r="G1390" i="34"/>
  <c r="F1390" i="34"/>
  <c r="E1390" i="34"/>
  <c r="D1390" i="34"/>
  <c r="C1390" i="34"/>
  <c r="B1390" i="34"/>
  <c r="J1389" i="34"/>
  <c r="I1389" i="34"/>
  <c r="H1389" i="34"/>
  <c r="G1389" i="34"/>
  <c r="F1389" i="34"/>
  <c r="E1389" i="34"/>
  <c r="D1389" i="34"/>
  <c r="C1389" i="34"/>
  <c r="B1389" i="34"/>
  <c r="J1388" i="34"/>
  <c r="I1388" i="34"/>
  <c r="H1388" i="34"/>
  <c r="G1388" i="34"/>
  <c r="F1388" i="34"/>
  <c r="E1388" i="34"/>
  <c r="D1388" i="34"/>
  <c r="C1388" i="34"/>
  <c r="B1388" i="34"/>
  <c r="J1387" i="34"/>
  <c r="I1387" i="34"/>
  <c r="H1387" i="34"/>
  <c r="G1387" i="34"/>
  <c r="F1387" i="34"/>
  <c r="E1387" i="34"/>
  <c r="D1387" i="34"/>
  <c r="C1387" i="34"/>
  <c r="B1387" i="34"/>
  <c r="J1386" i="34"/>
  <c r="I1386" i="34"/>
  <c r="H1386" i="34"/>
  <c r="G1386" i="34"/>
  <c r="F1386" i="34"/>
  <c r="E1386" i="34"/>
  <c r="D1386" i="34"/>
  <c r="C1386" i="34"/>
  <c r="B1386" i="34"/>
  <c r="J1385" i="34"/>
  <c r="I1385" i="34"/>
  <c r="H1385" i="34"/>
  <c r="G1385" i="34"/>
  <c r="F1385" i="34"/>
  <c r="E1385" i="34"/>
  <c r="D1385" i="34"/>
  <c r="C1385" i="34"/>
  <c r="B1385" i="34"/>
  <c r="J1384" i="34"/>
  <c r="I1384" i="34"/>
  <c r="H1384" i="34"/>
  <c r="G1384" i="34"/>
  <c r="F1384" i="34"/>
  <c r="E1384" i="34"/>
  <c r="D1384" i="34"/>
  <c r="C1384" i="34"/>
  <c r="B1384" i="34"/>
  <c r="J1383" i="34"/>
  <c r="I1383" i="34"/>
  <c r="H1383" i="34"/>
  <c r="G1383" i="34"/>
  <c r="F1383" i="34"/>
  <c r="E1383" i="34"/>
  <c r="D1383" i="34"/>
  <c r="C1383" i="34"/>
  <c r="B1383" i="34"/>
  <c r="J1382" i="34"/>
  <c r="I1382" i="34"/>
  <c r="H1382" i="34"/>
  <c r="G1382" i="34"/>
  <c r="F1382" i="34"/>
  <c r="E1382" i="34"/>
  <c r="D1382" i="34"/>
  <c r="C1382" i="34"/>
  <c r="B1382" i="34"/>
  <c r="J1381" i="34"/>
  <c r="I1381" i="34"/>
  <c r="H1381" i="34"/>
  <c r="G1381" i="34"/>
  <c r="F1381" i="34"/>
  <c r="E1381" i="34"/>
  <c r="D1381" i="34"/>
  <c r="C1381" i="34"/>
  <c r="B1381" i="34"/>
  <c r="J1380" i="34"/>
  <c r="I1380" i="34"/>
  <c r="H1380" i="34"/>
  <c r="G1380" i="34"/>
  <c r="F1380" i="34"/>
  <c r="E1380" i="34"/>
  <c r="D1380" i="34"/>
  <c r="C1380" i="34"/>
  <c r="B1380" i="34"/>
  <c r="J1379" i="34"/>
  <c r="I1379" i="34"/>
  <c r="H1379" i="34"/>
  <c r="G1379" i="34"/>
  <c r="F1379" i="34"/>
  <c r="E1379" i="34"/>
  <c r="D1379" i="34"/>
  <c r="C1379" i="34"/>
  <c r="B1379" i="34"/>
  <c r="J1378" i="34"/>
  <c r="I1378" i="34"/>
  <c r="H1378" i="34"/>
  <c r="G1378" i="34"/>
  <c r="F1378" i="34"/>
  <c r="E1378" i="34"/>
  <c r="D1378" i="34"/>
  <c r="C1378" i="34"/>
  <c r="B1378" i="34"/>
  <c r="J1377" i="34"/>
  <c r="I1377" i="34"/>
  <c r="H1377" i="34"/>
  <c r="G1377" i="34"/>
  <c r="F1377" i="34"/>
  <c r="E1377" i="34"/>
  <c r="D1377" i="34"/>
  <c r="C1377" i="34"/>
  <c r="B1377" i="34"/>
  <c r="J1376" i="34"/>
  <c r="I1376" i="34"/>
  <c r="H1376" i="34"/>
  <c r="G1376" i="34"/>
  <c r="F1376" i="34"/>
  <c r="E1376" i="34"/>
  <c r="D1376" i="34"/>
  <c r="C1376" i="34"/>
  <c r="B1376" i="34"/>
  <c r="J1375" i="34"/>
  <c r="I1375" i="34"/>
  <c r="H1375" i="34"/>
  <c r="G1375" i="34"/>
  <c r="F1375" i="34"/>
  <c r="E1375" i="34"/>
  <c r="D1375" i="34"/>
  <c r="C1375" i="34"/>
  <c r="B1375" i="34"/>
  <c r="J1374" i="34"/>
  <c r="I1374" i="34"/>
  <c r="H1374" i="34"/>
  <c r="G1374" i="34"/>
  <c r="F1374" i="34"/>
  <c r="E1374" i="34"/>
  <c r="D1374" i="34"/>
  <c r="C1374" i="34"/>
  <c r="B1374" i="34"/>
  <c r="J1373" i="34"/>
  <c r="I1373" i="34"/>
  <c r="H1373" i="34"/>
  <c r="G1373" i="34"/>
  <c r="F1373" i="34"/>
  <c r="E1373" i="34"/>
  <c r="D1373" i="34"/>
  <c r="C1373" i="34"/>
  <c r="B1373" i="34"/>
  <c r="J1372" i="34"/>
  <c r="I1372" i="34"/>
  <c r="H1372" i="34"/>
  <c r="G1372" i="34"/>
  <c r="F1372" i="34"/>
  <c r="E1372" i="34"/>
  <c r="D1372" i="34"/>
  <c r="C1372" i="34"/>
  <c r="B1372" i="34"/>
  <c r="J1371" i="34"/>
  <c r="I1371" i="34"/>
  <c r="H1371" i="34"/>
  <c r="G1371" i="34"/>
  <c r="F1371" i="34"/>
  <c r="E1371" i="34"/>
  <c r="D1371" i="34"/>
  <c r="C1371" i="34"/>
  <c r="B1371" i="34"/>
  <c r="J1370" i="34"/>
  <c r="I1370" i="34"/>
  <c r="H1370" i="34"/>
  <c r="G1370" i="34"/>
  <c r="F1370" i="34"/>
  <c r="E1370" i="34"/>
  <c r="D1370" i="34"/>
  <c r="C1370" i="34"/>
  <c r="B1370" i="34"/>
  <c r="J1369" i="34"/>
  <c r="I1369" i="34"/>
  <c r="H1369" i="34"/>
  <c r="G1369" i="34"/>
  <c r="F1369" i="34"/>
  <c r="E1369" i="34"/>
  <c r="D1369" i="34"/>
  <c r="C1369" i="34"/>
  <c r="B1369" i="34"/>
  <c r="J1368" i="34"/>
  <c r="I1368" i="34"/>
  <c r="H1368" i="34"/>
  <c r="G1368" i="34"/>
  <c r="F1368" i="34"/>
  <c r="E1368" i="34"/>
  <c r="D1368" i="34"/>
  <c r="C1368" i="34"/>
  <c r="B1368" i="34"/>
  <c r="J1367" i="34"/>
  <c r="I1367" i="34"/>
  <c r="H1367" i="34"/>
  <c r="G1367" i="34"/>
  <c r="F1367" i="34"/>
  <c r="E1367" i="34"/>
  <c r="D1367" i="34"/>
  <c r="C1367" i="34"/>
  <c r="B1367" i="34"/>
  <c r="J1366" i="34"/>
  <c r="I1366" i="34"/>
  <c r="H1366" i="34"/>
  <c r="G1366" i="34"/>
  <c r="F1366" i="34"/>
  <c r="E1366" i="34"/>
  <c r="D1366" i="34"/>
  <c r="C1366" i="34"/>
  <c r="B1366" i="34"/>
  <c r="J1365" i="34"/>
  <c r="I1365" i="34"/>
  <c r="H1365" i="34"/>
  <c r="G1365" i="34"/>
  <c r="F1365" i="34"/>
  <c r="E1365" i="34"/>
  <c r="D1365" i="34"/>
  <c r="C1365" i="34"/>
  <c r="B1365" i="34"/>
  <c r="J1364" i="34"/>
  <c r="I1364" i="34"/>
  <c r="H1364" i="34"/>
  <c r="G1364" i="34"/>
  <c r="F1364" i="34"/>
  <c r="E1364" i="34"/>
  <c r="D1364" i="34"/>
  <c r="C1364" i="34"/>
  <c r="B1364" i="34"/>
  <c r="J1363" i="34"/>
  <c r="I1363" i="34"/>
  <c r="H1363" i="34"/>
  <c r="G1363" i="34"/>
  <c r="F1363" i="34"/>
  <c r="E1363" i="34"/>
  <c r="D1363" i="34"/>
  <c r="C1363" i="34"/>
  <c r="B1363" i="34"/>
  <c r="J1362" i="34"/>
  <c r="I1362" i="34"/>
  <c r="H1362" i="34"/>
  <c r="G1362" i="34"/>
  <c r="F1362" i="34"/>
  <c r="E1362" i="34"/>
  <c r="D1362" i="34"/>
  <c r="C1362" i="34"/>
  <c r="B1362" i="34"/>
  <c r="J1361" i="34"/>
  <c r="I1361" i="34"/>
  <c r="H1361" i="34"/>
  <c r="G1361" i="34"/>
  <c r="F1361" i="34"/>
  <c r="E1361" i="34"/>
  <c r="D1361" i="34"/>
  <c r="C1361" i="34"/>
  <c r="B1361" i="34"/>
  <c r="J1360" i="34"/>
  <c r="I1360" i="34"/>
  <c r="H1360" i="34"/>
  <c r="G1360" i="34"/>
  <c r="F1360" i="34"/>
  <c r="E1360" i="34"/>
  <c r="D1360" i="34"/>
  <c r="C1360" i="34"/>
  <c r="B1360" i="34"/>
  <c r="J1359" i="34"/>
  <c r="I1359" i="34"/>
  <c r="H1359" i="34"/>
  <c r="G1359" i="34"/>
  <c r="F1359" i="34"/>
  <c r="E1359" i="34"/>
  <c r="D1359" i="34"/>
  <c r="C1359" i="34"/>
  <c r="B1359" i="34"/>
  <c r="J1358" i="34"/>
  <c r="I1358" i="34"/>
  <c r="H1358" i="34"/>
  <c r="G1358" i="34"/>
  <c r="F1358" i="34"/>
  <c r="E1358" i="34"/>
  <c r="D1358" i="34"/>
  <c r="C1358" i="34"/>
  <c r="B1358" i="34"/>
  <c r="J1357" i="34"/>
  <c r="I1357" i="34"/>
  <c r="H1357" i="34"/>
  <c r="G1357" i="34"/>
  <c r="F1357" i="34"/>
  <c r="E1357" i="34"/>
  <c r="D1357" i="34"/>
  <c r="C1357" i="34"/>
  <c r="B1357" i="34"/>
  <c r="J1356" i="34"/>
  <c r="I1356" i="34"/>
  <c r="H1356" i="34"/>
  <c r="G1356" i="34"/>
  <c r="F1356" i="34"/>
  <c r="E1356" i="34"/>
  <c r="D1356" i="34"/>
  <c r="C1356" i="34"/>
  <c r="B1356" i="34"/>
  <c r="J1355" i="34"/>
  <c r="I1355" i="34"/>
  <c r="H1355" i="34"/>
  <c r="G1355" i="34"/>
  <c r="F1355" i="34"/>
  <c r="E1355" i="34"/>
  <c r="D1355" i="34"/>
  <c r="C1355" i="34"/>
  <c r="B1355" i="34"/>
  <c r="J1354" i="34"/>
  <c r="I1354" i="34"/>
  <c r="H1354" i="34"/>
  <c r="G1354" i="34"/>
  <c r="F1354" i="34"/>
  <c r="E1354" i="34"/>
  <c r="D1354" i="34"/>
  <c r="C1354" i="34"/>
  <c r="B1354" i="34"/>
  <c r="J1353" i="34"/>
  <c r="I1353" i="34"/>
  <c r="H1353" i="34"/>
  <c r="G1353" i="34"/>
  <c r="F1353" i="34"/>
  <c r="E1353" i="34"/>
  <c r="D1353" i="34"/>
  <c r="C1353" i="34"/>
  <c r="B1353" i="34"/>
  <c r="J1352" i="34"/>
  <c r="I1352" i="34"/>
  <c r="H1352" i="34"/>
  <c r="G1352" i="34"/>
  <c r="F1352" i="34"/>
  <c r="E1352" i="34"/>
  <c r="D1352" i="34"/>
  <c r="C1352" i="34"/>
  <c r="B1352" i="34"/>
  <c r="J1351" i="34"/>
  <c r="I1351" i="34"/>
  <c r="H1351" i="34"/>
  <c r="G1351" i="34"/>
  <c r="F1351" i="34"/>
  <c r="E1351" i="34"/>
  <c r="D1351" i="34"/>
  <c r="C1351" i="34"/>
  <c r="B1351" i="34"/>
  <c r="J1350" i="34"/>
  <c r="I1350" i="34"/>
  <c r="H1350" i="34"/>
  <c r="G1350" i="34"/>
  <c r="F1350" i="34"/>
  <c r="E1350" i="34"/>
  <c r="D1350" i="34"/>
  <c r="C1350" i="34"/>
  <c r="B1350" i="34"/>
  <c r="J1349" i="34"/>
  <c r="I1349" i="34"/>
  <c r="H1349" i="34"/>
  <c r="G1349" i="34"/>
  <c r="F1349" i="34"/>
  <c r="E1349" i="34"/>
  <c r="D1349" i="34"/>
  <c r="C1349" i="34"/>
  <c r="B1349" i="34"/>
  <c r="J1348" i="34"/>
  <c r="I1348" i="34"/>
  <c r="H1348" i="34"/>
  <c r="G1348" i="34"/>
  <c r="F1348" i="34"/>
  <c r="E1348" i="34"/>
  <c r="D1348" i="34"/>
  <c r="C1348" i="34"/>
  <c r="B1348" i="34"/>
  <c r="J1347" i="34"/>
  <c r="I1347" i="34"/>
  <c r="H1347" i="34"/>
  <c r="G1347" i="34"/>
  <c r="F1347" i="34"/>
  <c r="E1347" i="34"/>
  <c r="D1347" i="34"/>
  <c r="C1347" i="34"/>
  <c r="B1347" i="34"/>
  <c r="J1346" i="34"/>
  <c r="I1346" i="34"/>
  <c r="H1346" i="34"/>
  <c r="G1346" i="34"/>
  <c r="F1346" i="34"/>
  <c r="E1346" i="34"/>
  <c r="D1346" i="34"/>
  <c r="C1346" i="34"/>
  <c r="B1346" i="34"/>
  <c r="J1345" i="34"/>
  <c r="I1345" i="34"/>
  <c r="H1345" i="34"/>
  <c r="G1345" i="34"/>
  <c r="F1345" i="34"/>
  <c r="E1345" i="34"/>
  <c r="D1345" i="34"/>
  <c r="C1345" i="34"/>
  <c r="B1345" i="34"/>
  <c r="J1344" i="34"/>
  <c r="I1344" i="34"/>
  <c r="H1344" i="34"/>
  <c r="G1344" i="34"/>
  <c r="F1344" i="34"/>
  <c r="E1344" i="34"/>
  <c r="D1344" i="34"/>
  <c r="C1344" i="34"/>
  <c r="B1344" i="34"/>
  <c r="J1343" i="34"/>
  <c r="I1343" i="34"/>
  <c r="H1343" i="34"/>
  <c r="G1343" i="34"/>
  <c r="F1343" i="34"/>
  <c r="E1343" i="34"/>
  <c r="D1343" i="34"/>
  <c r="C1343" i="34"/>
  <c r="B1343" i="34"/>
  <c r="J1342" i="34"/>
  <c r="I1342" i="34"/>
  <c r="H1342" i="34"/>
  <c r="G1342" i="34"/>
  <c r="F1342" i="34"/>
  <c r="E1342" i="34"/>
  <c r="D1342" i="34"/>
  <c r="C1342" i="34"/>
  <c r="B1342" i="34"/>
  <c r="J1341" i="34"/>
  <c r="I1341" i="34"/>
  <c r="H1341" i="34"/>
  <c r="G1341" i="34"/>
  <c r="F1341" i="34"/>
  <c r="E1341" i="34"/>
  <c r="D1341" i="34"/>
  <c r="C1341" i="34"/>
  <c r="B1341" i="34"/>
  <c r="J1340" i="34"/>
  <c r="I1340" i="34"/>
  <c r="H1340" i="34"/>
  <c r="G1340" i="34"/>
  <c r="F1340" i="34"/>
  <c r="E1340" i="34"/>
  <c r="D1340" i="34"/>
  <c r="C1340" i="34"/>
  <c r="B1340" i="34"/>
  <c r="J1339" i="34"/>
  <c r="I1339" i="34"/>
  <c r="H1339" i="34"/>
  <c r="G1339" i="34"/>
  <c r="F1339" i="34"/>
  <c r="E1339" i="34"/>
  <c r="D1339" i="34"/>
  <c r="C1339" i="34"/>
  <c r="B1339" i="34"/>
  <c r="J1338" i="34"/>
  <c r="I1338" i="34"/>
  <c r="H1338" i="34"/>
  <c r="G1338" i="34"/>
  <c r="F1338" i="34"/>
  <c r="E1338" i="34"/>
  <c r="D1338" i="34"/>
  <c r="C1338" i="34"/>
  <c r="B1338" i="34"/>
  <c r="J1337" i="34"/>
  <c r="I1337" i="34"/>
  <c r="H1337" i="34"/>
  <c r="G1337" i="34"/>
  <c r="F1337" i="34"/>
  <c r="E1337" i="34"/>
  <c r="D1337" i="34"/>
  <c r="C1337" i="34"/>
  <c r="B1337" i="34"/>
  <c r="J1336" i="34"/>
  <c r="I1336" i="34"/>
  <c r="H1336" i="34"/>
  <c r="G1336" i="34"/>
  <c r="F1336" i="34"/>
  <c r="E1336" i="34"/>
  <c r="D1336" i="34"/>
  <c r="C1336" i="34"/>
  <c r="B1336" i="34"/>
  <c r="J1335" i="34"/>
  <c r="I1335" i="34"/>
  <c r="H1335" i="34"/>
  <c r="G1335" i="34"/>
  <c r="F1335" i="34"/>
  <c r="E1335" i="34"/>
  <c r="D1335" i="34"/>
  <c r="C1335" i="34"/>
  <c r="B1335" i="34"/>
  <c r="J1334" i="34"/>
  <c r="I1334" i="34"/>
  <c r="H1334" i="34"/>
  <c r="G1334" i="34"/>
  <c r="F1334" i="34"/>
  <c r="E1334" i="34"/>
  <c r="D1334" i="34"/>
  <c r="C1334" i="34"/>
  <c r="B1334" i="34"/>
  <c r="J1333" i="34"/>
  <c r="I1333" i="34"/>
  <c r="H1333" i="34"/>
  <c r="G1333" i="34"/>
  <c r="F1333" i="34"/>
  <c r="E1333" i="34"/>
  <c r="D1333" i="34"/>
  <c r="C1333" i="34"/>
  <c r="B1333" i="34"/>
  <c r="J1332" i="34"/>
  <c r="I1332" i="34"/>
  <c r="H1332" i="34"/>
  <c r="G1332" i="34"/>
  <c r="F1332" i="34"/>
  <c r="E1332" i="34"/>
  <c r="D1332" i="34"/>
  <c r="C1332" i="34"/>
  <c r="B1332" i="34"/>
  <c r="J1331" i="34"/>
  <c r="I1331" i="34"/>
  <c r="H1331" i="34"/>
  <c r="G1331" i="34"/>
  <c r="F1331" i="34"/>
  <c r="E1331" i="34"/>
  <c r="D1331" i="34"/>
  <c r="C1331" i="34"/>
  <c r="B1331" i="34"/>
  <c r="J1330" i="34"/>
  <c r="I1330" i="34"/>
  <c r="H1330" i="34"/>
  <c r="G1330" i="34"/>
  <c r="F1330" i="34"/>
  <c r="E1330" i="34"/>
  <c r="D1330" i="34"/>
  <c r="C1330" i="34"/>
  <c r="B1330" i="34"/>
  <c r="J1329" i="34"/>
  <c r="I1329" i="34"/>
  <c r="H1329" i="34"/>
  <c r="G1329" i="34"/>
  <c r="F1329" i="34"/>
  <c r="E1329" i="34"/>
  <c r="D1329" i="34"/>
  <c r="C1329" i="34"/>
  <c r="B1329" i="34"/>
  <c r="J1328" i="34"/>
  <c r="I1328" i="34"/>
  <c r="H1328" i="34"/>
  <c r="G1328" i="34"/>
  <c r="F1328" i="34"/>
  <c r="E1328" i="34"/>
  <c r="D1328" i="34"/>
  <c r="C1328" i="34"/>
  <c r="B1328" i="34"/>
  <c r="J1327" i="34"/>
  <c r="I1327" i="34"/>
  <c r="H1327" i="34"/>
  <c r="G1327" i="34"/>
  <c r="F1327" i="34"/>
  <c r="E1327" i="34"/>
  <c r="D1327" i="34"/>
  <c r="C1327" i="34"/>
  <c r="B1327" i="34"/>
  <c r="J1326" i="34"/>
  <c r="I1326" i="34"/>
  <c r="H1326" i="34"/>
  <c r="G1326" i="34"/>
  <c r="F1326" i="34"/>
  <c r="E1326" i="34"/>
  <c r="D1326" i="34"/>
  <c r="C1326" i="34"/>
  <c r="B1326" i="34"/>
  <c r="J1325" i="34"/>
  <c r="I1325" i="34"/>
  <c r="H1325" i="34"/>
  <c r="G1325" i="34"/>
  <c r="F1325" i="34"/>
  <c r="E1325" i="34"/>
  <c r="D1325" i="34"/>
  <c r="C1325" i="34"/>
  <c r="B1325" i="34"/>
  <c r="J1324" i="34"/>
  <c r="I1324" i="34"/>
  <c r="H1324" i="34"/>
  <c r="G1324" i="34"/>
  <c r="F1324" i="34"/>
  <c r="E1324" i="34"/>
  <c r="D1324" i="34"/>
  <c r="C1324" i="34"/>
  <c r="B1324" i="34"/>
  <c r="J1323" i="34"/>
  <c r="I1323" i="34"/>
  <c r="H1323" i="34"/>
  <c r="G1323" i="34"/>
  <c r="F1323" i="34"/>
  <c r="E1323" i="34"/>
  <c r="D1323" i="34"/>
  <c r="C1323" i="34"/>
  <c r="B1323" i="34"/>
  <c r="J1322" i="34"/>
  <c r="I1322" i="34"/>
  <c r="H1322" i="34"/>
  <c r="G1322" i="34"/>
  <c r="F1322" i="34"/>
  <c r="E1322" i="34"/>
  <c r="D1322" i="34"/>
  <c r="C1322" i="34"/>
  <c r="B1322" i="34"/>
  <c r="J1321" i="34"/>
  <c r="I1321" i="34"/>
  <c r="H1321" i="34"/>
  <c r="G1321" i="34"/>
  <c r="F1321" i="34"/>
  <c r="E1321" i="34"/>
  <c r="D1321" i="34"/>
  <c r="C1321" i="34"/>
  <c r="B1321" i="34"/>
  <c r="J1320" i="34"/>
  <c r="I1320" i="34"/>
  <c r="H1320" i="34"/>
  <c r="G1320" i="34"/>
  <c r="F1320" i="34"/>
  <c r="E1320" i="34"/>
  <c r="D1320" i="34"/>
  <c r="C1320" i="34"/>
  <c r="B1320" i="34"/>
  <c r="J1319" i="34"/>
  <c r="I1319" i="34"/>
  <c r="H1319" i="34"/>
  <c r="G1319" i="34"/>
  <c r="F1319" i="34"/>
  <c r="E1319" i="34"/>
  <c r="D1319" i="34"/>
  <c r="C1319" i="34"/>
  <c r="B1319" i="34"/>
  <c r="J1318" i="34"/>
  <c r="I1318" i="34"/>
  <c r="H1318" i="34"/>
  <c r="G1318" i="34"/>
  <c r="F1318" i="34"/>
  <c r="E1318" i="34"/>
  <c r="D1318" i="34"/>
  <c r="C1318" i="34"/>
  <c r="B1318" i="34"/>
  <c r="J1317" i="34"/>
  <c r="I1317" i="34"/>
  <c r="H1317" i="34"/>
  <c r="G1317" i="34"/>
  <c r="F1317" i="34"/>
  <c r="E1317" i="34"/>
  <c r="D1317" i="34"/>
  <c r="C1317" i="34"/>
  <c r="B1317" i="34"/>
  <c r="J1316" i="34"/>
  <c r="I1316" i="34"/>
  <c r="H1316" i="34"/>
  <c r="G1316" i="34"/>
  <c r="F1316" i="34"/>
  <c r="E1316" i="34"/>
  <c r="D1316" i="34"/>
  <c r="C1316" i="34"/>
  <c r="B1316" i="34"/>
  <c r="J1315" i="34"/>
  <c r="I1315" i="34"/>
  <c r="H1315" i="34"/>
  <c r="G1315" i="34"/>
  <c r="F1315" i="34"/>
  <c r="E1315" i="34"/>
  <c r="D1315" i="34"/>
  <c r="C1315" i="34"/>
  <c r="B1315" i="34"/>
  <c r="J1314" i="34"/>
  <c r="I1314" i="34"/>
  <c r="H1314" i="34"/>
  <c r="G1314" i="34"/>
  <c r="F1314" i="34"/>
  <c r="E1314" i="34"/>
  <c r="D1314" i="34"/>
  <c r="C1314" i="34"/>
  <c r="B1314" i="34"/>
  <c r="J1313" i="34"/>
  <c r="I1313" i="34"/>
  <c r="H1313" i="34"/>
  <c r="G1313" i="34"/>
  <c r="F1313" i="34"/>
  <c r="E1313" i="34"/>
  <c r="D1313" i="34"/>
  <c r="C1313" i="34"/>
  <c r="B1313" i="34"/>
  <c r="J1312" i="34"/>
  <c r="I1312" i="34"/>
  <c r="H1312" i="34"/>
  <c r="G1312" i="34"/>
  <c r="F1312" i="34"/>
  <c r="E1312" i="34"/>
  <c r="D1312" i="34"/>
  <c r="C1312" i="34"/>
  <c r="B1312" i="34"/>
  <c r="J1311" i="34"/>
  <c r="I1311" i="34"/>
  <c r="H1311" i="34"/>
  <c r="G1311" i="34"/>
  <c r="F1311" i="34"/>
  <c r="E1311" i="34"/>
  <c r="D1311" i="34"/>
  <c r="C1311" i="34"/>
  <c r="B1311" i="34"/>
  <c r="J1310" i="34"/>
  <c r="I1310" i="34"/>
  <c r="H1310" i="34"/>
  <c r="G1310" i="34"/>
  <c r="F1310" i="34"/>
  <c r="E1310" i="34"/>
  <c r="D1310" i="34"/>
  <c r="C1310" i="34"/>
  <c r="B1310" i="34"/>
  <c r="J1309" i="34"/>
  <c r="I1309" i="34"/>
  <c r="H1309" i="34"/>
  <c r="G1309" i="34"/>
  <c r="F1309" i="34"/>
  <c r="E1309" i="34"/>
  <c r="D1309" i="34"/>
  <c r="C1309" i="34"/>
  <c r="B1309" i="34"/>
  <c r="J1308" i="34"/>
  <c r="I1308" i="34"/>
  <c r="H1308" i="34"/>
  <c r="G1308" i="34"/>
  <c r="F1308" i="34"/>
  <c r="E1308" i="34"/>
  <c r="D1308" i="34"/>
  <c r="C1308" i="34"/>
  <c r="B1308" i="34"/>
  <c r="J1307" i="34"/>
  <c r="I1307" i="34"/>
  <c r="H1307" i="34"/>
  <c r="G1307" i="34"/>
  <c r="F1307" i="34"/>
  <c r="E1307" i="34"/>
  <c r="D1307" i="34"/>
  <c r="C1307" i="34"/>
  <c r="B1307" i="34"/>
  <c r="J1306" i="34"/>
  <c r="I1306" i="34"/>
  <c r="H1306" i="34"/>
  <c r="G1306" i="34"/>
  <c r="F1306" i="34"/>
  <c r="E1306" i="34"/>
  <c r="D1306" i="34"/>
  <c r="C1306" i="34"/>
  <c r="B1306" i="34"/>
  <c r="J1305" i="34"/>
  <c r="I1305" i="34"/>
  <c r="H1305" i="34"/>
  <c r="G1305" i="34"/>
  <c r="F1305" i="34"/>
  <c r="E1305" i="34"/>
  <c r="D1305" i="34"/>
  <c r="C1305" i="34"/>
  <c r="B1305" i="34"/>
  <c r="J1304" i="34"/>
  <c r="I1304" i="34"/>
  <c r="H1304" i="34"/>
  <c r="G1304" i="34"/>
  <c r="F1304" i="34"/>
  <c r="E1304" i="34"/>
  <c r="D1304" i="34"/>
  <c r="C1304" i="34"/>
  <c r="B1304" i="34"/>
  <c r="J1303" i="34"/>
  <c r="I1303" i="34"/>
  <c r="H1303" i="34"/>
  <c r="G1303" i="34"/>
  <c r="F1303" i="34"/>
  <c r="E1303" i="34"/>
  <c r="D1303" i="34"/>
  <c r="C1303" i="34"/>
  <c r="B1303" i="34"/>
  <c r="J1302" i="34"/>
  <c r="I1302" i="34"/>
  <c r="H1302" i="34"/>
  <c r="G1302" i="34"/>
  <c r="F1302" i="34"/>
  <c r="E1302" i="34"/>
  <c r="D1302" i="34"/>
  <c r="C1302" i="34"/>
  <c r="B1302" i="34"/>
  <c r="J1301" i="34"/>
  <c r="I1301" i="34"/>
  <c r="H1301" i="34"/>
  <c r="G1301" i="34"/>
  <c r="F1301" i="34"/>
  <c r="E1301" i="34"/>
  <c r="D1301" i="34"/>
  <c r="C1301" i="34"/>
  <c r="B1301" i="34"/>
  <c r="J1300" i="34"/>
  <c r="I1300" i="34"/>
  <c r="H1300" i="34"/>
  <c r="G1300" i="34"/>
  <c r="F1300" i="34"/>
  <c r="E1300" i="34"/>
  <c r="D1300" i="34"/>
  <c r="C1300" i="34"/>
  <c r="B1300" i="34"/>
  <c r="J1299" i="34"/>
  <c r="I1299" i="34"/>
  <c r="H1299" i="34"/>
  <c r="G1299" i="34"/>
  <c r="F1299" i="34"/>
  <c r="E1299" i="34"/>
  <c r="D1299" i="34"/>
  <c r="C1299" i="34"/>
  <c r="B1299" i="34"/>
  <c r="J1298" i="34"/>
  <c r="I1298" i="34"/>
  <c r="H1298" i="34"/>
  <c r="G1298" i="34"/>
  <c r="F1298" i="34"/>
  <c r="E1298" i="34"/>
  <c r="D1298" i="34"/>
  <c r="C1298" i="34"/>
  <c r="B1298" i="34"/>
  <c r="J1297" i="34"/>
  <c r="I1297" i="34"/>
  <c r="H1297" i="34"/>
  <c r="G1297" i="34"/>
  <c r="F1297" i="34"/>
  <c r="E1297" i="34"/>
  <c r="D1297" i="34"/>
  <c r="C1297" i="34"/>
  <c r="B1297" i="34"/>
  <c r="J1296" i="34"/>
  <c r="I1296" i="34"/>
  <c r="H1296" i="34"/>
  <c r="G1296" i="34"/>
  <c r="F1296" i="34"/>
  <c r="E1296" i="34"/>
  <c r="D1296" i="34"/>
  <c r="C1296" i="34"/>
  <c r="B1296" i="34"/>
  <c r="J1295" i="34"/>
  <c r="I1295" i="34"/>
  <c r="H1295" i="34"/>
  <c r="G1295" i="34"/>
  <c r="F1295" i="34"/>
  <c r="E1295" i="34"/>
  <c r="D1295" i="34"/>
  <c r="C1295" i="34"/>
  <c r="B1295" i="34"/>
  <c r="J1294" i="34"/>
  <c r="I1294" i="34"/>
  <c r="H1294" i="34"/>
  <c r="G1294" i="34"/>
  <c r="F1294" i="34"/>
  <c r="E1294" i="34"/>
  <c r="D1294" i="34"/>
  <c r="C1294" i="34"/>
  <c r="B1294" i="34"/>
  <c r="J1293" i="34"/>
  <c r="I1293" i="34"/>
  <c r="H1293" i="34"/>
  <c r="G1293" i="34"/>
  <c r="F1293" i="34"/>
  <c r="E1293" i="34"/>
  <c r="D1293" i="34"/>
  <c r="C1293" i="34"/>
  <c r="B1293" i="34"/>
  <c r="J1292" i="34"/>
  <c r="I1292" i="34"/>
  <c r="H1292" i="34"/>
  <c r="G1292" i="34"/>
  <c r="F1292" i="34"/>
  <c r="E1292" i="34"/>
  <c r="D1292" i="34"/>
  <c r="C1292" i="34"/>
  <c r="B1292" i="34"/>
  <c r="J1291" i="34"/>
  <c r="I1291" i="34"/>
  <c r="H1291" i="34"/>
  <c r="G1291" i="34"/>
  <c r="F1291" i="34"/>
  <c r="E1291" i="34"/>
  <c r="D1291" i="34"/>
  <c r="C1291" i="34"/>
  <c r="B1291" i="34"/>
  <c r="J1290" i="34"/>
  <c r="I1290" i="34"/>
  <c r="H1290" i="34"/>
  <c r="G1290" i="34"/>
  <c r="F1290" i="34"/>
  <c r="E1290" i="34"/>
  <c r="D1290" i="34"/>
  <c r="C1290" i="34"/>
  <c r="B1290" i="34"/>
  <c r="J1289" i="34"/>
  <c r="I1289" i="34"/>
  <c r="H1289" i="34"/>
  <c r="G1289" i="34"/>
  <c r="F1289" i="34"/>
  <c r="E1289" i="34"/>
  <c r="D1289" i="34"/>
  <c r="C1289" i="34"/>
  <c r="B1289" i="34"/>
  <c r="J1288" i="34"/>
  <c r="I1288" i="34"/>
  <c r="H1288" i="34"/>
  <c r="G1288" i="34"/>
  <c r="F1288" i="34"/>
  <c r="E1288" i="34"/>
  <c r="D1288" i="34"/>
  <c r="C1288" i="34"/>
  <c r="B1288" i="34"/>
  <c r="J1287" i="34"/>
  <c r="I1287" i="34"/>
  <c r="H1287" i="34"/>
  <c r="G1287" i="34"/>
  <c r="F1287" i="34"/>
  <c r="E1287" i="34"/>
  <c r="D1287" i="34"/>
  <c r="C1287" i="34"/>
  <c r="B1287" i="34"/>
  <c r="J1286" i="34"/>
  <c r="I1286" i="34"/>
  <c r="H1286" i="34"/>
  <c r="G1286" i="34"/>
  <c r="F1286" i="34"/>
  <c r="E1286" i="34"/>
  <c r="D1286" i="34"/>
  <c r="C1286" i="34"/>
  <c r="B1286" i="34"/>
  <c r="J1285" i="34"/>
  <c r="I1285" i="34"/>
  <c r="H1285" i="34"/>
  <c r="G1285" i="34"/>
  <c r="F1285" i="34"/>
  <c r="E1285" i="34"/>
  <c r="D1285" i="34"/>
  <c r="C1285" i="34"/>
  <c r="B1285" i="34"/>
  <c r="J1284" i="34"/>
  <c r="I1284" i="34"/>
  <c r="H1284" i="34"/>
  <c r="G1284" i="34"/>
  <c r="F1284" i="34"/>
  <c r="E1284" i="34"/>
  <c r="D1284" i="34"/>
  <c r="C1284" i="34"/>
  <c r="B1284" i="34"/>
  <c r="J1283" i="34"/>
  <c r="I1283" i="34"/>
  <c r="H1283" i="34"/>
  <c r="G1283" i="34"/>
  <c r="F1283" i="34"/>
  <c r="E1283" i="34"/>
  <c r="D1283" i="34"/>
  <c r="C1283" i="34"/>
  <c r="B1283" i="34"/>
  <c r="J1282" i="34"/>
  <c r="I1282" i="34"/>
  <c r="H1282" i="34"/>
  <c r="G1282" i="34"/>
  <c r="F1282" i="34"/>
  <c r="E1282" i="34"/>
  <c r="D1282" i="34"/>
  <c r="C1282" i="34"/>
  <c r="B1282" i="34"/>
  <c r="J1281" i="34"/>
  <c r="I1281" i="34"/>
  <c r="H1281" i="34"/>
  <c r="G1281" i="34"/>
  <c r="F1281" i="34"/>
  <c r="E1281" i="34"/>
  <c r="D1281" i="34"/>
  <c r="C1281" i="34"/>
  <c r="B1281" i="34"/>
  <c r="J1280" i="34"/>
  <c r="I1280" i="34"/>
  <c r="H1280" i="34"/>
  <c r="G1280" i="34"/>
  <c r="F1280" i="34"/>
  <c r="E1280" i="34"/>
  <c r="D1280" i="34"/>
  <c r="C1280" i="34"/>
  <c r="B1280" i="34"/>
  <c r="J1279" i="34"/>
  <c r="I1279" i="34"/>
  <c r="H1279" i="34"/>
  <c r="G1279" i="34"/>
  <c r="F1279" i="34"/>
  <c r="E1279" i="34"/>
  <c r="D1279" i="34"/>
  <c r="C1279" i="34"/>
  <c r="B1279" i="34"/>
  <c r="J1278" i="34"/>
  <c r="I1278" i="34"/>
  <c r="H1278" i="34"/>
  <c r="G1278" i="34"/>
  <c r="F1278" i="34"/>
  <c r="E1278" i="34"/>
  <c r="D1278" i="34"/>
  <c r="C1278" i="34"/>
  <c r="B1278" i="34"/>
  <c r="J1277" i="34"/>
  <c r="I1277" i="34"/>
  <c r="H1277" i="34"/>
  <c r="G1277" i="34"/>
  <c r="F1277" i="34"/>
  <c r="E1277" i="34"/>
  <c r="D1277" i="34"/>
  <c r="C1277" i="34"/>
  <c r="B1277" i="34"/>
  <c r="J1276" i="34"/>
  <c r="I1276" i="34"/>
  <c r="H1276" i="34"/>
  <c r="G1276" i="34"/>
  <c r="F1276" i="34"/>
  <c r="E1276" i="34"/>
  <c r="D1276" i="34"/>
  <c r="C1276" i="34"/>
  <c r="B1276" i="34"/>
  <c r="J1275" i="34"/>
  <c r="I1275" i="34"/>
  <c r="H1275" i="34"/>
  <c r="G1275" i="34"/>
  <c r="F1275" i="34"/>
  <c r="E1275" i="34"/>
  <c r="D1275" i="34"/>
  <c r="C1275" i="34"/>
  <c r="B1275" i="34"/>
  <c r="J1274" i="34"/>
  <c r="I1274" i="34"/>
  <c r="H1274" i="34"/>
  <c r="G1274" i="34"/>
  <c r="F1274" i="34"/>
  <c r="E1274" i="34"/>
  <c r="D1274" i="34"/>
  <c r="C1274" i="34"/>
  <c r="B1274" i="34"/>
  <c r="J1273" i="34"/>
  <c r="I1273" i="34"/>
  <c r="H1273" i="34"/>
  <c r="G1273" i="34"/>
  <c r="F1273" i="34"/>
  <c r="E1273" i="34"/>
  <c r="D1273" i="34"/>
  <c r="C1273" i="34"/>
  <c r="B1273" i="34"/>
  <c r="J1272" i="34"/>
  <c r="I1272" i="34"/>
  <c r="H1272" i="34"/>
  <c r="G1272" i="34"/>
  <c r="F1272" i="34"/>
  <c r="E1272" i="34"/>
  <c r="D1272" i="34"/>
  <c r="C1272" i="34"/>
  <c r="B1272" i="34"/>
  <c r="J1271" i="34"/>
  <c r="I1271" i="34"/>
  <c r="H1271" i="34"/>
  <c r="G1271" i="34"/>
  <c r="F1271" i="34"/>
  <c r="E1271" i="34"/>
  <c r="D1271" i="34"/>
  <c r="C1271" i="34"/>
  <c r="B1271" i="34"/>
  <c r="J1270" i="34"/>
  <c r="I1270" i="34"/>
  <c r="H1270" i="34"/>
  <c r="G1270" i="34"/>
  <c r="F1270" i="34"/>
  <c r="E1270" i="34"/>
  <c r="D1270" i="34"/>
  <c r="C1270" i="34"/>
  <c r="B1270" i="34"/>
  <c r="J1269" i="34"/>
  <c r="I1269" i="34"/>
  <c r="H1269" i="34"/>
  <c r="G1269" i="34"/>
  <c r="F1269" i="34"/>
  <c r="E1269" i="34"/>
  <c r="D1269" i="34"/>
  <c r="C1269" i="34"/>
  <c r="B1269" i="34"/>
  <c r="J1268" i="34"/>
  <c r="I1268" i="34"/>
  <c r="H1268" i="34"/>
  <c r="G1268" i="34"/>
  <c r="F1268" i="34"/>
  <c r="E1268" i="34"/>
  <c r="D1268" i="34"/>
  <c r="C1268" i="34"/>
  <c r="B1268" i="34"/>
  <c r="J1267" i="34"/>
  <c r="I1267" i="34"/>
  <c r="H1267" i="34"/>
  <c r="G1267" i="34"/>
  <c r="F1267" i="34"/>
  <c r="E1267" i="34"/>
  <c r="D1267" i="34"/>
  <c r="C1267" i="34"/>
  <c r="B1267" i="34"/>
  <c r="J1266" i="34"/>
  <c r="I1266" i="34"/>
  <c r="H1266" i="34"/>
  <c r="G1266" i="34"/>
  <c r="F1266" i="34"/>
  <c r="E1266" i="34"/>
  <c r="D1266" i="34"/>
  <c r="C1266" i="34"/>
  <c r="B1266" i="34"/>
  <c r="J1265" i="34"/>
  <c r="I1265" i="34"/>
  <c r="H1265" i="34"/>
  <c r="G1265" i="34"/>
  <c r="F1265" i="34"/>
  <c r="E1265" i="34"/>
  <c r="D1265" i="34"/>
  <c r="C1265" i="34"/>
  <c r="B1265" i="34"/>
  <c r="J1264" i="34"/>
  <c r="I1264" i="34"/>
  <c r="H1264" i="34"/>
  <c r="G1264" i="34"/>
  <c r="F1264" i="34"/>
  <c r="E1264" i="34"/>
  <c r="D1264" i="34"/>
  <c r="C1264" i="34"/>
  <c r="B1264" i="34"/>
  <c r="J1263" i="34"/>
  <c r="I1263" i="34"/>
  <c r="H1263" i="34"/>
  <c r="G1263" i="34"/>
  <c r="F1263" i="34"/>
  <c r="E1263" i="34"/>
  <c r="D1263" i="34"/>
  <c r="C1263" i="34"/>
  <c r="B1263" i="34"/>
  <c r="J1262" i="34"/>
  <c r="I1262" i="34"/>
  <c r="H1262" i="34"/>
  <c r="G1262" i="34"/>
  <c r="F1262" i="34"/>
  <c r="E1262" i="34"/>
  <c r="D1262" i="34"/>
  <c r="C1262" i="34"/>
  <c r="B1262" i="34"/>
  <c r="J1261" i="34"/>
  <c r="I1261" i="34"/>
  <c r="H1261" i="34"/>
  <c r="G1261" i="34"/>
  <c r="F1261" i="34"/>
  <c r="E1261" i="34"/>
  <c r="D1261" i="34"/>
  <c r="C1261" i="34"/>
  <c r="B1261" i="34"/>
  <c r="J1260" i="34"/>
  <c r="I1260" i="34"/>
  <c r="H1260" i="34"/>
  <c r="G1260" i="34"/>
  <c r="F1260" i="34"/>
  <c r="E1260" i="34"/>
  <c r="D1260" i="34"/>
  <c r="C1260" i="34"/>
  <c r="B1260" i="34"/>
  <c r="J1259" i="34"/>
  <c r="I1259" i="34"/>
  <c r="H1259" i="34"/>
  <c r="G1259" i="34"/>
  <c r="F1259" i="34"/>
  <c r="E1259" i="34"/>
  <c r="D1259" i="34"/>
  <c r="C1259" i="34"/>
  <c r="B1259" i="34"/>
  <c r="J1258" i="34"/>
  <c r="I1258" i="34"/>
  <c r="H1258" i="34"/>
  <c r="G1258" i="34"/>
  <c r="F1258" i="34"/>
  <c r="E1258" i="34"/>
  <c r="D1258" i="34"/>
  <c r="C1258" i="34"/>
  <c r="B1258" i="34"/>
  <c r="J1257" i="34"/>
  <c r="I1257" i="34"/>
  <c r="H1257" i="34"/>
  <c r="G1257" i="34"/>
  <c r="F1257" i="34"/>
  <c r="E1257" i="34"/>
  <c r="D1257" i="34"/>
  <c r="C1257" i="34"/>
  <c r="B1257" i="34"/>
  <c r="J1256" i="34"/>
  <c r="I1256" i="34"/>
  <c r="H1256" i="34"/>
  <c r="G1256" i="34"/>
  <c r="F1256" i="34"/>
  <c r="E1256" i="34"/>
  <c r="D1256" i="34"/>
  <c r="C1256" i="34"/>
  <c r="B1256" i="34"/>
  <c r="J1255" i="34"/>
  <c r="I1255" i="34"/>
  <c r="H1255" i="34"/>
  <c r="G1255" i="34"/>
  <c r="F1255" i="34"/>
  <c r="E1255" i="34"/>
  <c r="D1255" i="34"/>
  <c r="C1255" i="34"/>
  <c r="B1255" i="34"/>
  <c r="J1254" i="34"/>
  <c r="I1254" i="34"/>
  <c r="H1254" i="34"/>
  <c r="G1254" i="34"/>
  <c r="F1254" i="34"/>
  <c r="E1254" i="34"/>
  <c r="D1254" i="34"/>
  <c r="C1254" i="34"/>
  <c r="B1254" i="34"/>
  <c r="J1253" i="34"/>
  <c r="I1253" i="34"/>
  <c r="H1253" i="34"/>
  <c r="G1253" i="34"/>
  <c r="F1253" i="34"/>
  <c r="E1253" i="34"/>
  <c r="D1253" i="34"/>
  <c r="C1253" i="34"/>
  <c r="B1253" i="34"/>
  <c r="J1252" i="34"/>
  <c r="I1252" i="34"/>
  <c r="H1252" i="34"/>
  <c r="G1252" i="34"/>
  <c r="F1252" i="34"/>
  <c r="E1252" i="34"/>
  <c r="D1252" i="34"/>
  <c r="C1252" i="34"/>
  <c r="B1252" i="34"/>
  <c r="J1251" i="34"/>
  <c r="I1251" i="34"/>
  <c r="H1251" i="34"/>
  <c r="G1251" i="34"/>
  <c r="F1251" i="34"/>
  <c r="E1251" i="34"/>
  <c r="D1251" i="34"/>
  <c r="C1251" i="34"/>
  <c r="B1251" i="34"/>
  <c r="J1250" i="34"/>
  <c r="I1250" i="34"/>
  <c r="H1250" i="34"/>
  <c r="G1250" i="34"/>
  <c r="F1250" i="34"/>
  <c r="E1250" i="34"/>
  <c r="D1250" i="34"/>
  <c r="C1250" i="34"/>
  <c r="B1250" i="34"/>
  <c r="J1249" i="34"/>
  <c r="I1249" i="34"/>
  <c r="H1249" i="34"/>
  <c r="G1249" i="34"/>
  <c r="F1249" i="34"/>
  <c r="E1249" i="34"/>
  <c r="D1249" i="34"/>
  <c r="C1249" i="34"/>
  <c r="B1249" i="34"/>
  <c r="J1248" i="34"/>
  <c r="I1248" i="34"/>
  <c r="H1248" i="34"/>
  <c r="G1248" i="34"/>
  <c r="F1248" i="34"/>
  <c r="E1248" i="34"/>
  <c r="D1248" i="34"/>
  <c r="C1248" i="34"/>
  <c r="B1248" i="34"/>
  <c r="J1247" i="34"/>
  <c r="I1247" i="34"/>
  <c r="H1247" i="34"/>
  <c r="G1247" i="34"/>
  <c r="F1247" i="34"/>
  <c r="E1247" i="34"/>
  <c r="D1247" i="34"/>
  <c r="C1247" i="34"/>
  <c r="B1247" i="34"/>
  <c r="J1246" i="34"/>
  <c r="I1246" i="34"/>
  <c r="H1246" i="34"/>
  <c r="G1246" i="34"/>
  <c r="F1246" i="34"/>
  <c r="E1246" i="34"/>
  <c r="D1246" i="34"/>
  <c r="C1246" i="34"/>
  <c r="B1246" i="34"/>
  <c r="J1245" i="34"/>
  <c r="I1245" i="34"/>
  <c r="H1245" i="34"/>
  <c r="G1245" i="34"/>
  <c r="F1245" i="34"/>
  <c r="E1245" i="34"/>
  <c r="D1245" i="34"/>
  <c r="C1245" i="34"/>
  <c r="B1245" i="34"/>
  <c r="J1244" i="34"/>
  <c r="I1244" i="34"/>
  <c r="H1244" i="34"/>
  <c r="G1244" i="34"/>
  <c r="F1244" i="34"/>
  <c r="E1244" i="34"/>
  <c r="D1244" i="34"/>
  <c r="C1244" i="34"/>
  <c r="B1244" i="34"/>
  <c r="J1243" i="34"/>
  <c r="I1243" i="34"/>
  <c r="H1243" i="34"/>
  <c r="G1243" i="34"/>
  <c r="F1243" i="34"/>
  <c r="E1243" i="34"/>
  <c r="D1243" i="34"/>
  <c r="C1243" i="34"/>
  <c r="B1243" i="34"/>
  <c r="J1242" i="34"/>
  <c r="I1242" i="34"/>
  <c r="H1242" i="34"/>
  <c r="G1242" i="34"/>
  <c r="F1242" i="34"/>
  <c r="E1242" i="34"/>
  <c r="D1242" i="34"/>
  <c r="C1242" i="34"/>
  <c r="B1242" i="34"/>
  <c r="J1241" i="34"/>
  <c r="I1241" i="34"/>
  <c r="H1241" i="34"/>
  <c r="G1241" i="34"/>
  <c r="F1241" i="34"/>
  <c r="E1241" i="34"/>
  <c r="D1241" i="34"/>
  <c r="C1241" i="34"/>
  <c r="B1241" i="34"/>
  <c r="J1240" i="34"/>
  <c r="I1240" i="34"/>
  <c r="H1240" i="34"/>
  <c r="G1240" i="34"/>
  <c r="F1240" i="34"/>
  <c r="E1240" i="34"/>
  <c r="D1240" i="34"/>
  <c r="C1240" i="34"/>
  <c r="B1240" i="34"/>
  <c r="J1239" i="34"/>
  <c r="I1239" i="34"/>
  <c r="H1239" i="34"/>
  <c r="G1239" i="34"/>
  <c r="F1239" i="34"/>
  <c r="E1239" i="34"/>
  <c r="D1239" i="34"/>
  <c r="C1239" i="34"/>
  <c r="B1239" i="34"/>
  <c r="J1238" i="34"/>
  <c r="I1238" i="34"/>
  <c r="H1238" i="34"/>
  <c r="G1238" i="34"/>
  <c r="F1238" i="34"/>
  <c r="E1238" i="34"/>
  <c r="D1238" i="34"/>
  <c r="C1238" i="34"/>
  <c r="B1238" i="34"/>
  <c r="J1237" i="34"/>
  <c r="I1237" i="34"/>
  <c r="H1237" i="34"/>
  <c r="G1237" i="34"/>
  <c r="F1237" i="34"/>
  <c r="E1237" i="34"/>
  <c r="D1237" i="34"/>
  <c r="C1237" i="34"/>
  <c r="B1237" i="34"/>
  <c r="J1236" i="34"/>
  <c r="I1236" i="34"/>
  <c r="H1236" i="34"/>
  <c r="G1236" i="34"/>
  <c r="F1236" i="34"/>
  <c r="E1236" i="34"/>
  <c r="D1236" i="34"/>
  <c r="C1236" i="34"/>
  <c r="B1236" i="34"/>
  <c r="J1235" i="34"/>
  <c r="I1235" i="34"/>
  <c r="H1235" i="34"/>
  <c r="G1235" i="34"/>
  <c r="F1235" i="34"/>
  <c r="E1235" i="34"/>
  <c r="D1235" i="34"/>
  <c r="C1235" i="34"/>
  <c r="B1235" i="34"/>
  <c r="J1234" i="34"/>
  <c r="I1234" i="34"/>
  <c r="H1234" i="34"/>
  <c r="G1234" i="34"/>
  <c r="F1234" i="34"/>
  <c r="E1234" i="34"/>
  <c r="D1234" i="34"/>
  <c r="C1234" i="34"/>
  <c r="B1234" i="34"/>
  <c r="J1233" i="34"/>
  <c r="I1233" i="34"/>
  <c r="H1233" i="34"/>
  <c r="G1233" i="34"/>
  <c r="F1233" i="34"/>
  <c r="E1233" i="34"/>
  <c r="D1233" i="34"/>
  <c r="C1233" i="34"/>
  <c r="B1233" i="34"/>
  <c r="J1232" i="34"/>
  <c r="I1232" i="34"/>
  <c r="H1232" i="34"/>
  <c r="G1232" i="34"/>
  <c r="F1232" i="34"/>
  <c r="E1232" i="34"/>
  <c r="D1232" i="34"/>
  <c r="C1232" i="34"/>
  <c r="B1232" i="34"/>
  <c r="J1231" i="34"/>
  <c r="I1231" i="34"/>
  <c r="H1231" i="34"/>
  <c r="G1231" i="34"/>
  <c r="F1231" i="34"/>
  <c r="E1231" i="34"/>
  <c r="D1231" i="34"/>
  <c r="C1231" i="34"/>
  <c r="B1231" i="34"/>
  <c r="J1230" i="34"/>
  <c r="I1230" i="34"/>
  <c r="H1230" i="34"/>
  <c r="G1230" i="34"/>
  <c r="F1230" i="34"/>
  <c r="E1230" i="34"/>
  <c r="D1230" i="34"/>
  <c r="C1230" i="34"/>
  <c r="B1230" i="34"/>
  <c r="J1229" i="34"/>
  <c r="I1229" i="34"/>
  <c r="H1229" i="34"/>
  <c r="G1229" i="34"/>
  <c r="F1229" i="34"/>
  <c r="E1229" i="34"/>
  <c r="D1229" i="34"/>
  <c r="C1229" i="34"/>
  <c r="B1229" i="34"/>
  <c r="J1228" i="34"/>
  <c r="I1228" i="34"/>
  <c r="H1228" i="34"/>
  <c r="G1228" i="34"/>
  <c r="F1228" i="34"/>
  <c r="E1228" i="34"/>
  <c r="D1228" i="34"/>
  <c r="C1228" i="34"/>
  <c r="B1228" i="34"/>
  <c r="J1227" i="34"/>
  <c r="I1227" i="34"/>
  <c r="H1227" i="34"/>
  <c r="G1227" i="34"/>
  <c r="F1227" i="34"/>
  <c r="E1227" i="34"/>
  <c r="D1227" i="34"/>
  <c r="C1227" i="34"/>
  <c r="B1227" i="34"/>
  <c r="J1226" i="34"/>
  <c r="I1226" i="34"/>
  <c r="H1226" i="34"/>
  <c r="G1226" i="34"/>
  <c r="F1226" i="34"/>
  <c r="E1226" i="34"/>
  <c r="D1226" i="34"/>
  <c r="C1226" i="34"/>
  <c r="B1226" i="34"/>
  <c r="J1225" i="34"/>
  <c r="I1225" i="34"/>
  <c r="H1225" i="34"/>
  <c r="G1225" i="34"/>
  <c r="F1225" i="34"/>
  <c r="E1225" i="34"/>
  <c r="D1225" i="34"/>
  <c r="C1225" i="34"/>
  <c r="B1225" i="34"/>
  <c r="J1224" i="34"/>
  <c r="I1224" i="34"/>
  <c r="H1224" i="34"/>
  <c r="G1224" i="34"/>
  <c r="F1224" i="34"/>
  <c r="E1224" i="34"/>
  <c r="D1224" i="34"/>
  <c r="C1224" i="34"/>
  <c r="B1224" i="34"/>
  <c r="J1223" i="34"/>
  <c r="I1223" i="34"/>
  <c r="H1223" i="34"/>
  <c r="G1223" i="34"/>
  <c r="F1223" i="34"/>
  <c r="E1223" i="34"/>
  <c r="D1223" i="34"/>
  <c r="C1223" i="34"/>
  <c r="B1223" i="34"/>
  <c r="J1222" i="34"/>
  <c r="I1222" i="34"/>
  <c r="H1222" i="34"/>
  <c r="G1222" i="34"/>
  <c r="F1222" i="34"/>
  <c r="E1222" i="34"/>
  <c r="D1222" i="34"/>
  <c r="C1222" i="34"/>
  <c r="B1222" i="34"/>
  <c r="J1221" i="34"/>
  <c r="I1221" i="34"/>
  <c r="H1221" i="34"/>
  <c r="G1221" i="34"/>
  <c r="F1221" i="34"/>
  <c r="E1221" i="34"/>
  <c r="D1221" i="34"/>
  <c r="C1221" i="34"/>
  <c r="B1221" i="34"/>
  <c r="J1220" i="34"/>
  <c r="I1220" i="34"/>
  <c r="H1220" i="34"/>
  <c r="G1220" i="34"/>
  <c r="F1220" i="34"/>
  <c r="E1220" i="34"/>
  <c r="D1220" i="34"/>
  <c r="C1220" i="34"/>
  <c r="B1220" i="34"/>
  <c r="J1219" i="34"/>
  <c r="I1219" i="34"/>
  <c r="H1219" i="34"/>
  <c r="G1219" i="34"/>
  <c r="F1219" i="34"/>
  <c r="E1219" i="34"/>
  <c r="D1219" i="34"/>
  <c r="C1219" i="34"/>
  <c r="B1219" i="34"/>
  <c r="J1218" i="34"/>
  <c r="I1218" i="34"/>
  <c r="H1218" i="34"/>
  <c r="G1218" i="34"/>
  <c r="F1218" i="34"/>
  <c r="E1218" i="34"/>
  <c r="D1218" i="34"/>
  <c r="C1218" i="34"/>
  <c r="B1218" i="34"/>
  <c r="J1217" i="34"/>
  <c r="I1217" i="34"/>
  <c r="H1217" i="34"/>
  <c r="G1217" i="34"/>
  <c r="F1217" i="34"/>
  <c r="E1217" i="34"/>
  <c r="D1217" i="34"/>
  <c r="C1217" i="34"/>
  <c r="B1217" i="34"/>
  <c r="J1216" i="34"/>
  <c r="I1216" i="34"/>
  <c r="H1216" i="34"/>
  <c r="G1216" i="34"/>
  <c r="F1216" i="34"/>
  <c r="E1216" i="34"/>
  <c r="D1216" i="34"/>
  <c r="C1216" i="34"/>
  <c r="B1216" i="34"/>
  <c r="J1215" i="34"/>
  <c r="I1215" i="34"/>
  <c r="H1215" i="34"/>
  <c r="G1215" i="34"/>
  <c r="F1215" i="34"/>
  <c r="E1215" i="34"/>
  <c r="D1215" i="34"/>
  <c r="C1215" i="34"/>
  <c r="B1215" i="34"/>
  <c r="J1214" i="34"/>
  <c r="I1214" i="34"/>
  <c r="H1214" i="34"/>
  <c r="G1214" i="34"/>
  <c r="F1214" i="34"/>
  <c r="E1214" i="34"/>
  <c r="D1214" i="34"/>
  <c r="C1214" i="34"/>
  <c r="B1214" i="34"/>
  <c r="J1213" i="34"/>
  <c r="I1213" i="34"/>
  <c r="H1213" i="34"/>
  <c r="G1213" i="34"/>
  <c r="F1213" i="34"/>
  <c r="E1213" i="34"/>
  <c r="D1213" i="34"/>
  <c r="C1213" i="34"/>
  <c r="B1213" i="34"/>
  <c r="J1212" i="34"/>
  <c r="I1212" i="34"/>
  <c r="H1212" i="34"/>
  <c r="G1212" i="34"/>
  <c r="F1212" i="34"/>
  <c r="E1212" i="34"/>
  <c r="D1212" i="34"/>
  <c r="C1212" i="34"/>
  <c r="B1212" i="34"/>
  <c r="J1211" i="34"/>
  <c r="I1211" i="34"/>
  <c r="H1211" i="34"/>
  <c r="G1211" i="34"/>
  <c r="F1211" i="34"/>
  <c r="E1211" i="34"/>
  <c r="D1211" i="34"/>
  <c r="C1211" i="34"/>
  <c r="B1211" i="34"/>
  <c r="J1210" i="34"/>
  <c r="I1210" i="34"/>
  <c r="H1210" i="34"/>
  <c r="G1210" i="34"/>
  <c r="F1210" i="34"/>
  <c r="E1210" i="34"/>
  <c r="D1210" i="34"/>
  <c r="C1210" i="34"/>
  <c r="B1210" i="34"/>
  <c r="J1209" i="34"/>
  <c r="I1209" i="34"/>
  <c r="H1209" i="34"/>
  <c r="G1209" i="34"/>
  <c r="F1209" i="34"/>
  <c r="E1209" i="34"/>
  <c r="D1209" i="34"/>
  <c r="C1209" i="34"/>
  <c r="B1209" i="34"/>
  <c r="J1208" i="34"/>
  <c r="I1208" i="34"/>
  <c r="H1208" i="34"/>
  <c r="G1208" i="34"/>
  <c r="F1208" i="34"/>
  <c r="E1208" i="34"/>
  <c r="D1208" i="34"/>
  <c r="C1208" i="34"/>
  <c r="B1208" i="34"/>
  <c r="J1207" i="34"/>
  <c r="I1207" i="34"/>
  <c r="H1207" i="34"/>
  <c r="G1207" i="34"/>
  <c r="F1207" i="34"/>
  <c r="E1207" i="34"/>
  <c r="D1207" i="34"/>
  <c r="C1207" i="34"/>
  <c r="B1207" i="34"/>
  <c r="J1206" i="34"/>
  <c r="I1206" i="34"/>
  <c r="H1206" i="34"/>
  <c r="G1206" i="34"/>
  <c r="F1206" i="34"/>
  <c r="E1206" i="34"/>
  <c r="D1206" i="34"/>
  <c r="C1206" i="34"/>
  <c r="B1206" i="34"/>
  <c r="J1205" i="34"/>
  <c r="I1205" i="34"/>
  <c r="H1205" i="34"/>
  <c r="G1205" i="34"/>
  <c r="F1205" i="34"/>
  <c r="E1205" i="34"/>
  <c r="D1205" i="34"/>
  <c r="C1205" i="34"/>
  <c r="B1205" i="34"/>
  <c r="J1204" i="34"/>
  <c r="I1204" i="34"/>
  <c r="H1204" i="34"/>
  <c r="G1204" i="34"/>
  <c r="F1204" i="34"/>
  <c r="E1204" i="34"/>
  <c r="D1204" i="34"/>
  <c r="C1204" i="34"/>
  <c r="B1204" i="34"/>
  <c r="J1203" i="34"/>
  <c r="I1203" i="34"/>
  <c r="H1203" i="34"/>
  <c r="G1203" i="34"/>
  <c r="F1203" i="34"/>
  <c r="E1203" i="34"/>
  <c r="D1203" i="34"/>
  <c r="C1203" i="34"/>
  <c r="B1203" i="34"/>
  <c r="J1202" i="34"/>
  <c r="I1202" i="34"/>
  <c r="H1202" i="34"/>
  <c r="G1202" i="34"/>
  <c r="F1202" i="34"/>
  <c r="E1202" i="34"/>
  <c r="D1202" i="34"/>
  <c r="C1202" i="34"/>
  <c r="B1202" i="34"/>
  <c r="J1201" i="34"/>
  <c r="I1201" i="34"/>
  <c r="H1201" i="34"/>
  <c r="G1201" i="34"/>
  <c r="F1201" i="34"/>
  <c r="E1201" i="34"/>
  <c r="D1201" i="34"/>
  <c r="C1201" i="34"/>
  <c r="B1201" i="34"/>
  <c r="J1200" i="34"/>
  <c r="I1200" i="34"/>
  <c r="H1200" i="34"/>
  <c r="G1200" i="34"/>
  <c r="F1200" i="34"/>
  <c r="E1200" i="34"/>
  <c r="D1200" i="34"/>
  <c r="C1200" i="34"/>
  <c r="B1200" i="34"/>
  <c r="J1199" i="34"/>
  <c r="I1199" i="34"/>
  <c r="H1199" i="34"/>
  <c r="G1199" i="34"/>
  <c r="F1199" i="34"/>
  <c r="E1199" i="34"/>
  <c r="D1199" i="34"/>
  <c r="C1199" i="34"/>
  <c r="B1199" i="34"/>
  <c r="J1198" i="34"/>
  <c r="I1198" i="34"/>
  <c r="H1198" i="34"/>
  <c r="G1198" i="34"/>
  <c r="F1198" i="34"/>
  <c r="E1198" i="34"/>
  <c r="D1198" i="34"/>
  <c r="C1198" i="34"/>
  <c r="B1198" i="34"/>
  <c r="J1197" i="34"/>
  <c r="I1197" i="34"/>
  <c r="H1197" i="34"/>
  <c r="G1197" i="34"/>
  <c r="F1197" i="34"/>
  <c r="E1197" i="34"/>
  <c r="D1197" i="34"/>
  <c r="C1197" i="34"/>
  <c r="B1197" i="34"/>
  <c r="J1196" i="34"/>
  <c r="I1196" i="34"/>
  <c r="H1196" i="34"/>
  <c r="G1196" i="34"/>
  <c r="F1196" i="34"/>
  <c r="E1196" i="34"/>
  <c r="D1196" i="34"/>
  <c r="C1196" i="34"/>
  <c r="B1196" i="34"/>
  <c r="J1195" i="34"/>
  <c r="I1195" i="34"/>
  <c r="H1195" i="34"/>
  <c r="G1195" i="34"/>
  <c r="F1195" i="34"/>
  <c r="E1195" i="34"/>
  <c r="D1195" i="34"/>
  <c r="C1195" i="34"/>
  <c r="B1195" i="34"/>
  <c r="J1194" i="34"/>
  <c r="I1194" i="34"/>
  <c r="H1194" i="34"/>
  <c r="G1194" i="34"/>
  <c r="F1194" i="34"/>
  <c r="E1194" i="34"/>
  <c r="D1194" i="34"/>
  <c r="C1194" i="34"/>
  <c r="B1194" i="34"/>
  <c r="J1193" i="34"/>
  <c r="I1193" i="34"/>
  <c r="H1193" i="34"/>
  <c r="G1193" i="34"/>
  <c r="F1193" i="34"/>
  <c r="E1193" i="34"/>
  <c r="D1193" i="34"/>
  <c r="C1193" i="34"/>
  <c r="B1193" i="34"/>
  <c r="J1192" i="34"/>
  <c r="I1192" i="34"/>
  <c r="H1192" i="34"/>
  <c r="G1192" i="34"/>
  <c r="F1192" i="34"/>
  <c r="E1192" i="34"/>
  <c r="D1192" i="34"/>
  <c r="C1192" i="34"/>
  <c r="B1192" i="34"/>
  <c r="J1191" i="34"/>
  <c r="I1191" i="34"/>
  <c r="H1191" i="34"/>
  <c r="G1191" i="34"/>
  <c r="F1191" i="34"/>
  <c r="E1191" i="34"/>
  <c r="D1191" i="34"/>
  <c r="C1191" i="34"/>
  <c r="B1191" i="34"/>
  <c r="J1190" i="34"/>
  <c r="I1190" i="34"/>
  <c r="H1190" i="34"/>
  <c r="G1190" i="34"/>
  <c r="F1190" i="34"/>
  <c r="E1190" i="34"/>
  <c r="D1190" i="34"/>
  <c r="C1190" i="34"/>
  <c r="B1190" i="34"/>
  <c r="J1189" i="34"/>
  <c r="I1189" i="34"/>
  <c r="H1189" i="34"/>
  <c r="G1189" i="34"/>
  <c r="F1189" i="34"/>
  <c r="E1189" i="34"/>
  <c r="D1189" i="34"/>
  <c r="C1189" i="34"/>
  <c r="B1189" i="34"/>
  <c r="J1188" i="34"/>
  <c r="I1188" i="34"/>
  <c r="H1188" i="34"/>
  <c r="G1188" i="34"/>
  <c r="F1188" i="34"/>
  <c r="E1188" i="34"/>
  <c r="D1188" i="34"/>
  <c r="C1188" i="34"/>
  <c r="B1188" i="34"/>
  <c r="J1187" i="34"/>
  <c r="I1187" i="34"/>
  <c r="H1187" i="34"/>
  <c r="G1187" i="34"/>
  <c r="F1187" i="34"/>
  <c r="E1187" i="34"/>
  <c r="D1187" i="34"/>
  <c r="C1187" i="34"/>
  <c r="B1187" i="34"/>
  <c r="J1186" i="34"/>
  <c r="I1186" i="34"/>
  <c r="H1186" i="34"/>
  <c r="G1186" i="34"/>
  <c r="F1186" i="34"/>
  <c r="E1186" i="34"/>
  <c r="D1186" i="34"/>
  <c r="C1186" i="34"/>
  <c r="B1186" i="34"/>
  <c r="J1185" i="34"/>
  <c r="I1185" i="34"/>
  <c r="H1185" i="34"/>
  <c r="G1185" i="34"/>
  <c r="F1185" i="34"/>
  <c r="E1185" i="34"/>
  <c r="D1185" i="34"/>
  <c r="C1185" i="34"/>
  <c r="B1185" i="34"/>
  <c r="J1184" i="34"/>
  <c r="I1184" i="34"/>
  <c r="H1184" i="34"/>
  <c r="G1184" i="34"/>
  <c r="F1184" i="34"/>
  <c r="E1184" i="34"/>
  <c r="D1184" i="34"/>
  <c r="C1184" i="34"/>
  <c r="B1184" i="34"/>
  <c r="J1183" i="34"/>
  <c r="I1183" i="34"/>
  <c r="H1183" i="34"/>
  <c r="G1183" i="34"/>
  <c r="F1183" i="34"/>
  <c r="E1183" i="34"/>
  <c r="D1183" i="34"/>
  <c r="C1183" i="34"/>
  <c r="B1183" i="34"/>
  <c r="J1182" i="34"/>
  <c r="I1182" i="34"/>
  <c r="H1182" i="34"/>
  <c r="G1182" i="34"/>
  <c r="F1182" i="34"/>
  <c r="E1182" i="34"/>
  <c r="D1182" i="34"/>
  <c r="C1182" i="34"/>
  <c r="B1182" i="34"/>
  <c r="J1181" i="34"/>
  <c r="I1181" i="34"/>
  <c r="H1181" i="34"/>
  <c r="G1181" i="34"/>
  <c r="F1181" i="34"/>
  <c r="E1181" i="34"/>
  <c r="D1181" i="34"/>
  <c r="C1181" i="34"/>
  <c r="B1181" i="34"/>
  <c r="J1180" i="34"/>
  <c r="I1180" i="34"/>
  <c r="H1180" i="34"/>
  <c r="G1180" i="34"/>
  <c r="F1180" i="34"/>
  <c r="E1180" i="34"/>
  <c r="D1180" i="34"/>
  <c r="C1180" i="34"/>
  <c r="B1180" i="34"/>
  <c r="J1179" i="34"/>
  <c r="I1179" i="34"/>
  <c r="H1179" i="34"/>
  <c r="G1179" i="34"/>
  <c r="F1179" i="34"/>
  <c r="E1179" i="34"/>
  <c r="D1179" i="34"/>
  <c r="C1179" i="34"/>
  <c r="B1179" i="34"/>
  <c r="J1178" i="34"/>
  <c r="I1178" i="34"/>
  <c r="H1178" i="34"/>
  <c r="G1178" i="34"/>
  <c r="F1178" i="34"/>
  <c r="E1178" i="34"/>
  <c r="D1178" i="34"/>
  <c r="C1178" i="34"/>
  <c r="B1178" i="34"/>
  <c r="J1177" i="34"/>
  <c r="I1177" i="34"/>
  <c r="H1177" i="34"/>
  <c r="G1177" i="34"/>
  <c r="F1177" i="34"/>
  <c r="E1177" i="34"/>
  <c r="D1177" i="34"/>
  <c r="C1177" i="34"/>
  <c r="B1177" i="34"/>
  <c r="J1176" i="34"/>
  <c r="I1176" i="34"/>
  <c r="H1176" i="34"/>
  <c r="G1176" i="34"/>
  <c r="F1176" i="34"/>
  <c r="E1176" i="34"/>
  <c r="D1176" i="34"/>
  <c r="C1176" i="34"/>
  <c r="B1176" i="34"/>
  <c r="J1175" i="34"/>
  <c r="I1175" i="34"/>
  <c r="H1175" i="34"/>
  <c r="G1175" i="34"/>
  <c r="F1175" i="34"/>
  <c r="E1175" i="34"/>
  <c r="D1175" i="34"/>
  <c r="C1175" i="34"/>
  <c r="B1175" i="34"/>
  <c r="J1174" i="34"/>
  <c r="I1174" i="34"/>
  <c r="H1174" i="34"/>
  <c r="G1174" i="34"/>
  <c r="F1174" i="34"/>
  <c r="E1174" i="34"/>
  <c r="D1174" i="34"/>
  <c r="C1174" i="34"/>
  <c r="B1174" i="34"/>
  <c r="J1173" i="34"/>
  <c r="I1173" i="34"/>
  <c r="H1173" i="34"/>
  <c r="G1173" i="34"/>
  <c r="F1173" i="34"/>
  <c r="E1173" i="34"/>
  <c r="D1173" i="34"/>
  <c r="C1173" i="34"/>
  <c r="B1173" i="34"/>
  <c r="J1172" i="34"/>
  <c r="I1172" i="34"/>
  <c r="H1172" i="34"/>
  <c r="G1172" i="34"/>
  <c r="F1172" i="34"/>
  <c r="E1172" i="34"/>
  <c r="D1172" i="34"/>
  <c r="C1172" i="34"/>
  <c r="B1172" i="34"/>
  <c r="J1171" i="34"/>
  <c r="I1171" i="34"/>
  <c r="H1171" i="34"/>
  <c r="G1171" i="34"/>
  <c r="F1171" i="34"/>
  <c r="E1171" i="34"/>
  <c r="D1171" i="34"/>
  <c r="C1171" i="34"/>
  <c r="B1171" i="34"/>
  <c r="J1170" i="34"/>
  <c r="I1170" i="34"/>
  <c r="H1170" i="34"/>
  <c r="G1170" i="34"/>
  <c r="F1170" i="34"/>
  <c r="E1170" i="34"/>
  <c r="D1170" i="34"/>
  <c r="C1170" i="34"/>
  <c r="B1170" i="34"/>
  <c r="J1169" i="34"/>
  <c r="I1169" i="34"/>
  <c r="H1169" i="34"/>
  <c r="G1169" i="34"/>
  <c r="F1169" i="34"/>
  <c r="E1169" i="34"/>
  <c r="D1169" i="34"/>
  <c r="C1169" i="34"/>
  <c r="B1169" i="34"/>
  <c r="J1168" i="34"/>
  <c r="I1168" i="34"/>
  <c r="H1168" i="34"/>
  <c r="G1168" i="34"/>
  <c r="F1168" i="34"/>
  <c r="E1168" i="34"/>
  <c r="D1168" i="34"/>
  <c r="C1168" i="34"/>
  <c r="B1168" i="34"/>
  <c r="J1167" i="34"/>
  <c r="I1167" i="34"/>
  <c r="H1167" i="34"/>
  <c r="G1167" i="34"/>
  <c r="F1167" i="34"/>
  <c r="E1167" i="34"/>
  <c r="D1167" i="34"/>
  <c r="C1167" i="34"/>
  <c r="B1167" i="34"/>
  <c r="J1166" i="34"/>
  <c r="I1166" i="34"/>
  <c r="H1166" i="34"/>
  <c r="G1166" i="34"/>
  <c r="F1166" i="34"/>
  <c r="E1166" i="34"/>
  <c r="D1166" i="34"/>
  <c r="C1166" i="34"/>
  <c r="B1166" i="34"/>
  <c r="J1165" i="34"/>
  <c r="I1165" i="34"/>
  <c r="H1165" i="34"/>
  <c r="G1165" i="34"/>
  <c r="F1165" i="34"/>
  <c r="E1165" i="34"/>
  <c r="D1165" i="34"/>
  <c r="C1165" i="34"/>
  <c r="B1165" i="34"/>
  <c r="J1164" i="34"/>
  <c r="I1164" i="34"/>
  <c r="H1164" i="34"/>
  <c r="G1164" i="34"/>
  <c r="F1164" i="34"/>
  <c r="E1164" i="34"/>
  <c r="D1164" i="34"/>
  <c r="C1164" i="34"/>
  <c r="B1164" i="34"/>
  <c r="J1163" i="34"/>
  <c r="I1163" i="34"/>
  <c r="H1163" i="34"/>
  <c r="G1163" i="34"/>
  <c r="F1163" i="34"/>
  <c r="E1163" i="34"/>
  <c r="D1163" i="34"/>
  <c r="C1163" i="34"/>
  <c r="B1163" i="34"/>
  <c r="J1162" i="34"/>
  <c r="I1162" i="34"/>
  <c r="H1162" i="34"/>
  <c r="G1162" i="34"/>
  <c r="F1162" i="34"/>
  <c r="E1162" i="34"/>
  <c r="D1162" i="34"/>
  <c r="C1162" i="34"/>
  <c r="B1162" i="34"/>
  <c r="J1161" i="34"/>
  <c r="I1161" i="34"/>
  <c r="H1161" i="34"/>
  <c r="G1161" i="34"/>
  <c r="F1161" i="34"/>
  <c r="E1161" i="34"/>
  <c r="D1161" i="34"/>
  <c r="C1161" i="34"/>
  <c r="B1161" i="34"/>
  <c r="J1160" i="34"/>
  <c r="I1160" i="34"/>
  <c r="H1160" i="34"/>
  <c r="G1160" i="34"/>
  <c r="F1160" i="34"/>
  <c r="E1160" i="34"/>
  <c r="D1160" i="34"/>
  <c r="C1160" i="34"/>
  <c r="B1160" i="34"/>
  <c r="J1159" i="34"/>
  <c r="I1159" i="34"/>
  <c r="H1159" i="34"/>
  <c r="G1159" i="34"/>
  <c r="F1159" i="34"/>
  <c r="E1159" i="34"/>
  <c r="D1159" i="34"/>
  <c r="C1159" i="34"/>
  <c r="B1159" i="34"/>
  <c r="J1158" i="34"/>
  <c r="I1158" i="34"/>
  <c r="H1158" i="34"/>
  <c r="G1158" i="34"/>
  <c r="F1158" i="34"/>
  <c r="E1158" i="34"/>
  <c r="D1158" i="34"/>
  <c r="C1158" i="34"/>
  <c r="B1158" i="34"/>
  <c r="J1157" i="34"/>
  <c r="I1157" i="34"/>
  <c r="H1157" i="34"/>
  <c r="G1157" i="34"/>
  <c r="F1157" i="34"/>
  <c r="E1157" i="34"/>
  <c r="D1157" i="34"/>
  <c r="C1157" i="34"/>
  <c r="B1157" i="34"/>
  <c r="J1156" i="34"/>
  <c r="I1156" i="34"/>
  <c r="H1156" i="34"/>
  <c r="G1156" i="34"/>
  <c r="F1156" i="34"/>
  <c r="E1156" i="34"/>
  <c r="D1156" i="34"/>
  <c r="C1156" i="34"/>
  <c r="B1156" i="34"/>
  <c r="J1155" i="34"/>
  <c r="I1155" i="34"/>
  <c r="H1155" i="34"/>
  <c r="G1155" i="34"/>
  <c r="F1155" i="34"/>
  <c r="E1155" i="34"/>
  <c r="D1155" i="34"/>
  <c r="C1155" i="34"/>
  <c r="B1155" i="34"/>
  <c r="J1154" i="34"/>
  <c r="I1154" i="34"/>
  <c r="H1154" i="34"/>
  <c r="G1154" i="34"/>
  <c r="F1154" i="34"/>
  <c r="E1154" i="34"/>
  <c r="D1154" i="34"/>
  <c r="C1154" i="34"/>
  <c r="B1154" i="34"/>
  <c r="J1153" i="34"/>
  <c r="I1153" i="34"/>
  <c r="H1153" i="34"/>
  <c r="G1153" i="34"/>
  <c r="F1153" i="34"/>
  <c r="E1153" i="34"/>
  <c r="D1153" i="34"/>
  <c r="C1153" i="34"/>
  <c r="B1153" i="34"/>
  <c r="J1152" i="34"/>
  <c r="I1152" i="34"/>
  <c r="H1152" i="34"/>
  <c r="G1152" i="34"/>
  <c r="F1152" i="34"/>
  <c r="E1152" i="34"/>
  <c r="D1152" i="34"/>
  <c r="C1152" i="34"/>
  <c r="B1152" i="34"/>
  <c r="J1151" i="34"/>
  <c r="I1151" i="34"/>
  <c r="H1151" i="34"/>
  <c r="G1151" i="34"/>
  <c r="F1151" i="34"/>
  <c r="E1151" i="34"/>
  <c r="D1151" i="34"/>
  <c r="C1151" i="34"/>
  <c r="B1151" i="34"/>
  <c r="J1150" i="34"/>
  <c r="I1150" i="34"/>
  <c r="H1150" i="34"/>
  <c r="G1150" i="34"/>
  <c r="F1150" i="34"/>
  <c r="E1150" i="34"/>
  <c r="D1150" i="34"/>
  <c r="C1150" i="34"/>
  <c r="B1150" i="34"/>
  <c r="J1149" i="34"/>
  <c r="I1149" i="34"/>
  <c r="H1149" i="34"/>
  <c r="G1149" i="34"/>
  <c r="F1149" i="34"/>
  <c r="E1149" i="34"/>
  <c r="D1149" i="34"/>
  <c r="C1149" i="34"/>
  <c r="B1149" i="34"/>
  <c r="J1148" i="34"/>
  <c r="I1148" i="34"/>
  <c r="H1148" i="34"/>
  <c r="G1148" i="34"/>
  <c r="F1148" i="34"/>
  <c r="E1148" i="34"/>
  <c r="D1148" i="34"/>
  <c r="C1148" i="34"/>
  <c r="B1148" i="34"/>
  <c r="J1147" i="34"/>
  <c r="I1147" i="34"/>
  <c r="H1147" i="34"/>
  <c r="G1147" i="34"/>
  <c r="F1147" i="34"/>
  <c r="E1147" i="34"/>
  <c r="D1147" i="34"/>
  <c r="C1147" i="34"/>
  <c r="B1147" i="34"/>
  <c r="J1146" i="34"/>
  <c r="I1146" i="34"/>
  <c r="H1146" i="34"/>
  <c r="G1146" i="34"/>
  <c r="F1146" i="34"/>
  <c r="E1146" i="34"/>
  <c r="D1146" i="34"/>
  <c r="C1146" i="34"/>
  <c r="B1146" i="34"/>
  <c r="J1145" i="34"/>
  <c r="I1145" i="34"/>
  <c r="H1145" i="34"/>
  <c r="G1145" i="34"/>
  <c r="F1145" i="34"/>
  <c r="E1145" i="34"/>
  <c r="D1145" i="34"/>
  <c r="C1145" i="34"/>
  <c r="B1145" i="34"/>
  <c r="J1144" i="34"/>
  <c r="I1144" i="34"/>
  <c r="H1144" i="34"/>
  <c r="G1144" i="34"/>
  <c r="F1144" i="34"/>
  <c r="E1144" i="34"/>
  <c r="D1144" i="34"/>
  <c r="C1144" i="34"/>
  <c r="B1144" i="34"/>
  <c r="J1143" i="34"/>
  <c r="I1143" i="34"/>
  <c r="H1143" i="34"/>
  <c r="G1143" i="34"/>
  <c r="F1143" i="34"/>
  <c r="E1143" i="34"/>
  <c r="D1143" i="34"/>
  <c r="C1143" i="34"/>
  <c r="B1143" i="34"/>
  <c r="J1142" i="34"/>
  <c r="I1142" i="34"/>
  <c r="H1142" i="34"/>
  <c r="G1142" i="34"/>
  <c r="F1142" i="34"/>
  <c r="E1142" i="34"/>
  <c r="D1142" i="34"/>
  <c r="C1142" i="34"/>
  <c r="B1142" i="34"/>
  <c r="J1141" i="34"/>
  <c r="I1141" i="34"/>
  <c r="H1141" i="34"/>
  <c r="G1141" i="34"/>
  <c r="F1141" i="34"/>
  <c r="E1141" i="34"/>
  <c r="D1141" i="34"/>
  <c r="C1141" i="34"/>
  <c r="B1141" i="34"/>
  <c r="J1140" i="34"/>
  <c r="I1140" i="34"/>
  <c r="H1140" i="34"/>
  <c r="G1140" i="34"/>
  <c r="F1140" i="34"/>
  <c r="E1140" i="34"/>
  <c r="D1140" i="34"/>
  <c r="C1140" i="34"/>
  <c r="B1140" i="34"/>
  <c r="J1139" i="34"/>
  <c r="I1139" i="34"/>
  <c r="H1139" i="34"/>
  <c r="G1139" i="34"/>
  <c r="F1139" i="34"/>
  <c r="E1139" i="34"/>
  <c r="D1139" i="34"/>
  <c r="C1139" i="34"/>
  <c r="B1139" i="34"/>
  <c r="J1138" i="34"/>
  <c r="I1138" i="34"/>
  <c r="H1138" i="34"/>
  <c r="G1138" i="34"/>
  <c r="F1138" i="34"/>
  <c r="E1138" i="34"/>
  <c r="D1138" i="34"/>
  <c r="C1138" i="34"/>
  <c r="B1138" i="34"/>
  <c r="J1137" i="34"/>
  <c r="I1137" i="34"/>
  <c r="H1137" i="34"/>
  <c r="G1137" i="34"/>
  <c r="F1137" i="34"/>
  <c r="E1137" i="34"/>
  <c r="D1137" i="34"/>
  <c r="C1137" i="34"/>
  <c r="B1137" i="34"/>
  <c r="J1136" i="34"/>
  <c r="I1136" i="34"/>
  <c r="H1136" i="34"/>
  <c r="G1136" i="34"/>
  <c r="F1136" i="34"/>
  <c r="E1136" i="34"/>
  <c r="D1136" i="34"/>
  <c r="C1136" i="34"/>
  <c r="B1136" i="34"/>
  <c r="J1135" i="34"/>
  <c r="I1135" i="34"/>
  <c r="H1135" i="34"/>
  <c r="G1135" i="34"/>
  <c r="F1135" i="34"/>
  <c r="E1135" i="34"/>
  <c r="D1135" i="34"/>
  <c r="C1135" i="34"/>
  <c r="B1135" i="34"/>
  <c r="J1134" i="34"/>
  <c r="I1134" i="34"/>
  <c r="H1134" i="34"/>
  <c r="G1134" i="34"/>
  <c r="F1134" i="34"/>
  <c r="E1134" i="34"/>
  <c r="D1134" i="34"/>
  <c r="C1134" i="34"/>
  <c r="B1134" i="34"/>
  <c r="J1133" i="34"/>
  <c r="I1133" i="34"/>
  <c r="H1133" i="34"/>
  <c r="G1133" i="34"/>
  <c r="F1133" i="34"/>
  <c r="E1133" i="34"/>
  <c r="D1133" i="34"/>
  <c r="C1133" i="34"/>
  <c r="B1133" i="34"/>
  <c r="J1132" i="34"/>
  <c r="I1132" i="34"/>
  <c r="H1132" i="34"/>
  <c r="G1132" i="34"/>
  <c r="F1132" i="34"/>
  <c r="E1132" i="34"/>
  <c r="D1132" i="34"/>
  <c r="C1132" i="34"/>
  <c r="B1132" i="34"/>
  <c r="J1131" i="34"/>
  <c r="I1131" i="34"/>
  <c r="H1131" i="34"/>
  <c r="G1131" i="34"/>
  <c r="F1131" i="34"/>
  <c r="E1131" i="34"/>
  <c r="D1131" i="34"/>
  <c r="C1131" i="34"/>
  <c r="B1131" i="34"/>
  <c r="J1130" i="34"/>
  <c r="I1130" i="34"/>
  <c r="H1130" i="34"/>
  <c r="G1130" i="34"/>
  <c r="F1130" i="34"/>
  <c r="E1130" i="34"/>
  <c r="D1130" i="34"/>
  <c r="C1130" i="34"/>
  <c r="B1130" i="34"/>
  <c r="J1129" i="34"/>
  <c r="I1129" i="34"/>
  <c r="H1129" i="34"/>
  <c r="G1129" i="34"/>
  <c r="F1129" i="34"/>
  <c r="E1129" i="34"/>
  <c r="D1129" i="34"/>
  <c r="C1129" i="34"/>
  <c r="B1129" i="34"/>
  <c r="J1128" i="34"/>
  <c r="I1128" i="34"/>
  <c r="H1128" i="34"/>
  <c r="G1128" i="34"/>
  <c r="F1128" i="34"/>
  <c r="E1128" i="34"/>
  <c r="D1128" i="34"/>
  <c r="C1128" i="34"/>
  <c r="B1128" i="34"/>
  <c r="J1127" i="34"/>
  <c r="I1127" i="34"/>
  <c r="H1127" i="34"/>
  <c r="G1127" i="34"/>
  <c r="F1127" i="34"/>
  <c r="E1127" i="34"/>
  <c r="D1127" i="34"/>
  <c r="C1127" i="34"/>
  <c r="B1127" i="34"/>
  <c r="J1126" i="34"/>
  <c r="I1126" i="34"/>
  <c r="H1126" i="34"/>
  <c r="G1126" i="34"/>
  <c r="F1126" i="34"/>
  <c r="E1126" i="34"/>
  <c r="D1126" i="34"/>
  <c r="C1126" i="34"/>
  <c r="B1126" i="34"/>
  <c r="J1125" i="34"/>
  <c r="I1125" i="34"/>
  <c r="H1125" i="34"/>
  <c r="G1125" i="34"/>
  <c r="F1125" i="34"/>
  <c r="E1125" i="34"/>
  <c r="D1125" i="34"/>
  <c r="C1125" i="34"/>
  <c r="B1125" i="34"/>
  <c r="J1124" i="34"/>
  <c r="I1124" i="34"/>
  <c r="H1124" i="34"/>
  <c r="G1124" i="34"/>
  <c r="F1124" i="34"/>
  <c r="E1124" i="34"/>
  <c r="D1124" i="34"/>
  <c r="C1124" i="34"/>
  <c r="B1124" i="34"/>
  <c r="J1123" i="34"/>
  <c r="I1123" i="34"/>
  <c r="H1123" i="34"/>
  <c r="G1123" i="34"/>
  <c r="F1123" i="34"/>
  <c r="E1123" i="34"/>
  <c r="D1123" i="34"/>
  <c r="C1123" i="34"/>
  <c r="B1123" i="34"/>
  <c r="J1122" i="34"/>
  <c r="I1122" i="34"/>
  <c r="H1122" i="34"/>
  <c r="G1122" i="34"/>
  <c r="F1122" i="34"/>
  <c r="E1122" i="34"/>
  <c r="D1122" i="34"/>
  <c r="C1122" i="34"/>
  <c r="B1122" i="34"/>
  <c r="J1121" i="34"/>
  <c r="I1121" i="34"/>
  <c r="H1121" i="34"/>
  <c r="G1121" i="34"/>
  <c r="F1121" i="34"/>
  <c r="E1121" i="34"/>
  <c r="D1121" i="34"/>
  <c r="C1121" i="34"/>
  <c r="B1121" i="34"/>
  <c r="J1120" i="34"/>
  <c r="I1120" i="34"/>
  <c r="H1120" i="34"/>
  <c r="G1120" i="34"/>
  <c r="F1120" i="34"/>
  <c r="E1120" i="34"/>
  <c r="D1120" i="34"/>
  <c r="C1120" i="34"/>
  <c r="B1120" i="34"/>
  <c r="J1119" i="34"/>
  <c r="I1119" i="34"/>
  <c r="H1119" i="34"/>
  <c r="G1119" i="34"/>
  <c r="F1119" i="34"/>
  <c r="E1119" i="34"/>
  <c r="D1119" i="34"/>
  <c r="C1119" i="34"/>
  <c r="B1119" i="34"/>
  <c r="J1118" i="34"/>
  <c r="I1118" i="34"/>
  <c r="H1118" i="34"/>
  <c r="G1118" i="34"/>
  <c r="F1118" i="34"/>
  <c r="E1118" i="34"/>
  <c r="D1118" i="34"/>
  <c r="C1118" i="34"/>
  <c r="B1118" i="34"/>
  <c r="J1117" i="34"/>
  <c r="I1117" i="34"/>
  <c r="H1117" i="34"/>
  <c r="G1117" i="34"/>
  <c r="F1117" i="34"/>
  <c r="E1117" i="34"/>
  <c r="D1117" i="34"/>
  <c r="C1117" i="34"/>
  <c r="B1117" i="34"/>
  <c r="J1116" i="34"/>
  <c r="I1116" i="34"/>
  <c r="H1116" i="34"/>
  <c r="G1116" i="34"/>
  <c r="F1116" i="34"/>
  <c r="E1116" i="34"/>
  <c r="D1116" i="34"/>
  <c r="C1116" i="34"/>
  <c r="B1116" i="34"/>
  <c r="J1115" i="34"/>
  <c r="I1115" i="34"/>
  <c r="H1115" i="34"/>
  <c r="G1115" i="34"/>
  <c r="F1115" i="34"/>
  <c r="E1115" i="34"/>
  <c r="D1115" i="34"/>
  <c r="C1115" i="34"/>
  <c r="B1115" i="34"/>
  <c r="J1114" i="34"/>
  <c r="I1114" i="34"/>
  <c r="H1114" i="34"/>
  <c r="G1114" i="34"/>
  <c r="F1114" i="34"/>
  <c r="E1114" i="34"/>
  <c r="D1114" i="34"/>
  <c r="C1114" i="34"/>
  <c r="B1114" i="34"/>
  <c r="J1113" i="34"/>
  <c r="I1113" i="34"/>
  <c r="H1113" i="34"/>
  <c r="G1113" i="34"/>
  <c r="F1113" i="34"/>
  <c r="E1113" i="34"/>
  <c r="D1113" i="34"/>
  <c r="C1113" i="34"/>
  <c r="B1113" i="34"/>
  <c r="J1112" i="34"/>
  <c r="I1112" i="34"/>
  <c r="H1112" i="34"/>
  <c r="G1112" i="34"/>
  <c r="F1112" i="34"/>
  <c r="E1112" i="34"/>
  <c r="D1112" i="34"/>
  <c r="C1112" i="34"/>
  <c r="B1112" i="34"/>
  <c r="J1111" i="34"/>
  <c r="I1111" i="34"/>
  <c r="H1111" i="34"/>
  <c r="G1111" i="34"/>
  <c r="F1111" i="34"/>
  <c r="E1111" i="34"/>
  <c r="D1111" i="34"/>
  <c r="C1111" i="34"/>
  <c r="B1111" i="34"/>
  <c r="J1110" i="34"/>
  <c r="I1110" i="34"/>
  <c r="H1110" i="34"/>
  <c r="G1110" i="34"/>
  <c r="F1110" i="34"/>
  <c r="E1110" i="34"/>
  <c r="D1110" i="34"/>
  <c r="C1110" i="34"/>
  <c r="B1110" i="34"/>
  <c r="J1109" i="34"/>
  <c r="I1109" i="34"/>
  <c r="H1109" i="34"/>
  <c r="G1109" i="34"/>
  <c r="F1109" i="34"/>
  <c r="E1109" i="34"/>
  <c r="D1109" i="34"/>
  <c r="C1109" i="34"/>
  <c r="B1109" i="34"/>
  <c r="J1108" i="34"/>
  <c r="I1108" i="34"/>
  <c r="H1108" i="34"/>
  <c r="G1108" i="34"/>
  <c r="F1108" i="34"/>
  <c r="E1108" i="34"/>
  <c r="D1108" i="34"/>
  <c r="C1108" i="34"/>
  <c r="B1108" i="34"/>
  <c r="J1107" i="34"/>
  <c r="I1107" i="34"/>
  <c r="H1107" i="34"/>
  <c r="G1107" i="34"/>
  <c r="F1107" i="34"/>
  <c r="E1107" i="34"/>
  <c r="D1107" i="34"/>
  <c r="C1107" i="34"/>
  <c r="B1107" i="34"/>
  <c r="J1106" i="34"/>
  <c r="I1106" i="34"/>
  <c r="H1106" i="34"/>
  <c r="G1106" i="34"/>
  <c r="F1106" i="34"/>
  <c r="E1106" i="34"/>
  <c r="D1106" i="34"/>
  <c r="C1106" i="34"/>
  <c r="B1106" i="34"/>
  <c r="J1105" i="34"/>
  <c r="I1105" i="34"/>
  <c r="H1105" i="34"/>
  <c r="G1105" i="34"/>
  <c r="F1105" i="34"/>
  <c r="E1105" i="34"/>
  <c r="D1105" i="34"/>
  <c r="C1105" i="34"/>
  <c r="B1105" i="34"/>
  <c r="J1104" i="34"/>
  <c r="I1104" i="34"/>
  <c r="H1104" i="34"/>
  <c r="G1104" i="34"/>
  <c r="F1104" i="34"/>
  <c r="E1104" i="34"/>
  <c r="D1104" i="34"/>
  <c r="C1104" i="34"/>
  <c r="B1104" i="34"/>
  <c r="J1103" i="34"/>
  <c r="I1103" i="34"/>
  <c r="H1103" i="34"/>
  <c r="G1103" i="34"/>
  <c r="F1103" i="34"/>
  <c r="E1103" i="34"/>
  <c r="D1103" i="34"/>
  <c r="C1103" i="34"/>
  <c r="B1103" i="34"/>
  <c r="J1102" i="34"/>
  <c r="I1102" i="34"/>
  <c r="H1102" i="34"/>
  <c r="G1102" i="34"/>
  <c r="F1102" i="34"/>
  <c r="E1102" i="34"/>
  <c r="D1102" i="34"/>
  <c r="C1102" i="34"/>
  <c r="B1102" i="34"/>
  <c r="J1101" i="34"/>
  <c r="I1101" i="34"/>
  <c r="H1101" i="34"/>
  <c r="G1101" i="34"/>
  <c r="F1101" i="34"/>
  <c r="E1101" i="34"/>
  <c r="D1101" i="34"/>
  <c r="C1101" i="34"/>
  <c r="B1101" i="34"/>
  <c r="J1100" i="34"/>
  <c r="I1100" i="34"/>
  <c r="H1100" i="34"/>
  <c r="G1100" i="34"/>
  <c r="F1100" i="34"/>
  <c r="E1100" i="34"/>
  <c r="D1100" i="34"/>
  <c r="C1100" i="34"/>
  <c r="B1100" i="34"/>
  <c r="J1099" i="34"/>
  <c r="I1099" i="34"/>
  <c r="H1099" i="34"/>
  <c r="G1099" i="34"/>
  <c r="F1099" i="34"/>
  <c r="E1099" i="34"/>
  <c r="D1099" i="34"/>
  <c r="C1099" i="34"/>
  <c r="B1099" i="34"/>
  <c r="J1098" i="34"/>
  <c r="I1098" i="34"/>
  <c r="H1098" i="34"/>
  <c r="G1098" i="34"/>
  <c r="F1098" i="34"/>
  <c r="E1098" i="34"/>
  <c r="D1098" i="34"/>
  <c r="C1098" i="34"/>
  <c r="B1098" i="34"/>
  <c r="J1097" i="34"/>
  <c r="I1097" i="34"/>
  <c r="H1097" i="34"/>
  <c r="G1097" i="34"/>
  <c r="F1097" i="34"/>
  <c r="E1097" i="34"/>
  <c r="D1097" i="34"/>
  <c r="C1097" i="34"/>
  <c r="B1097" i="34"/>
  <c r="J1096" i="34"/>
  <c r="I1096" i="34"/>
  <c r="H1096" i="34"/>
  <c r="G1096" i="34"/>
  <c r="F1096" i="34"/>
  <c r="E1096" i="34"/>
  <c r="D1096" i="34"/>
  <c r="C1096" i="34"/>
  <c r="B1096" i="34"/>
  <c r="J1095" i="34"/>
  <c r="I1095" i="34"/>
  <c r="H1095" i="34"/>
  <c r="G1095" i="34"/>
  <c r="F1095" i="34"/>
  <c r="E1095" i="34"/>
  <c r="D1095" i="34"/>
  <c r="C1095" i="34"/>
  <c r="B1095" i="34"/>
  <c r="J1094" i="34"/>
  <c r="I1094" i="34"/>
  <c r="H1094" i="34"/>
  <c r="G1094" i="34"/>
  <c r="F1094" i="34"/>
  <c r="E1094" i="34"/>
  <c r="D1094" i="34"/>
  <c r="C1094" i="34"/>
  <c r="B1094" i="34"/>
  <c r="J1093" i="34"/>
  <c r="I1093" i="34"/>
  <c r="H1093" i="34"/>
  <c r="G1093" i="34"/>
  <c r="F1093" i="34"/>
  <c r="E1093" i="34"/>
  <c r="D1093" i="34"/>
  <c r="C1093" i="34"/>
  <c r="B1093" i="34"/>
  <c r="J1092" i="34"/>
  <c r="I1092" i="34"/>
  <c r="H1092" i="34"/>
  <c r="G1092" i="34"/>
  <c r="F1092" i="34"/>
  <c r="E1092" i="34"/>
  <c r="D1092" i="34"/>
  <c r="C1092" i="34"/>
  <c r="B1092" i="34"/>
  <c r="J1091" i="34"/>
  <c r="I1091" i="34"/>
  <c r="H1091" i="34"/>
  <c r="G1091" i="34"/>
  <c r="F1091" i="34"/>
  <c r="E1091" i="34"/>
  <c r="D1091" i="34"/>
  <c r="C1091" i="34"/>
  <c r="B1091" i="34"/>
  <c r="J1090" i="34"/>
  <c r="I1090" i="34"/>
  <c r="H1090" i="34"/>
  <c r="G1090" i="34"/>
  <c r="F1090" i="34"/>
  <c r="E1090" i="34"/>
  <c r="D1090" i="34"/>
  <c r="C1090" i="34"/>
  <c r="B1090" i="34"/>
  <c r="J1089" i="34"/>
  <c r="I1089" i="34"/>
  <c r="H1089" i="34"/>
  <c r="G1089" i="34"/>
  <c r="F1089" i="34"/>
  <c r="E1089" i="34"/>
  <c r="D1089" i="34"/>
  <c r="C1089" i="34"/>
  <c r="B1089" i="34"/>
  <c r="J1088" i="34"/>
  <c r="I1088" i="34"/>
  <c r="H1088" i="34"/>
  <c r="G1088" i="34"/>
  <c r="F1088" i="34"/>
  <c r="E1088" i="34"/>
  <c r="D1088" i="34"/>
  <c r="C1088" i="34"/>
  <c r="B1088" i="34"/>
  <c r="J1087" i="34"/>
  <c r="I1087" i="34"/>
  <c r="H1087" i="34"/>
  <c r="G1087" i="34"/>
  <c r="F1087" i="34"/>
  <c r="E1087" i="34"/>
  <c r="D1087" i="34"/>
  <c r="C1087" i="34"/>
  <c r="B1087" i="34"/>
  <c r="J1086" i="34"/>
  <c r="I1086" i="34"/>
  <c r="H1086" i="34"/>
  <c r="G1086" i="34"/>
  <c r="F1086" i="34"/>
  <c r="E1086" i="34"/>
  <c r="D1086" i="34"/>
  <c r="C1086" i="34"/>
  <c r="B1086" i="34"/>
  <c r="J1085" i="34"/>
  <c r="I1085" i="34"/>
  <c r="H1085" i="34"/>
  <c r="G1085" i="34"/>
  <c r="F1085" i="34"/>
  <c r="E1085" i="34"/>
  <c r="D1085" i="34"/>
  <c r="C1085" i="34"/>
  <c r="B1085" i="34"/>
  <c r="J1084" i="34"/>
  <c r="I1084" i="34"/>
  <c r="H1084" i="34"/>
  <c r="G1084" i="34"/>
  <c r="F1084" i="34"/>
  <c r="E1084" i="34"/>
  <c r="D1084" i="34"/>
  <c r="C1084" i="34"/>
  <c r="B1084" i="34"/>
  <c r="J1083" i="34"/>
  <c r="I1083" i="34"/>
  <c r="H1083" i="34"/>
  <c r="G1083" i="34"/>
  <c r="F1083" i="34"/>
  <c r="E1083" i="34"/>
  <c r="D1083" i="34"/>
  <c r="C1083" i="34"/>
  <c r="B1083" i="34"/>
  <c r="J1082" i="34"/>
  <c r="I1082" i="34"/>
  <c r="H1082" i="34"/>
  <c r="G1082" i="34"/>
  <c r="F1082" i="34"/>
  <c r="E1082" i="34"/>
  <c r="D1082" i="34"/>
  <c r="C1082" i="34"/>
  <c r="B1082" i="34"/>
  <c r="J1081" i="34"/>
  <c r="I1081" i="34"/>
  <c r="H1081" i="34"/>
  <c r="G1081" i="34"/>
  <c r="F1081" i="34"/>
  <c r="E1081" i="34"/>
  <c r="D1081" i="34"/>
  <c r="C1081" i="34"/>
  <c r="B1081" i="34"/>
  <c r="J1080" i="34"/>
  <c r="I1080" i="34"/>
  <c r="H1080" i="34"/>
  <c r="G1080" i="34"/>
  <c r="F1080" i="34"/>
  <c r="E1080" i="34"/>
  <c r="D1080" i="34"/>
  <c r="C1080" i="34"/>
  <c r="B1080" i="34"/>
  <c r="J1079" i="34"/>
  <c r="I1079" i="34"/>
  <c r="H1079" i="34"/>
  <c r="G1079" i="34"/>
  <c r="F1079" i="34"/>
  <c r="E1079" i="34"/>
  <c r="D1079" i="34"/>
  <c r="C1079" i="34"/>
  <c r="B1079" i="34"/>
  <c r="J1078" i="34"/>
  <c r="I1078" i="34"/>
  <c r="H1078" i="34"/>
  <c r="G1078" i="34"/>
  <c r="F1078" i="34"/>
  <c r="E1078" i="34"/>
  <c r="D1078" i="34"/>
  <c r="C1078" i="34"/>
  <c r="B1078" i="34"/>
  <c r="J1077" i="34"/>
  <c r="I1077" i="34"/>
  <c r="H1077" i="34"/>
  <c r="G1077" i="34"/>
  <c r="F1077" i="34"/>
  <c r="E1077" i="34"/>
  <c r="D1077" i="34"/>
  <c r="C1077" i="34"/>
  <c r="B1077" i="34"/>
  <c r="J1076" i="34"/>
  <c r="I1076" i="34"/>
  <c r="H1076" i="34"/>
  <c r="G1076" i="34"/>
  <c r="F1076" i="34"/>
  <c r="E1076" i="34"/>
  <c r="D1076" i="34"/>
  <c r="C1076" i="34"/>
  <c r="B1076" i="34"/>
  <c r="J1075" i="34"/>
  <c r="I1075" i="34"/>
  <c r="H1075" i="34"/>
  <c r="G1075" i="34"/>
  <c r="F1075" i="34"/>
  <c r="E1075" i="34"/>
  <c r="D1075" i="34"/>
  <c r="C1075" i="34"/>
  <c r="B1075" i="34"/>
  <c r="J1074" i="34"/>
  <c r="I1074" i="34"/>
  <c r="H1074" i="34"/>
  <c r="G1074" i="34"/>
  <c r="F1074" i="34"/>
  <c r="E1074" i="34"/>
  <c r="D1074" i="34"/>
  <c r="C1074" i="34"/>
  <c r="B1074" i="34"/>
  <c r="J1073" i="34"/>
  <c r="I1073" i="34"/>
  <c r="H1073" i="34"/>
  <c r="G1073" i="34"/>
  <c r="F1073" i="34"/>
  <c r="E1073" i="34"/>
  <c r="D1073" i="34"/>
  <c r="C1073" i="34"/>
  <c r="B1073" i="34"/>
  <c r="J1072" i="34"/>
  <c r="I1072" i="34"/>
  <c r="H1072" i="34"/>
  <c r="G1072" i="34"/>
  <c r="F1072" i="34"/>
  <c r="E1072" i="34"/>
  <c r="D1072" i="34"/>
  <c r="C1072" i="34"/>
  <c r="B1072" i="34"/>
  <c r="J1071" i="34"/>
  <c r="I1071" i="34"/>
  <c r="H1071" i="34"/>
  <c r="G1071" i="34"/>
  <c r="F1071" i="34"/>
  <c r="E1071" i="34"/>
  <c r="D1071" i="34"/>
  <c r="C1071" i="34"/>
  <c r="B1071" i="34"/>
  <c r="J1070" i="34"/>
  <c r="I1070" i="34"/>
  <c r="H1070" i="34"/>
  <c r="G1070" i="34"/>
  <c r="F1070" i="34"/>
  <c r="E1070" i="34"/>
  <c r="D1070" i="34"/>
  <c r="C1070" i="34"/>
  <c r="B1070" i="34"/>
  <c r="J1069" i="34"/>
  <c r="I1069" i="34"/>
  <c r="H1069" i="34"/>
  <c r="G1069" i="34"/>
  <c r="F1069" i="34"/>
  <c r="E1069" i="34"/>
  <c r="D1069" i="34"/>
  <c r="C1069" i="34"/>
  <c r="B1069" i="34"/>
  <c r="J1068" i="34"/>
  <c r="I1068" i="34"/>
  <c r="H1068" i="34"/>
  <c r="G1068" i="34"/>
  <c r="F1068" i="34"/>
  <c r="E1068" i="34"/>
  <c r="D1068" i="34"/>
  <c r="C1068" i="34"/>
  <c r="B1068" i="34"/>
  <c r="J1067" i="34"/>
  <c r="I1067" i="34"/>
  <c r="H1067" i="34"/>
  <c r="G1067" i="34"/>
  <c r="F1067" i="34"/>
  <c r="E1067" i="34"/>
  <c r="D1067" i="34"/>
  <c r="C1067" i="34"/>
  <c r="B1067" i="34"/>
  <c r="J1066" i="34"/>
  <c r="I1066" i="34"/>
  <c r="H1066" i="34"/>
  <c r="G1066" i="34"/>
  <c r="F1066" i="34"/>
  <c r="E1066" i="34"/>
  <c r="D1066" i="34"/>
  <c r="C1066" i="34"/>
  <c r="B1066" i="34"/>
  <c r="J1065" i="34"/>
  <c r="I1065" i="34"/>
  <c r="H1065" i="34"/>
  <c r="G1065" i="34"/>
  <c r="F1065" i="34"/>
  <c r="E1065" i="34"/>
  <c r="D1065" i="34"/>
  <c r="C1065" i="34"/>
  <c r="B1065" i="34"/>
  <c r="J1064" i="34"/>
  <c r="I1064" i="34"/>
  <c r="H1064" i="34"/>
  <c r="G1064" i="34"/>
  <c r="F1064" i="34"/>
  <c r="E1064" i="34"/>
  <c r="D1064" i="34"/>
  <c r="C1064" i="34"/>
  <c r="B1064" i="34"/>
  <c r="J1063" i="34"/>
  <c r="I1063" i="34"/>
  <c r="H1063" i="34"/>
  <c r="G1063" i="34"/>
  <c r="F1063" i="34"/>
  <c r="E1063" i="34"/>
  <c r="D1063" i="34"/>
  <c r="C1063" i="34"/>
  <c r="B1063" i="34"/>
  <c r="J1062" i="34"/>
  <c r="I1062" i="34"/>
  <c r="H1062" i="34"/>
  <c r="G1062" i="34"/>
  <c r="F1062" i="34"/>
  <c r="E1062" i="34"/>
  <c r="D1062" i="34"/>
  <c r="C1062" i="34"/>
  <c r="B1062" i="34"/>
  <c r="J1061" i="34"/>
  <c r="I1061" i="34"/>
  <c r="H1061" i="34"/>
  <c r="G1061" i="34"/>
  <c r="F1061" i="34"/>
  <c r="E1061" i="34"/>
  <c r="D1061" i="34"/>
  <c r="C1061" i="34"/>
  <c r="B1061" i="34"/>
  <c r="J1060" i="34"/>
  <c r="I1060" i="34"/>
  <c r="H1060" i="34"/>
  <c r="G1060" i="34"/>
  <c r="F1060" i="34"/>
  <c r="E1060" i="34"/>
  <c r="D1060" i="34"/>
  <c r="C1060" i="34"/>
  <c r="B1060" i="34"/>
  <c r="J1059" i="34"/>
  <c r="I1059" i="34"/>
  <c r="H1059" i="34"/>
  <c r="G1059" i="34"/>
  <c r="F1059" i="34"/>
  <c r="E1059" i="34"/>
  <c r="D1059" i="34"/>
  <c r="C1059" i="34"/>
  <c r="B1059" i="34"/>
  <c r="J1058" i="34"/>
  <c r="I1058" i="34"/>
  <c r="H1058" i="34"/>
  <c r="G1058" i="34"/>
  <c r="F1058" i="34"/>
  <c r="E1058" i="34"/>
  <c r="D1058" i="34"/>
  <c r="C1058" i="34"/>
  <c r="B1058" i="34"/>
  <c r="J1057" i="34"/>
  <c r="I1057" i="34"/>
  <c r="H1057" i="34"/>
  <c r="G1057" i="34"/>
  <c r="F1057" i="34"/>
  <c r="E1057" i="34"/>
  <c r="D1057" i="34"/>
  <c r="C1057" i="34"/>
  <c r="B1057" i="34"/>
  <c r="J1056" i="34"/>
  <c r="I1056" i="34"/>
  <c r="H1056" i="34"/>
  <c r="G1056" i="34"/>
  <c r="F1056" i="34"/>
  <c r="E1056" i="34"/>
  <c r="D1056" i="34"/>
  <c r="C1056" i="34"/>
  <c r="B1056" i="34"/>
  <c r="J1055" i="34"/>
  <c r="I1055" i="34"/>
  <c r="H1055" i="34"/>
  <c r="G1055" i="34"/>
  <c r="F1055" i="34"/>
  <c r="E1055" i="34"/>
  <c r="D1055" i="34"/>
  <c r="C1055" i="34"/>
  <c r="B1055" i="34"/>
  <c r="J1054" i="34"/>
  <c r="I1054" i="34"/>
  <c r="H1054" i="34"/>
  <c r="G1054" i="34"/>
  <c r="F1054" i="34"/>
  <c r="E1054" i="34"/>
  <c r="D1054" i="34"/>
  <c r="C1054" i="34"/>
  <c r="B1054" i="34"/>
  <c r="J1053" i="34"/>
  <c r="I1053" i="34"/>
  <c r="H1053" i="34"/>
  <c r="G1053" i="34"/>
  <c r="F1053" i="34"/>
  <c r="E1053" i="34"/>
  <c r="D1053" i="34"/>
  <c r="C1053" i="34"/>
  <c r="B1053" i="34"/>
  <c r="J1052" i="34"/>
  <c r="I1052" i="34"/>
  <c r="H1052" i="34"/>
  <c r="G1052" i="34"/>
  <c r="F1052" i="34"/>
  <c r="E1052" i="34"/>
  <c r="D1052" i="34"/>
  <c r="C1052" i="34"/>
  <c r="B1052" i="34"/>
  <c r="J1051" i="34"/>
  <c r="I1051" i="34"/>
  <c r="H1051" i="34"/>
  <c r="G1051" i="34"/>
  <c r="F1051" i="34"/>
  <c r="E1051" i="34"/>
  <c r="D1051" i="34"/>
  <c r="C1051" i="34"/>
  <c r="B1051" i="34"/>
  <c r="J1050" i="34"/>
  <c r="I1050" i="34"/>
  <c r="H1050" i="34"/>
  <c r="G1050" i="34"/>
  <c r="F1050" i="34"/>
  <c r="E1050" i="34"/>
  <c r="D1050" i="34"/>
  <c r="C1050" i="34"/>
  <c r="B1050" i="34"/>
  <c r="J1049" i="34"/>
  <c r="I1049" i="34"/>
  <c r="H1049" i="34"/>
  <c r="G1049" i="34"/>
  <c r="F1049" i="34"/>
  <c r="E1049" i="34"/>
  <c r="D1049" i="34"/>
  <c r="C1049" i="34"/>
  <c r="B1049" i="34"/>
  <c r="J1048" i="34"/>
  <c r="I1048" i="34"/>
  <c r="H1048" i="34"/>
  <c r="G1048" i="34"/>
  <c r="F1048" i="34"/>
  <c r="E1048" i="34"/>
  <c r="D1048" i="34"/>
  <c r="C1048" i="34"/>
  <c r="B1048" i="34"/>
  <c r="J1047" i="34"/>
  <c r="I1047" i="34"/>
  <c r="H1047" i="34"/>
  <c r="G1047" i="34"/>
  <c r="F1047" i="34"/>
  <c r="E1047" i="34"/>
  <c r="D1047" i="34"/>
  <c r="C1047" i="34"/>
  <c r="B1047" i="34"/>
  <c r="J1046" i="34"/>
  <c r="I1046" i="34"/>
  <c r="H1046" i="34"/>
  <c r="G1046" i="34"/>
  <c r="F1046" i="34"/>
  <c r="E1046" i="34"/>
  <c r="D1046" i="34"/>
  <c r="C1046" i="34"/>
  <c r="B1046" i="34"/>
  <c r="J1045" i="34"/>
  <c r="I1045" i="34"/>
  <c r="H1045" i="34"/>
  <c r="G1045" i="34"/>
  <c r="F1045" i="34"/>
  <c r="E1045" i="34"/>
  <c r="D1045" i="34"/>
  <c r="C1045" i="34"/>
  <c r="B1045" i="34"/>
  <c r="J1044" i="34"/>
  <c r="I1044" i="34"/>
  <c r="H1044" i="34"/>
  <c r="G1044" i="34"/>
  <c r="F1044" i="34"/>
  <c r="E1044" i="34"/>
  <c r="D1044" i="34"/>
  <c r="C1044" i="34"/>
  <c r="B1044" i="34"/>
  <c r="J1043" i="34"/>
  <c r="I1043" i="34"/>
  <c r="H1043" i="34"/>
  <c r="G1043" i="34"/>
  <c r="F1043" i="34"/>
  <c r="E1043" i="34"/>
  <c r="D1043" i="34"/>
  <c r="C1043" i="34"/>
  <c r="B1043" i="34"/>
  <c r="J1042" i="34"/>
  <c r="I1042" i="34"/>
  <c r="H1042" i="34"/>
  <c r="G1042" i="34"/>
  <c r="F1042" i="34"/>
  <c r="E1042" i="34"/>
  <c r="D1042" i="34"/>
  <c r="C1042" i="34"/>
  <c r="B1042" i="34"/>
  <c r="J1041" i="34"/>
  <c r="I1041" i="34"/>
  <c r="H1041" i="34"/>
  <c r="G1041" i="34"/>
  <c r="F1041" i="34"/>
  <c r="E1041" i="34"/>
  <c r="D1041" i="34"/>
  <c r="C1041" i="34"/>
  <c r="B1041" i="34"/>
  <c r="J1040" i="34"/>
  <c r="I1040" i="34"/>
  <c r="H1040" i="34"/>
  <c r="G1040" i="34"/>
  <c r="F1040" i="34"/>
  <c r="E1040" i="34"/>
  <c r="D1040" i="34"/>
  <c r="C1040" i="34"/>
  <c r="B1040" i="34"/>
  <c r="J1039" i="34"/>
  <c r="I1039" i="34"/>
  <c r="H1039" i="34"/>
  <c r="G1039" i="34"/>
  <c r="F1039" i="34"/>
  <c r="E1039" i="34"/>
  <c r="D1039" i="34"/>
  <c r="C1039" i="34"/>
  <c r="B1039" i="34"/>
  <c r="J1038" i="34"/>
  <c r="I1038" i="34"/>
  <c r="H1038" i="34"/>
  <c r="G1038" i="34"/>
  <c r="F1038" i="34"/>
  <c r="E1038" i="34"/>
  <c r="D1038" i="34"/>
  <c r="C1038" i="34"/>
  <c r="B1038" i="34"/>
  <c r="J1037" i="34"/>
  <c r="I1037" i="34"/>
  <c r="H1037" i="34"/>
  <c r="G1037" i="34"/>
  <c r="F1037" i="34"/>
  <c r="E1037" i="34"/>
  <c r="D1037" i="34"/>
  <c r="C1037" i="34"/>
  <c r="B1037" i="34"/>
  <c r="J1036" i="34"/>
  <c r="I1036" i="34"/>
  <c r="H1036" i="34"/>
  <c r="G1036" i="34"/>
  <c r="F1036" i="34"/>
  <c r="E1036" i="34"/>
  <c r="D1036" i="34"/>
  <c r="C1036" i="34"/>
  <c r="B1036" i="34"/>
  <c r="J1035" i="34"/>
  <c r="I1035" i="34"/>
  <c r="H1035" i="34"/>
  <c r="G1035" i="34"/>
  <c r="F1035" i="34"/>
  <c r="E1035" i="34"/>
  <c r="D1035" i="34"/>
  <c r="C1035" i="34"/>
  <c r="B1035" i="34"/>
  <c r="J1034" i="34"/>
  <c r="I1034" i="34"/>
  <c r="H1034" i="34"/>
  <c r="G1034" i="34"/>
  <c r="F1034" i="34"/>
  <c r="E1034" i="34"/>
  <c r="D1034" i="34"/>
  <c r="C1034" i="34"/>
  <c r="B1034" i="34"/>
  <c r="J1033" i="34"/>
  <c r="I1033" i="34"/>
  <c r="H1033" i="34"/>
  <c r="G1033" i="34"/>
  <c r="F1033" i="34"/>
  <c r="E1033" i="34"/>
  <c r="D1033" i="34"/>
  <c r="C1033" i="34"/>
  <c r="B1033" i="34"/>
  <c r="J1032" i="34"/>
  <c r="I1032" i="34"/>
  <c r="H1032" i="34"/>
  <c r="G1032" i="34"/>
  <c r="F1032" i="34"/>
  <c r="E1032" i="34"/>
  <c r="D1032" i="34"/>
  <c r="C1032" i="34"/>
  <c r="B1032" i="34"/>
  <c r="J1031" i="34"/>
  <c r="I1031" i="34"/>
  <c r="H1031" i="34"/>
  <c r="G1031" i="34"/>
  <c r="F1031" i="34"/>
  <c r="E1031" i="34"/>
  <c r="D1031" i="34"/>
  <c r="C1031" i="34"/>
  <c r="B1031" i="34"/>
  <c r="J1030" i="34"/>
  <c r="I1030" i="34"/>
  <c r="H1030" i="34"/>
  <c r="G1030" i="34"/>
  <c r="F1030" i="34"/>
  <c r="E1030" i="34"/>
  <c r="D1030" i="34"/>
  <c r="C1030" i="34"/>
  <c r="B1030" i="34"/>
  <c r="J1029" i="34"/>
  <c r="I1029" i="34"/>
  <c r="H1029" i="34"/>
  <c r="G1029" i="34"/>
  <c r="F1029" i="34"/>
  <c r="E1029" i="34"/>
  <c r="D1029" i="34"/>
  <c r="C1029" i="34"/>
  <c r="B1029" i="34"/>
  <c r="J1028" i="34"/>
  <c r="I1028" i="34"/>
  <c r="H1028" i="34"/>
  <c r="G1028" i="34"/>
  <c r="F1028" i="34"/>
  <c r="E1028" i="34"/>
  <c r="D1028" i="34"/>
  <c r="C1028" i="34"/>
  <c r="B1028" i="34"/>
  <c r="J1027" i="34"/>
  <c r="I1027" i="34"/>
  <c r="H1027" i="34"/>
  <c r="G1027" i="34"/>
  <c r="F1027" i="34"/>
  <c r="E1027" i="34"/>
  <c r="D1027" i="34"/>
  <c r="C1027" i="34"/>
  <c r="B1027" i="34"/>
  <c r="J1026" i="34"/>
  <c r="I1026" i="34"/>
  <c r="H1026" i="34"/>
  <c r="G1026" i="34"/>
  <c r="F1026" i="34"/>
  <c r="E1026" i="34"/>
  <c r="D1026" i="34"/>
  <c r="C1026" i="34"/>
  <c r="B1026" i="34"/>
  <c r="J1025" i="34"/>
  <c r="I1025" i="34"/>
  <c r="H1025" i="34"/>
  <c r="G1025" i="34"/>
  <c r="F1025" i="34"/>
  <c r="E1025" i="34"/>
  <c r="D1025" i="34"/>
  <c r="C1025" i="34"/>
  <c r="B1025" i="34"/>
  <c r="J1024" i="34"/>
  <c r="I1024" i="34"/>
  <c r="H1024" i="34"/>
  <c r="G1024" i="34"/>
  <c r="F1024" i="34"/>
  <c r="E1024" i="34"/>
  <c r="D1024" i="34"/>
  <c r="C1024" i="34"/>
  <c r="B1024" i="34"/>
  <c r="J1023" i="34"/>
  <c r="I1023" i="34"/>
  <c r="H1023" i="34"/>
  <c r="G1023" i="34"/>
  <c r="F1023" i="34"/>
  <c r="E1023" i="34"/>
  <c r="D1023" i="34"/>
  <c r="C1023" i="34"/>
  <c r="B1023" i="34"/>
  <c r="J1022" i="34"/>
  <c r="I1022" i="34"/>
  <c r="H1022" i="34"/>
  <c r="G1022" i="34"/>
  <c r="F1022" i="34"/>
  <c r="E1022" i="34"/>
  <c r="D1022" i="34"/>
  <c r="C1022" i="34"/>
  <c r="B1022" i="34"/>
  <c r="J1021" i="34"/>
  <c r="I1021" i="34"/>
  <c r="H1021" i="34"/>
  <c r="G1021" i="34"/>
  <c r="F1021" i="34"/>
  <c r="E1021" i="34"/>
  <c r="D1021" i="34"/>
  <c r="C1021" i="34"/>
  <c r="B1021" i="34"/>
  <c r="J1020" i="34"/>
  <c r="I1020" i="34"/>
  <c r="H1020" i="34"/>
  <c r="G1020" i="34"/>
  <c r="F1020" i="34"/>
  <c r="E1020" i="34"/>
  <c r="D1020" i="34"/>
  <c r="C1020" i="34"/>
  <c r="B1020" i="34"/>
  <c r="J1019" i="34"/>
  <c r="I1019" i="34"/>
  <c r="H1019" i="34"/>
  <c r="G1019" i="34"/>
  <c r="F1019" i="34"/>
  <c r="E1019" i="34"/>
  <c r="D1019" i="34"/>
  <c r="C1019" i="34"/>
  <c r="B1019" i="34"/>
  <c r="J1018" i="34"/>
  <c r="I1018" i="34"/>
  <c r="H1018" i="34"/>
  <c r="G1018" i="34"/>
  <c r="F1018" i="34"/>
  <c r="E1018" i="34"/>
  <c r="D1018" i="34"/>
  <c r="C1018" i="34"/>
  <c r="B1018" i="34"/>
  <c r="J1017" i="34"/>
  <c r="I1017" i="34"/>
  <c r="H1017" i="34"/>
  <c r="G1017" i="34"/>
  <c r="F1017" i="34"/>
  <c r="E1017" i="34"/>
  <c r="D1017" i="34"/>
  <c r="C1017" i="34"/>
  <c r="B1017" i="34"/>
  <c r="J1016" i="34"/>
  <c r="I1016" i="34"/>
  <c r="H1016" i="34"/>
  <c r="G1016" i="34"/>
  <c r="F1016" i="34"/>
  <c r="E1016" i="34"/>
  <c r="D1016" i="34"/>
  <c r="C1016" i="34"/>
  <c r="B1016" i="34"/>
  <c r="J1015" i="34"/>
  <c r="I1015" i="34"/>
  <c r="H1015" i="34"/>
  <c r="G1015" i="34"/>
  <c r="F1015" i="34"/>
  <c r="E1015" i="34"/>
  <c r="D1015" i="34"/>
  <c r="C1015" i="34"/>
  <c r="B1015" i="34"/>
  <c r="J1014" i="34"/>
  <c r="I1014" i="34"/>
  <c r="H1014" i="34"/>
  <c r="G1014" i="34"/>
  <c r="F1014" i="34"/>
  <c r="E1014" i="34"/>
  <c r="D1014" i="34"/>
  <c r="C1014" i="34"/>
  <c r="B1014" i="34"/>
  <c r="J1013" i="34"/>
  <c r="I1013" i="34"/>
  <c r="H1013" i="34"/>
  <c r="G1013" i="34"/>
  <c r="F1013" i="34"/>
  <c r="E1013" i="34"/>
  <c r="D1013" i="34"/>
  <c r="C1013" i="34"/>
  <c r="B1013" i="34"/>
  <c r="J1012" i="34"/>
  <c r="I1012" i="34"/>
  <c r="H1012" i="34"/>
  <c r="G1012" i="34"/>
  <c r="F1012" i="34"/>
  <c r="E1012" i="34"/>
  <c r="D1012" i="34"/>
  <c r="C1012" i="34"/>
  <c r="B1012" i="34"/>
  <c r="J1011" i="34"/>
  <c r="I1011" i="34"/>
  <c r="H1011" i="34"/>
  <c r="G1011" i="34"/>
  <c r="F1011" i="34"/>
  <c r="E1011" i="34"/>
  <c r="D1011" i="34"/>
  <c r="C1011" i="34"/>
  <c r="B1011" i="34"/>
  <c r="J1010" i="34"/>
  <c r="I1010" i="34"/>
  <c r="H1010" i="34"/>
  <c r="G1010" i="34"/>
  <c r="F1010" i="34"/>
  <c r="E1010" i="34"/>
  <c r="D1010" i="34"/>
  <c r="C1010" i="34"/>
  <c r="B1010" i="34"/>
  <c r="J1009" i="34"/>
  <c r="I1009" i="34"/>
  <c r="H1009" i="34"/>
  <c r="G1009" i="34"/>
  <c r="F1009" i="34"/>
  <c r="E1009" i="34"/>
  <c r="D1009" i="34"/>
  <c r="C1009" i="34"/>
  <c r="B1009" i="34"/>
  <c r="J1008" i="34"/>
  <c r="I1008" i="34"/>
  <c r="H1008" i="34"/>
  <c r="G1008" i="34"/>
  <c r="F1008" i="34"/>
  <c r="E1008" i="34"/>
  <c r="D1008" i="34"/>
  <c r="C1008" i="34"/>
  <c r="B1008" i="34"/>
  <c r="J1007" i="34"/>
  <c r="I1007" i="34"/>
  <c r="H1007" i="34"/>
  <c r="G1007" i="34"/>
  <c r="F1007" i="34"/>
  <c r="E1007" i="34"/>
  <c r="D1007" i="34"/>
  <c r="C1007" i="34"/>
  <c r="B1007" i="34"/>
  <c r="J1006" i="34"/>
  <c r="I1006" i="34"/>
  <c r="H1006" i="34"/>
  <c r="G1006" i="34"/>
  <c r="F1006" i="34"/>
  <c r="E1006" i="34"/>
  <c r="D1006" i="34"/>
  <c r="C1006" i="34"/>
  <c r="B1006" i="34"/>
  <c r="J1005" i="34"/>
  <c r="I1005" i="34"/>
  <c r="H1005" i="34"/>
  <c r="G1005" i="34"/>
  <c r="F1005" i="34"/>
  <c r="E1005" i="34"/>
  <c r="D1005" i="34"/>
  <c r="C1005" i="34"/>
  <c r="B1005" i="34"/>
  <c r="J1004" i="34"/>
  <c r="I1004" i="34"/>
  <c r="H1004" i="34"/>
  <c r="G1004" i="34"/>
  <c r="F1004" i="34"/>
  <c r="E1004" i="34"/>
  <c r="D1004" i="34"/>
  <c r="C1004" i="34"/>
  <c r="B1004" i="34"/>
  <c r="J1003" i="34"/>
  <c r="I1003" i="34"/>
  <c r="H1003" i="34"/>
  <c r="G1003" i="34"/>
  <c r="F1003" i="34"/>
  <c r="E1003" i="34"/>
  <c r="D1003" i="34"/>
  <c r="C1003" i="34"/>
  <c r="B1003" i="34"/>
  <c r="J1002" i="34"/>
  <c r="I1002" i="34"/>
  <c r="H1002" i="34"/>
  <c r="G1002" i="34"/>
  <c r="F1002" i="34"/>
  <c r="E1002" i="34"/>
  <c r="D1002" i="34"/>
  <c r="C1002" i="34"/>
  <c r="B1002" i="34"/>
  <c r="J1001" i="34"/>
  <c r="I1001" i="34"/>
  <c r="H1001" i="34"/>
  <c r="G1001" i="34"/>
  <c r="F1001" i="34"/>
  <c r="E1001" i="34"/>
  <c r="D1001" i="34"/>
  <c r="C1001" i="34"/>
  <c r="B1001" i="34"/>
  <c r="J1000" i="34"/>
  <c r="I1000" i="34"/>
  <c r="H1000" i="34"/>
  <c r="G1000" i="34"/>
  <c r="F1000" i="34"/>
  <c r="E1000" i="34"/>
  <c r="D1000" i="34"/>
  <c r="C1000" i="34"/>
  <c r="B1000" i="34"/>
  <c r="J999" i="34"/>
  <c r="I999" i="34"/>
  <c r="H999" i="34"/>
  <c r="G999" i="34"/>
  <c r="F999" i="34"/>
  <c r="E999" i="34"/>
  <c r="D999" i="34"/>
  <c r="C999" i="34"/>
  <c r="B999" i="34"/>
  <c r="J998" i="34"/>
  <c r="I998" i="34"/>
  <c r="H998" i="34"/>
  <c r="G998" i="34"/>
  <c r="F998" i="34"/>
  <c r="E998" i="34"/>
  <c r="D998" i="34"/>
  <c r="C998" i="34"/>
  <c r="B998" i="34"/>
  <c r="J997" i="34"/>
  <c r="I997" i="34"/>
  <c r="H997" i="34"/>
  <c r="G997" i="34"/>
  <c r="F997" i="34"/>
  <c r="E997" i="34"/>
  <c r="D997" i="34"/>
  <c r="C997" i="34"/>
  <c r="B997" i="34"/>
  <c r="J996" i="34"/>
  <c r="I996" i="34"/>
  <c r="H996" i="34"/>
  <c r="G996" i="34"/>
  <c r="F996" i="34"/>
  <c r="E996" i="34"/>
  <c r="D996" i="34"/>
  <c r="C996" i="34"/>
  <c r="B996" i="34"/>
  <c r="J995" i="34"/>
  <c r="I995" i="34"/>
  <c r="H995" i="34"/>
  <c r="G995" i="34"/>
  <c r="F995" i="34"/>
  <c r="E995" i="34"/>
  <c r="D995" i="34"/>
  <c r="C995" i="34"/>
  <c r="B995" i="34"/>
  <c r="J994" i="34"/>
  <c r="I994" i="34"/>
  <c r="H994" i="34"/>
  <c r="G994" i="34"/>
  <c r="F994" i="34"/>
  <c r="E994" i="34"/>
  <c r="D994" i="34"/>
  <c r="C994" i="34"/>
  <c r="B994" i="34"/>
  <c r="J993" i="34"/>
  <c r="I993" i="34"/>
  <c r="H993" i="34"/>
  <c r="G993" i="34"/>
  <c r="F993" i="34"/>
  <c r="E993" i="34"/>
  <c r="D993" i="34"/>
  <c r="C993" i="34"/>
  <c r="B993" i="34"/>
  <c r="J992" i="34"/>
  <c r="I992" i="34"/>
  <c r="H992" i="34"/>
  <c r="G992" i="34"/>
  <c r="F992" i="34"/>
  <c r="E992" i="34"/>
  <c r="D992" i="34"/>
  <c r="C992" i="34"/>
  <c r="B992" i="34"/>
  <c r="J991" i="34"/>
  <c r="I991" i="34"/>
  <c r="H991" i="34"/>
  <c r="G991" i="34"/>
  <c r="F991" i="34"/>
  <c r="E991" i="34"/>
  <c r="D991" i="34"/>
  <c r="C991" i="34"/>
  <c r="B991" i="34"/>
  <c r="J990" i="34"/>
  <c r="I990" i="34"/>
  <c r="H990" i="34"/>
  <c r="G990" i="34"/>
  <c r="F990" i="34"/>
  <c r="E990" i="34"/>
  <c r="D990" i="34"/>
  <c r="C990" i="34"/>
  <c r="B990" i="34"/>
  <c r="J989" i="34"/>
  <c r="I989" i="34"/>
  <c r="H989" i="34"/>
  <c r="G989" i="34"/>
  <c r="F989" i="34"/>
  <c r="E989" i="34"/>
  <c r="D989" i="34"/>
  <c r="C989" i="34"/>
  <c r="B989" i="34"/>
  <c r="J988" i="34"/>
  <c r="I988" i="34"/>
  <c r="H988" i="34"/>
  <c r="G988" i="34"/>
  <c r="F988" i="34"/>
  <c r="E988" i="34"/>
  <c r="D988" i="34"/>
  <c r="C988" i="34"/>
  <c r="B988" i="34"/>
  <c r="J987" i="34"/>
  <c r="I987" i="34"/>
  <c r="H987" i="34"/>
  <c r="G987" i="34"/>
  <c r="F987" i="34"/>
  <c r="E987" i="34"/>
  <c r="D987" i="34"/>
  <c r="C987" i="34"/>
  <c r="B987" i="34"/>
  <c r="J986" i="34"/>
  <c r="I986" i="34"/>
  <c r="H986" i="34"/>
  <c r="G986" i="34"/>
  <c r="F986" i="34"/>
  <c r="E986" i="34"/>
  <c r="D986" i="34"/>
  <c r="C986" i="34"/>
  <c r="B986" i="34"/>
  <c r="J985" i="34"/>
  <c r="I985" i="34"/>
  <c r="H985" i="34"/>
  <c r="G985" i="34"/>
  <c r="F985" i="34"/>
  <c r="E985" i="34"/>
  <c r="D985" i="34"/>
  <c r="C985" i="34"/>
  <c r="B985" i="34"/>
  <c r="J984" i="34"/>
  <c r="I984" i="34"/>
  <c r="H984" i="34"/>
  <c r="G984" i="34"/>
  <c r="F984" i="34"/>
  <c r="E984" i="34"/>
  <c r="D984" i="34"/>
  <c r="C984" i="34"/>
  <c r="B984" i="34"/>
  <c r="J983" i="34"/>
  <c r="I983" i="34"/>
  <c r="H983" i="34"/>
  <c r="G983" i="34"/>
  <c r="F983" i="34"/>
  <c r="E983" i="34"/>
  <c r="D983" i="34"/>
  <c r="C983" i="34"/>
  <c r="B983" i="34"/>
  <c r="J982" i="34"/>
  <c r="I982" i="34"/>
  <c r="H982" i="34"/>
  <c r="G982" i="34"/>
  <c r="F982" i="34"/>
  <c r="E982" i="34"/>
  <c r="D982" i="34"/>
  <c r="C982" i="34"/>
  <c r="B982" i="34"/>
  <c r="J981" i="34"/>
  <c r="I981" i="34"/>
  <c r="H981" i="34"/>
  <c r="G981" i="34"/>
  <c r="F981" i="34"/>
  <c r="E981" i="34"/>
  <c r="D981" i="34"/>
  <c r="C981" i="34"/>
  <c r="B981" i="34"/>
  <c r="J980" i="34"/>
  <c r="I980" i="34"/>
  <c r="H980" i="34"/>
  <c r="G980" i="34"/>
  <c r="F980" i="34"/>
  <c r="E980" i="34"/>
  <c r="D980" i="34"/>
  <c r="C980" i="34"/>
  <c r="B980" i="34"/>
  <c r="J979" i="34"/>
  <c r="I979" i="34"/>
  <c r="H979" i="34"/>
  <c r="G979" i="34"/>
  <c r="F979" i="34"/>
  <c r="E979" i="34"/>
  <c r="D979" i="34"/>
  <c r="C979" i="34"/>
  <c r="B979" i="34"/>
  <c r="J978" i="34"/>
  <c r="I978" i="34"/>
  <c r="H978" i="34"/>
  <c r="G978" i="34"/>
  <c r="F978" i="34"/>
  <c r="E978" i="34"/>
  <c r="D978" i="34"/>
  <c r="C978" i="34"/>
  <c r="B978" i="34"/>
  <c r="J977" i="34"/>
  <c r="I977" i="34"/>
  <c r="H977" i="34"/>
  <c r="G977" i="34"/>
  <c r="F977" i="34"/>
  <c r="E977" i="34"/>
  <c r="D977" i="34"/>
  <c r="C977" i="34"/>
  <c r="B977" i="34"/>
  <c r="J976" i="34"/>
  <c r="I976" i="34"/>
  <c r="H976" i="34"/>
  <c r="G976" i="34"/>
  <c r="F976" i="34"/>
  <c r="E976" i="34"/>
  <c r="D976" i="34"/>
  <c r="C976" i="34"/>
  <c r="B976" i="34"/>
  <c r="J975" i="34"/>
  <c r="I975" i="34"/>
  <c r="H975" i="34"/>
  <c r="G975" i="34"/>
  <c r="F975" i="34"/>
  <c r="E975" i="34"/>
  <c r="D975" i="34"/>
  <c r="C975" i="34"/>
  <c r="B975" i="34"/>
  <c r="J974" i="34"/>
  <c r="I974" i="34"/>
  <c r="H974" i="34"/>
  <c r="G974" i="34"/>
  <c r="F974" i="34"/>
  <c r="E974" i="34"/>
  <c r="D974" i="34"/>
  <c r="C974" i="34"/>
  <c r="B974" i="34"/>
  <c r="J973" i="34"/>
  <c r="I973" i="34"/>
  <c r="H973" i="34"/>
  <c r="G973" i="34"/>
  <c r="F973" i="34"/>
  <c r="E973" i="34"/>
  <c r="D973" i="34"/>
  <c r="C973" i="34"/>
  <c r="B973" i="34"/>
  <c r="J972" i="34"/>
  <c r="I972" i="34"/>
  <c r="H972" i="34"/>
  <c r="G972" i="34"/>
  <c r="F972" i="34"/>
  <c r="E972" i="34"/>
  <c r="D972" i="34"/>
  <c r="C972" i="34"/>
  <c r="B972" i="34"/>
  <c r="J971" i="34"/>
  <c r="I971" i="34"/>
  <c r="H971" i="34"/>
  <c r="G971" i="34"/>
  <c r="F971" i="34"/>
  <c r="E971" i="34"/>
  <c r="D971" i="34"/>
  <c r="C971" i="34"/>
  <c r="B971" i="34"/>
  <c r="J970" i="34"/>
  <c r="I970" i="34"/>
  <c r="H970" i="34"/>
  <c r="G970" i="34"/>
  <c r="F970" i="34"/>
  <c r="E970" i="34"/>
  <c r="D970" i="34"/>
  <c r="C970" i="34"/>
  <c r="B970" i="34"/>
  <c r="J969" i="34"/>
  <c r="I969" i="34"/>
  <c r="H969" i="34"/>
  <c r="G969" i="34"/>
  <c r="F969" i="34"/>
  <c r="E969" i="34"/>
  <c r="D969" i="34"/>
  <c r="C969" i="34"/>
  <c r="B969" i="34"/>
  <c r="J968" i="34"/>
  <c r="I968" i="34"/>
  <c r="H968" i="34"/>
  <c r="G968" i="34"/>
  <c r="F968" i="34"/>
  <c r="E968" i="34"/>
  <c r="D968" i="34"/>
  <c r="C968" i="34"/>
  <c r="B968" i="34"/>
  <c r="J967" i="34"/>
  <c r="I967" i="34"/>
  <c r="H967" i="34"/>
  <c r="G967" i="34"/>
  <c r="F967" i="34"/>
  <c r="E967" i="34"/>
  <c r="D967" i="34"/>
  <c r="C967" i="34"/>
  <c r="B967" i="34"/>
  <c r="J966" i="34"/>
  <c r="I966" i="34"/>
  <c r="H966" i="34"/>
  <c r="G966" i="34"/>
  <c r="F966" i="34"/>
  <c r="E966" i="34"/>
  <c r="D966" i="34"/>
  <c r="C966" i="34"/>
  <c r="B966" i="34"/>
  <c r="J965" i="34"/>
  <c r="I965" i="34"/>
  <c r="H965" i="34"/>
  <c r="G965" i="34"/>
  <c r="F965" i="34"/>
  <c r="E965" i="34"/>
  <c r="D965" i="34"/>
  <c r="C965" i="34"/>
  <c r="B965" i="34"/>
  <c r="J964" i="34"/>
  <c r="I964" i="34"/>
  <c r="H964" i="34"/>
  <c r="G964" i="34"/>
  <c r="F964" i="34"/>
  <c r="E964" i="34"/>
  <c r="D964" i="34"/>
  <c r="C964" i="34"/>
  <c r="B964" i="34"/>
  <c r="J963" i="34"/>
  <c r="I963" i="34"/>
  <c r="H963" i="34"/>
  <c r="G963" i="34"/>
  <c r="F963" i="34"/>
  <c r="E963" i="34"/>
  <c r="D963" i="34"/>
  <c r="C963" i="34"/>
  <c r="B963" i="34"/>
  <c r="J962" i="34"/>
  <c r="I962" i="34"/>
  <c r="H962" i="34"/>
  <c r="G962" i="34"/>
  <c r="F962" i="34"/>
  <c r="E962" i="34"/>
  <c r="D962" i="34"/>
  <c r="C962" i="34"/>
  <c r="B962" i="34"/>
  <c r="J961" i="34"/>
  <c r="I961" i="34"/>
  <c r="H961" i="34"/>
  <c r="G961" i="34"/>
  <c r="F961" i="34"/>
  <c r="E961" i="34"/>
  <c r="D961" i="34"/>
  <c r="C961" i="34"/>
  <c r="B961" i="34"/>
  <c r="J960" i="34"/>
  <c r="I960" i="34"/>
  <c r="H960" i="34"/>
  <c r="G960" i="34"/>
  <c r="F960" i="34"/>
  <c r="E960" i="34"/>
  <c r="D960" i="34"/>
  <c r="C960" i="34"/>
  <c r="B960" i="34"/>
  <c r="J959" i="34"/>
  <c r="I959" i="34"/>
  <c r="H959" i="34"/>
  <c r="G959" i="34"/>
  <c r="F959" i="34"/>
  <c r="E959" i="34"/>
  <c r="D959" i="34"/>
  <c r="C959" i="34"/>
  <c r="B959" i="34"/>
  <c r="J958" i="34"/>
  <c r="I958" i="34"/>
  <c r="H958" i="34"/>
  <c r="G958" i="34"/>
  <c r="F958" i="34"/>
  <c r="E958" i="34"/>
  <c r="D958" i="34"/>
  <c r="C958" i="34"/>
  <c r="B958" i="34"/>
  <c r="J957" i="34"/>
  <c r="I957" i="34"/>
  <c r="H957" i="34"/>
  <c r="G957" i="34"/>
  <c r="F957" i="34"/>
  <c r="E957" i="34"/>
  <c r="D957" i="34"/>
  <c r="C957" i="34"/>
  <c r="B957" i="34"/>
  <c r="J956" i="34"/>
  <c r="I956" i="34"/>
  <c r="H956" i="34"/>
  <c r="G956" i="34"/>
  <c r="F956" i="34"/>
  <c r="E956" i="34"/>
  <c r="D956" i="34"/>
  <c r="C956" i="34"/>
  <c r="B956" i="34"/>
  <c r="J955" i="34"/>
  <c r="I955" i="34"/>
  <c r="H955" i="34"/>
  <c r="G955" i="34"/>
  <c r="F955" i="34"/>
  <c r="E955" i="34"/>
  <c r="D955" i="34"/>
  <c r="C955" i="34"/>
  <c r="B955" i="34"/>
  <c r="J954" i="34"/>
  <c r="I954" i="34"/>
  <c r="H954" i="34"/>
  <c r="G954" i="34"/>
  <c r="F954" i="34"/>
  <c r="E954" i="34"/>
  <c r="D954" i="34"/>
  <c r="C954" i="34"/>
  <c r="B954" i="34"/>
  <c r="J953" i="34"/>
  <c r="I953" i="34"/>
  <c r="H953" i="34"/>
  <c r="G953" i="34"/>
  <c r="F953" i="34"/>
  <c r="E953" i="34"/>
  <c r="D953" i="34"/>
  <c r="C953" i="34"/>
  <c r="B953" i="34"/>
  <c r="J952" i="34"/>
  <c r="I952" i="34"/>
  <c r="H952" i="34"/>
  <c r="G952" i="34"/>
  <c r="F952" i="34"/>
  <c r="E952" i="34"/>
  <c r="D952" i="34"/>
  <c r="C952" i="34"/>
  <c r="B952" i="34"/>
  <c r="J951" i="34"/>
  <c r="I951" i="34"/>
  <c r="H951" i="34"/>
  <c r="G951" i="34"/>
  <c r="F951" i="34"/>
  <c r="E951" i="34"/>
  <c r="D951" i="34"/>
  <c r="C951" i="34"/>
  <c r="B951" i="34"/>
  <c r="J950" i="34"/>
  <c r="I950" i="34"/>
  <c r="H950" i="34"/>
  <c r="G950" i="34"/>
  <c r="F950" i="34"/>
  <c r="E950" i="34"/>
  <c r="D950" i="34"/>
  <c r="C950" i="34"/>
  <c r="B950" i="34"/>
  <c r="J949" i="34"/>
  <c r="I949" i="34"/>
  <c r="H949" i="34"/>
  <c r="G949" i="34"/>
  <c r="F949" i="34"/>
  <c r="E949" i="34"/>
  <c r="D949" i="34"/>
  <c r="C949" i="34"/>
  <c r="B949" i="34"/>
  <c r="J948" i="34"/>
  <c r="I948" i="34"/>
  <c r="H948" i="34"/>
  <c r="G948" i="34"/>
  <c r="F948" i="34"/>
  <c r="E948" i="34"/>
  <c r="D948" i="34"/>
  <c r="C948" i="34"/>
  <c r="B948" i="34"/>
  <c r="J947" i="34"/>
  <c r="I947" i="34"/>
  <c r="H947" i="34"/>
  <c r="G947" i="34"/>
  <c r="F947" i="34"/>
  <c r="E947" i="34"/>
  <c r="D947" i="34"/>
  <c r="C947" i="34"/>
  <c r="B947" i="34"/>
  <c r="J946" i="34"/>
  <c r="I946" i="34"/>
  <c r="H946" i="34"/>
  <c r="G946" i="34"/>
  <c r="F946" i="34"/>
  <c r="E946" i="34"/>
  <c r="D946" i="34"/>
  <c r="C946" i="34"/>
  <c r="B946" i="34"/>
  <c r="J945" i="34"/>
  <c r="I945" i="34"/>
  <c r="H945" i="34"/>
  <c r="G945" i="34"/>
  <c r="F945" i="34"/>
  <c r="E945" i="34"/>
  <c r="D945" i="34"/>
  <c r="C945" i="34"/>
  <c r="B945" i="34"/>
  <c r="J944" i="34"/>
  <c r="I944" i="34"/>
  <c r="H944" i="34"/>
  <c r="G944" i="34"/>
  <c r="F944" i="34"/>
  <c r="E944" i="34"/>
  <c r="D944" i="34"/>
  <c r="C944" i="34"/>
  <c r="B944" i="34"/>
  <c r="J943" i="34"/>
  <c r="I943" i="34"/>
  <c r="H943" i="34"/>
  <c r="G943" i="34"/>
  <c r="F943" i="34"/>
  <c r="E943" i="34"/>
  <c r="D943" i="34"/>
  <c r="C943" i="34"/>
  <c r="B943" i="34"/>
  <c r="J942" i="34"/>
  <c r="I942" i="34"/>
  <c r="H942" i="34"/>
  <c r="G942" i="34"/>
  <c r="F942" i="34"/>
  <c r="E942" i="34"/>
  <c r="D942" i="34"/>
  <c r="C942" i="34"/>
  <c r="B942" i="34"/>
  <c r="J941" i="34"/>
  <c r="I941" i="34"/>
  <c r="H941" i="34"/>
  <c r="G941" i="34"/>
  <c r="F941" i="34"/>
  <c r="E941" i="34"/>
  <c r="D941" i="34"/>
  <c r="C941" i="34"/>
  <c r="B941" i="34"/>
  <c r="J940" i="34"/>
  <c r="I940" i="34"/>
  <c r="H940" i="34"/>
  <c r="G940" i="34"/>
  <c r="F940" i="34"/>
  <c r="E940" i="34"/>
  <c r="D940" i="34"/>
  <c r="C940" i="34"/>
  <c r="B940" i="34"/>
  <c r="J939" i="34"/>
  <c r="I939" i="34"/>
  <c r="H939" i="34"/>
  <c r="G939" i="34"/>
  <c r="F939" i="34"/>
  <c r="E939" i="34"/>
  <c r="D939" i="34"/>
  <c r="C939" i="34"/>
  <c r="B939" i="34"/>
  <c r="J938" i="34"/>
  <c r="I938" i="34"/>
  <c r="H938" i="34"/>
  <c r="G938" i="34"/>
  <c r="F938" i="34"/>
  <c r="E938" i="34"/>
  <c r="D938" i="34"/>
  <c r="C938" i="34"/>
  <c r="B938" i="34"/>
  <c r="J937" i="34"/>
  <c r="I937" i="34"/>
  <c r="H937" i="34"/>
  <c r="G937" i="34"/>
  <c r="F937" i="34"/>
  <c r="E937" i="34"/>
  <c r="D937" i="34"/>
  <c r="C937" i="34"/>
  <c r="B937" i="34"/>
  <c r="J936" i="34"/>
  <c r="I936" i="34"/>
  <c r="H936" i="34"/>
  <c r="G936" i="34"/>
  <c r="F936" i="34"/>
  <c r="E936" i="34"/>
  <c r="D936" i="34"/>
  <c r="C936" i="34"/>
  <c r="B936" i="34"/>
  <c r="J935" i="34"/>
  <c r="I935" i="34"/>
  <c r="H935" i="34"/>
  <c r="G935" i="34"/>
  <c r="F935" i="34"/>
  <c r="E935" i="34"/>
  <c r="D935" i="34"/>
  <c r="C935" i="34"/>
  <c r="B935" i="34"/>
  <c r="J934" i="34"/>
  <c r="I934" i="34"/>
  <c r="H934" i="34"/>
  <c r="G934" i="34"/>
  <c r="F934" i="34"/>
  <c r="E934" i="34"/>
  <c r="D934" i="34"/>
  <c r="C934" i="34"/>
  <c r="B934" i="34"/>
  <c r="J933" i="34"/>
  <c r="I933" i="34"/>
  <c r="H933" i="34"/>
  <c r="G933" i="34"/>
  <c r="F933" i="34"/>
  <c r="E933" i="34"/>
  <c r="D933" i="34"/>
  <c r="C933" i="34"/>
  <c r="B933" i="34"/>
  <c r="J932" i="34"/>
  <c r="I932" i="34"/>
  <c r="H932" i="34"/>
  <c r="G932" i="34"/>
  <c r="F932" i="34"/>
  <c r="E932" i="34"/>
  <c r="D932" i="34"/>
  <c r="C932" i="34"/>
  <c r="B932" i="34"/>
  <c r="J931" i="34"/>
  <c r="I931" i="34"/>
  <c r="H931" i="34"/>
  <c r="G931" i="34"/>
  <c r="F931" i="34"/>
  <c r="E931" i="34"/>
  <c r="D931" i="34"/>
  <c r="C931" i="34"/>
  <c r="B931" i="34"/>
  <c r="J930" i="34"/>
  <c r="I930" i="34"/>
  <c r="H930" i="34"/>
  <c r="G930" i="34"/>
  <c r="F930" i="34"/>
  <c r="E930" i="34"/>
  <c r="D930" i="34"/>
  <c r="C930" i="34"/>
  <c r="B930" i="34"/>
  <c r="J929" i="34"/>
  <c r="I929" i="34"/>
  <c r="H929" i="34"/>
  <c r="G929" i="34"/>
  <c r="F929" i="34"/>
  <c r="E929" i="34"/>
  <c r="D929" i="34"/>
  <c r="C929" i="34"/>
  <c r="B929" i="34"/>
  <c r="J928" i="34"/>
  <c r="I928" i="34"/>
  <c r="H928" i="34"/>
  <c r="G928" i="34"/>
  <c r="F928" i="34"/>
  <c r="E928" i="34"/>
  <c r="D928" i="34"/>
  <c r="C928" i="34"/>
  <c r="B928" i="34"/>
  <c r="J927" i="34"/>
  <c r="I927" i="34"/>
  <c r="H927" i="34"/>
  <c r="G927" i="34"/>
  <c r="F927" i="34"/>
  <c r="E927" i="34"/>
  <c r="D927" i="34"/>
  <c r="C927" i="34"/>
  <c r="B927" i="34"/>
  <c r="J926" i="34"/>
  <c r="I926" i="34"/>
  <c r="H926" i="34"/>
  <c r="G926" i="34"/>
  <c r="F926" i="34"/>
  <c r="E926" i="34"/>
  <c r="D926" i="34"/>
  <c r="C926" i="34"/>
  <c r="B926" i="34"/>
  <c r="J925" i="34"/>
  <c r="I925" i="34"/>
  <c r="H925" i="34"/>
  <c r="G925" i="34"/>
  <c r="F925" i="34"/>
  <c r="E925" i="34"/>
  <c r="D925" i="34"/>
  <c r="C925" i="34"/>
  <c r="B925" i="34"/>
  <c r="J924" i="34"/>
  <c r="I924" i="34"/>
  <c r="H924" i="34"/>
  <c r="G924" i="34"/>
  <c r="F924" i="34"/>
  <c r="E924" i="34"/>
  <c r="D924" i="34"/>
  <c r="C924" i="34"/>
  <c r="B924" i="34"/>
  <c r="J923" i="34"/>
  <c r="I923" i="34"/>
  <c r="H923" i="34"/>
  <c r="G923" i="34"/>
  <c r="F923" i="34"/>
  <c r="E923" i="34"/>
  <c r="D923" i="34"/>
  <c r="C923" i="34"/>
  <c r="B923" i="34"/>
  <c r="J922" i="34"/>
  <c r="I922" i="34"/>
  <c r="H922" i="34"/>
  <c r="G922" i="34"/>
  <c r="F922" i="34"/>
  <c r="E922" i="34"/>
  <c r="D922" i="34"/>
  <c r="C922" i="34"/>
  <c r="B922" i="34"/>
  <c r="J921" i="34"/>
  <c r="I921" i="34"/>
  <c r="H921" i="34"/>
  <c r="G921" i="34"/>
  <c r="F921" i="34"/>
  <c r="E921" i="34"/>
  <c r="D921" i="34"/>
  <c r="C921" i="34"/>
  <c r="B921" i="34"/>
  <c r="J920" i="34"/>
  <c r="I920" i="34"/>
  <c r="H920" i="34"/>
  <c r="G920" i="34"/>
  <c r="F920" i="34"/>
  <c r="E920" i="34"/>
  <c r="D920" i="34"/>
  <c r="C920" i="34"/>
  <c r="B920" i="34"/>
  <c r="J919" i="34"/>
  <c r="I919" i="34"/>
  <c r="H919" i="34"/>
  <c r="G919" i="34"/>
  <c r="F919" i="34"/>
  <c r="E919" i="34"/>
  <c r="D919" i="34"/>
  <c r="C919" i="34"/>
  <c r="B919" i="34"/>
  <c r="J918" i="34"/>
  <c r="I918" i="34"/>
  <c r="H918" i="34"/>
  <c r="G918" i="34"/>
  <c r="F918" i="34"/>
  <c r="E918" i="34"/>
  <c r="D918" i="34"/>
  <c r="C918" i="34"/>
  <c r="B918" i="34"/>
  <c r="J917" i="34"/>
  <c r="I917" i="34"/>
  <c r="H917" i="34"/>
  <c r="G917" i="34"/>
  <c r="F917" i="34"/>
  <c r="E917" i="34"/>
  <c r="D917" i="34"/>
  <c r="C917" i="34"/>
  <c r="B917" i="34"/>
  <c r="J916" i="34"/>
  <c r="I916" i="34"/>
  <c r="H916" i="34"/>
  <c r="G916" i="34"/>
  <c r="F916" i="34"/>
  <c r="E916" i="34"/>
  <c r="D916" i="34"/>
  <c r="C916" i="34"/>
  <c r="B916" i="34"/>
  <c r="J915" i="34"/>
  <c r="I915" i="34"/>
  <c r="H915" i="34"/>
  <c r="G915" i="34"/>
  <c r="F915" i="34"/>
  <c r="E915" i="34"/>
  <c r="D915" i="34"/>
  <c r="C915" i="34"/>
  <c r="B915" i="34"/>
  <c r="J914" i="34"/>
  <c r="I914" i="34"/>
  <c r="H914" i="34"/>
  <c r="G914" i="34"/>
  <c r="F914" i="34"/>
  <c r="E914" i="34"/>
  <c r="D914" i="34"/>
  <c r="C914" i="34"/>
  <c r="B914" i="34"/>
  <c r="J913" i="34"/>
  <c r="I913" i="34"/>
  <c r="H913" i="34"/>
  <c r="G913" i="34"/>
  <c r="F913" i="34"/>
  <c r="E913" i="34"/>
  <c r="D913" i="34"/>
  <c r="C913" i="34"/>
  <c r="B913" i="34"/>
  <c r="J912" i="34"/>
  <c r="I912" i="34"/>
  <c r="H912" i="34"/>
  <c r="G912" i="34"/>
  <c r="F912" i="34"/>
  <c r="E912" i="34"/>
  <c r="D912" i="34"/>
  <c r="C912" i="34"/>
  <c r="B912" i="34"/>
  <c r="J911" i="34"/>
  <c r="I911" i="34"/>
  <c r="H911" i="34"/>
  <c r="G911" i="34"/>
  <c r="F911" i="34"/>
  <c r="E911" i="34"/>
  <c r="D911" i="34"/>
  <c r="C911" i="34"/>
  <c r="B911" i="34"/>
  <c r="J910" i="34"/>
  <c r="I910" i="34"/>
  <c r="H910" i="34"/>
  <c r="G910" i="34"/>
  <c r="F910" i="34"/>
  <c r="E910" i="34"/>
  <c r="D910" i="34"/>
  <c r="C910" i="34"/>
  <c r="B910" i="34"/>
  <c r="J909" i="34"/>
  <c r="I909" i="34"/>
  <c r="H909" i="34"/>
  <c r="G909" i="34"/>
  <c r="F909" i="34"/>
  <c r="E909" i="34"/>
  <c r="D909" i="34"/>
  <c r="C909" i="34"/>
  <c r="B909" i="34"/>
  <c r="J908" i="34"/>
  <c r="I908" i="34"/>
  <c r="H908" i="34"/>
  <c r="G908" i="34"/>
  <c r="F908" i="34"/>
  <c r="E908" i="34"/>
  <c r="D908" i="34"/>
  <c r="C908" i="34"/>
  <c r="B908" i="34"/>
  <c r="J907" i="34"/>
  <c r="I907" i="34"/>
  <c r="H907" i="34"/>
  <c r="G907" i="34"/>
  <c r="F907" i="34"/>
  <c r="E907" i="34"/>
  <c r="D907" i="34"/>
  <c r="C907" i="34"/>
  <c r="B907" i="34"/>
  <c r="J906" i="34"/>
  <c r="I906" i="34"/>
  <c r="H906" i="34"/>
  <c r="G906" i="34"/>
  <c r="F906" i="34"/>
  <c r="E906" i="34"/>
  <c r="D906" i="34"/>
  <c r="C906" i="34"/>
  <c r="B906" i="34"/>
  <c r="J905" i="34"/>
  <c r="I905" i="34"/>
  <c r="H905" i="34"/>
  <c r="G905" i="34"/>
  <c r="F905" i="34"/>
  <c r="E905" i="34"/>
  <c r="D905" i="34"/>
  <c r="C905" i="34"/>
  <c r="B905" i="34"/>
  <c r="J904" i="34"/>
  <c r="I904" i="34"/>
  <c r="H904" i="34"/>
  <c r="G904" i="34"/>
  <c r="F904" i="34"/>
  <c r="E904" i="34"/>
  <c r="D904" i="34"/>
  <c r="C904" i="34"/>
  <c r="B904" i="34"/>
  <c r="J903" i="34"/>
  <c r="I903" i="34"/>
  <c r="H903" i="34"/>
  <c r="G903" i="34"/>
  <c r="F903" i="34"/>
  <c r="E903" i="34"/>
  <c r="D903" i="34"/>
  <c r="C903" i="34"/>
  <c r="B903" i="34"/>
  <c r="J902" i="34"/>
  <c r="I902" i="34"/>
  <c r="H902" i="34"/>
  <c r="G902" i="34"/>
  <c r="F902" i="34"/>
  <c r="E902" i="34"/>
  <c r="D902" i="34"/>
  <c r="C902" i="34"/>
  <c r="B902" i="34"/>
  <c r="J901" i="34"/>
  <c r="I901" i="34"/>
  <c r="H901" i="34"/>
  <c r="G901" i="34"/>
  <c r="F901" i="34"/>
  <c r="E901" i="34"/>
  <c r="D901" i="34"/>
  <c r="C901" i="34"/>
  <c r="B901" i="34"/>
  <c r="J900" i="34"/>
  <c r="I900" i="34"/>
  <c r="H900" i="34"/>
  <c r="G900" i="34"/>
  <c r="F900" i="34"/>
  <c r="E900" i="34"/>
  <c r="D900" i="34"/>
  <c r="C900" i="34"/>
  <c r="B900" i="34"/>
  <c r="J899" i="34"/>
  <c r="I899" i="34"/>
  <c r="H899" i="34"/>
  <c r="G899" i="34"/>
  <c r="F899" i="34"/>
  <c r="E899" i="34"/>
  <c r="D899" i="34"/>
  <c r="C899" i="34"/>
  <c r="B899" i="34"/>
  <c r="J898" i="34"/>
  <c r="I898" i="34"/>
  <c r="H898" i="34"/>
  <c r="G898" i="34"/>
  <c r="F898" i="34"/>
  <c r="E898" i="34"/>
  <c r="D898" i="34"/>
  <c r="C898" i="34"/>
  <c r="B898" i="34"/>
  <c r="J897" i="34"/>
  <c r="I897" i="34"/>
  <c r="H897" i="34"/>
  <c r="G897" i="34"/>
  <c r="F897" i="34"/>
  <c r="E897" i="34"/>
  <c r="D897" i="34"/>
  <c r="C897" i="34"/>
  <c r="B897" i="34"/>
  <c r="J896" i="34"/>
  <c r="I896" i="34"/>
  <c r="H896" i="34"/>
  <c r="G896" i="34"/>
  <c r="F896" i="34"/>
  <c r="E896" i="34"/>
  <c r="D896" i="34"/>
  <c r="C896" i="34"/>
  <c r="B896" i="34"/>
  <c r="J895" i="34"/>
  <c r="I895" i="34"/>
  <c r="H895" i="34"/>
  <c r="G895" i="34"/>
  <c r="F895" i="34"/>
  <c r="E895" i="34"/>
  <c r="D895" i="34"/>
  <c r="C895" i="34"/>
  <c r="B895" i="34"/>
  <c r="J894" i="34"/>
  <c r="I894" i="34"/>
  <c r="H894" i="34"/>
  <c r="G894" i="34"/>
  <c r="F894" i="34"/>
  <c r="E894" i="34"/>
  <c r="D894" i="34"/>
  <c r="C894" i="34"/>
  <c r="B894" i="34"/>
  <c r="J893" i="34"/>
  <c r="I893" i="34"/>
  <c r="H893" i="34"/>
  <c r="G893" i="34"/>
  <c r="F893" i="34"/>
  <c r="E893" i="34"/>
  <c r="D893" i="34"/>
  <c r="C893" i="34"/>
  <c r="B893" i="34"/>
  <c r="J892" i="34"/>
  <c r="I892" i="34"/>
  <c r="H892" i="34"/>
  <c r="G892" i="34"/>
  <c r="F892" i="34"/>
  <c r="E892" i="34"/>
  <c r="D892" i="34"/>
  <c r="C892" i="34"/>
  <c r="B892" i="34"/>
  <c r="J891" i="34"/>
  <c r="I891" i="34"/>
  <c r="H891" i="34"/>
  <c r="G891" i="34"/>
  <c r="F891" i="34"/>
  <c r="E891" i="34"/>
  <c r="D891" i="34"/>
  <c r="C891" i="34"/>
  <c r="B891" i="34"/>
  <c r="J890" i="34"/>
  <c r="I890" i="34"/>
  <c r="H890" i="34"/>
  <c r="G890" i="34"/>
  <c r="F890" i="34"/>
  <c r="E890" i="34"/>
  <c r="D890" i="34"/>
  <c r="C890" i="34"/>
  <c r="B890" i="34"/>
  <c r="J889" i="34"/>
  <c r="I889" i="34"/>
  <c r="H889" i="34"/>
  <c r="G889" i="34"/>
  <c r="F889" i="34"/>
  <c r="E889" i="34"/>
  <c r="D889" i="34"/>
  <c r="C889" i="34"/>
  <c r="B889" i="34"/>
  <c r="J888" i="34"/>
  <c r="I888" i="34"/>
  <c r="H888" i="34"/>
  <c r="G888" i="34"/>
  <c r="F888" i="34"/>
  <c r="E888" i="34"/>
  <c r="D888" i="34"/>
  <c r="C888" i="34"/>
  <c r="B888" i="34"/>
  <c r="J887" i="34"/>
  <c r="I887" i="34"/>
  <c r="H887" i="34"/>
  <c r="G887" i="34"/>
  <c r="F887" i="34"/>
  <c r="E887" i="34"/>
  <c r="D887" i="34"/>
  <c r="C887" i="34"/>
  <c r="B887" i="34"/>
  <c r="J886" i="34"/>
  <c r="I886" i="34"/>
  <c r="H886" i="34"/>
  <c r="G886" i="34"/>
  <c r="F886" i="34"/>
  <c r="E886" i="34"/>
  <c r="D886" i="34"/>
  <c r="C886" i="34"/>
  <c r="B886" i="34"/>
  <c r="J885" i="34"/>
  <c r="I885" i="34"/>
  <c r="H885" i="34"/>
  <c r="G885" i="34"/>
  <c r="F885" i="34"/>
  <c r="E885" i="34"/>
  <c r="D885" i="34"/>
  <c r="C885" i="34"/>
  <c r="B885" i="34"/>
  <c r="J884" i="34"/>
  <c r="I884" i="34"/>
  <c r="H884" i="34"/>
  <c r="G884" i="34"/>
  <c r="F884" i="34"/>
  <c r="E884" i="34"/>
  <c r="D884" i="34"/>
  <c r="C884" i="34"/>
  <c r="B884" i="34"/>
  <c r="J883" i="34"/>
  <c r="I883" i="34"/>
  <c r="H883" i="34"/>
  <c r="G883" i="34"/>
  <c r="F883" i="34"/>
  <c r="E883" i="34"/>
  <c r="D883" i="34"/>
  <c r="C883" i="34"/>
  <c r="B883" i="34"/>
  <c r="J882" i="34"/>
  <c r="I882" i="34"/>
  <c r="H882" i="34"/>
  <c r="G882" i="34"/>
  <c r="F882" i="34"/>
  <c r="E882" i="34"/>
  <c r="D882" i="34"/>
  <c r="C882" i="34"/>
  <c r="B882" i="34"/>
  <c r="J881" i="34"/>
  <c r="I881" i="34"/>
  <c r="H881" i="34"/>
  <c r="G881" i="34"/>
  <c r="F881" i="34"/>
  <c r="E881" i="34"/>
  <c r="D881" i="34"/>
  <c r="C881" i="34"/>
  <c r="B881" i="34"/>
  <c r="J880" i="34"/>
  <c r="I880" i="34"/>
  <c r="H880" i="34"/>
  <c r="G880" i="34"/>
  <c r="F880" i="34"/>
  <c r="E880" i="34"/>
  <c r="D880" i="34"/>
  <c r="C880" i="34"/>
  <c r="B880" i="34"/>
  <c r="J879" i="34"/>
  <c r="I879" i="34"/>
  <c r="H879" i="34"/>
  <c r="G879" i="34"/>
  <c r="F879" i="34"/>
  <c r="E879" i="34"/>
  <c r="D879" i="34"/>
  <c r="C879" i="34"/>
  <c r="B879" i="34"/>
  <c r="J878" i="34"/>
  <c r="I878" i="34"/>
  <c r="H878" i="34"/>
  <c r="G878" i="34"/>
  <c r="F878" i="34"/>
  <c r="E878" i="34"/>
  <c r="D878" i="34"/>
  <c r="C878" i="34"/>
  <c r="B878" i="34"/>
  <c r="J877" i="34"/>
  <c r="I877" i="34"/>
  <c r="H877" i="34"/>
  <c r="G877" i="34"/>
  <c r="F877" i="34"/>
  <c r="E877" i="34"/>
  <c r="D877" i="34"/>
  <c r="C877" i="34"/>
  <c r="B877" i="34"/>
  <c r="J876" i="34"/>
  <c r="I876" i="34"/>
  <c r="H876" i="34"/>
  <c r="G876" i="34"/>
  <c r="F876" i="34"/>
  <c r="E876" i="34"/>
  <c r="D876" i="34"/>
  <c r="C876" i="34"/>
  <c r="B876" i="34"/>
  <c r="J875" i="34"/>
  <c r="I875" i="34"/>
  <c r="H875" i="34"/>
  <c r="G875" i="34"/>
  <c r="F875" i="34"/>
  <c r="E875" i="34"/>
  <c r="D875" i="34"/>
  <c r="C875" i="34"/>
  <c r="B875" i="34"/>
  <c r="J874" i="34"/>
  <c r="I874" i="34"/>
  <c r="H874" i="34"/>
  <c r="G874" i="34"/>
  <c r="F874" i="34"/>
  <c r="E874" i="34"/>
  <c r="D874" i="34"/>
  <c r="C874" i="34"/>
  <c r="B874" i="34"/>
  <c r="J873" i="34"/>
  <c r="I873" i="34"/>
  <c r="H873" i="34"/>
  <c r="G873" i="34"/>
  <c r="F873" i="34"/>
  <c r="E873" i="34"/>
  <c r="D873" i="34"/>
  <c r="C873" i="34"/>
  <c r="B873" i="34"/>
  <c r="J872" i="34"/>
  <c r="I872" i="34"/>
  <c r="H872" i="34"/>
  <c r="G872" i="34"/>
  <c r="F872" i="34"/>
  <c r="E872" i="34"/>
  <c r="D872" i="34"/>
  <c r="C872" i="34"/>
  <c r="B872" i="34"/>
  <c r="J871" i="34"/>
  <c r="I871" i="34"/>
  <c r="H871" i="34"/>
  <c r="G871" i="34"/>
  <c r="F871" i="34"/>
  <c r="E871" i="34"/>
  <c r="D871" i="34"/>
  <c r="C871" i="34"/>
  <c r="B871" i="34"/>
  <c r="J870" i="34"/>
  <c r="I870" i="34"/>
  <c r="H870" i="34"/>
  <c r="G870" i="34"/>
  <c r="F870" i="34"/>
  <c r="E870" i="34"/>
  <c r="D870" i="34"/>
  <c r="C870" i="34"/>
  <c r="B870" i="34"/>
  <c r="J869" i="34"/>
  <c r="I869" i="34"/>
  <c r="H869" i="34"/>
  <c r="G869" i="34"/>
  <c r="F869" i="34"/>
  <c r="E869" i="34"/>
  <c r="D869" i="34"/>
  <c r="C869" i="34"/>
  <c r="B869" i="34"/>
  <c r="J868" i="34"/>
  <c r="I868" i="34"/>
  <c r="H868" i="34"/>
  <c r="G868" i="34"/>
  <c r="F868" i="34"/>
  <c r="E868" i="34"/>
  <c r="D868" i="34"/>
  <c r="C868" i="34"/>
  <c r="B868" i="34"/>
  <c r="J867" i="34"/>
  <c r="I867" i="34"/>
  <c r="H867" i="34"/>
  <c r="G867" i="34"/>
  <c r="F867" i="34"/>
  <c r="E867" i="34"/>
  <c r="D867" i="34"/>
  <c r="C867" i="34"/>
  <c r="B867" i="34"/>
  <c r="J866" i="34"/>
  <c r="I866" i="34"/>
  <c r="H866" i="34"/>
  <c r="G866" i="34"/>
  <c r="F866" i="34"/>
  <c r="E866" i="34"/>
  <c r="D866" i="34"/>
  <c r="C866" i="34"/>
  <c r="B866" i="34"/>
  <c r="J865" i="34"/>
  <c r="I865" i="34"/>
  <c r="H865" i="34"/>
  <c r="G865" i="34"/>
  <c r="F865" i="34"/>
  <c r="E865" i="34"/>
  <c r="D865" i="34"/>
  <c r="C865" i="34"/>
  <c r="B865" i="34"/>
  <c r="J864" i="34"/>
  <c r="I864" i="34"/>
  <c r="H864" i="34"/>
  <c r="G864" i="34"/>
  <c r="F864" i="34"/>
  <c r="E864" i="34"/>
  <c r="D864" i="34"/>
  <c r="C864" i="34"/>
  <c r="B864" i="34"/>
  <c r="J863" i="34"/>
  <c r="I863" i="34"/>
  <c r="H863" i="34"/>
  <c r="G863" i="34"/>
  <c r="F863" i="34"/>
  <c r="E863" i="34"/>
  <c r="D863" i="34"/>
  <c r="C863" i="34"/>
  <c r="B863" i="34"/>
  <c r="J862" i="34"/>
  <c r="I862" i="34"/>
  <c r="H862" i="34"/>
  <c r="G862" i="34"/>
  <c r="F862" i="34"/>
  <c r="E862" i="34"/>
  <c r="D862" i="34"/>
  <c r="C862" i="34"/>
  <c r="B862" i="34"/>
  <c r="J861" i="34"/>
  <c r="I861" i="34"/>
  <c r="H861" i="34"/>
  <c r="G861" i="34"/>
  <c r="F861" i="34"/>
  <c r="E861" i="34"/>
  <c r="D861" i="34"/>
  <c r="C861" i="34"/>
  <c r="B861" i="34"/>
  <c r="J860" i="34"/>
  <c r="I860" i="34"/>
  <c r="H860" i="34"/>
  <c r="G860" i="34"/>
  <c r="F860" i="34"/>
  <c r="E860" i="34"/>
  <c r="D860" i="34"/>
  <c r="C860" i="34"/>
  <c r="B860" i="34"/>
  <c r="J859" i="34"/>
  <c r="I859" i="34"/>
  <c r="H859" i="34"/>
  <c r="G859" i="34"/>
  <c r="F859" i="34"/>
  <c r="E859" i="34"/>
  <c r="D859" i="34"/>
  <c r="C859" i="34"/>
  <c r="B859" i="34"/>
  <c r="J858" i="34"/>
  <c r="I858" i="34"/>
  <c r="H858" i="34"/>
  <c r="G858" i="34"/>
  <c r="F858" i="34"/>
  <c r="E858" i="34"/>
  <c r="D858" i="34"/>
  <c r="C858" i="34"/>
  <c r="B858" i="34"/>
  <c r="J857" i="34"/>
  <c r="I857" i="34"/>
  <c r="H857" i="34"/>
  <c r="G857" i="34"/>
  <c r="F857" i="34"/>
  <c r="E857" i="34"/>
  <c r="D857" i="34"/>
  <c r="C857" i="34"/>
  <c r="B857" i="34"/>
  <c r="J856" i="34"/>
  <c r="I856" i="34"/>
  <c r="H856" i="34"/>
  <c r="G856" i="34"/>
  <c r="F856" i="34"/>
  <c r="E856" i="34"/>
  <c r="D856" i="34"/>
  <c r="C856" i="34"/>
  <c r="B856" i="34"/>
  <c r="J855" i="34"/>
  <c r="I855" i="34"/>
  <c r="H855" i="34"/>
  <c r="G855" i="34"/>
  <c r="F855" i="34"/>
  <c r="E855" i="34"/>
  <c r="D855" i="34"/>
  <c r="C855" i="34"/>
  <c r="B855" i="34"/>
  <c r="J854" i="34"/>
  <c r="I854" i="34"/>
  <c r="H854" i="34"/>
  <c r="G854" i="34"/>
  <c r="F854" i="34"/>
  <c r="E854" i="34"/>
  <c r="D854" i="34"/>
  <c r="C854" i="34"/>
  <c r="B854" i="34"/>
  <c r="J853" i="34"/>
  <c r="I853" i="34"/>
  <c r="H853" i="34"/>
  <c r="G853" i="34"/>
  <c r="F853" i="34"/>
  <c r="E853" i="34"/>
  <c r="D853" i="34"/>
  <c r="C853" i="34"/>
  <c r="B853" i="34"/>
  <c r="J852" i="34"/>
  <c r="I852" i="34"/>
  <c r="H852" i="34"/>
  <c r="G852" i="34"/>
  <c r="F852" i="34"/>
  <c r="E852" i="34"/>
  <c r="D852" i="34"/>
  <c r="C852" i="34"/>
  <c r="B852" i="34"/>
  <c r="J851" i="34"/>
  <c r="I851" i="34"/>
  <c r="H851" i="34"/>
  <c r="G851" i="34"/>
  <c r="F851" i="34"/>
  <c r="E851" i="34"/>
  <c r="D851" i="34"/>
  <c r="C851" i="34"/>
  <c r="B851" i="34"/>
  <c r="J850" i="34"/>
  <c r="I850" i="34"/>
  <c r="H850" i="34"/>
  <c r="G850" i="34"/>
  <c r="F850" i="34"/>
  <c r="E850" i="34"/>
  <c r="D850" i="34"/>
  <c r="C850" i="34"/>
  <c r="B850" i="34"/>
  <c r="J849" i="34"/>
  <c r="I849" i="34"/>
  <c r="H849" i="34"/>
  <c r="G849" i="34"/>
  <c r="F849" i="34"/>
  <c r="E849" i="34"/>
  <c r="D849" i="34"/>
  <c r="C849" i="34"/>
  <c r="B849" i="34"/>
  <c r="J848" i="34"/>
  <c r="I848" i="34"/>
  <c r="H848" i="34"/>
  <c r="G848" i="34"/>
  <c r="F848" i="34"/>
  <c r="E848" i="34"/>
  <c r="D848" i="34"/>
  <c r="C848" i="34"/>
  <c r="B848" i="34"/>
  <c r="J847" i="34"/>
  <c r="I847" i="34"/>
  <c r="H847" i="34"/>
  <c r="G847" i="34"/>
  <c r="F847" i="34"/>
  <c r="E847" i="34"/>
  <c r="D847" i="34"/>
  <c r="C847" i="34"/>
  <c r="B847" i="34"/>
  <c r="J846" i="34"/>
  <c r="I846" i="34"/>
  <c r="H846" i="34"/>
  <c r="G846" i="34"/>
  <c r="F846" i="34"/>
  <c r="E846" i="34"/>
  <c r="D846" i="34"/>
  <c r="C846" i="34"/>
  <c r="B846" i="34"/>
  <c r="J845" i="34"/>
  <c r="I845" i="34"/>
  <c r="H845" i="34"/>
  <c r="G845" i="34"/>
  <c r="F845" i="34"/>
  <c r="E845" i="34"/>
  <c r="D845" i="34"/>
  <c r="C845" i="34"/>
  <c r="B845" i="34"/>
  <c r="J844" i="34"/>
  <c r="I844" i="34"/>
  <c r="H844" i="34"/>
  <c r="G844" i="34"/>
  <c r="F844" i="34"/>
  <c r="E844" i="34"/>
  <c r="D844" i="34"/>
  <c r="C844" i="34"/>
  <c r="B844" i="34"/>
  <c r="J843" i="34"/>
  <c r="I843" i="34"/>
  <c r="H843" i="34"/>
  <c r="G843" i="34"/>
  <c r="F843" i="34"/>
  <c r="E843" i="34"/>
  <c r="D843" i="34"/>
  <c r="C843" i="34"/>
  <c r="B843" i="34"/>
  <c r="J842" i="34"/>
  <c r="I842" i="34"/>
  <c r="H842" i="34"/>
  <c r="G842" i="34"/>
  <c r="F842" i="34"/>
  <c r="E842" i="34"/>
  <c r="D842" i="34"/>
  <c r="C842" i="34"/>
  <c r="B842" i="34"/>
  <c r="J841" i="34"/>
  <c r="I841" i="34"/>
  <c r="H841" i="34"/>
  <c r="G841" i="34"/>
  <c r="F841" i="34"/>
  <c r="E841" i="34"/>
  <c r="D841" i="34"/>
  <c r="C841" i="34"/>
  <c r="B841" i="34"/>
  <c r="J840" i="34"/>
  <c r="I840" i="34"/>
  <c r="H840" i="34"/>
  <c r="G840" i="34"/>
  <c r="F840" i="34"/>
  <c r="E840" i="34"/>
  <c r="D840" i="34"/>
  <c r="C840" i="34"/>
  <c r="B840" i="34"/>
  <c r="J839" i="34"/>
  <c r="I839" i="34"/>
  <c r="H839" i="34"/>
  <c r="G839" i="34"/>
  <c r="F839" i="34"/>
  <c r="E839" i="34"/>
  <c r="D839" i="34"/>
  <c r="C839" i="34"/>
  <c r="B839" i="34"/>
  <c r="J838" i="34"/>
  <c r="I838" i="34"/>
  <c r="H838" i="34"/>
  <c r="G838" i="34"/>
  <c r="F838" i="34"/>
  <c r="E838" i="34"/>
  <c r="D838" i="34"/>
  <c r="C838" i="34"/>
  <c r="B838" i="34"/>
  <c r="J837" i="34"/>
  <c r="I837" i="34"/>
  <c r="H837" i="34"/>
  <c r="G837" i="34"/>
  <c r="F837" i="34"/>
  <c r="E837" i="34"/>
  <c r="D837" i="34"/>
  <c r="C837" i="34"/>
  <c r="B837" i="34"/>
  <c r="J836" i="34"/>
  <c r="I836" i="34"/>
  <c r="H836" i="34"/>
  <c r="G836" i="34"/>
  <c r="F836" i="34"/>
  <c r="E836" i="34"/>
  <c r="D836" i="34"/>
  <c r="C836" i="34"/>
  <c r="B836" i="34"/>
  <c r="J835" i="34"/>
  <c r="I835" i="34"/>
  <c r="H835" i="34"/>
  <c r="G835" i="34"/>
  <c r="F835" i="34"/>
  <c r="E835" i="34"/>
  <c r="D835" i="34"/>
  <c r="C835" i="34"/>
  <c r="B835" i="34"/>
  <c r="J834" i="34"/>
  <c r="I834" i="34"/>
  <c r="H834" i="34"/>
  <c r="G834" i="34"/>
  <c r="F834" i="34"/>
  <c r="E834" i="34"/>
  <c r="D834" i="34"/>
  <c r="C834" i="34"/>
  <c r="B834" i="34"/>
  <c r="J833" i="34"/>
  <c r="I833" i="34"/>
  <c r="H833" i="34"/>
  <c r="G833" i="34"/>
  <c r="F833" i="34"/>
  <c r="E833" i="34"/>
  <c r="D833" i="34"/>
  <c r="C833" i="34"/>
  <c r="B833" i="34"/>
  <c r="J832" i="34"/>
  <c r="I832" i="34"/>
  <c r="H832" i="34"/>
  <c r="G832" i="34"/>
  <c r="F832" i="34"/>
  <c r="E832" i="34"/>
  <c r="D832" i="34"/>
  <c r="C832" i="34"/>
  <c r="B832" i="34"/>
  <c r="J831" i="34"/>
  <c r="I831" i="34"/>
  <c r="H831" i="34"/>
  <c r="G831" i="34"/>
  <c r="F831" i="34"/>
  <c r="E831" i="34"/>
  <c r="D831" i="34"/>
  <c r="C831" i="34"/>
  <c r="B831" i="34"/>
  <c r="J830" i="34"/>
  <c r="I830" i="34"/>
  <c r="H830" i="34"/>
  <c r="G830" i="34"/>
  <c r="F830" i="34"/>
  <c r="E830" i="34"/>
  <c r="D830" i="34"/>
  <c r="C830" i="34"/>
  <c r="B830" i="34"/>
  <c r="J829" i="34"/>
  <c r="I829" i="34"/>
  <c r="H829" i="34"/>
  <c r="G829" i="34"/>
  <c r="F829" i="34"/>
  <c r="E829" i="34"/>
  <c r="D829" i="34"/>
  <c r="C829" i="34"/>
  <c r="B829" i="34"/>
  <c r="J828" i="34"/>
  <c r="I828" i="34"/>
  <c r="H828" i="34"/>
  <c r="G828" i="34"/>
  <c r="F828" i="34"/>
  <c r="E828" i="34"/>
  <c r="D828" i="34"/>
  <c r="C828" i="34"/>
  <c r="B828" i="34"/>
  <c r="J827" i="34"/>
  <c r="I827" i="34"/>
  <c r="H827" i="34"/>
  <c r="G827" i="34"/>
  <c r="F827" i="34"/>
  <c r="E827" i="34"/>
  <c r="D827" i="34"/>
  <c r="C827" i="34"/>
  <c r="B827" i="34"/>
  <c r="J826" i="34"/>
  <c r="I826" i="34"/>
  <c r="H826" i="34"/>
  <c r="G826" i="34"/>
  <c r="F826" i="34"/>
  <c r="E826" i="34"/>
  <c r="D826" i="34"/>
  <c r="C826" i="34"/>
  <c r="B826" i="34"/>
  <c r="J825" i="34"/>
  <c r="I825" i="34"/>
  <c r="H825" i="34"/>
  <c r="G825" i="34"/>
  <c r="F825" i="34"/>
  <c r="E825" i="34"/>
  <c r="D825" i="34"/>
  <c r="C825" i="34"/>
  <c r="B825" i="34"/>
  <c r="J824" i="34"/>
  <c r="I824" i="34"/>
  <c r="H824" i="34"/>
  <c r="G824" i="34"/>
  <c r="F824" i="34"/>
  <c r="E824" i="34"/>
  <c r="D824" i="34"/>
  <c r="C824" i="34"/>
  <c r="B824" i="34"/>
  <c r="J823" i="34"/>
  <c r="I823" i="34"/>
  <c r="H823" i="34"/>
  <c r="G823" i="34"/>
  <c r="F823" i="34"/>
  <c r="E823" i="34"/>
  <c r="D823" i="34"/>
  <c r="C823" i="34"/>
  <c r="B823" i="34"/>
  <c r="J822" i="34"/>
  <c r="I822" i="34"/>
  <c r="H822" i="34"/>
  <c r="G822" i="34"/>
  <c r="F822" i="34"/>
  <c r="E822" i="34"/>
  <c r="D822" i="34"/>
  <c r="C822" i="34"/>
  <c r="B822" i="34"/>
  <c r="J821" i="34"/>
  <c r="I821" i="34"/>
  <c r="H821" i="34"/>
  <c r="G821" i="34"/>
  <c r="F821" i="34"/>
  <c r="E821" i="34"/>
  <c r="D821" i="34"/>
  <c r="C821" i="34"/>
  <c r="B821" i="34"/>
  <c r="J820" i="34"/>
  <c r="I820" i="34"/>
  <c r="H820" i="34"/>
  <c r="G820" i="34"/>
  <c r="F820" i="34"/>
  <c r="E820" i="34"/>
  <c r="D820" i="34"/>
  <c r="C820" i="34"/>
  <c r="B820" i="34"/>
  <c r="J819" i="34"/>
  <c r="I819" i="34"/>
  <c r="H819" i="34"/>
  <c r="G819" i="34"/>
  <c r="F819" i="34"/>
  <c r="E819" i="34"/>
  <c r="D819" i="34"/>
  <c r="C819" i="34"/>
  <c r="B819" i="34"/>
  <c r="J818" i="34"/>
  <c r="I818" i="34"/>
  <c r="H818" i="34"/>
  <c r="G818" i="34"/>
  <c r="F818" i="34"/>
  <c r="E818" i="34"/>
  <c r="D818" i="34"/>
  <c r="C818" i="34"/>
  <c r="B818" i="34"/>
  <c r="J817" i="34"/>
  <c r="I817" i="34"/>
  <c r="H817" i="34"/>
  <c r="G817" i="34"/>
  <c r="F817" i="34"/>
  <c r="E817" i="34"/>
  <c r="D817" i="34"/>
  <c r="C817" i="34"/>
  <c r="B817" i="34"/>
  <c r="J816" i="34"/>
  <c r="I816" i="34"/>
  <c r="H816" i="34"/>
  <c r="G816" i="34"/>
  <c r="F816" i="34"/>
  <c r="E816" i="34"/>
  <c r="D816" i="34"/>
  <c r="C816" i="34"/>
  <c r="B816" i="34"/>
  <c r="J815" i="34"/>
  <c r="I815" i="34"/>
  <c r="H815" i="34"/>
  <c r="G815" i="34"/>
  <c r="F815" i="34"/>
  <c r="E815" i="34"/>
  <c r="D815" i="34"/>
  <c r="C815" i="34"/>
  <c r="B815" i="34"/>
  <c r="J814" i="34"/>
  <c r="I814" i="34"/>
  <c r="H814" i="34"/>
  <c r="G814" i="34"/>
  <c r="F814" i="34"/>
  <c r="E814" i="34"/>
  <c r="D814" i="34"/>
  <c r="C814" i="34"/>
  <c r="B814" i="34"/>
  <c r="J813" i="34"/>
  <c r="I813" i="34"/>
  <c r="H813" i="34"/>
  <c r="G813" i="34"/>
  <c r="F813" i="34"/>
  <c r="E813" i="34"/>
  <c r="D813" i="34"/>
  <c r="C813" i="34"/>
  <c r="B813" i="34"/>
  <c r="J812" i="34"/>
  <c r="I812" i="34"/>
  <c r="H812" i="34"/>
  <c r="G812" i="34"/>
  <c r="F812" i="34"/>
  <c r="E812" i="34"/>
  <c r="D812" i="34"/>
  <c r="C812" i="34"/>
  <c r="B812" i="34"/>
  <c r="J811" i="34"/>
  <c r="I811" i="34"/>
  <c r="H811" i="34"/>
  <c r="G811" i="34"/>
  <c r="F811" i="34"/>
  <c r="E811" i="34"/>
  <c r="D811" i="34"/>
  <c r="C811" i="34"/>
  <c r="B811" i="34"/>
  <c r="J810" i="34"/>
  <c r="I810" i="34"/>
  <c r="H810" i="34"/>
  <c r="G810" i="34"/>
  <c r="F810" i="34"/>
  <c r="E810" i="34"/>
  <c r="D810" i="34"/>
  <c r="C810" i="34"/>
  <c r="B810" i="34"/>
  <c r="J809" i="34"/>
  <c r="I809" i="34"/>
  <c r="H809" i="34"/>
  <c r="G809" i="34"/>
  <c r="F809" i="34"/>
  <c r="E809" i="34"/>
  <c r="D809" i="34"/>
  <c r="C809" i="34"/>
  <c r="B809" i="34"/>
  <c r="J808" i="34"/>
  <c r="I808" i="34"/>
  <c r="H808" i="34"/>
  <c r="G808" i="34"/>
  <c r="F808" i="34"/>
  <c r="E808" i="34"/>
  <c r="D808" i="34"/>
  <c r="C808" i="34"/>
  <c r="B808" i="34"/>
  <c r="J807" i="34"/>
  <c r="I807" i="34"/>
  <c r="H807" i="34"/>
  <c r="G807" i="34"/>
  <c r="F807" i="34"/>
  <c r="E807" i="34"/>
  <c r="D807" i="34"/>
  <c r="C807" i="34"/>
  <c r="B807" i="34"/>
  <c r="J806" i="34"/>
  <c r="I806" i="34"/>
  <c r="H806" i="34"/>
  <c r="G806" i="34"/>
  <c r="F806" i="34"/>
  <c r="E806" i="34"/>
  <c r="D806" i="34"/>
  <c r="C806" i="34"/>
  <c r="B806" i="34"/>
  <c r="J805" i="34"/>
  <c r="I805" i="34"/>
  <c r="H805" i="34"/>
  <c r="G805" i="34"/>
  <c r="F805" i="34"/>
  <c r="E805" i="34"/>
  <c r="D805" i="34"/>
  <c r="C805" i="34"/>
  <c r="B805" i="34"/>
  <c r="J804" i="34"/>
  <c r="I804" i="34"/>
  <c r="H804" i="34"/>
  <c r="G804" i="34"/>
  <c r="F804" i="34"/>
  <c r="E804" i="34"/>
  <c r="D804" i="34"/>
  <c r="C804" i="34"/>
  <c r="B804" i="34"/>
  <c r="J803" i="34"/>
  <c r="I803" i="34"/>
  <c r="H803" i="34"/>
  <c r="G803" i="34"/>
  <c r="F803" i="34"/>
  <c r="E803" i="34"/>
  <c r="D803" i="34"/>
  <c r="C803" i="34"/>
  <c r="B803" i="34"/>
  <c r="J802" i="34"/>
  <c r="I802" i="34"/>
  <c r="H802" i="34"/>
  <c r="G802" i="34"/>
  <c r="F802" i="34"/>
  <c r="E802" i="34"/>
  <c r="D802" i="34"/>
  <c r="C802" i="34"/>
  <c r="B802" i="34"/>
  <c r="J801" i="34"/>
  <c r="I801" i="34"/>
  <c r="H801" i="34"/>
  <c r="G801" i="34"/>
  <c r="F801" i="34"/>
  <c r="E801" i="34"/>
  <c r="D801" i="34"/>
  <c r="C801" i="34"/>
  <c r="B801" i="34"/>
  <c r="J800" i="34"/>
  <c r="I800" i="34"/>
  <c r="H800" i="34"/>
  <c r="G800" i="34"/>
  <c r="F800" i="34"/>
  <c r="E800" i="34"/>
  <c r="D800" i="34"/>
  <c r="C800" i="34"/>
  <c r="B800" i="34"/>
  <c r="J799" i="34"/>
  <c r="I799" i="34"/>
  <c r="H799" i="34"/>
  <c r="G799" i="34"/>
  <c r="F799" i="34"/>
  <c r="E799" i="34"/>
  <c r="D799" i="34"/>
  <c r="C799" i="34"/>
  <c r="B799" i="34"/>
  <c r="J798" i="34"/>
  <c r="I798" i="34"/>
  <c r="H798" i="34"/>
  <c r="G798" i="34"/>
  <c r="F798" i="34"/>
  <c r="E798" i="34"/>
  <c r="D798" i="34"/>
  <c r="C798" i="34"/>
  <c r="B798" i="34"/>
  <c r="J797" i="34"/>
  <c r="I797" i="34"/>
  <c r="H797" i="34"/>
  <c r="G797" i="34"/>
  <c r="F797" i="34"/>
  <c r="E797" i="34"/>
  <c r="D797" i="34"/>
  <c r="C797" i="34"/>
  <c r="B797" i="34"/>
  <c r="J796" i="34"/>
  <c r="I796" i="34"/>
  <c r="H796" i="34"/>
  <c r="G796" i="34"/>
  <c r="F796" i="34"/>
  <c r="E796" i="34"/>
  <c r="D796" i="34"/>
  <c r="C796" i="34"/>
  <c r="B796" i="34"/>
  <c r="J795" i="34"/>
  <c r="I795" i="34"/>
  <c r="H795" i="34"/>
  <c r="G795" i="34"/>
  <c r="F795" i="34"/>
  <c r="E795" i="34"/>
  <c r="D795" i="34"/>
  <c r="C795" i="34"/>
  <c r="B795" i="34"/>
  <c r="J794" i="34"/>
  <c r="I794" i="34"/>
  <c r="H794" i="34"/>
  <c r="G794" i="34"/>
  <c r="F794" i="34"/>
  <c r="E794" i="34"/>
  <c r="D794" i="34"/>
  <c r="C794" i="34"/>
  <c r="B794" i="34"/>
  <c r="J793" i="34"/>
  <c r="I793" i="34"/>
  <c r="H793" i="34"/>
  <c r="G793" i="34"/>
  <c r="F793" i="34"/>
  <c r="E793" i="34"/>
  <c r="D793" i="34"/>
  <c r="C793" i="34"/>
  <c r="B793" i="34"/>
  <c r="J792" i="34"/>
  <c r="I792" i="34"/>
  <c r="H792" i="34"/>
  <c r="G792" i="34"/>
  <c r="F792" i="34"/>
  <c r="E792" i="34"/>
  <c r="D792" i="34"/>
  <c r="C792" i="34"/>
  <c r="B792" i="34"/>
  <c r="J791" i="34"/>
  <c r="I791" i="34"/>
  <c r="H791" i="34"/>
  <c r="G791" i="34"/>
  <c r="F791" i="34"/>
  <c r="E791" i="34"/>
  <c r="D791" i="34"/>
  <c r="C791" i="34"/>
  <c r="B791" i="34"/>
  <c r="J790" i="34"/>
  <c r="I790" i="34"/>
  <c r="H790" i="34"/>
  <c r="G790" i="34"/>
  <c r="F790" i="34"/>
  <c r="E790" i="34"/>
  <c r="D790" i="34"/>
  <c r="C790" i="34"/>
  <c r="B790" i="34"/>
  <c r="J789" i="34"/>
  <c r="I789" i="34"/>
  <c r="H789" i="34"/>
  <c r="G789" i="34"/>
  <c r="F789" i="34"/>
  <c r="E789" i="34"/>
  <c r="D789" i="34"/>
  <c r="C789" i="34"/>
  <c r="B789" i="34"/>
  <c r="J788" i="34"/>
  <c r="I788" i="34"/>
  <c r="H788" i="34"/>
  <c r="G788" i="34"/>
  <c r="F788" i="34"/>
  <c r="E788" i="34"/>
  <c r="D788" i="34"/>
  <c r="C788" i="34"/>
  <c r="B788" i="34"/>
  <c r="J787" i="34"/>
  <c r="I787" i="34"/>
  <c r="H787" i="34"/>
  <c r="G787" i="34"/>
  <c r="F787" i="34"/>
  <c r="E787" i="34"/>
  <c r="D787" i="34"/>
  <c r="C787" i="34"/>
  <c r="B787" i="34"/>
  <c r="J786" i="34"/>
  <c r="I786" i="34"/>
  <c r="H786" i="34"/>
  <c r="G786" i="34"/>
  <c r="F786" i="34"/>
  <c r="E786" i="34"/>
  <c r="D786" i="34"/>
  <c r="C786" i="34"/>
  <c r="B786" i="34"/>
  <c r="J785" i="34"/>
  <c r="I785" i="34"/>
  <c r="H785" i="34"/>
  <c r="G785" i="34"/>
  <c r="F785" i="34"/>
  <c r="E785" i="34"/>
  <c r="D785" i="34"/>
  <c r="C785" i="34"/>
  <c r="B785" i="34"/>
  <c r="J784" i="34"/>
  <c r="I784" i="34"/>
  <c r="H784" i="34"/>
  <c r="G784" i="34"/>
  <c r="F784" i="34"/>
  <c r="E784" i="34"/>
  <c r="D784" i="34"/>
  <c r="C784" i="34"/>
  <c r="B784" i="34"/>
  <c r="J783" i="34"/>
  <c r="I783" i="34"/>
  <c r="H783" i="34"/>
  <c r="G783" i="34"/>
  <c r="F783" i="34"/>
  <c r="E783" i="34"/>
  <c r="D783" i="34"/>
  <c r="C783" i="34"/>
  <c r="B783" i="34"/>
  <c r="J782" i="34"/>
  <c r="I782" i="34"/>
  <c r="H782" i="34"/>
  <c r="G782" i="34"/>
  <c r="F782" i="34"/>
  <c r="E782" i="34"/>
  <c r="D782" i="34"/>
  <c r="C782" i="34"/>
  <c r="B782" i="34"/>
  <c r="J781" i="34"/>
  <c r="I781" i="34"/>
  <c r="H781" i="34"/>
  <c r="G781" i="34"/>
  <c r="F781" i="34"/>
  <c r="E781" i="34"/>
  <c r="D781" i="34"/>
  <c r="C781" i="34"/>
  <c r="B781" i="34"/>
  <c r="J780" i="34"/>
  <c r="I780" i="34"/>
  <c r="H780" i="34"/>
  <c r="G780" i="34"/>
  <c r="F780" i="34"/>
  <c r="E780" i="34"/>
  <c r="D780" i="34"/>
  <c r="C780" i="34"/>
  <c r="B780" i="34"/>
  <c r="J779" i="34"/>
  <c r="I779" i="34"/>
  <c r="H779" i="34"/>
  <c r="G779" i="34"/>
  <c r="F779" i="34"/>
  <c r="E779" i="34"/>
  <c r="D779" i="34"/>
  <c r="C779" i="34"/>
  <c r="B779" i="34"/>
  <c r="J778" i="34"/>
  <c r="I778" i="34"/>
  <c r="H778" i="34"/>
  <c r="G778" i="34"/>
  <c r="F778" i="34"/>
  <c r="E778" i="34"/>
  <c r="D778" i="34"/>
  <c r="C778" i="34"/>
  <c r="B778" i="34"/>
  <c r="J777" i="34"/>
  <c r="I777" i="34"/>
  <c r="H777" i="34"/>
  <c r="G777" i="34"/>
  <c r="F777" i="34"/>
  <c r="E777" i="34"/>
  <c r="D777" i="34"/>
  <c r="C777" i="34"/>
  <c r="B777" i="34"/>
  <c r="J776" i="34"/>
  <c r="I776" i="34"/>
  <c r="H776" i="34"/>
  <c r="G776" i="34"/>
  <c r="F776" i="34"/>
  <c r="E776" i="34"/>
  <c r="D776" i="34"/>
  <c r="C776" i="34"/>
  <c r="B776" i="34"/>
  <c r="J775" i="34"/>
  <c r="I775" i="34"/>
  <c r="H775" i="34"/>
  <c r="G775" i="34"/>
  <c r="F775" i="34"/>
  <c r="E775" i="34"/>
  <c r="D775" i="34"/>
  <c r="C775" i="34"/>
  <c r="B775" i="34"/>
  <c r="J774" i="34"/>
  <c r="I774" i="34"/>
  <c r="H774" i="34"/>
  <c r="G774" i="34"/>
  <c r="F774" i="34"/>
  <c r="E774" i="34"/>
  <c r="D774" i="34"/>
  <c r="C774" i="34"/>
  <c r="B774" i="34"/>
  <c r="J773" i="34"/>
  <c r="I773" i="34"/>
  <c r="H773" i="34"/>
  <c r="G773" i="34"/>
  <c r="F773" i="34"/>
  <c r="E773" i="34"/>
  <c r="D773" i="34"/>
  <c r="C773" i="34"/>
  <c r="B773" i="34"/>
  <c r="J772" i="34"/>
  <c r="I772" i="34"/>
  <c r="H772" i="34"/>
  <c r="G772" i="34"/>
  <c r="F772" i="34"/>
  <c r="E772" i="34"/>
  <c r="D772" i="34"/>
  <c r="C772" i="34"/>
  <c r="B772" i="34"/>
  <c r="J771" i="34"/>
  <c r="I771" i="34"/>
  <c r="H771" i="34"/>
  <c r="G771" i="34"/>
  <c r="F771" i="34"/>
  <c r="E771" i="34"/>
  <c r="D771" i="34"/>
  <c r="C771" i="34"/>
  <c r="B771" i="34"/>
  <c r="J770" i="34"/>
  <c r="I770" i="34"/>
  <c r="H770" i="34"/>
  <c r="G770" i="34"/>
  <c r="F770" i="34"/>
  <c r="E770" i="34"/>
  <c r="D770" i="34"/>
  <c r="C770" i="34"/>
  <c r="B770" i="34"/>
  <c r="J769" i="34"/>
  <c r="I769" i="34"/>
  <c r="H769" i="34"/>
  <c r="G769" i="34"/>
  <c r="F769" i="34"/>
  <c r="E769" i="34"/>
  <c r="D769" i="34"/>
  <c r="C769" i="34"/>
  <c r="B769" i="34"/>
  <c r="J768" i="34"/>
  <c r="I768" i="34"/>
  <c r="H768" i="34"/>
  <c r="G768" i="34"/>
  <c r="F768" i="34"/>
  <c r="E768" i="34"/>
  <c r="D768" i="34"/>
  <c r="C768" i="34"/>
  <c r="B768" i="34"/>
  <c r="J767" i="34"/>
  <c r="I767" i="34"/>
  <c r="H767" i="34"/>
  <c r="G767" i="34"/>
  <c r="F767" i="34"/>
  <c r="E767" i="34"/>
  <c r="D767" i="34"/>
  <c r="C767" i="34"/>
  <c r="B767" i="34"/>
  <c r="J766" i="34"/>
  <c r="I766" i="34"/>
  <c r="H766" i="34"/>
  <c r="G766" i="34"/>
  <c r="F766" i="34"/>
  <c r="E766" i="34"/>
  <c r="D766" i="34"/>
  <c r="C766" i="34"/>
  <c r="B766" i="34"/>
  <c r="J765" i="34"/>
  <c r="I765" i="34"/>
  <c r="H765" i="34"/>
  <c r="G765" i="34"/>
  <c r="F765" i="34"/>
  <c r="E765" i="34"/>
  <c r="D765" i="34"/>
  <c r="C765" i="34"/>
  <c r="B765" i="34"/>
  <c r="J764" i="34"/>
  <c r="I764" i="34"/>
  <c r="H764" i="34"/>
  <c r="G764" i="34"/>
  <c r="F764" i="34"/>
  <c r="E764" i="34"/>
  <c r="D764" i="34"/>
  <c r="C764" i="34"/>
  <c r="B764" i="34"/>
  <c r="J763" i="34"/>
  <c r="I763" i="34"/>
  <c r="H763" i="34"/>
  <c r="G763" i="34"/>
  <c r="F763" i="34"/>
  <c r="E763" i="34"/>
  <c r="D763" i="34"/>
  <c r="C763" i="34"/>
  <c r="B763" i="34"/>
  <c r="J762" i="34"/>
  <c r="I762" i="34"/>
  <c r="H762" i="34"/>
  <c r="G762" i="34"/>
  <c r="F762" i="34"/>
  <c r="E762" i="34"/>
  <c r="D762" i="34"/>
  <c r="C762" i="34"/>
  <c r="B762" i="34"/>
  <c r="J761" i="34"/>
  <c r="I761" i="34"/>
  <c r="H761" i="34"/>
  <c r="G761" i="34"/>
  <c r="F761" i="34"/>
  <c r="E761" i="34"/>
  <c r="D761" i="34"/>
  <c r="C761" i="34"/>
  <c r="B761" i="34"/>
  <c r="J760" i="34"/>
  <c r="I760" i="34"/>
  <c r="H760" i="34"/>
  <c r="G760" i="34"/>
  <c r="F760" i="34"/>
  <c r="E760" i="34"/>
  <c r="D760" i="34"/>
  <c r="C760" i="34"/>
  <c r="B760" i="34"/>
  <c r="J759" i="34"/>
  <c r="I759" i="34"/>
  <c r="H759" i="34"/>
  <c r="G759" i="34"/>
  <c r="F759" i="34"/>
  <c r="E759" i="34"/>
  <c r="D759" i="34"/>
  <c r="C759" i="34"/>
  <c r="B759" i="34"/>
  <c r="J758" i="34"/>
  <c r="I758" i="34"/>
  <c r="H758" i="34"/>
  <c r="G758" i="34"/>
  <c r="F758" i="34"/>
  <c r="E758" i="34"/>
  <c r="D758" i="34"/>
  <c r="C758" i="34"/>
  <c r="B758" i="34"/>
  <c r="J757" i="34"/>
  <c r="I757" i="34"/>
  <c r="H757" i="34"/>
  <c r="G757" i="34"/>
  <c r="F757" i="34"/>
  <c r="E757" i="34"/>
  <c r="D757" i="34"/>
  <c r="C757" i="34"/>
  <c r="B757" i="34"/>
  <c r="J756" i="34"/>
  <c r="I756" i="34"/>
  <c r="H756" i="34"/>
  <c r="G756" i="34"/>
  <c r="F756" i="34"/>
  <c r="E756" i="34"/>
  <c r="D756" i="34"/>
  <c r="C756" i="34"/>
  <c r="B756" i="34"/>
  <c r="J755" i="34"/>
  <c r="I755" i="34"/>
  <c r="H755" i="34"/>
  <c r="G755" i="34"/>
  <c r="F755" i="34"/>
  <c r="E755" i="34"/>
  <c r="D755" i="34"/>
  <c r="C755" i="34"/>
  <c r="B755" i="34"/>
  <c r="J754" i="34"/>
  <c r="I754" i="34"/>
  <c r="H754" i="34"/>
  <c r="G754" i="34"/>
  <c r="F754" i="34"/>
  <c r="E754" i="34"/>
  <c r="D754" i="34"/>
  <c r="C754" i="34"/>
  <c r="B754" i="34"/>
  <c r="J753" i="34"/>
  <c r="I753" i="34"/>
  <c r="H753" i="34"/>
  <c r="G753" i="34"/>
  <c r="F753" i="34"/>
  <c r="E753" i="34"/>
  <c r="D753" i="34"/>
  <c r="C753" i="34"/>
  <c r="B753" i="34"/>
  <c r="J752" i="34"/>
  <c r="I752" i="34"/>
  <c r="H752" i="34"/>
  <c r="G752" i="34"/>
  <c r="F752" i="34"/>
  <c r="E752" i="34"/>
  <c r="D752" i="34"/>
  <c r="C752" i="34"/>
  <c r="B752" i="34"/>
  <c r="J751" i="34"/>
  <c r="I751" i="34"/>
  <c r="H751" i="34"/>
  <c r="G751" i="34"/>
  <c r="F751" i="34"/>
  <c r="E751" i="34"/>
  <c r="D751" i="34"/>
  <c r="C751" i="34"/>
  <c r="B751" i="34"/>
  <c r="J750" i="34"/>
  <c r="I750" i="34"/>
  <c r="H750" i="34"/>
  <c r="G750" i="34"/>
  <c r="F750" i="34"/>
  <c r="E750" i="34"/>
  <c r="D750" i="34"/>
  <c r="C750" i="34"/>
  <c r="B750" i="34"/>
  <c r="J749" i="34"/>
  <c r="I749" i="34"/>
  <c r="H749" i="34"/>
  <c r="G749" i="34"/>
  <c r="F749" i="34"/>
  <c r="E749" i="34"/>
  <c r="D749" i="34"/>
  <c r="C749" i="34"/>
  <c r="B749" i="34"/>
  <c r="J748" i="34"/>
  <c r="I748" i="34"/>
  <c r="H748" i="34"/>
  <c r="G748" i="34"/>
  <c r="F748" i="34"/>
  <c r="E748" i="34"/>
  <c r="D748" i="34"/>
  <c r="C748" i="34"/>
  <c r="B748" i="34"/>
  <c r="J747" i="34"/>
  <c r="I747" i="34"/>
  <c r="H747" i="34"/>
  <c r="G747" i="34"/>
  <c r="F747" i="34"/>
  <c r="E747" i="34"/>
  <c r="D747" i="34"/>
  <c r="C747" i="34"/>
  <c r="B747" i="34"/>
  <c r="J746" i="34"/>
  <c r="I746" i="34"/>
  <c r="H746" i="34"/>
  <c r="G746" i="34"/>
  <c r="F746" i="34"/>
  <c r="E746" i="34"/>
  <c r="D746" i="34"/>
  <c r="C746" i="34"/>
  <c r="B746" i="34"/>
  <c r="J745" i="34"/>
  <c r="I745" i="34"/>
  <c r="H745" i="34"/>
  <c r="G745" i="34"/>
  <c r="F745" i="34"/>
  <c r="E745" i="34"/>
  <c r="D745" i="34"/>
  <c r="C745" i="34"/>
  <c r="B745" i="34"/>
  <c r="J744" i="34"/>
  <c r="I744" i="34"/>
  <c r="H744" i="34"/>
  <c r="G744" i="34"/>
  <c r="F744" i="34"/>
  <c r="E744" i="34"/>
  <c r="D744" i="34"/>
  <c r="C744" i="34"/>
  <c r="B744" i="34"/>
  <c r="J743" i="34"/>
  <c r="I743" i="34"/>
  <c r="H743" i="34"/>
  <c r="G743" i="34"/>
  <c r="F743" i="34"/>
  <c r="E743" i="34"/>
  <c r="D743" i="34"/>
  <c r="C743" i="34"/>
  <c r="B743" i="34"/>
  <c r="J742" i="34"/>
  <c r="I742" i="34"/>
  <c r="H742" i="34"/>
  <c r="G742" i="34"/>
  <c r="F742" i="34"/>
  <c r="E742" i="34"/>
  <c r="D742" i="34"/>
  <c r="C742" i="34"/>
  <c r="B742" i="34"/>
  <c r="J741" i="34"/>
  <c r="I741" i="34"/>
  <c r="H741" i="34"/>
  <c r="G741" i="34"/>
  <c r="F741" i="34"/>
  <c r="E741" i="34"/>
  <c r="D741" i="34"/>
  <c r="C741" i="34"/>
  <c r="B741" i="34"/>
  <c r="J740" i="34"/>
  <c r="I740" i="34"/>
  <c r="H740" i="34"/>
  <c r="G740" i="34"/>
  <c r="F740" i="34"/>
  <c r="E740" i="34"/>
  <c r="D740" i="34"/>
  <c r="C740" i="34"/>
  <c r="B740" i="34"/>
  <c r="J739" i="34"/>
  <c r="I739" i="34"/>
  <c r="H739" i="34"/>
  <c r="G739" i="34"/>
  <c r="F739" i="34"/>
  <c r="E739" i="34"/>
  <c r="D739" i="34"/>
  <c r="C739" i="34"/>
  <c r="B739" i="34"/>
  <c r="J738" i="34"/>
  <c r="I738" i="34"/>
  <c r="H738" i="34"/>
  <c r="G738" i="34"/>
  <c r="F738" i="34"/>
  <c r="E738" i="34"/>
  <c r="D738" i="34"/>
  <c r="C738" i="34"/>
  <c r="B738" i="34"/>
  <c r="J737" i="34"/>
  <c r="I737" i="34"/>
  <c r="H737" i="34"/>
  <c r="G737" i="34"/>
  <c r="F737" i="34"/>
  <c r="E737" i="34"/>
  <c r="D737" i="34"/>
  <c r="C737" i="34"/>
  <c r="B737" i="34"/>
  <c r="J736" i="34"/>
  <c r="I736" i="34"/>
  <c r="H736" i="34"/>
  <c r="G736" i="34"/>
  <c r="F736" i="34"/>
  <c r="E736" i="34"/>
  <c r="D736" i="34"/>
  <c r="C736" i="34"/>
  <c r="B736" i="34"/>
  <c r="J735" i="34"/>
  <c r="I735" i="34"/>
  <c r="H735" i="34"/>
  <c r="G735" i="34"/>
  <c r="F735" i="34"/>
  <c r="E735" i="34"/>
  <c r="D735" i="34"/>
  <c r="C735" i="34"/>
  <c r="B735" i="34"/>
  <c r="J734" i="34"/>
  <c r="I734" i="34"/>
  <c r="H734" i="34"/>
  <c r="G734" i="34"/>
  <c r="F734" i="34"/>
  <c r="E734" i="34"/>
  <c r="D734" i="34"/>
  <c r="C734" i="34"/>
  <c r="B734" i="34"/>
  <c r="J733" i="34"/>
  <c r="I733" i="34"/>
  <c r="H733" i="34"/>
  <c r="G733" i="34"/>
  <c r="F733" i="34"/>
  <c r="E733" i="34"/>
  <c r="D733" i="34"/>
  <c r="C733" i="34"/>
  <c r="B733" i="34"/>
  <c r="J732" i="34"/>
  <c r="I732" i="34"/>
  <c r="H732" i="34"/>
  <c r="G732" i="34"/>
  <c r="F732" i="34"/>
  <c r="E732" i="34"/>
  <c r="D732" i="34"/>
  <c r="C732" i="34"/>
  <c r="B732" i="34"/>
  <c r="J731" i="34"/>
  <c r="I731" i="34"/>
  <c r="H731" i="34"/>
  <c r="G731" i="34"/>
  <c r="F731" i="34"/>
  <c r="E731" i="34"/>
  <c r="D731" i="34"/>
  <c r="C731" i="34"/>
  <c r="B731" i="34"/>
  <c r="J730" i="34"/>
  <c r="I730" i="34"/>
  <c r="H730" i="34"/>
  <c r="G730" i="34"/>
  <c r="F730" i="34"/>
  <c r="E730" i="34"/>
  <c r="D730" i="34"/>
  <c r="C730" i="34"/>
  <c r="B730" i="34"/>
  <c r="J729" i="34"/>
  <c r="I729" i="34"/>
  <c r="H729" i="34"/>
  <c r="G729" i="34"/>
  <c r="F729" i="34"/>
  <c r="E729" i="34"/>
  <c r="D729" i="34"/>
  <c r="C729" i="34"/>
  <c r="B729" i="34"/>
  <c r="J728" i="34"/>
  <c r="I728" i="34"/>
  <c r="H728" i="34"/>
  <c r="G728" i="34"/>
  <c r="F728" i="34"/>
  <c r="E728" i="34"/>
  <c r="D728" i="34"/>
  <c r="C728" i="34"/>
  <c r="B728" i="34"/>
  <c r="J727" i="34"/>
  <c r="I727" i="34"/>
  <c r="H727" i="34"/>
  <c r="G727" i="34"/>
  <c r="F727" i="34"/>
  <c r="E727" i="34"/>
  <c r="D727" i="34"/>
  <c r="C727" i="34"/>
  <c r="B727" i="34"/>
  <c r="J726" i="34"/>
  <c r="I726" i="34"/>
  <c r="H726" i="34"/>
  <c r="G726" i="34"/>
  <c r="F726" i="34"/>
  <c r="E726" i="34"/>
  <c r="D726" i="34"/>
  <c r="C726" i="34"/>
  <c r="B726" i="34"/>
  <c r="J725" i="34"/>
  <c r="I725" i="34"/>
  <c r="H725" i="34"/>
  <c r="G725" i="34"/>
  <c r="F725" i="34"/>
  <c r="E725" i="34"/>
  <c r="D725" i="34"/>
  <c r="C725" i="34"/>
  <c r="B725" i="34"/>
  <c r="J724" i="34"/>
  <c r="I724" i="34"/>
  <c r="H724" i="34"/>
  <c r="G724" i="34"/>
  <c r="F724" i="34"/>
  <c r="E724" i="34"/>
  <c r="D724" i="34"/>
  <c r="C724" i="34"/>
  <c r="B724" i="34"/>
  <c r="J723" i="34"/>
  <c r="I723" i="34"/>
  <c r="H723" i="34"/>
  <c r="G723" i="34"/>
  <c r="F723" i="34"/>
  <c r="E723" i="34"/>
  <c r="D723" i="34"/>
  <c r="C723" i="34"/>
  <c r="B723" i="34"/>
  <c r="J722" i="34"/>
  <c r="I722" i="34"/>
  <c r="H722" i="34"/>
  <c r="G722" i="34"/>
  <c r="F722" i="34"/>
  <c r="E722" i="34"/>
  <c r="D722" i="34"/>
  <c r="C722" i="34"/>
  <c r="B722" i="34"/>
  <c r="J721" i="34"/>
  <c r="I721" i="34"/>
  <c r="H721" i="34"/>
  <c r="G721" i="34"/>
  <c r="F721" i="34"/>
  <c r="E721" i="34"/>
  <c r="D721" i="34"/>
  <c r="C721" i="34"/>
  <c r="B721" i="34"/>
  <c r="J720" i="34"/>
  <c r="I720" i="34"/>
  <c r="H720" i="34"/>
  <c r="G720" i="34"/>
  <c r="F720" i="34"/>
  <c r="E720" i="34"/>
  <c r="D720" i="34"/>
  <c r="C720" i="34"/>
  <c r="B720" i="34"/>
  <c r="J719" i="34"/>
  <c r="I719" i="34"/>
  <c r="H719" i="34"/>
  <c r="G719" i="34"/>
  <c r="F719" i="34"/>
  <c r="E719" i="34"/>
  <c r="D719" i="34"/>
  <c r="C719" i="34"/>
  <c r="B719" i="34"/>
  <c r="J718" i="34"/>
  <c r="I718" i="34"/>
  <c r="H718" i="34"/>
  <c r="G718" i="34"/>
  <c r="F718" i="34"/>
  <c r="E718" i="34"/>
  <c r="D718" i="34"/>
  <c r="C718" i="34"/>
  <c r="B718" i="34"/>
  <c r="J717" i="34"/>
  <c r="I717" i="34"/>
  <c r="H717" i="34"/>
  <c r="G717" i="34"/>
  <c r="F717" i="34"/>
  <c r="E717" i="34"/>
  <c r="D717" i="34"/>
  <c r="C717" i="34"/>
  <c r="B717" i="34"/>
  <c r="J716" i="34"/>
  <c r="I716" i="34"/>
  <c r="H716" i="34"/>
  <c r="G716" i="34"/>
  <c r="F716" i="34"/>
  <c r="E716" i="34"/>
  <c r="D716" i="34"/>
  <c r="C716" i="34"/>
  <c r="B716" i="34"/>
  <c r="J715" i="34"/>
  <c r="I715" i="34"/>
  <c r="H715" i="34"/>
  <c r="G715" i="34"/>
  <c r="F715" i="34"/>
  <c r="E715" i="34"/>
  <c r="D715" i="34"/>
  <c r="C715" i="34"/>
  <c r="B715" i="34"/>
  <c r="J714" i="34"/>
  <c r="I714" i="34"/>
  <c r="H714" i="34"/>
  <c r="G714" i="34"/>
  <c r="F714" i="34"/>
  <c r="E714" i="34"/>
  <c r="D714" i="34"/>
  <c r="C714" i="34"/>
  <c r="B714" i="34"/>
  <c r="J713" i="34"/>
  <c r="I713" i="34"/>
  <c r="H713" i="34"/>
  <c r="G713" i="34"/>
  <c r="F713" i="34"/>
  <c r="E713" i="34"/>
  <c r="D713" i="34"/>
  <c r="C713" i="34"/>
  <c r="B713" i="34"/>
  <c r="J712" i="34"/>
  <c r="I712" i="34"/>
  <c r="H712" i="34"/>
  <c r="G712" i="34"/>
  <c r="F712" i="34"/>
  <c r="E712" i="34"/>
  <c r="D712" i="34"/>
  <c r="C712" i="34"/>
  <c r="B712" i="34"/>
  <c r="J711" i="34"/>
  <c r="I711" i="34"/>
  <c r="H711" i="34"/>
  <c r="G711" i="34"/>
  <c r="F711" i="34"/>
  <c r="E711" i="34"/>
  <c r="D711" i="34"/>
  <c r="C711" i="34"/>
  <c r="B711" i="34"/>
  <c r="J710" i="34"/>
  <c r="I710" i="34"/>
  <c r="H710" i="34"/>
  <c r="G710" i="34"/>
  <c r="F710" i="34"/>
  <c r="E710" i="34"/>
  <c r="D710" i="34"/>
  <c r="C710" i="34"/>
  <c r="B710" i="34"/>
  <c r="J709" i="34"/>
  <c r="I709" i="34"/>
  <c r="H709" i="34"/>
  <c r="G709" i="34"/>
  <c r="F709" i="34"/>
  <c r="E709" i="34"/>
  <c r="D709" i="34"/>
  <c r="C709" i="34"/>
  <c r="B709" i="34"/>
  <c r="J708" i="34"/>
  <c r="I708" i="34"/>
  <c r="H708" i="34"/>
  <c r="G708" i="34"/>
  <c r="F708" i="34"/>
  <c r="E708" i="34"/>
  <c r="D708" i="34"/>
  <c r="C708" i="34"/>
  <c r="B708" i="34"/>
  <c r="J707" i="34"/>
  <c r="I707" i="34"/>
  <c r="H707" i="34"/>
  <c r="G707" i="34"/>
  <c r="F707" i="34"/>
  <c r="E707" i="34"/>
  <c r="D707" i="34"/>
  <c r="C707" i="34"/>
  <c r="B707" i="34"/>
  <c r="J706" i="34"/>
  <c r="I706" i="34"/>
  <c r="H706" i="34"/>
  <c r="G706" i="34"/>
  <c r="F706" i="34"/>
  <c r="E706" i="34"/>
  <c r="D706" i="34"/>
  <c r="C706" i="34"/>
  <c r="B706" i="34"/>
  <c r="J705" i="34"/>
  <c r="I705" i="34"/>
  <c r="H705" i="34"/>
  <c r="G705" i="34"/>
  <c r="F705" i="34"/>
  <c r="E705" i="34"/>
  <c r="D705" i="34"/>
  <c r="C705" i="34"/>
  <c r="B705" i="34"/>
  <c r="J704" i="34"/>
  <c r="I704" i="34"/>
  <c r="H704" i="34"/>
  <c r="G704" i="34"/>
  <c r="F704" i="34"/>
  <c r="E704" i="34"/>
  <c r="D704" i="34"/>
  <c r="C704" i="34"/>
  <c r="B704" i="34"/>
  <c r="J703" i="34"/>
  <c r="I703" i="34"/>
  <c r="H703" i="34"/>
  <c r="G703" i="34"/>
  <c r="F703" i="34"/>
  <c r="E703" i="34"/>
  <c r="D703" i="34"/>
  <c r="C703" i="34"/>
  <c r="B703" i="34"/>
  <c r="J702" i="34"/>
  <c r="I702" i="34"/>
  <c r="H702" i="34"/>
  <c r="G702" i="34"/>
  <c r="F702" i="34"/>
  <c r="E702" i="34"/>
  <c r="D702" i="34"/>
  <c r="C702" i="34"/>
  <c r="B702" i="34"/>
  <c r="J701" i="34"/>
  <c r="I701" i="34"/>
  <c r="H701" i="34"/>
  <c r="G701" i="34"/>
  <c r="F701" i="34"/>
  <c r="E701" i="34"/>
  <c r="D701" i="34"/>
  <c r="C701" i="34"/>
  <c r="B701" i="34"/>
  <c r="J700" i="34"/>
  <c r="I700" i="34"/>
  <c r="H700" i="34"/>
  <c r="G700" i="34"/>
  <c r="F700" i="34"/>
  <c r="E700" i="34"/>
  <c r="D700" i="34"/>
  <c r="C700" i="34"/>
  <c r="B700" i="34"/>
  <c r="J699" i="34"/>
  <c r="I699" i="34"/>
  <c r="H699" i="34"/>
  <c r="G699" i="34"/>
  <c r="F699" i="34"/>
  <c r="E699" i="34"/>
  <c r="D699" i="34"/>
  <c r="C699" i="34"/>
  <c r="B699" i="34"/>
  <c r="J698" i="34"/>
  <c r="I698" i="34"/>
  <c r="H698" i="34"/>
  <c r="G698" i="34"/>
  <c r="F698" i="34"/>
  <c r="E698" i="34"/>
  <c r="D698" i="34"/>
  <c r="C698" i="34"/>
  <c r="B698" i="34"/>
  <c r="J697" i="34"/>
  <c r="I697" i="34"/>
  <c r="H697" i="34"/>
  <c r="G697" i="34"/>
  <c r="F697" i="34"/>
  <c r="E697" i="34"/>
  <c r="D697" i="34"/>
  <c r="C697" i="34"/>
  <c r="B697" i="34"/>
  <c r="J696" i="34"/>
  <c r="I696" i="34"/>
  <c r="H696" i="34"/>
  <c r="G696" i="34"/>
  <c r="F696" i="34"/>
  <c r="E696" i="34"/>
  <c r="D696" i="34"/>
  <c r="C696" i="34"/>
  <c r="B696" i="34"/>
  <c r="J695" i="34"/>
  <c r="I695" i="34"/>
  <c r="H695" i="34"/>
  <c r="G695" i="34"/>
  <c r="F695" i="34"/>
  <c r="E695" i="34"/>
  <c r="D695" i="34"/>
  <c r="C695" i="34"/>
  <c r="B695" i="34"/>
  <c r="J694" i="34"/>
  <c r="I694" i="34"/>
  <c r="H694" i="34"/>
  <c r="G694" i="34"/>
  <c r="F694" i="34"/>
  <c r="E694" i="34"/>
  <c r="D694" i="34"/>
  <c r="C694" i="34"/>
  <c r="B694" i="34"/>
  <c r="J693" i="34"/>
  <c r="I693" i="34"/>
  <c r="H693" i="34"/>
  <c r="G693" i="34"/>
  <c r="F693" i="34"/>
  <c r="E693" i="34"/>
  <c r="D693" i="34"/>
  <c r="C693" i="34"/>
  <c r="B693" i="34"/>
  <c r="J692" i="34"/>
  <c r="I692" i="34"/>
  <c r="H692" i="34"/>
  <c r="G692" i="34"/>
  <c r="F692" i="34"/>
  <c r="E692" i="34"/>
  <c r="D692" i="34"/>
  <c r="C692" i="34"/>
  <c r="B692" i="34"/>
  <c r="J691" i="34"/>
  <c r="I691" i="34"/>
  <c r="H691" i="34"/>
  <c r="G691" i="34"/>
  <c r="F691" i="34"/>
  <c r="E691" i="34"/>
  <c r="D691" i="34"/>
  <c r="C691" i="34"/>
  <c r="B691" i="34"/>
  <c r="J690" i="34"/>
  <c r="I690" i="34"/>
  <c r="H690" i="34"/>
  <c r="G690" i="34"/>
  <c r="F690" i="34"/>
  <c r="E690" i="34"/>
  <c r="D690" i="34"/>
  <c r="C690" i="34"/>
  <c r="B690" i="34"/>
  <c r="J689" i="34"/>
  <c r="I689" i="34"/>
  <c r="H689" i="34"/>
  <c r="G689" i="34"/>
  <c r="F689" i="34"/>
  <c r="E689" i="34"/>
  <c r="D689" i="34"/>
  <c r="C689" i="34"/>
  <c r="B689" i="34"/>
  <c r="J688" i="34"/>
  <c r="I688" i="34"/>
  <c r="H688" i="34"/>
  <c r="G688" i="34"/>
  <c r="F688" i="34"/>
  <c r="E688" i="34"/>
  <c r="D688" i="34"/>
  <c r="C688" i="34"/>
  <c r="B688" i="34"/>
  <c r="J687" i="34"/>
  <c r="I687" i="34"/>
  <c r="H687" i="34"/>
  <c r="G687" i="34"/>
  <c r="F687" i="34"/>
  <c r="E687" i="34"/>
  <c r="D687" i="34"/>
  <c r="C687" i="34"/>
  <c r="B687" i="34"/>
  <c r="J686" i="34"/>
  <c r="I686" i="34"/>
  <c r="H686" i="34"/>
  <c r="G686" i="34"/>
  <c r="F686" i="34"/>
  <c r="E686" i="34"/>
  <c r="D686" i="34"/>
  <c r="C686" i="34"/>
  <c r="B686" i="34"/>
  <c r="J685" i="34"/>
  <c r="I685" i="34"/>
  <c r="H685" i="34"/>
  <c r="G685" i="34"/>
  <c r="F685" i="34"/>
  <c r="E685" i="34"/>
  <c r="D685" i="34"/>
  <c r="C685" i="34"/>
  <c r="B685" i="34"/>
  <c r="J684" i="34"/>
  <c r="I684" i="34"/>
  <c r="H684" i="34"/>
  <c r="G684" i="34"/>
  <c r="F684" i="34"/>
  <c r="E684" i="34"/>
  <c r="D684" i="34"/>
  <c r="C684" i="34"/>
  <c r="B684" i="34"/>
  <c r="J683" i="34"/>
  <c r="I683" i="34"/>
  <c r="H683" i="34"/>
  <c r="G683" i="34"/>
  <c r="F683" i="34"/>
  <c r="E683" i="34"/>
  <c r="D683" i="34"/>
  <c r="C683" i="34"/>
  <c r="B683" i="34"/>
  <c r="J682" i="34"/>
  <c r="I682" i="34"/>
  <c r="H682" i="34"/>
  <c r="G682" i="34"/>
  <c r="F682" i="34"/>
  <c r="E682" i="34"/>
  <c r="D682" i="34"/>
  <c r="C682" i="34"/>
  <c r="B682" i="34"/>
  <c r="J681" i="34"/>
  <c r="I681" i="34"/>
  <c r="H681" i="34"/>
  <c r="G681" i="34"/>
  <c r="F681" i="34"/>
  <c r="E681" i="34"/>
  <c r="D681" i="34"/>
  <c r="C681" i="34"/>
  <c r="B681" i="34"/>
  <c r="J680" i="34"/>
  <c r="I680" i="34"/>
  <c r="H680" i="34"/>
  <c r="G680" i="34"/>
  <c r="F680" i="34"/>
  <c r="E680" i="34"/>
  <c r="D680" i="34"/>
  <c r="C680" i="34"/>
  <c r="B680" i="34"/>
  <c r="J679" i="34"/>
  <c r="I679" i="34"/>
  <c r="H679" i="34"/>
  <c r="G679" i="34"/>
  <c r="F679" i="34"/>
  <c r="E679" i="34"/>
  <c r="D679" i="34"/>
  <c r="C679" i="34"/>
  <c r="B679" i="34"/>
  <c r="J678" i="34"/>
  <c r="I678" i="34"/>
  <c r="H678" i="34"/>
  <c r="G678" i="34"/>
  <c r="F678" i="34"/>
  <c r="E678" i="34"/>
  <c r="D678" i="34"/>
  <c r="C678" i="34"/>
  <c r="B678" i="34"/>
  <c r="J677" i="34"/>
  <c r="I677" i="34"/>
  <c r="H677" i="34"/>
  <c r="G677" i="34"/>
  <c r="F677" i="34"/>
  <c r="E677" i="34"/>
  <c r="D677" i="34"/>
  <c r="C677" i="34"/>
  <c r="B677" i="34"/>
  <c r="J676" i="34"/>
  <c r="I676" i="34"/>
  <c r="H676" i="34"/>
  <c r="G676" i="34"/>
  <c r="F676" i="34"/>
  <c r="E676" i="34"/>
  <c r="D676" i="34"/>
  <c r="C676" i="34"/>
  <c r="B676" i="34"/>
  <c r="J675" i="34"/>
  <c r="I675" i="34"/>
  <c r="H675" i="34"/>
  <c r="G675" i="34"/>
  <c r="F675" i="34"/>
  <c r="E675" i="34"/>
  <c r="D675" i="34"/>
  <c r="C675" i="34"/>
  <c r="B675" i="34"/>
  <c r="J674" i="34"/>
  <c r="I674" i="34"/>
  <c r="H674" i="34"/>
  <c r="G674" i="34"/>
  <c r="F674" i="34"/>
  <c r="E674" i="34"/>
  <c r="D674" i="34"/>
  <c r="C674" i="34"/>
  <c r="B674" i="34"/>
  <c r="J673" i="34"/>
  <c r="I673" i="34"/>
  <c r="H673" i="34"/>
  <c r="G673" i="34"/>
  <c r="F673" i="34"/>
  <c r="E673" i="34"/>
  <c r="D673" i="34"/>
  <c r="C673" i="34"/>
  <c r="B673" i="34"/>
  <c r="J672" i="34"/>
  <c r="I672" i="34"/>
  <c r="H672" i="34"/>
  <c r="G672" i="34"/>
  <c r="F672" i="34"/>
  <c r="E672" i="34"/>
  <c r="D672" i="34"/>
  <c r="C672" i="34"/>
  <c r="B672" i="34"/>
  <c r="J671" i="34"/>
  <c r="I671" i="34"/>
  <c r="H671" i="34"/>
  <c r="G671" i="34"/>
  <c r="F671" i="34"/>
  <c r="E671" i="34"/>
  <c r="D671" i="34"/>
  <c r="C671" i="34"/>
  <c r="B671" i="34"/>
  <c r="J670" i="34"/>
  <c r="I670" i="34"/>
  <c r="H670" i="34"/>
  <c r="G670" i="34"/>
  <c r="F670" i="34"/>
  <c r="E670" i="34"/>
  <c r="D670" i="34"/>
  <c r="C670" i="34"/>
  <c r="B670" i="34"/>
  <c r="J669" i="34"/>
  <c r="I669" i="34"/>
  <c r="H669" i="34"/>
  <c r="G669" i="34"/>
  <c r="F669" i="34"/>
  <c r="E669" i="34"/>
  <c r="D669" i="34"/>
  <c r="C669" i="34"/>
  <c r="B669" i="34"/>
  <c r="J668" i="34"/>
  <c r="I668" i="34"/>
  <c r="H668" i="34"/>
  <c r="G668" i="34"/>
  <c r="F668" i="34"/>
  <c r="E668" i="34"/>
  <c r="D668" i="34"/>
  <c r="C668" i="34"/>
  <c r="B668" i="34"/>
  <c r="J667" i="34"/>
  <c r="I667" i="34"/>
  <c r="H667" i="34"/>
  <c r="G667" i="34"/>
  <c r="F667" i="34"/>
  <c r="E667" i="34"/>
  <c r="D667" i="34"/>
  <c r="C667" i="34"/>
  <c r="B667" i="34"/>
  <c r="J666" i="34"/>
  <c r="I666" i="34"/>
  <c r="H666" i="34"/>
  <c r="G666" i="34"/>
  <c r="F666" i="34"/>
  <c r="E666" i="34"/>
  <c r="D666" i="34"/>
  <c r="C666" i="34"/>
  <c r="B666" i="34"/>
  <c r="J665" i="34"/>
  <c r="I665" i="34"/>
  <c r="H665" i="34"/>
  <c r="G665" i="34"/>
  <c r="F665" i="34"/>
  <c r="E665" i="34"/>
  <c r="D665" i="34"/>
  <c r="C665" i="34"/>
  <c r="B665" i="34"/>
  <c r="J664" i="34"/>
  <c r="I664" i="34"/>
  <c r="H664" i="34"/>
  <c r="G664" i="34"/>
  <c r="F664" i="34"/>
  <c r="E664" i="34"/>
  <c r="D664" i="34"/>
  <c r="C664" i="34"/>
  <c r="B664" i="34"/>
  <c r="J663" i="34"/>
  <c r="I663" i="34"/>
  <c r="H663" i="34"/>
  <c r="G663" i="34"/>
  <c r="F663" i="34"/>
  <c r="E663" i="34"/>
  <c r="D663" i="34"/>
  <c r="C663" i="34"/>
  <c r="B663" i="34"/>
  <c r="J662" i="34"/>
  <c r="I662" i="34"/>
  <c r="H662" i="34"/>
  <c r="G662" i="34"/>
  <c r="F662" i="34"/>
  <c r="E662" i="34"/>
  <c r="D662" i="34"/>
  <c r="C662" i="34"/>
  <c r="B662" i="34"/>
  <c r="J661" i="34"/>
  <c r="I661" i="34"/>
  <c r="H661" i="34"/>
  <c r="G661" i="34"/>
  <c r="F661" i="34"/>
  <c r="E661" i="34"/>
  <c r="D661" i="34"/>
  <c r="C661" i="34"/>
  <c r="B661" i="34"/>
  <c r="J660" i="34"/>
  <c r="I660" i="34"/>
  <c r="H660" i="34"/>
  <c r="G660" i="34"/>
  <c r="F660" i="34"/>
  <c r="E660" i="34"/>
  <c r="D660" i="34"/>
  <c r="C660" i="34"/>
  <c r="B660" i="34"/>
  <c r="J659" i="34"/>
  <c r="I659" i="34"/>
  <c r="H659" i="34"/>
  <c r="G659" i="34"/>
  <c r="F659" i="34"/>
  <c r="E659" i="34"/>
  <c r="D659" i="34"/>
  <c r="C659" i="34"/>
  <c r="B659" i="34"/>
  <c r="J658" i="34"/>
  <c r="I658" i="34"/>
  <c r="H658" i="34"/>
  <c r="G658" i="34"/>
  <c r="F658" i="34"/>
  <c r="E658" i="34"/>
  <c r="D658" i="34"/>
  <c r="C658" i="34"/>
  <c r="B658" i="34"/>
  <c r="J657" i="34"/>
  <c r="I657" i="34"/>
  <c r="H657" i="34"/>
  <c r="G657" i="34"/>
  <c r="F657" i="34"/>
  <c r="E657" i="34"/>
  <c r="D657" i="34"/>
  <c r="C657" i="34"/>
  <c r="B657" i="34"/>
  <c r="J656" i="34"/>
  <c r="I656" i="34"/>
  <c r="H656" i="34"/>
  <c r="G656" i="34"/>
  <c r="F656" i="34"/>
  <c r="E656" i="34"/>
  <c r="D656" i="34"/>
  <c r="C656" i="34"/>
  <c r="B656" i="34"/>
  <c r="J655" i="34"/>
  <c r="I655" i="34"/>
  <c r="H655" i="34"/>
  <c r="G655" i="34"/>
  <c r="F655" i="34"/>
  <c r="E655" i="34"/>
  <c r="D655" i="34"/>
  <c r="C655" i="34"/>
  <c r="B655" i="34"/>
  <c r="J654" i="34"/>
  <c r="I654" i="34"/>
  <c r="H654" i="34"/>
  <c r="G654" i="34"/>
  <c r="F654" i="34"/>
  <c r="E654" i="34"/>
  <c r="D654" i="34"/>
  <c r="C654" i="34"/>
  <c r="B654" i="34"/>
  <c r="J653" i="34"/>
  <c r="I653" i="34"/>
  <c r="H653" i="34"/>
  <c r="G653" i="34"/>
  <c r="F653" i="34"/>
  <c r="E653" i="34"/>
  <c r="D653" i="34"/>
  <c r="C653" i="34"/>
  <c r="B653" i="34"/>
  <c r="J652" i="34"/>
  <c r="I652" i="34"/>
  <c r="H652" i="34"/>
  <c r="G652" i="34"/>
  <c r="F652" i="34"/>
  <c r="E652" i="34"/>
  <c r="D652" i="34"/>
  <c r="C652" i="34"/>
  <c r="B652" i="34"/>
  <c r="J651" i="34"/>
  <c r="I651" i="34"/>
  <c r="H651" i="34"/>
  <c r="G651" i="34"/>
  <c r="F651" i="34"/>
  <c r="E651" i="34"/>
  <c r="D651" i="34"/>
  <c r="C651" i="34"/>
  <c r="B651" i="34"/>
  <c r="J650" i="34"/>
  <c r="I650" i="34"/>
  <c r="H650" i="34"/>
  <c r="G650" i="34"/>
  <c r="F650" i="34"/>
  <c r="E650" i="34"/>
  <c r="D650" i="34"/>
  <c r="C650" i="34"/>
  <c r="B650" i="34"/>
  <c r="J649" i="34"/>
  <c r="I649" i="34"/>
  <c r="H649" i="34"/>
  <c r="G649" i="34"/>
  <c r="F649" i="34"/>
  <c r="E649" i="34"/>
  <c r="D649" i="34"/>
  <c r="C649" i="34"/>
  <c r="B649" i="34"/>
  <c r="J648" i="34"/>
  <c r="I648" i="34"/>
  <c r="H648" i="34"/>
  <c r="G648" i="34"/>
  <c r="F648" i="34"/>
  <c r="E648" i="34"/>
  <c r="D648" i="34"/>
  <c r="C648" i="34"/>
  <c r="B648" i="34"/>
  <c r="J647" i="34"/>
  <c r="I647" i="34"/>
  <c r="H647" i="34"/>
  <c r="G647" i="34"/>
  <c r="F647" i="34"/>
  <c r="E647" i="34"/>
  <c r="D647" i="34"/>
  <c r="C647" i="34"/>
  <c r="B647" i="34"/>
  <c r="J646" i="34"/>
  <c r="I646" i="34"/>
  <c r="H646" i="34"/>
  <c r="G646" i="34"/>
  <c r="F646" i="34"/>
  <c r="E646" i="34"/>
  <c r="D646" i="34"/>
  <c r="C646" i="34"/>
  <c r="B646" i="34"/>
  <c r="J645" i="34"/>
  <c r="I645" i="34"/>
  <c r="H645" i="34"/>
  <c r="G645" i="34"/>
  <c r="F645" i="34"/>
  <c r="E645" i="34"/>
  <c r="D645" i="34"/>
  <c r="C645" i="34"/>
  <c r="B645" i="34"/>
  <c r="J644" i="34"/>
  <c r="I644" i="34"/>
  <c r="H644" i="34"/>
  <c r="G644" i="34"/>
  <c r="F644" i="34"/>
  <c r="E644" i="34"/>
  <c r="D644" i="34"/>
  <c r="C644" i="34"/>
  <c r="B644" i="34"/>
  <c r="J643" i="34"/>
  <c r="I643" i="34"/>
  <c r="H643" i="34"/>
  <c r="G643" i="34"/>
  <c r="F643" i="34"/>
  <c r="E643" i="34"/>
  <c r="D643" i="34"/>
  <c r="C643" i="34"/>
  <c r="B643" i="34"/>
  <c r="J642" i="34"/>
  <c r="I642" i="34"/>
  <c r="H642" i="34"/>
  <c r="G642" i="34"/>
  <c r="F642" i="34"/>
  <c r="E642" i="34"/>
  <c r="D642" i="34"/>
  <c r="C642" i="34"/>
  <c r="B642" i="34"/>
  <c r="J641" i="34"/>
  <c r="I641" i="34"/>
  <c r="H641" i="34"/>
  <c r="G641" i="34"/>
  <c r="F641" i="34"/>
  <c r="E641" i="34"/>
  <c r="D641" i="34"/>
  <c r="C641" i="34"/>
  <c r="B641" i="34"/>
  <c r="J640" i="34"/>
  <c r="I640" i="34"/>
  <c r="H640" i="34"/>
  <c r="G640" i="34"/>
  <c r="F640" i="34"/>
  <c r="E640" i="34"/>
  <c r="D640" i="34"/>
  <c r="C640" i="34"/>
  <c r="B640" i="34"/>
  <c r="J639" i="34"/>
  <c r="I639" i="34"/>
  <c r="H639" i="34"/>
  <c r="G639" i="34"/>
  <c r="F639" i="34"/>
  <c r="E639" i="34"/>
  <c r="D639" i="34"/>
  <c r="C639" i="34"/>
  <c r="B639" i="34"/>
  <c r="J638" i="34"/>
  <c r="I638" i="34"/>
  <c r="H638" i="34"/>
  <c r="G638" i="34"/>
  <c r="F638" i="34"/>
  <c r="E638" i="34"/>
  <c r="D638" i="34"/>
  <c r="C638" i="34"/>
  <c r="B638" i="34"/>
  <c r="J637" i="34"/>
  <c r="I637" i="34"/>
  <c r="H637" i="34"/>
  <c r="G637" i="34"/>
  <c r="F637" i="34"/>
  <c r="E637" i="34"/>
  <c r="D637" i="34"/>
  <c r="C637" i="34"/>
  <c r="B637" i="34"/>
  <c r="J636" i="34"/>
  <c r="I636" i="34"/>
  <c r="H636" i="34"/>
  <c r="G636" i="34"/>
  <c r="F636" i="34"/>
  <c r="E636" i="34"/>
  <c r="D636" i="34"/>
  <c r="C636" i="34"/>
  <c r="B636" i="34"/>
  <c r="J635" i="34"/>
  <c r="I635" i="34"/>
  <c r="H635" i="34"/>
  <c r="G635" i="34"/>
  <c r="F635" i="34"/>
  <c r="E635" i="34"/>
  <c r="D635" i="34"/>
  <c r="C635" i="34"/>
  <c r="B635" i="34"/>
  <c r="J634" i="34"/>
  <c r="I634" i="34"/>
  <c r="H634" i="34"/>
  <c r="G634" i="34"/>
  <c r="F634" i="34"/>
  <c r="E634" i="34"/>
  <c r="D634" i="34"/>
  <c r="C634" i="34"/>
  <c r="B634" i="34"/>
  <c r="J633" i="34"/>
  <c r="I633" i="34"/>
  <c r="H633" i="34"/>
  <c r="G633" i="34"/>
  <c r="F633" i="34"/>
  <c r="E633" i="34"/>
  <c r="D633" i="34"/>
  <c r="C633" i="34"/>
  <c r="B633" i="34"/>
  <c r="J632" i="34"/>
  <c r="I632" i="34"/>
  <c r="H632" i="34"/>
  <c r="G632" i="34"/>
  <c r="F632" i="34"/>
  <c r="E632" i="34"/>
  <c r="D632" i="34"/>
  <c r="C632" i="34"/>
  <c r="B632" i="34"/>
  <c r="J631" i="34"/>
  <c r="I631" i="34"/>
  <c r="H631" i="34"/>
  <c r="G631" i="34"/>
  <c r="F631" i="34"/>
  <c r="E631" i="34"/>
  <c r="D631" i="34"/>
  <c r="C631" i="34"/>
  <c r="B631" i="34"/>
  <c r="J630" i="34"/>
  <c r="I630" i="34"/>
  <c r="H630" i="34"/>
  <c r="G630" i="34"/>
  <c r="F630" i="34"/>
  <c r="E630" i="34"/>
  <c r="D630" i="34"/>
  <c r="C630" i="34"/>
  <c r="B630" i="34"/>
  <c r="J629" i="34"/>
  <c r="I629" i="34"/>
  <c r="H629" i="34"/>
  <c r="G629" i="34"/>
  <c r="F629" i="34"/>
  <c r="E629" i="34"/>
  <c r="D629" i="34"/>
  <c r="C629" i="34"/>
  <c r="B629" i="34"/>
  <c r="J628" i="34"/>
  <c r="I628" i="34"/>
  <c r="H628" i="34"/>
  <c r="G628" i="34"/>
  <c r="F628" i="34"/>
  <c r="E628" i="34"/>
  <c r="D628" i="34"/>
  <c r="C628" i="34"/>
  <c r="B628" i="34"/>
  <c r="J627" i="34"/>
  <c r="I627" i="34"/>
  <c r="H627" i="34"/>
  <c r="G627" i="34"/>
  <c r="F627" i="34"/>
  <c r="E627" i="34"/>
  <c r="D627" i="34"/>
  <c r="C627" i="34"/>
  <c r="B627" i="34"/>
  <c r="J626" i="34"/>
  <c r="I626" i="34"/>
  <c r="H626" i="34"/>
  <c r="G626" i="34"/>
  <c r="F626" i="34"/>
  <c r="E626" i="34"/>
  <c r="D626" i="34"/>
  <c r="C626" i="34"/>
  <c r="B626" i="34"/>
  <c r="J625" i="34"/>
  <c r="I625" i="34"/>
  <c r="H625" i="34"/>
  <c r="G625" i="34"/>
  <c r="F625" i="34"/>
  <c r="E625" i="34"/>
  <c r="D625" i="34"/>
  <c r="C625" i="34"/>
  <c r="B625" i="34"/>
  <c r="J624" i="34"/>
  <c r="I624" i="34"/>
  <c r="H624" i="34"/>
  <c r="G624" i="34"/>
  <c r="F624" i="34"/>
  <c r="E624" i="34"/>
  <c r="D624" i="34"/>
  <c r="C624" i="34"/>
  <c r="B624" i="34"/>
  <c r="J623" i="34"/>
  <c r="I623" i="34"/>
  <c r="H623" i="34"/>
  <c r="G623" i="34"/>
  <c r="F623" i="34"/>
  <c r="E623" i="34"/>
  <c r="D623" i="34"/>
  <c r="C623" i="34"/>
  <c r="B623" i="34"/>
  <c r="J622" i="34"/>
  <c r="I622" i="34"/>
  <c r="H622" i="34"/>
  <c r="G622" i="34"/>
  <c r="F622" i="34"/>
  <c r="E622" i="34"/>
  <c r="D622" i="34"/>
  <c r="C622" i="34"/>
  <c r="B622" i="34"/>
  <c r="J621" i="34"/>
  <c r="I621" i="34"/>
  <c r="H621" i="34"/>
  <c r="G621" i="34"/>
  <c r="F621" i="34"/>
  <c r="E621" i="34"/>
  <c r="D621" i="34"/>
  <c r="C621" i="34"/>
  <c r="B621" i="34"/>
  <c r="J620" i="34"/>
  <c r="I620" i="34"/>
  <c r="H620" i="34"/>
  <c r="G620" i="34"/>
  <c r="F620" i="34"/>
  <c r="E620" i="34"/>
  <c r="D620" i="34"/>
  <c r="C620" i="34"/>
  <c r="B620" i="34"/>
  <c r="J619" i="34"/>
  <c r="I619" i="34"/>
  <c r="H619" i="34"/>
  <c r="G619" i="34"/>
  <c r="F619" i="34"/>
  <c r="E619" i="34"/>
  <c r="D619" i="34"/>
  <c r="C619" i="34"/>
  <c r="B619" i="34"/>
  <c r="J618" i="34"/>
  <c r="I618" i="34"/>
  <c r="H618" i="34"/>
  <c r="G618" i="34"/>
  <c r="F618" i="34"/>
  <c r="E618" i="34"/>
  <c r="D618" i="34"/>
  <c r="C618" i="34"/>
  <c r="B618" i="34"/>
  <c r="J617" i="34"/>
  <c r="I617" i="34"/>
  <c r="H617" i="34"/>
  <c r="G617" i="34"/>
  <c r="F617" i="34"/>
  <c r="E617" i="34"/>
  <c r="D617" i="34"/>
  <c r="C617" i="34"/>
  <c r="B617" i="34"/>
  <c r="J616" i="34"/>
  <c r="I616" i="34"/>
  <c r="H616" i="34"/>
  <c r="G616" i="34"/>
  <c r="F616" i="34"/>
  <c r="E616" i="34"/>
  <c r="D616" i="34"/>
  <c r="C616" i="34"/>
  <c r="B616" i="34"/>
  <c r="J615" i="34"/>
  <c r="I615" i="34"/>
  <c r="H615" i="34"/>
  <c r="G615" i="34"/>
  <c r="F615" i="34"/>
  <c r="E615" i="34"/>
  <c r="D615" i="34"/>
  <c r="C615" i="34"/>
  <c r="B615" i="34"/>
  <c r="J614" i="34"/>
  <c r="I614" i="34"/>
  <c r="H614" i="34"/>
  <c r="G614" i="34"/>
  <c r="F614" i="34"/>
  <c r="E614" i="34"/>
  <c r="D614" i="34"/>
  <c r="C614" i="34"/>
  <c r="B614" i="34"/>
  <c r="J613" i="34"/>
  <c r="I613" i="34"/>
  <c r="H613" i="34"/>
  <c r="G613" i="34"/>
  <c r="F613" i="34"/>
  <c r="E613" i="34"/>
  <c r="D613" i="34"/>
  <c r="C613" i="34"/>
  <c r="B613" i="34"/>
  <c r="J612" i="34"/>
  <c r="I612" i="34"/>
  <c r="H612" i="34"/>
  <c r="G612" i="34"/>
  <c r="F612" i="34"/>
  <c r="E612" i="34"/>
  <c r="D612" i="34"/>
  <c r="C612" i="34"/>
  <c r="B612" i="34"/>
  <c r="J611" i="34"/>
  <c r="I611" i="34"/>
  <c r="H611" i="34"/>
  <c r="G611" i="34"/>
  <c r="F611" i="34"/>
  <c r="E611" i="34"/>
  <c r="D611" i="34"/>
  <c r="C611" i="34"/>
  <c r="B611" i="34"/>
  <c r="J610" i="34"/>
  <c r="I610" i="34"/>
  <c r="H610" i="34"/>
  <c r="G610" i="34"/>
  <c r="F610" i="34"/>
  <c r="E610" i="34"/>
  <c r="D610" i="34"/>
  <c r="C610" i="34"/>
  <c r="B610" i="34"/>
  <c r="J609" i="34"/>
  <c r="I609" i="34"/>
  <c r="H609" i="34"/>
  <c r="G609" i="34"/>
  <c r="F609" i="34"/>
  <c r="E609" i="34"/>
  <c r="D609" i="34"/>
  <c r="C609" i="34"/>
  <c r="B609" i="34"/>
  <c r="J608" i="34"/>
  <c r="I608" i="34"/>
  <c r="H608" i="34"/>
  <c r="G608" i="34"/>
  <c r="F608" i="34"/>
  <c r="E608" i="34"/>
  <c r="D608" i="34"/>
  <c r="C608" i="34"/>
  <c r="B608" i="34"/>
  <c r="J607" i="34"/>
  <c r="I607" i="34"/>
  <c r="H607" i="34"/>
  <c r="G607" i="34"/>
  <c r="F607" i="34"/>
  <c r="E607" i="34"/>
  <c r="D607" i="34"/>
  <c r="C607" i="34"/>
  <c r="B607" i="34"/>
  <c r="J606" i="34"/>
  <c r="I606" i="34"/>
  <c r="H606" i="34"/>
  <c r="G606" i="34"/>
  <c r="F606" i="34"/>
  <c r="E606" i="34"/>
  <c r="D606" i="34"/>
  <c r="C606" i="34"/>
  <c r="B606" i="34"/>
  <c r="J605" i="34"/>
  <c r="I605" i="34"/>
  <c r="H605" i="34"/>
  <c r="G605" i="34"/>
  <c r="F605" i="34"/>
  <c r="E605" i="34"/>
  <c r="D605" i="34"/>
  <c r="C605" i="34"/>
  <c r="B605" i="34"/>
  <c r="J604" i="34"/>
  <c r="I604" i="34"/>
  <c r="H604" i="34"/>
  <c r="G604" i="34"/>
  <c r="F604" i="34"/>
  <c r="E604" i="34"/>
  <c r="D604" i="34"/>
  <c r="C604" i="34"/>
  <c r="B604" i="34"/>
  <c r="J603" i="34"/>
  <c r="I603" i="34"/>
  <c r="H603" i="34"/>
  <c r="G603" i="34"/>
  <c r="F603" i="34"/>
  <c r="E603" i="34"/>
  <c r="D603" i="34"/>
  <c r="C603" i="34"/>
  <c r="B603" i="34"/>
  <c r="J602" i="34"/>
  <c r="I602" i="34"/>
  <c r="H602" i="34"/>
  <c r="G602" i="34"/>
  <c r="F602" i="34"/>
  <c r="E602" i="34"/>
  <c r="D602" i="34"/>
  <c r="C602" i="34"/>
  <c r="B602" i="34"/>
  <c r="J601" i="34"/>
  <c r="I601" i="34"/>
  <c r="H601" i="34"/>
  <c r="G601" i="34"/>
  <c r="F601" i="34"/>
  <c r="E601" i="34"/>
  <c r="D601" i="34"/>
  <c r="C601" i="34"/>
  <c r="B601" i="34"/>
  <c r="J600" i="34"/>
  <c r="I600" i="34"/>
  <c r="H600" i="34"/>
  <c r="G600" i="34"/>
  <c r="F600" i="34"/>
  <c r="E600" i="34"/>
  <c r="D600" i="34"/>
  <c r="C600" i="34"/>
  <c r="B600" i="34"/>
  <c r="J599" i="34"/>
  <c r="I599" i="34"/>
  <c r="H599" i="34"/>
  <c r="G599" i="34"/>
  <c r="F599" i="34"/>
  <c r="E599" i="34"/>
  <c r="D599" i="34"/>
  <c r="C599" i="34"/>
  <c r="B599" i="34"/>
  <c r="J598" i="34"/>
  <c r="I598" i="34"/>
  <c r="H598" i="34"/>
  <c r="G598" i="34"/>
  <c r="F598" i="34"/>
  <c r="E598" i="34"/>
  <c r="D598" i="34"/>
  <c r="C598" i="34"/>
  <c r="B598" i="34"/>
  <c r="J597" i="34"/>
  <c r="I597" i="34"/>
  <c r="H597" i="34"/>
  <c r="G597" i="34"/>
  <c r="F597" i="34"/>
  <c r="E597" i="34"/>
  <c r="D597" i="34"/>
  <c r="C597" i="34"/>
  <c r="B597" i="34"/>
  <c r="J596" i="34"/>
  <c r="I596" i="34"/>
  <c r="H596" i="34"/>
  <c r="G596" i="34"/>
  <c r="F596" i="34"/>
  <c r="E596" i="34"/>
  <c r="D596" i="34"/>
  <c r="C596" i="34"/>
  <c r="B596" i="34"/>
  <c r="J595" i="34"/>
  <c r="I595" i="34"/>
  <c r="H595" i="34"/>
  <c r="G595" i="34"/>
  <c r="F595" i="34"/>
  <c r="E595" i="34"/>
  <c r="D595" i="34"/>
  <c r="C595" i="34"/>
  <c r="B595" i="34"/>
  <c r="J594" i="34"/>
  <c r="I594" i="34"/>
  <c r="H594" i="34"/>
  <c r="G594" i="34"/>
  <c r="F594" i="34"/>
  <c r="E594" i="34"/>
  <c r="D594" i="34"/>
  <c r="C594" i="34"/>
  <c r="B594" i="34"/>
  <c r="J593" i="34"/>
  <c r="I593" i="34"/>
  <c r="H593" i="34"/>
  <c r="G593" i="34"/>
  <c r="F593" i="34"/>
  <c r="E593" i="34"/>
  <c r="D593" i="34"/>
  <c r="C593" i="34"/>
  <c r="B593" i="34"/>
  <c r="J592" i="34"/>
  <c r="I592" i="34"/>
  <c r="H592" i="34"/>
  <c r="G592" i="34"/>
  <c r="F592" i="34"/>
  <c r="E592" i="34"/>
  <c r="D592" i="34"/>
  <c r="C592" i="34"/>
  <c r="B592" i="34"/>
  <c r="J591" i="34"/>
  <c r="I591" i="34"/>
  <c r="H591" i="34"/>
  <c r="G591" i="34"/>
  <c r="F591" i="34"/>
  <c r="E591" i="34"/>
  <c r="D591" i="34"/>
  <c r="C591" i="34"/>
  <c r="B591" i="34"/>
  <c r="J590" i="34"/>
  <c r="I590" i="34"/>
  <c r="H590" i="34"/>
  <c r="G590" i="34"/>
  <c r="F590" i="34"/>
  <c r="E590" i="34"/>
  <c r="D590" i="34"/>
  <c r="C590" i="34"/>
  <c r="B590" i="34"/>
  <c r="J589" i="34"/>
  <c r="I589" i="34"/>
  <c r="H589" i="34"/>
  <c r="G589" i="34"/>
  <c r="F589" i="34"/>
  <c r="E589" i="34"/>
  <c r="D589" i="34"/>
  <c r="C589" i="34"/>
  <c r="B589" i="34"/>
  <c r="J588" i="34"/>
  <c r="I588" i="34"/>
  <c r="H588" i="34"/>
  <c r="G588" i="34"/>
  <c r="F588" i="34"/>
  <c r="E588" i="34"/>
  <c r="D588" i="34"/>
  <c r="C588" i="34"/>
  <c r="B588" i="34"/>
  <c r="J587" i="34"/>
  <c r="I587" i="34"/>
  <c r="H587" i="34"/>
  <c r="G587" i="34"/>
  <c r="F587" i="34"/>
  <c r="E587" i="34"/>
  <c r="D587" i="34"/>
  <c r="C587" i="34"/>
  <c r="B587" i="34"/>
  <c r="J586" i="34"/>
  <c r="I586" i="34"/>
  <c r="H586" i="34"/>
  <c r="G586" i="34"/>
  <c r="F586" i="34"/>
  <c r="E586" i="34"/>
  <c r="D586" i="34"/>
  <c r="C586" i="34"/>
  <c r="B586" i="34"/>
  <c r="J585" i="34"/>
  <c r="I585" i="34"/>
  <c r="H585" i="34"/>
  <c r="G585" i="34"/>
  <c r="F585" i="34"/>
  <c r="E585" i="34"/>
  <c r="D585" i="34"/>
  <c r="C585" i="34"/>
  <c r="B585" i="34"/>
  <c r="J584" i="34"/>
  <c r="I584" i="34"/>
  <c r="H584" i="34"/>
  <c r="G584" i="34"/>
  <c r="F584" i="34"/>
  <c r="E584" i="34"/>
  <c r="D584" i="34"/>
  <c r="C584" i="34"/>
  <c r="B584" i="34"/>
  <c r="J583" i="34"/>
  <c r="I583" i="34"/>
  <c r="H583" i="34"/>
  <c r="G583" i="34"/>
  <c r="F583" i="34"/>
  <c r="E583" i="34"/>
  <c r="D583" i="34"/>
  <c r="C583" i="34"/>
  <c r="B583" i="34"/>
  <c r="J582" i="34"/>
  <c r="I582" i="34"/>
  <c r="H582" i="34"/>
  <c r="G582" i="34"/>
  <c r="F582" i="34"/>
  <c r="E582" i="34"/>
  <c r="D582" i="34"/>
  <c r="C582" i="34"/>
  <c r="B582" i="34"/>
  <c r="J581" i="34"/>
  <c r="I581" i="34"/>
  <c r="H581" i="34"/>
  <c r="G581" i="34"/>
  <c r="F581" i="34"/>
  <c r="E581" i="34"/>
  <c r="D581" i="34"/>
  <c r="C581" i="34"/>
  <c r="B581" i="34"/>
  <c r="J580" i="34"/>
  <c r="I580" i="34"/>
  <c r="H580" i="34"/>
  <c r="G580" i="34"/>
  <c r="F580" i="34"/>
  <c r="E580" i="34"/>
  <c r="D580" i="34"/>
  <c r="C580" i="34"/>
  <c r="B580" i="34"/>
  <c r="J579" i="34"/>
  <c r="I579" i="34"/>
  <c r="H579" i="34"/>
  <c r="G579" i="34"/>
  <c r="F579" i="34"/>
  <c r="E579" i="34"/>
  <c r="D579" i="34"/>
  <c r="C579" i="34"/>
  <c r="B579" i="34"/>
  <c r="J578" i="34"/>
  <c r="I578" i="34"/>
  <c r="H578" i="34"/>
  <c r="G578" i="34"/>
  <c r="F578" i="34"/>
  <c r="E578" i="34"/>
  <c r="D578" i="34"/>
  <c r="C578" i="34"/>
  <c r="B578" i="34"/>
  <c r="J577" i="34"/>
  <c r="I577" i="34"/>
  <c r="H577" i="34"/>
  <c r="G577" i="34"/>
  <c r="F577" i="34"/>
  <c r="E577" i="34"/>
  <c r="D577" i="34"/>
  <c r="C577" i="34"/>
  <c r="B577" i="34"/>
  <c r="J576" i="34"/>
  <c r="I576" i="34"/>
  <c r="H576" i="34"/>
  <c r="G576" i="34"/>
  <c r="F576" i="34"/>
  <c r="E576" i="34"/>
  <c r="D576" i="34"/>
  <c r="C576" i="34"/>
  <c r="B576" i="34"/>
  <c r="J575" i="34"/>
  <c r="I575" i="34"/>
  <c r="H575" i="34"/>
  <c r="G575" i="34"/>
  <c r="F575" i="34"/>
  <c r="E575" i="34"/>
  <c r="D575" i="34"/>
  <c r="C575" i="34"/>
  <c r="B575" i="34"/>
  <c r="J574" i="34"/>
  <c r="I574" i="34"/>
  <c r="H574" i="34"/>
  <c r="G574" i="34"/>
  <c r="F574" i="34"/>
  <c r="E574" i="34"/>
  <c r="D574" i="34"/>
  <c r="C574" i="34"/>
  <c r="B574" i="34"/>
  <c r="J573" i="34"/>
  <c r="I573" i="34"/>
  <c r="H573" i="34"/>
  <c r="G573" i="34"/>
  <c r="F573" i="34"/>
  <c r="E573" i="34"/>
  <c r="D573" i="34"/>
  <c r="C573" i="34"/>
  <c r="B573" i="34"/>
  <c r="J572" i="34"/>
  <c r="I572" i="34"/>
  <c r="H572" i="34"/>
  <c r="G572" i="34"/>
  <c r="F572" i="34"/>
  <c r="E572" i="34"/>
  <c r="D572" i="34"/>
  <c r="C572" i="34"/>
  <c r="B572" i="34"/>
  <c r="J571" i="34"/>
  <c r="I571" i="34"/>
  <c r="H571" i="34"/>
  <c r="G571" i="34"/>
  <c r="F571" i="34"/>
  <c r="E571" i="34"/>
  <c r="D571" i="34"/>
  <c r="C571" i="34"/>
  <c r="B571" i="34"/>
  <c r="J570" i="34"/>
  <c r="I570" i="34"/>
  <c r="H570" i="34"/>
  <c r="G570" i="34"/>
  <c r="F570" i="34"/>
  <c r="E570" i="34"/>
  <c r="D570" i="34"/>
  <c r="C570" i="34"/>
  <c r="B570" i="34"/>
  <c r="J569" i="34"/>
  <c r="I569" i="34"/>
  <c r="H569" i="34"/>
  <c r="G569" i="34"/>
  <c r="F569" i="34"/>
  <c r="E569" i="34"/>
  <c r="D569" i="34"/>
  <c r="C569" i="34"/>
  <c r="B569" i="34"/>
  <c r="J568" i="34"/>
  <c r="I568" i="34"/>
  <c r="H568" i="34"/>
  <c r="G568" i="34"/>
  <c r="F568" i="34"/>
  <c r="E568" i="34"/>
  <c r="D568" i="34"/>
  <c r="C568" i="34"/>
  <c r="B568" i="34"/>
  <c r="J567" i="34"/>
  <c r="I567" i="34"/>
  <c r="H567" i="34"/>
  <c r="G567" i="34"/>
  <c r="F567" i="34"/>
  <c r="E567" i="34"/>
  <c r="D567" i="34"/>
  <c r="C567" i="34"/>
  <c r="B567" i="34"/>
  <c r="J566" i="34"/>
  <c r="I566" i="34"/>
  <c r="H566" i="34"/>
  <c r="G566" i="34"/>
  <c r="F566" i="34"/>
  <c r="E566" i="34"/>
  <c r="D566" i="34"/>
  <c r="C566" i="34"/>
  <c r="B566" i="34"/>
  <c r="J565" i="34"/>
  <c r="I565" i="34"/>
  <c r="H565" i="34"/>
  <c r="G565" i="34"/>
  <c r="F565" i="34"/>
  <c r="E565" i="34"/>
  <c r="D565" i="34"/>
  <c r="C565" i="34"/>
  <c r="B565" i="34"/>
  <c r="J564" i="34"/>
  <c r="I564" i="34"/>
  <c r="H564" i="34"/>
  <c r="G564" i="34"/>
  <c r="F564" i="34"/>
  <c r="E564" i="34"/>
  <c r="D564" i="34"/>
  <c r="C564" i="34"/>
  <c r="B564" i="34"/>
  <c r="J563" i="34"/>
  <c r="I563" i="34"/>
  <c r="H563" i="34"/>
  <c r="G563" i="34"/>
  <c r="F563" i="34"/>
  <c r="E563" i="34"/>
  <c r="D563" i="34"/>
  <c r="C563" i="34"/>
  <c r="B563" i="34"/>
  <c r="J562" i="34"/>
  <c r="I562" i="34"/>
  <c r="H562" i="34"/>
  <c r="G562" i="34"/>
  <c r="F562" i="34"/>
  <c r="E562" i="34"/>
  <c r="D562" i="34"/>
  <c r="C562" i="34"/>
  <c r="B562" i="34"/>
  <c r="J561" i="34"/>
  <c r="I561" i="34"/>
  <c r="H561" i="34"/>
  <c r="G561" i="34"/>
  <c r="F561" i="34"/>
  <c r="E561" i="34"/>
  <c r="D561" i="34"/>
  <c r="C561" i="34"/>
  <c r="B561" i="34"/>
  <c r="J560" i="34"/>
  <c r="I560" i="34"/>
  <c r="H560" i="34"/>
  <c r="G560" i="34"/>
  <c r="F560" i="34"/>
  <c r="E560" i="34"/>
  <c r="D560" i="34"/>
  <c r="C560" i="34"/>
  <c r="B560" i="34"/>
  <c r="J559" i="34"/>
  <c r="I559" i="34"/>
  <c r="H559" i="34"/>
  <c r="G559" i="34"/>
  <c r="F559" i="34"/>
  <c r="E559" i="34"/>
  <c r="D559" i="34"/>
  <c r="C559" i="34"/>
  <c r="B559" i="34"/>
  <c r="J558" i="34"/>
  <c r="I558" i="34"/>
  <c r="H558" i="34"/>
  <c r="G558" i="34"/>
  <c r="F558" i="34"/>
  <c r="E558" i="34"/>
  <c r="D558" i="34"/>
  <c r="C558" i="34"/>
  <c r="B558" i="34"/>
  <c r="J557" i="34"/>
  <c r="I557" i="34"/>
  <c r="H557" i="34"/>
  <c r="G557" i="34"/>
  <c r="F557" i="34"/>
  <c r="E557" i="34"/>
  <c r="D557" i="34"/>
  <c r="C557" i="34"/>
  <c r="B557" i="34"/>
  <c r="J556" i="34"/>
  <c r="I556" i="34"/>
  <c r="H556" i="34"/>
  <c r="G556" i="34"/>
  <c r="F556" i="34"/>
  <c r="E556" i="34"/>
  <c r="D556" i="34"/>
  <c r="C556" i="34"/>
  <c r="B556" i="34"/>
  <c r="J555" i="34"/>
  <c r="I555" i="34"/>
  <c r="H555" i="34"/>
  <c r="G555" i="34"/>
  <c r="F555" i="34"/>
  <c r="E555" i="34"/>
  <c r="D555" i="34"/>
  <c r="C555" i="34"/>
  <c r="B555" i="34"/>
  <c r="J554" i="34"/>
  <c r="I554" i="34"/>
  <c r="H554" i="34"/>
  <c r="G554" i="34"/>
  <c r="F554" i="34"/>
  <c r="E554" i="34"/>
  <c r="D554" i="34"/>
  <c r="C554" i="34"/>
  <c r="B554" i="34"/>
  <c r="J553" i="34"/>
  <c r="I553" i="34"/>
  <c r="H553" i="34"/>
  <c r="G553" i="34"/>
  <c r="F553" i="34"/>
  <c r="E553" i="34"/>
  <c r="D553" i="34"/>
  <c r="C553" i="34"/>
  <c r="B553" i="34"/>
  <c r="J552" i="34"/>
  <c r="I552" i="34"/>
  <c r="H552" i="34"/>
  <c r="G552" i="34"/>
  <c r="F552" i="34"/>
  <c r="E552" i="34"/>
  <c r="D552" i="34"/>
  <c r="C552" i="34"/>
  <c r="B552" i="34"/>
  <c r="J551" i="34"/>
  <c r="I551" i="34"/>
  <c r="H551" i="34"/>
  <c r="G551" i="34"/>
  <c r="F551" i="34"/>
  <c r="E551" i="34"/>
  <c r="D551" i="34"/>
  <c r="C551" i="34"/>
  <c r="B551" i="34"/>
  <c r="J550" i="34"/>
  <c r="I550" i="34"/>
  <c r="H550" i="34"/>
  <c r="G550" i="34"/>
  <c r="F550" i="34"/>
  <c r="E550" i="34"/>
  <c r="D550" i="34"/>
  <c r="C550" i="34"/>
  <c r="B550" i="34"/>
  <c r="J549" i="34"/>
  <c r="I549" i="34"/>
  <c r="H549" i="34"/>
  <c r="G549" i="34"/>
  <c r="F549" i="34"/>
  <c r="E549" i="34"/>
  <c r="D549" i="34"/>
  <c r="C549" i="34"/>
  <c r="B549" i="34"/>
  <c r="J548" i="34"/>
  <c r="I548" i="34"/>
  <c r="H548" i="34"/>
  <c r="G548" i="34"/>
  <c r="F548" i="34"/>
  <c r="E548" i="34"/>
  <c r="D548" i="34"/>
  <c r="C548" i="34"/>
  <c r="B548" i="34"/>
  <c r="J547" i="34"/>
  <c r="I547" i="34"/>
  <c r="H547" i="34"/>
  <c r="G547" i="34"/>
  <c r="F547" i="34"/>
  <c r="E547" i="34"/>
  <c r="D547" i="34"/>
  <c r="C547" i="34"/>
  <c r="B547" i="34"/>
  <c r="J546" i="34"/>
  <c r="I546" i="34"/>
  <c r="H546" i="34"/>
  <c r="G546" i="34"/>
  <c r="F546" i="34"/>
  <c r="E546" i="34"/>
  <c r="D546" i="34"/>
  <c r="C546" i="34"/>
  <c r="B546" i="34"/>
  <c r="J545" i="34"/>
  <c r="I545" i="34"/>
  <c r="H545" i="34"/>
  <c r="G545" i="34"/>
  <c r="F545" i="34"/>
  <c r="E545" i="34"/>
  <c r="D545" i="34"/>
  <c r="C545" i="34"/>
  <c r="B545" i="34"/>
  <c r="J544" i="34"/>
  <c r="I544" i="34"/>
  <c r="H544" i="34"/>
  <c r="G544" i="34"/>
  <c r="F544" i="34"/>
  <c r="E544" i="34"/>
  <c r="D544" i="34"/>
  <c r="C544" i="34"/>
  <c r="B544" i="34"/>
  <c r="J543" i="34"/>
  <c r="I543" i="34"/>
  <c r="H543" i="34"/>
  <c r="G543" i="34"/>
  <c r="F543" i="34"/>
  <c r="E543" i="34"/>
  <c r="D543" i="34"/>
  <c r="C543" i="34"/>
  <c r="B543" i="34"/>
  <c r="J542" i="34"/>
  <c r="I542" i="34"/>
  <c r="H542" i="34"/>
  <c r="G542" i="34"/>
  <c r="F542" i="34"/>
  <c r="E542" i="34"/>
  <c r="D542" i="34"/>
  <c r="C542" i="34"/>
  <c r="B542" i="34"/>
  <c r="J541" i="34"/>
  <c r="I541" i="34"/>
  <c r="H541" i="34"/>
  <c r="G541" i="34"/>
  <c r="F541" i="34"/>
  <c r="E541" i="34"/>
  <c r="D541" i="34"/>
  <c r="C541" i="34"/>
  <c r="B541" i="34"/>
  <c r="J540" i="34"/>
  <c r="I540" i="34"/>
  <c r="H540" i="34"/>
  <c r="G540" i="34"/>
  <c r="F540" i="34"/>
  <c r="E540" i="34"/>
  <c r="D540" i="34"/>
  <c r="C540" i="34"/>
  <c r="B540" i="34"/>
  <c r="J539" i="34"/>
  <c r="I539" i="34"/>
  <c r="H539" i="34"/>
  <c r="G539" i="34"/>
  <c r="F539" i="34"/>
  <c r="E539" i="34"/>
  <c r="D539" i="34"/>
  <c r="C539" i="34"/>
  <c r="B539" i="34"/>
  <c r="J538" i="34"/>
  <c r="I538" i="34"/>
  <c r="H538" i="34"/>
  <c r="G538" i="34"/>
  <c r="F538" i="34"/>
  <c r="E538" i="34"/>
  <c r="D538" i="34"/>
  <c r="C538" i="34"/>
  <c r="B538" i="34"/>
  <c r="J537" i="34"/>
  <c r="I537" i="34"/>
  <c r="H537" i="34"/>
  <c r="G537" i="34"/>
  <c r="F537" i="34"/>
  <c r="E537" i="34"/>
  <c r="D537" i="34"/>
  <c r="C537" i="34"/>
  <c r="B537" i="34"/>
  <c r="J536" i="34"/>
  <c r="I536" i="34"/>
  <c r="H536" i="34"/>
  <c r="G536" i="34"/>
  <c r="F536" i="34"/>
  <c r="E536" i="34"/>
  <c r="D536" i="34"/>
  <c r="C536" i="34"/>
  <c r="B536" i="34"/>
  <c r="J535" i="34"/>
  <c r="I535" i="34"/>
  <c r="H535" i="34"/>
  <c r="G535" i="34"/>
  <c r="F535" i="34"/>
  <c r="E535" i="34"/>
  <c r="D535" i="34"/>
  <c r="C535" i="34"/>
  <c r="B535" i="34"/>
  <c r="J534" i="34"/>
  <c r="I534" i="34"/>
  <c r="H534" i="34"/>
  <c r="G534" i="34"/>
  <c r="F534" i="34"/>
  <c r="E534" i="34"/>
  <c r="D534" i="34"/>
  <c r="C534" i="34"/>
  <c r="B534" i="34"/>
  <c r="J533" i="34"/>
  <c r="I533" i="34"/>
  <c r="H533" i="34"/>
  <c r="G533" i="34"/>
  <c r="F533" i="34"/>
  <c r="E533" i="34"/>
  <c r="D533" i="34"/>
  <c r="C533" i="34"/>
  <c r="B533" i="34"/>
  <c r="J532" i="34"/>
  <c r="I532" i="34"/>
  <c r="H532" i="34"/>
  <c r="G532" i="34"/>
  <c r="F532" i="34"/>
  <c r="E532" i="34"/>
  <c r="D532" i="34"/>
  <c r="C532" i="34"/>
  <c r="B532" i="34"/>
  <c r="J531" i="34"/>
  <c r="I531" i="34"/>
  <c r="H531" i="34"/>
  <c r="G531" i="34"/>
  <c r="F531" i="34"/>
  <c r="E531" i="34"/>
  <c r="D531" i="34"/>
  <c r="C531" i="34"/>
  <c r="B531" i="34"/>
  <c r="J530" i="34"/>
  <c r="I530" i="34"/>
  <c r="H530" i="34"/>
  <c r="G530" i="34"/>
  <c r="F530" i="34"/>
  <c r="E530" i="34"/>
  <c r="D530" i="34"/>
  <c r="C530" i="34"/>
  <c r="B530" i="34"/>
  <c r="J529" i="34"/>
  <c r="I529" i="34"/>
  <c r="H529" i="34"/>
  <c r="G529" i="34"/>
  <c r="F529" i="34"/>
  <c r="E529" i="34"/>
  <c r="D529" i="34"/>
  <c r="C529" i="34"/>
  <c r="B529" i="34"/>
  <c r="J528" i="34"/>
  <c r="I528" i="34"/>
  <c r="H528" i="34"/>
  <c r="G528" i="34"/>
  <c r="F528" i="34"/>
  <c r="E528" i="34"/>
  <c r="D528" i="34"/>
  <c r="C528" i="34"/>
  <c r="B528" i="34"/>
  <c r="J527" i="34"/>
  <c r="I527" i="34"/>
  <c r="H527" i="34"/>
  <c r="G527" i="34"/>
  <c r="F527" i="34"/>
  <c r="E527" i="34"/>
  <c r="D527" i="34"/>
  <c r="C527" i="34"/>
  <c r="B527" i="34"/>
  <c r="J526" i="34"/>
  <c r="I526" i="34"/>
  <c r="H526" i="34"/>
  <c r="G526" i="34"/>
  <c r="F526" i="34"/>
  <c r="E526" i="34"/>
  <c r="D526" i="34"/>
  <c r="C526" i="34"/>
  <c r="B526" i="34"/>
  <c r="J525" i="34"/>
  <c r="I525" i="34"/>
  <c r="H525" i="34"/>
  <c r="G525" i="34"/>
  <c r="F525" i="34"/>
  <c r="E525" i="34"/>
  <c r="D525" i="34"/>
  <c r="C525" i="34"/>
  <c r="B525" i="34"/>
  <c r="J524" i="34"/>
  <c r="I524" i="34"/>
  <c r="H524" i="34"/>
  <c r="G524" i="34"/>
  <c r="F524" i="34"/>
  <c r="E524" i="34"/>
  <c r="D524" i="34"/>
  <c r="C524" i="34"/>
  <c r="B524" i="34"/>
  <c r="J523" i="34"/>
  <c r="I523" i="34"/>
  <c r="H523" i="34"/>
  <c r="G523" i="34"/>
  <c r="F523" i="34"/>
  <c r="E523" i="34"/>
  <c r="D523" i="34"/>
  <c r="C523" i="34"/>
  <c r="B523" i="34"/>
  <c r="J522" i="34"/>
  <c r="I522" i="34"/>
  <c r="H522" i="34"/>
  <c r="G522" i="34"/>
  <c r="F522" i="34"/>
  <c r="E522" i="34"/>
  <c r="D522" i="34"/>
  <c r="C522" i="34"/>
  <c r="B522" i="34"/>
  <c r="J521" i="34"/>
  <c r="I521" i="34"/>
  <c r="H521" i="34"/>
  <c r="G521" i="34"/>
  <c r="F521" i="34"/>
  <c r="E521" i="34"/>
  <c r="D521" i="34"/>
  <c r="C521" i="34"/>
  <c r="B521" i="34"/>
  <c r="J520" i="34"/>
  <c r="I520" i="34"/>
  <c r="H520" i="34"/>
  <c r="G520" i="34"/>
  <c r="F520" i="34"/>
  <c r="E520" i="34"/>
  <c r="D520" i="34"/>
  <c r="C520" i="34"/>
  <c r="B520" i="34"/>
  <c r="J519" i="34"/>
  <c r="I519" i="34"/>
  <c r="H519" i="34"/>
  <c r="G519" i="34"/>
  <c r="F519" i="34"/>
  <c r="E519" i="34"/>
  <c r="D519" i="34"/>
  <c r="C519" i="34"/>
  <c r="B519" i="34"/>
  <c r="J518" i="34"/>
  <c r="I518" i="34"/>
  <c r="H518" i="34"/>
  <c r="G518" i="34"/>
  <c r="F518" i="34"/>
  <c r="E518" i="34"/>
  <c r="D518" i="34"/>
  <c r="C518" i="34"/>
  <c r="B518" i="34"/>
  <c r="J517" i="34"/>
  <c r="I517" i="34"/>
  <c r="H517" i="34"/>
  <c r="G517" i="34"/>
  <c r="F517" i="34"/>
  <c r="E517" i="34"/>
  <c r="D517" i="34"/>
  <c r="C517" i="34"/>
  <c r="B517" i="34"/>
  <c r="J516" i="34"/>
  <c r="I516" i="34"/>
  <c r="H516" i="34"/>
  <c r="G516" i="34"/>
  <c r="F516" i="34"/>
  <c r="E516" i="34"/>
  <c r="D516" i="34"/>
  <c r="C516" i="34"/>
  <c r="B516" i="34"/>
  <c r="J515" i="34"/>
  <c r="I515" i="34"/>
  <c r="H515" i="34"/>
  <c r="G515" i="34"/>
  <c r="F515" i="34"/>
  <c r="E515" i="34"/>
  <c r="D515" i="34"/>
  <c r="C515" i="34"/>
  <c r="B515" i="34"/>
  <c r="J514" i="34"/>
  <c r="I514" i="34"/>
  <c r="H514" i="34"/>
  <c r="G514" i="34"/>
  <c r="F514" i="34"/>
  <c r="E514" i="34"/>
  <c r="D514" i="34"/>
  <c r="C514" i="34"/>
  <c r="B514" i="34"/>
  <c r="J513" i="34"/>
  <c r="I513" i="34"/>
  <c r="H513" i="34"/>
  <c r="G513" i="34"/>
  <c r="F513" i="34"/>
  <c r="E513" i="34"/>
  <c r="D513" i="34"/>
  <c r="C513" i="34"/>
  <c r="B513" i="34"/>
  <c r="J512" i="34"/>
  <c r="I512" i="34"/>
  <c r="H512" i="34"/>
  <c r="G512" i="34"/>
  <c r="F512" i="34"/>
  <c r="E512" i="34"/>
  <c r="D512" i="34"/>
  <c r="C512" i="34"/>
  <c r="B512" i="34"/>
  <c r="J511" i="34"/>
  <c r="I511" i="34"/>
  <c r="H511" i="34"/>
  <c r="G511" i="34"/>
  <c r="F511" i="34"/>
  <c r="E511" i="34"/>
  <c r="D511" i="34"/>
  <c r="C511" i="34"/>
  <c r="B511" i="34"/>
  <c r="J510" i="34"/>
  <c r="I510" i="34"/>
  <c r="H510" i="34"/>
  <c r="G510" i="34"/>
  <c r="F510" i="34"/>
  <c r="E510" i="34"/>
  <c r="D510" i="34"/>
  <c r="C510" i="34"/>
  <c r="B510" i="34"/>
  <c r="J509" i="34"/>
  <c r="I509" i="34"/>
  <c r="H509" i="34"/>
  <c r="G509" i="34"/>
  <c r="F509" i="34"/>
  <c r="E509" i="34"/>
  <c r="D509" i="34"/>
  <c r="C509" i="34"/>
  <c r="B509" i="34"/>
  <c r="J508" i="34"/>
  <c r="I508" i="34"/>
  <c r="H508" i="34"/>
  <c r="G508" i="34"/>
  <c r="F508" i="34"/>
  <c r="E508" i="34"/>
  <c r="D508" i="34"/>
  <c r="C508" i="34"/>
  <c r="B508" i="34"/>
  <c r="J507" i="34"/>
  <c r="I507" i="34"/>
  <c r="H507" i="34"/>
  <c r="G507" i="34"/>
  <c r="F507" i="34"/>
  <c r="E507" i="34"/>
  <c r="D507" i="34"/>
  <c r="C507" i="34"/>
  <c r="B507" i="34"/>
  <c r="J506" i="34"/>
  <c r="I506" i="34"/>
  <c r="H506" i="34"/>
  <c r="G506" i="34"/>
  <c r="F506" i="34"/>
  <c r="E506" i="34"/>
  <c r="D506" i="34"/>
  <c r="C506" i="34"/>
  <c r="B506" i="34"/>
  <c r="J505" i="34"/>
  <c r="I505" i="34"/>
  <c r="H505" i="34"/>
  <c r="G505" i="34"/>
  <c r="F505" i="34"/>
  <c r="E505" i="34"/>
  <c r="D505" i="34"/>
  <c r="C505" i="34"/>
  <c r="B505" i="34"/>
  <c r="J504" i="34"/>
  <c r="I504" i="34"/>
  <c r="H504" i="34"/>
  <c r="G504" i="34"/>
  <c r="F504" i="34"/>
  <c r="E504" i="34"/>
  <c r="D504" i="34"/>
  <c r="C504" i="34"/>
  <c r="B504" i="34"/>
  <c r="J503" i="34"/>
  <c r="I503" i="34"/>
  <c r="H503" i="34"/>
  <c r="G503" i="34"/>
  <c r="F503" i="34"/>
  <c r="E503" i="34"/>
  <c r="D503" i="34"/>
  <c r="C503" i="34"/>
  <c r="B503" i="34"/>
  <c r="J502" i="34"/>
  <c r="I502" i="34"/>
  <c r="H502" i="34"/>
  <c r="G502" i="34"/>
  <c r="F502" i="34"/>
  <c r="E502" i="34"/>
  <c r="D502" i="34"/>
  <c r="C502" i="34"/>
  <c r="B502" i="34"/>
  <c r="J501" i="34"/>
  <c r="I501" i="34"/>
  <c r="H501" i="34"/>
  <c r="G501" i="34"/>
  <c r="F501" i="34"/>
  <c r="E501" i="34"/>
  <c r="D501" i="34"/>
  <c r="C501" i="34"/>
  <c r="B501" i="34"/>
  <c r="J500" i="34"/>
  <c r="I500" i="34"/>
  <c r="H500" i="34"/>
  <c r="G500" i="34"/>
  <c r="F500" i="34"/>
  <c r="E500" i="34"/>
  <c r="D500" i="34"/>
  <c r="C500" i="34"/>
  <c r="B500" i="34"/>
  <c r="J499" i="34"/>
  <c r="I499" i="34"/>
  <c r="H499" i="34"/>
  <c r="G499" i="34"/>
  <c r="F499" i="34"/>
  <c r="E499" i="34"/>
  <c r="D499" i="34"/>
  <c r="C499" i="34"/>
  <c r="B499" i="34"/>
  <c r="J498" i="34"/>
  <c r="I498" i="34"/>
  <c r="H498" i="34"/>
  <c r="G498" i="34"/>
  <c r="F498" i="34"/>
  <c r="E498" i="34"/>
  <c r="D498" i="34"/>
  <c r="C498" i="34"/>
  <c r="B498" i="34"/>
  <c r="J497" i="34"/>
  <c r="I497" i="34"/>
  <c r="H497" i="34"/>
  <c r="G497" i="34"/>
  <c r="F497" i="34"/>
  <c r="E497" i="34"/>
  <c r="D497" i="34"/>
  <c r="C497" i="34"/>
  <c r="B497" i="34"/>
  <c r="J496" i="34"/>
  <c r="I496" i="34"/>
  <c r="H496" i="34"/>
  <c r="G496" i="34"/>
  <c r="F496" i="34"/>
  <c r="E496" i="34"/>
  <c r="D496" i="34"/>
  <c r="C496" i="34"/>
  <c r="B496" i="34"/>
  <c r="J495" i="34"/>
  <c r="I495" i="34"/>
  <c r="H495" i="34"/>
  <c r="G495" i="34"/>
  <c r="F495" i="34"/>
  <c r="E495" i="34"/>
  <c r="D495" i="34"/>
  <c r="C495" i="34"/>
  <c r="B495" i="34"/>
  <c r="J494" i="34"/>
  <c r="I494" i="34"/>
  <c r="H494" i="34"/>
  <c r="G494" i="34"/>
  <c r="F494" i="34"/>
  <c r="E494" i="34"/>
  <c r="D494" i="34"/>
  <c r="C494" i="34"/>
  <c r="B494" i="34"/>
  <c r="J493" i="34"/>
  <c r="I493" i="34"/>
  <c r="H493" i="34"/>
  <c r="G493" i="34"/>
  <c r="F493" i="34"/>
  <c r="E493" i="34"/>
  <c r="D493" i="34"/>
  <c r="C493" i="34"/>
  <c r="B493" i="34"/>
  <c r="J492" i="34"/>
  <c r="I492" i="34"/>
  <c r="H492" i="34"/>
  <c r="G492" i="34"/>
  <c r="F492" i="34"/>
  <c r="E492" i="34"/>
  <c r="D492" i="34"/>
  <c r="C492" i="34"/>
  <c r="B492" i="34"/>
  <c r="J491" i="34"/>
  <c r="I491" i="34"/>
  <c r="H491" i="34"/>
  <c r="G491" i="34"/>
  <c r="F491" i="34"/>
  <c r="E491" i="34"/>
  <c r="D491" i="34"/>
  <c r="C491" i="34"/>
  <c r="B491" i="34"/>
  <c r="J490" i="34"/>
  <c r="I490" i="34"/>
  <c r="H490" i="34"/>
  <c r="G490" i="34"/>
  <c r="F490" i="34"/>
  <c r="E490" i="34"/>
  <c r="D490" i="34"/>
  <c r="C490" i="34"/>
  <c r="B490" i="34"/>
  <c r="J489" i="34"/>
  <c r="I489" i="34"/>
  <c r="H489" i="34"/>
  <c r="G489" i="34"/>
  <c r="F489" i="34"/>
  <c r="E489" i="34"/>
  <c r="D489" i="34"/>
  <c r="C489" i="34"/>
  <c r="B489" i="34"/>
  <c r="J488" i="34"/>
  <c r="I488" i="34"/>
  <c r="H488" i="34"/>
  <c r="G488" i="34"/>
  <c r="F488" i="34"/>
  <c r="E488" i="34"/>
  <c r="D488" i="34"/>
  <c r="C488" i="34"/>
  <c r="B488" i="34"/>
  <c r="J487" i="34"/>
  <c r="I487" i="34"/>
  <c r="H487" i="34"/>
  <c r="G487" i="34"/>
  <c r="F487" i="34"/>
  <c r="E487" i="34"/>
  <c r="D487" i="34"/>
  <c r="C487" i="34"/>
  <c r="B487" i="34"/>
  <c r="J486" i="34"/>
  <c r="I486" i="34"/>
  <c r="H486" i="34"/>
  <c r="G486" i="34"/>
  <c r="F486" i="34"/>
  <c r="E486" i="34"/>
  <c r="D486" i="34"/>
  <c r="C486" i="34"/>
  <c r="B486" i="34"/>
  <c r="J485" i="34"/>
  <c r="I485" i="34"/>
  <c r="H485" i="34"/>
  <c r="G485" i="34"/>
  <c r="F485" i="34"/>
  <c r="E485" i="34"/>
  <c r="D485" i="34"/>
  <c r="C485" i="34"/>
  <c r="B485" i="34"/>
  <c r="J484" i="34"/>
  <c r="I484" i="34"/>
  <c r="H484" i="34"/>
  <c r="G484" i="34"/>
  <c r="F484" i="34"/>
  <c r="E484" i="34"/>
  <c r="D484" i="34"/>
  <c r="C484" i="34"/>
  <c r="B484" i="34"/>
  <c r="J483" i="34"/>
  <c r="I483" i="34"/>
  <c r="H483" i="34"/>
  <c r="G483" i="34"/>
  <c r="F483" i="34"/>
  <c r="E483" i="34"/>
  <c r="D483" i="34"/>
  <c r="C483" i="34"/>
  <c r="B483" i="34"/>
  <c r="J482" i="34"/>
  <c r="I482" i="34"/>
  <c r="H482" i="34"/>
  <c r="G482" i="34"/>
  <c r="F482" i="34"/>
  <c r="E482" i="34"/>
  <c r="D482" i="34"/>
  <c r="C482" i="34"/>
  <c r="B482" i="34"/>
  <c r="J481" i="34"/>
  <c r="I481" i="34"/>
  <c r="H481" i="34"/>
  <c r="G481" i="34"/>
  <c r="F481" i="34"/>
  <c r="E481" i="34"/>
  <c r="D481" i="34"/>
  <c r="C481" i="34"/>
  <c r="B481" i="34"/>
  <c r="J480" i="34"/>
  <c r="I480" i="34"/>
  <c r="H480" i="34"/>
  <c r="G480" i="34"/>
  <c r="F480" i="34"/>
  <c r="E480" i="34"/>
  <c r="D480" i="34"/>
  <c r="C480" i="34"/>
  <c r="B480" i="34"/>
  <c r="J479" i="34"/>
  <c r="I479" i="34"/>
  <c r="H479" i="34"/>
  <c r="G479" i="34"/>
  <c r="F479" i="34"/>
  <c r="E479" i="34"/>
  <c r="D479" i="34"/>
  <c r="C479" i="34"/>
  <c r="B479" i="34"/>
  <c r="J478" i="34"/>
  <c r="I478" i="34"/>
  <c r="H478" i="34"/>
  <c r="G478" i="34"/>
  <c r="F478" i="34"/>
  <c r="E478" i="34"/>
  <c r="D478" i="34"/>
  <c r="C478" i="34"/>
  <c r="B478" i="34"/>
  <c r="J477" i="34"/>
  <c r="I477" i="34"/>
  <c r="H477" i="34"/>
  <c r="G477" i="34"/>
  <c r="F477" i="34"/>
  <c r="E477" i="34"/>
  <c r="D477" i="34"/>
  <c r="C477" i="34"/>
  <c r="B477" i="34"/>
  <c r="J476" i="34"/>
  <c r="I476" i="34"/>
  <c r="H476" i="34"/>
  <c r="G476" i="34"/>
  <c r="F476" i="34"/>
  <c r="E476" i="34"/>
  <c r="D476" i="34"/>
  <c r="C476" i="34"/>
  <c r="B476" i="34"/>
  <c r="J475" i="34"/>
  <c r="I475" i="34"/>
  <c r="H475" i="34"/>
  <c r="G475" i="34"/>
  <c r="F475" i="34"/>
  <c r="E475" i="34"/>
  <c r="D475" i="34"/>
  <c r="C475" i="34"/>
  <c r="B475" i="34"/>
  <c r="J474" i="34"/>
  <c r="I474" i="34"/>
  <c r="H474" i="34"/>
  <c r="G474" i="34"/>
  <c r="F474" i="34"/>
  <c r="E474" i="34"/>
  <c r="D474" i="34"/>
  <c r="C474" i="34"/>
  <c r="B474" i="34"/>
  <c r="J473" i="34"/>
  <c r="I473" i="34"/>
  <c r="H473" i="34"/>
  <c r="G473" i="34"/>
  <c r="F473" i="34"/>
  <c r="E473" i="34"/>
  <c r="D473" i="34"/>
  <c r="C473" i="34"/>
  <c r="B473" i="34"/>
  <c r="J472" i="34"/>
  <c r="I472" i="34"/>
  <c r="H472" i="34"/>
  <c r="G472" i="34"/>
  <c r="F472" i="34"/>
  <c r="E472" i="34"/>
  <c r="D472" i="34"/>
  <c r="C472" i="34"/>
  <c r="B472" i="34"/>
  <c r="J471" i="34"/>
  <c r="I471" i="34"/>
  <c r="H471" i="34"/>
  <c r="G471" i="34"/>
  <c r="F471" i="34"/>
  <c r="E471" i="34"/>
  <c r="D471" i="34"/>
  <c r="C471" i="34"/>
  <c r="B471" i="34"/>
  <c r="J470" i="34"/>
  <c r="I470" i="34"/>
  <c r="H470" i="34"/>
  <c r="G470" i="34"/>
  <c r="F470" i="34"/>
  <c r="E470" i="34"/>
  <c r="D470" i="34"/>
  <c r="C470" i="34"/>
  <c r="B470" i="34"/>
  <c r="J469" i="34"/>
  <c r="I469" i="34"/>
  <c r="H469" i="34"/>
  <c r="G469" i="34"/>
  <c r="F469" i="34"/>
  <c r="E469" i="34"/>
  <c r="D469" i="34"/>
  <c r="C469" i="34"/>
  <c r="B469" i="34"/>
  <c r="J468" i="34"/>
  <c r="I468" i="34"/>
  <c r="H468" i="34"/>
  <c r="G468" i="34"/>
  <c r="F468" i="34"/>
  <c r="E468" i="34"/>
  <c r="D468" i="34"/>
  <c r="C468" i="34"/>
  <c r="B468" i="34"/>
  <c r="J467" i="34"/>
  <c r="I467" i="34"/>
  <c r="H467" i="34"/>
  <c r="G467" i="34"/>
  <c r="F467" i="34"/>
  <c r="E467" i="34"/>
  <c r="D467" i="34"/>
  <c r="C467" i="34"/>
  <c r="B467" i="34"/>
  <c r="J466" i="34"/>
  <c r="I466" i="34"/>
  <c r="H466" i="34"/>
  <c r="G466" i="34"/>
  <c r="F466" i="34"/>
  <c r="E466" i="34"/>
  <c r="D466" i="34"/>
  <c r="C466" i="34"/>
  <c r="B466" i="34"/>
  <c r="J465" i="34"/>
  <c r="I465" i="34"/>
  <c r="H465" i="34"/>
  <c r="G465" i="34"/>
  <c r="F465" i="34"/>
  <c r="E465" i="34"/>
  <c r="D465" i="34"/>
  <c r="C465" i="34"/>
  <c r="B465" i="34"/>
  <c r="J464" i="34"/>
  <c r="I464" i="34"/>
  <c r="H464" i="34"/>
  <c r="G464" i="34"/>
  <c r="F464" i="34"/>
  <c r="E464" i="34"/>
  <c r="D464" i="34"/>
  <c r="C464" i="34"/>
  <c r="B464" i="34"/>
  <c r="J463" i="34"/>
  <c r="I463" i="34"/>
  <c r="H463" i="34"/>
  <c r="G463" i="34"/>
  <c r="F463" i="34"/>
  <c r="E463" i="34"/>
  <c r="D463" i="34"/>
  <c r="C463" i="34"/>
  <c r="B463" i="34"/>
  <c r="J462" i="34"/>
  <c r="I462" i="34"/>
  <c r="H462" i="34"/>
  <c r="G462" i="34"/>
  <c r="F462" i="34"/>
  <c r="E462" i="34"/>
  <c r="D462" i="34"/>
  <c r="C462" i="34"/>
  <c r="B462" i="34"/>
  <c r="J461" i="34"/>
  <c r="I461" i="34"/>
  <c r="H461" i="34"/>
  <c r="G461" i="34"/>
  <c r="F461" i="34"/>
  <c r="E461" i="34"/>
  <c r="D461" i="34"/>
  <c r="C461" i="34"/>
  <c r="B461" i="34"/>
  <c r="J460" i="34"/>
  <c r="I460" i="34"/>
  <c r="H460" i="34"/>
  <c r="G460" i="34"/>
  <c r="F460" i="34"/>
  <c r="E460" i="34"/>
  <c r="D460" i="34"/>
  <c r="C460" i="34"/>
  <c r="B460" i="34"/>
  <c r="J459" i="34"/>
  <c r="I459" i="34"/>
  <c r="H459" i="34"/>
  <c r="G459" i="34"/>
  <c r="F459" i="34"/>
  <c r="E459" i="34"/>
  <c r="D459" i="34"/>
  <c r="C459" i="34"/>
  <c r="B459" i="34"/>
  <c r="J458" i="34"/>
  <c r="I458" i="34"/>
  <c r="H458" i="34"/>
  <c r="G458" i="34"/>
  <c r="F458" i="34"/>
  <c r="E458" i="34"/>
  <c r="D458" i="34"/>
  <c r="C458" i="34"/>
  <c r="B458" i="34"/>
  <c r="J457" i="34"/>
  <c r="I457" i="34"/>
  <c r="H457" i="34"/>
  <c r="G457" i="34"/>
  <c r="F457" i="34"/>
  <c r="E457" i="34"/>
  <c r="D457" i="34"/>
  <c r="C457" i="34"/>
  <c r="B457" i="34"/>
  <c r="J456" i="34"/>
  <c r="I456" i="34"/>
  <c r="H456" i="34"/>
  <c r="G456" i="34"/>
  <c r="F456" i="34"/>
  <c r="E456" i="34"/>
  <c r="D456" i="34"/>
  <c r="C456" i="34"/>
  <c r="B456" i="34"/>
  <c r="J455" i="34"/>
  <c r="I455" i="34"/>
  <c r="H455" i="34"/>
  <c r="G455" i="34"/>
  <c r="F455" i="34"/>
  <c r="E455" i="34"/>
  <c r="D455" i="34"/>
  <c r="C455" i="34"/>
  <c r="B455" i="34"/>
  <c r="J454" i="34"/>
  <c r="I454" i="34"/>
  <c r="H454" i="34"/>
  <c r="G454" i="34"/>
  <c r="F454" i="34"/>
  <c r="E454" i="34"/>
  <c r="D454" i="34"/>
  <c r="C454" i="34"/>
  <c r="B454" i="34"/>
  <c r="J453" i="34"/>
  <c r="I453" i="34"/>
  <c r="H453" i="34"/>
  <c r="G453" i="34"/>
  <c r="F453" i="34"/>
  <c r="E453" i="34"/>
  <c r="D453" i="34"/>
  <c r="C453" i="34"/>
  <c r="B453" i="34"/>
  <c r="J452" i="34"/>
  <c r="I452" i="34"/>
  <c r="H452" i="34"/>
  <c r="G452" i="34"/>
  <c r="F452" i="34"/>
  <c r="E452" i="34"/>
  <c r="D452" i="34"/>
  <c r="C452" i="34"/>
  <c r="B452" i="34"/>
  <c r="J451" i="34"/>
  <c r="I451" i="34"/>
  <c r="H451" i="34"/>
  <c r="G451" i="34"/>
  <c r="F451" i="34"/>
  <c r="E451" i="34"/>
  <c r="D451" i="34"/>
  <c r="C451" i="34"/>
  <c r="B451" i="34"/>
  <c r="J450" i="34"/>
  <c r="I450" i="34"/>
  <c r="H450" i="34"/>
  <c r="G450" i="34"/>
  <c r="F450" i="34"/>
  <c r="E450" i="34"/>
  <c r="D450" i="34"/>
  <c r="C450" i="34"/>
  <c r="B450" i="34"/>
  <c r="J449" i="34"/>
  <c r="I449" i="34"/>
  <c r="H449" i="34"/>
  <c r="G449" i="34"/>
  <c r="F449" i="34"/>
  <c r="E449" i="34"/>
  <c r="D449" i="34"/>
  <c r="C449" i="34"/>
  <c r="B449" i="34"/>
  <c r="J448" i="34"/>
  <c r="I448" i="34"/>
  <c r="H448" i="34"/>
  <c r="G448" i="34"/>
  <c r="F448" i="34"/>
  <c r="E448" i="34"/>
  <c r="D448" i="34"/>
  <c r="C448" i="34"/>
  <c r="B448" i="34"/>
  <c r="J447" i="34"/>
  <c r="I447" i="34"/>
  <c r="H447" i="34"/>
  <c r="G447" i="34"/>
  <c r="F447" i="34"/>
  <c r="E447" i="34"/>
  <c r="D447" i="34"/>
  <c r="C447" i="34"/>
  <c r="B447" i="34"/>
  <c r="J446" i="34"/>
  <c r="I446" i="34"/>
  <c r="H446" i="34"/>
  <c r="G446" i="34"/>
  <c r="F446" i="34"/>
  <c r="E446" i="34"/>
  <c r="D446" i="34"/>
  <c r="C446" i="34"/>
  <c r="B446" i="34"/>
  <c r="J445" i="34"/>
  <c r="I445" i="34"/>
  <c r="H445" i="34"/>
  <c r="G445" i="34"/>
  <c r="F445" i="34"/>
  <c r="E445" i="34"/>
  <c r="D445" i="34"/>
  <c r="C445" i="34"/>
  <c r="B445" i="34"/>
  <c r="J444" i="34"/>
  <c r="I444" i="34"/>
  <c r="H444" i="34"/>
  <c r="G444" i="34"/>
  <c r="F444" i="34"/>
  <c r="E444" i="34"/>
  <c r="D444" i="34"/>
  <c r="C444" i="34"/>
  <c r="B444" i="34"/>
  <c r="J443" i="34"/>
  <c r="I443" i="34"/>
  <c r="H443" i="34"/>
  <c r="G443" i="34"/>
  <c r="F443" i="34"/>
  <c r="E443" i="34"/>
  <c r="D443" i="34"/>
  <c r="C443" i="34"/>
  <c r="B443" i="34"/>
  <c r="J442" i="34"/>
  <c r="I442" i="34"/>
  <c r="H442" i="34"/>
  <c r="G442" i="34"/>
  <c r="F442" i="34"/>
  <c r="E442" i="34"/>
  <c r="D442" i="34"/>
  <c r="C442" i="34"/>
  <c r="B442" i="34"/>
  <c r="J441" i="34"/>
  <c r="I441" i="34"/>
  <c r="H441" i="34"/>
  <c r="G441" i="34"/>
  <c r="F441" i="34"/>
  <c r="E441" i="34"/>
  <c r="D441" i="34"/>
  <c r="C441" i="34"/>
  <c r="B441" i="34"/>
  <c r="J440" i="34"/>
  <c r="I440" i="34"/>
  <c r="H440" i="34"/>
  <c r="G440" i="34"/>
  <c r="F440" i="34"/>
  <c r="E440" i="34"/>
  <c r="D440" i="34"/>
  <c r="C440" i="34"/>
  <c r="B440" i="34"/>
  <c r="J439" i="34"/>
  <c r="I439" i="34"/>
  <c r="H439" i="34"/>
  <c r="G439" i="34"/>
  <c r="F439" i="34"/>
  <c r="E439" i="34"/>
  <c r="D439" i="34"/>
  <c r="C439" i="34"/>
  <c r="B439" i="34"/>
  <c r="J438" i="34"/>
  <c r="I438" i="34"/>
  <c r="H438" i="34"/>
  <c r="G438" i="34"/>
  <c r="F438" i="34"/>
  <c r="E438" i="34"/>
  <c r="D438" i="34"/>
  <c r="C438" i="34"/>
  <c r="B438" i="34"/>
  <c r="J437" i="34"/>
  <c r="I437" i="34"/>
  <c r="H437" i="34"/>
  <c r="G437" i="34"/>
  <c r="F437" i="34"/>
  <c r="E437" i="34"/>
  <c r="D437" i="34"/>
  <c r="C437" i="34"/>
  <c r="B437" i="34"/>
  <c r="J436" i="34"/>
  <c r="I436" i="34"/>
  <c r="H436" i="34"/>
  <c r="G436" i="34"/>
  <c r="F436" i="34"/>
  <c r="E436" i="34"/>
  <c r="D436" i="34"/>
  <c r="C436" i="34"/>
  <c r="B436" i="34"/>
  <c r="J435" i="34"/>
  <c r="I435" i="34"/>
  <c r="H435" i="34"/>
  <c r="G435" i="34"/>
  <c r="F435" i="34"/>
  <c r="E435" i="34"/>
  <c r="D435" i="34"/>
  <c r="C435" i="34"/>
  <c r="B435" i="34"/>
  <c r="J434" i="34"/>
  <c r="I434" i="34"/>
  <c r="H434" i="34"/>
  <c r="G434" i="34"/>
  <c r="F434" i="34"/>
  <c r="E434" i="34"/>
  <c r="D434" i="34"/>
  <c r="C434" i="34"/>
  <c r="B434" i="34"/>
  <c r="J433" i="34"/>
  <c r="I433" i="34"/>
  <c r="H433" i="34"/>
  <c r="G433" i="34"/>
  <c r="F433" i="34"/>
  <c r="E433" i="34"/>
  <c r="D433" i="34"/>
  <c r="C433" i="34"/>
  <c r="B433" i="34"/>
  <c r="J432" i="34"/>
  <c r="I432" i="34"/>
  <c r="H432" i="34"/>
  <c r="G432" i="34"/>
  <c r="F432" i="34"/>
  <c r="E432" i="34"/>
  <c r="D432" i="34"/>
  <c r="C432" i="34"/>
  <c r="B432" i="34"/>
  <c r="J431" i="34"/>
  <c r="I431" i="34"/>
  <c r="H431" i="34"/>
  <c r="G431" i="34"/>
  <c r="F431" i="34"/>
  <c r="E431" i="34"/>
  <c r="D431" i="34"/>
  <c r="C431" i="34"/>
  <c r="B431" i="34"/>
  <c r="J430" i="34"/>
  <c r="I430" i="34"/>
  <c r="H430" i="34"/>
  <c r="G430" i="34"/>
  <c r="F430" i="34"/>
  <c r="E430" i="34"/>
  <c r="D430" i="34"/>
  <c r="C430" i="34"/>
  <c r="B430" i="34"/>
  <c r="J429" i="34"/>
  <c r="I429" i="34"/>
  <c r="H429" i="34"/>
  <c r="G429" i="34"/>
  <c r="F429" i="34"/>
  <c r="E429" i="34"/>
  <c r="D429" i="34"/>
  <c r="C429" i="34"/>
  <c r="B429" i="34"/>
  <c r="J428" i="34"/>
  <c r="I428" i="34"/>
  <c r="H428" i="34"/>
  <c r="G428" i="34"/>
  <c r="F428" i="34"/>
  <c r="E428" i="34"/>
  <c r="D428" i="34"/>
  <c r="C428" i="34"/>
  <c r="B428" i="34"/>
  <c r="J427" i="34"/>
  <c r="I427" i="34"/>
  <c r="H427" i="34"/>
  <c r="G427" i="34"/>
  <c r="F427" i="34"/>
  <c r="E427" i="34"/>
  <c r="D427" i="34"/>
  <c r="C427" i="34"/>
  <c r="B427" i="34"/>
  <c r="J426" i="34"/>
  <c r="I426" i="34"/>
  <c r="H426" i="34"/>
  <c r="G426" i="34"/>
  <c r="F426" i="34"/>
  <c r="E426" i="34"/>
  <c r="D426" i="34"/>
  <c r="C426" i="34"/>
  <c r="B426" i="34"/>
  <c r="J425" i="34"/>
  <c r="I425" i="34"/>
  <c r="H425" i="34"/>
  <c r="G425" i="34"/>
  <c r="F425" i="34"/>
  <c r="E425" i="34"/>
  <c r="D425" i="34"/>
  <c r="C425" i="34"/>
  <c r="B425" i="34"/>
  <c r="J424" i="34"/>
  <c r="I424" i="34"/>
  <c r="H424" i="34"/>
  <c r="G424" i="34"/>
  <c r="F424" i="34"/>
  <c r="E424" i="34"/>
  <c r="D424" i="34"/>
  <c r="C424" i="34"/>
  <c r="B424" i="34"/>
  <c r="J423" i="34"/>
  <c r="I423" i="34"/>
  <c r="H423" i="34"/>
  <c r="G423" i="34"/>
  <c r="F423" i="34"/>
  <c r="E423" i="34"/>
  <c r="D423" i="34"/>
  <c r="C423" i="34"/>
  <c r="B423" i="34"/>
  <c r="J422" i="34"/>
  <c r="I422" i="34"/>
  <c r="H422" i="34"/>
  <c r="G422" i="34"/>
  <c r="F422" i="34"/>
  <c r="E422" i="34"/>
  <c r="D422" i="34"/>
  <c r="C422" i="34"/>
  <c r="B422" i="34"/>
  <c r="J421" i="34"/>
  <c r="I421" i="34"/>
  <c r="H421" i="34"/>
  <c r="G421" i="34"/>
  <c r="F421" i="34"/>
  <c r="E421" i="34"/>
  <c r="D421" i="34"/>
  <c r="C421" i="34"/>
  <c r="B421" i="34"/>
  <c r="J420" i="34"/>
  <c r="I420" i="34"/>
  <c r="H420" i="34"/>
  <c r="G420" i="34"/>
  <c r="F420" i="34"/>
  <c r="E420" i="34"/>
  <c r="D420" i="34"/>
  <c r="C420" i="34"/>
  <c r="B420" i="34"/>
  <c r="J419" i="34"/>
  <c r="I419" i="34"/>
  <c r="H419" i="34"/>
  <c r="G419" i="34"/>
  <c r="F419" i="34"/>
  <c r="E419" i="34"/>
  <c r="D419" i="34"/>
  <c r="C419" i="34"/>
  <c r="B419" i="34"/>
  <c r="J418" i="34"/>
  <c r="I418" i="34"/>
  <c r="H418" i="34"/>
  <c r="G418" i="34"/>
  <c r="F418" i="34"/>
  <c r="E418" i="34"/>
  <c r="D418" i="34"/>
  <c r="C418" i="34"/>
  <c r="B418" i="34"/>
  <c r="J417" i="34"/>
  <c r="I417" i="34"/>
  <c r="H417" i="34"/>
  <c r="G417" i="34"/>
  <c r="F417" i="34"/>
  <c r="E417" i="34"/>
  <c r="D417" i="34"/>
  <c r="C417" i="34"/>
  <c r="B417" i="34"/>
  <c r="J416" i="34"/>
  <c r="I416" i="34"/>
  <c r="H416" i="34"/>
  <c r="G416" i="34"/>
  <c r="F416" i="34"/>
  <c r="E416" i="34"/>
  <c r="D416" i="34"/>
  <c r="C416" i="34"/>
  <c r="B416" i="34"/>
  <c r="J415" i="34"/>
  <c r="I415" i="34"/>
  <c r="H415" i="34"/>
  <c r="G415" i="34"/>
  <c r="F415" i="34"/>
  <c r="E415" i="34"/>
  <c r="D415" i="34"/>
  <c r="C415" i="34"/>
  <c r="B415" i="34"/>
  <c r="J414" i="34"/>
  <c r="I414" i="34"/>
  <c r="H414" i="34"/>
  <c r="G414" i="34"/>
  <c r="F414" i="34"/>
  <c r="E414" i="34"/>
  <c r="D414" i="34"/>
  <c r="C414" i="34"/>
  <c r="B414" i="34"/>
  <c r="J413" i="34"/>
  <c r="I413" i="34"/>
  <c r="H413" i="34"/>
  <c r="G413" i="34"/>
  <c r="F413" i="34"/>
  <c r="E413" i="34"/>
  <c r="D413" i="34"/>
  <c r="C413" i="34"/>
  <c r="B413" i="34"/>
  <c r="J412" i="34"/>
  <c r="I412" i="34"/>
  <c r="H412" i="34"/>
  <c r="G412" i="34"/>
  <c r="F412" i="34"/>
  <c r="E412" i="34"/>
  <c r="D412" i="34"/>
  <c r="C412" i="34"/>
  <c r="B412" i="34"/>
  <c r="J411" i="34"/>
  <c r="I411" i="34"/>
  <c r="H411" i="34"/>
  <c r="G411" i="34"/>
  <c r="F411" i="34"/>
  <c r="E411" i="34"/>
  <c r="D411" i="34"/>
  <c r="C411" i="34"/>
  <c r="B411" i="34"/>
  <c r="J410" i="34"/>
  <c r="I410" i="34"/>
  <c r="H410" i="34"/>
  <c r="G410" i="34"/>
  <c r="F410" i="34"/>
  <c r="E410" i="34"/>
  <c r="D410" i="34"/>
  <c r="C410" i="34"/>
  <c r="B410" i="34"/>
  <c r="J409" i="34"/>
  <c r="I409" i="34"/>
  <c r="H409" i="34"/>
  <c r="G409" i="34"/>
  <c r="F409" i="34"/>
  <c r="E409" i="34"/>
  <c r="D409" i="34"/>
  <c r="C409" i="34"/>
  <c r="B409" i="34"/>
  <c r="J408" i="34"/>
  <c r="I408" i="34"/>
  <c r="H408" i="34"/>
  <c r="G408" i="34"/>
  <c r="F408" i="34"/>
  <c r="E408" i="34"/>
  <c r="D408" i="34"/>
  <c r="C408" i="34"/>
  <c r="B408" i="34"/>
  <c r="J407" i="34"/>
  <c r="I407" i="34"/>
  <c r="H407" i="34"/>
  <c r="G407" i="34"/>
  <c r="F407" i="34"/>
  <c r="E407" i="34"/>
  <c r="D407" i="34"/>
  <c r="C407" i="34"/>
  <c r="B407" i="34"/>
  <c r="J406" i="34"/>
  <c r="I406" i="34"/>
  <c r="H406" i="34"/>
  <c r="G406" i="34"/>
  <c r="F406" i="34"/>
  <c r="E406" i="34"/>
  <c r="D406" i="34"/>
  <c r="C406" i="34"/>
  <c r="B406" i="34"/>
  <c r="J405" i="34"/>
  <c r="I405" i="34"/>
  <c r="H405" i="34"/>
  <c r="G405" i="34"/>
  <c r="F405" i="34"/>
  <c r="E405" i="34"/>
  <c r="D405" i="34"/>
  <c r="C405" i="34"/>
  <c r="B405" i="34"/>
  <c r="J404" i="34"/>
  <c r="I404" i="34"/>
  <c r="H404" i="34"/>
  <c r="G404" i="34"/>
  <c r="F404" i="34"/>
  <c r="E404" i="34"/>
  <c r="D404" i="34"/>
  <c r="C404" i="34"/>
  <c r="B404" i="34"/>
  <c r="J403" i="34"/>
  <c r="I403" i="34"/>
  <c r="H403" i="34"/>
  <c r="G403" i="34"/>
  <c r="F403" i="34"/>
  <c r="E403" i="34"/>
  <c r="D403" i="34"/>
  <c r="C403" i="34"/>
  <c r="B403" i="34"/>
  <c r="J402" i="34"/>
  <c r="I402" i="34"/>
  <c r="H402" i="34"/>
  <c r="G402" i="34"/>
  <c r="F402" i="34"/>
  <c r="E402" i="34"/>
  <c r="D402" i="34"/>
  <c r="C402" i="34"/>
  <c r="B402" i="34"/>
  <c r="J401" i="34"/>
  <c r="I401" i="34"/>
  <c r="H401" i="34"/>
  <c r="G401" i="34"/>
  <c r="F401" i="34"/>
  <c r="E401" i="34"/>
  <c r="D401" i="34"/>
  <c r="C401" i="34"/>
  <c r="B401" i="34"/>
  <c r="J400" i="34"/>
  <c r="I400" i="34"/>
  <c r="H400" i="34"/>
  <c r="G400" i="34"/>
  <c r="F400" i="34"/>
  <c r="E400" i="34"/>
  <c r="D400" i="34"/>
  <c r="C400" i="34"/>
  <c r="B400" i="34"/>
  <c r="J399" i="34"/>
  <c r="I399" i="34"/>
  <c r="H399" i="34"/>
  <c r="G399" i="34"/>
  <c r="F399" i="34"/>
  <c r="E399" i="34"/>
  <c r="D399" i="34"/>
  <c r="C399" i="34"/>
  <c r="B399" i="34"/>
  <c r="J398" i="34"/>
  <c r="I398" i="34"/>
  <c r="H398" i="34"/>
  <c r="G398" i="34"/>
  <c r="F398" i="34"/>
  <c r="E398" i="34"/>
  <c r="D398" i="34"/>
  <c r="C398" i="34"/>
  <c r="B398" i="34"/>
  <c r="J397" i="34"/>
  <c r="I397" i="34"/>
  <c r="H397" i="34"/>
  <c r="G397" i="34"/>
  <c r="F397" i="34"/>
  <c r="E397" i="34"/>
  <c r="D397" i="34"/>
  <c r="C397" i="34"/>
  <c r="B397" i="34"/>
  <c r="J396" i="34"/>
  <c r="I396" i="34"/>
  <c r="H396" i="34"/>
  <c r="G396" i="34"/>
  <c r="F396" i="34"/>
  <c r="E396" i="34"/>
  <c r="D396" i="34"/>
  <c r="C396" i="34"/>
  <c r="B396" i="34"/>
  <c r="J395" i="34"/>
  <c r="I395" i="34"/>
  <c r="H395" i="34"/>
  <c r="G395" i="34"/>
  <c r="F395" i="34"/>
  <c r="E395" i="34"/>
  <c r="D395" i="34"/>
  <c r="C395" i="34"/>
  <c r="B395" i="34"/>
  <c r="J394" i="34"/>
  <c r="I394" i="34"/>
  <c r="H394" i="34"/>
  <c r="G394" i="34"/>
  <c r="F394" i="34"/>
  <c r="E394" i="34"/>
  <c r="D394" i="34"/>
  <c r="C394" i="34"/>
  <c r="B394" i="34"/>
  <c r="J393" i="34"/>
  <c r="I393" i="34"/>
  <c r="H393" i="34"/>
  <c r="G393" i="34"/>
  <c r="F393" i="34"/>
  <c r="E393" i="34"/>
  <c r="D393" i="34"/>
  <c r="C393" i="34"/>
  <c r="B393" i="34"/>
  <c r="J392" i="34"/>
  <c r="I392" i="34"/>
  <c r="H392" i="34"/>
  <c r="G392" i="34"/>
  <c r="F392" i="34"/>
  <c r="E392" i="34"/>
  <c r="D392" i="34"/>
  <c r="C392" i="34"/>
  <c r="B392" i="34"/>
  <c r="J391" i="34"/>
  <c r="I391" i="34"/>
  <c r="H391" i="34"/>
  <c r="G391" i="34"/>
  <c r="F391" i="34"/>
  <c r="E391" i="34"/>
  <c r="D391" i="34"/>
  <c r="C391" i="34"/>
  <c r="B391" i="34"/>
  <c r="J390" i="34"/>
  <c r="I390" i="34"/>
  <c r="H390" i="34"/>
  <c r="G390" i="34"/>
  <c r="F390" i="34"/>
  <c r="E390" i="34"/>
  <c r="D390" i="34"/>
  <c r="C390" i="34"/>
  <c r="B390" i="34"/>
  <c r="J389" i="34"/>
  <c r="I389" i="34"/>
  <c r="H389" i="34"/>
  <c r="G389" i="34"/>
  <c r="F389" i="34"/>
  <c r="E389" i="34"/>
  <c r="D389" i="34"/>
  <c r="C389" i="34"/>
  <c r="B389" i="34"/>
  <c r="J388" i="34"/>
  <c r="I388" i="34"/>
  <c r="H388" i="34"/>
  <c r="G388" i="34"/>
  <c r="F388" i="34"/>
  <c r="E388" i="34"/>
  <c r="D388" i="34"/>
  <c r="C388" i="34"/>
  <c r="B388" i="34"/>
  <c r="J387" i="34"/>
  <c r="I387" i="34"/>
  <c r="H387" i="34"/>
  <c r="G387" i="34"/>
  <c r="F387" i="34"/>
  <c r="E387" i="34"/>
  <c r="D387" i="34"/>
  <c r="C387" i="34"/>
  <c r="B387" i="34"/>
  <c r="J386" i="34"/>
  <c r="I386" i="34"/>
  <c r="H386" i="34"/>
  <c r="G386" i="34"/>
  <c r="F386" i="34"/>
  <c r="E386" i="34"/>
  <c r="D386" i="34"/>
  <c r="C386" i="34"/>
  <c r="B386" i="34"/>
  <c r="J385" i="34"/>
  <c r="I385" i="34"/>
  <c r="H385" i="34"/>
  <c r="G385" i="34"/>
  <c r="F385" i="34"/>
  <c r="E385" i="34"/>
  <c r="D385" i="34"/>
  <c r="C385" i="34"/>
  <c r="B385" i="34"/>
  <c r="J384" i="34"/>
  <c r="I384" i="34"/>
  <c r="H384" i="34"/>
  <c r="G384" i="34"/>
  <c r="F384" i="34"/>
  <c r="E384" i="34"/>
  <c r="D384" i="34"/>
  <c r="C384" i="34"/>
  <c r="B384" i="34"/>
  <c r="J383" i="34"/>
  <c r="I383" i="34"/>
  <c r="H383" i="34"/>
  <c r="G383" i="34"/>
  <c r="F383" i="34"/>
  <c r="E383" i="34"/>
  <c r="D383" i="34"/>
  <c r="C383" i="34"/>
  <c r="B383" i="34"/>
  <c r="J382" i="34"/>
  <c r="I382" i="34"/>
  <c r="H382" i="34"/>
  <c r="G382" i="34"/>
  <c r="F382" i="34"/>
  <c r="E382" i="34"/>
  <c r="D382" i="34"/>
  <c r="C382" i="34"/>
  <c r="B382" i="34"/>
  <c r="J381" i="34"/>
  <c r="I381" i="34"/>
  <c r="H381" i="34"/>
  <c r="G381" i="34"/>
  <c r="F381" i="34"/>
  <c r="E381" i="34"/>
  <c r="D381" i="34"/>
  <c r="C381" i="34"/>
  <c r="B381" i="34"/>
  <c r="J380" i="34"/>
  <c r="I380" i="34"/>
  <c r="H380" i="34"/>
  <c r="G380" i="34"/>
  <c r="F380" i="34"/>
  <c r="E380" i="34"/>
  <c r="D380" i="34"/>
  <c r="C380" i="34"/>
  <c r="B380" i="34"/>
  <c r="J379" i="34"/>
  <c r="I379" i="34"/>
  <c r="H379" i="34"/>
  <c r="G379" i="34"/>
  <c r="F379" i="34"/>
  <c r="E379" i="34"/>
  <c r="D379" i="34"/>
  <c r="C379" i="34"/>
  <c r="B379" i="34"/>
  <c r="J378" i="34"/>
  <c r="I378" i="34"/>
  <c r="H378" i="34"/>
  <c r="G378" i="34"/>
  <c r="F378" i="34"/>
  <c r="E378" i="34"/>
  <c r="D378" i="34"/>
  <c r="C378" i="34"/>
  <c r="B378" i="34"/>
  <c r="J377" i="34"/>
  <c r="I377" i="34"/>
  <c r="H377" i="34"/>
  <c r="G377" i="34"/>
  <c r="F377" i="34"/>
  <c r="E377" i="34"/>
  <c r="D377" i="34"/>
  <c r="C377" i="34"/>
  <c r="B377" i="34"/>
  <c r="J376" i="34"/>
  <c r="I376" i="34"/>
  <c r="H376" i="34"/>
  <c r="G376" i="34"/>
  <c r="F376" i="34"/>
  <c r="E376" i="34"/>
  <c r="D376" i="34"/>
  <c r="C376" i="34"/>
  <c r="B376" i="34"/>
  <c r="J375" i="34"/>
  <c r="I375" i="34"/>
  <c r="H375" i="34"/>
  <c r="G375" i="34"/>
  <c r="F375" i="34"/>
  <c r="E375" i="34"/>
  <c r="D375" i="34"/>
  <c r="C375" i="34"/>
  <c r="B375" i="34"/>
  <c r="J374" i="34"/>
  <c r="I374" i="34"/>
  <c r="H374" i="34"/>
  <c r="G374" i="34"/>
  <c r="F374" i="34"/>
  <c r="E374" i="34"/>
  <c r="D374" i="34"/>
  <c r="C374" i="34"/>
  <c r="B374" i="34"/>
  <c r="J373" i="34"/>
  <c r="I373" i="34"/>
  <c r="H373" i="34"/>
  <c r="G373" i="34"/>
  <c r="F373" i="34"/>
  <c r="E373" i="34"/>
  <c r="D373" i="34"/>
  <c r="C373" i="34"/>
  <c r="B373" i="34"/>
  <c r="J372" i="34"/>
  <c r="I372" i="34"/>
  <c r="H372" i="34"/>
  <c r="G372" i="34"/>
  <c r="F372" i="34"/>
  <c r="E372" i="34"/>
  <c r="D372" i="34"/>
  <c r="C372" i="34"/>
  <c r="B372" i="34"/>
  <c r="J371" i="34"/>
  <c r="I371" i="34"/>
  <c r="H371" i="34"/>
  <c r="G371" i="34"/>
  <c r="F371" i="34"/>
  <c r="E371" i="34"/>
  <c r="D371" i="34"/>
  <c r="C371" i="34"/>
  <c r="B371" i="34"/>
  <c r="J370" i="34"/>
  <c r="I370" i="34"/>
  <c r="H370" i="34"/>
  <c r="G370" i="34"/>
  <c r="F370" i="34"/>
  <c r="E370" i="34"/>
  <c r="D370" i="34"/>
  <c r="C370" i="34"/>
  <c r="B370" i="34"/>
  <c r="J369" i="34"/>
  <c r="I369" i="34"/>
  <c r="H369" i="34"/>
  <c r="G369" i="34"/>
  <c r="F369" i="34"/>
  <c r="E369" i="34"/>
  <c r="D369" i="34"/>
  <c r="C369" i="34"/>
  <c r="B369" i="34"/>
  <c r="J368" i="34"/>
  <c r="I368" i="34"/>
  <c r="H368" i="34"/>
  <c r="G368" i="34"/>
  <c r="F368" i="34"/>
  <c r="E368" i="34"/>
  <c r="D368" i="34"/>
  <c r="C368" i="34"/>
  <c r="B368" i="34"/>
  <c r="J367" i="34"/>
  <c r="I367" i="34"/>
  <c r="H367" i="34"/>
  <c r="G367" i="34"/>
  <c r="F367" i="34"/>
  <c r="E367" i="34"/>
  <c r="D367" i="34"/>
  <c r="C367" i="34"/>
  <c r="B367" i="34"/>
  <c r="J366" i="34"/>
  <c r="I366" i="34"/>
  <c r="H366" i="34"/>
  <c r="G366" i="34"/>
  <c r="F366" i="34"/>
  <c r="E366" i="34"/>
  <c r="D366" i="34"/>
  <c r="C366" i="34"/>
  <c r="B366" i="34"/>
  <c r="J365" i="34"/>
  <c r="I365" i="34"/>
  <c r="H365" i="34"/>
  <c r="G365" i="34"/>
  <c r="F365" i="34"/>
  <c r="E365" i="34"/>
  <c r="D365" i="34"/>
  <c r="C365" i="34"/>
  <c r="B365" i="34"/>
  <c r="J364" i="34"/>
  <c r="I364" i="34"/>
  <c r="H364" i="34"/>
  <c r="G364" i="34"/>
  <c r="F364" i="34"/>
  <c r="E364" i="34"/>
  <c r="D364" i="34"/>
  <c r="C364" i="34"/>
  <c r="B364" i="34"/>
  <c r="J363" i="34"/>
  <c r="I363" i="34"/>
  <c r="H363" i="34"/>
  <c r="G363" i="34"/>
  <c r="F363" i="34"/>
  <c r="E363" i="34"/>
  <c r="D363" i="34"/>
  <c r="C363" i="34"/>
  <c r="B363" i="34"/>
  <c r="J362" i="34"/>
  <c r="I362" i="34"/>
  <c r="H362" i="34"/>
  <c r="G362" i="34"/>
  <c r="F362" i="34"/>
  <c r="E362" i="34"/>
  <c r="D362" i="34"/>
  <c r="C362" i="34"/>
  <c r="B362" i="34"/>
  <c r="J361" i="34"/>
  <c r="I361" i="34"/>
  <c r="H361" i="34"/>
  <c r="G361" i="34"/>
  <c r="F361" i="34"/>
  <c r="E361" i="34"/>
  <c r="D361" i="34"/>
  <c r="C361" i="34"/>
  <c r="B361" i="34"/>
  <c r="J360" i="34"/>
  <c r="I360" i="34"/>
  <c r="H360" i="34"/>
  <c r="G360" i="34"/>
  <c r="F360" i="34"/>
  <c r="E360" i="34"/>
  <c r="D360" i="34"/>
  <c r="C360" i="34"/>
  <c r="B360" i="34"/>
  <c r="J359" i="34"/>
  <c r="I359" i="34"/>
  <c r="H359" i="34"/>
  <c r="G359" i="34"/>
  <c r="F359" i="34"/>
  <c r="E359" i="34"/>
  <c r="D359" i="34"/>
  <c r="C359" i="34"/>
  <c r="B359" i="34"/>
  <c r="J358" i="34"/>
  <c r="I358" i="34"/>
  <c r="H358" i="34"/>
  <c r="G358" i="34"/>
  <c r="F358" i="34"/>
  <c r="E358" i="34"/>
  <c r="D358" i="34"/>
  <c r="C358" i="34"/>
  <c r="B358" i="34"/>
  <c r="J357" i="34"/>
  <c r="I357" i="34"/>
  <c r="H357" i="34"/>
  <c r="G357" i="34"/>
  <c r="F357" i="34"/>
  <c r="E357" i="34"/>
  <c r="D357" i="34"/>
  <c r="C357" i="34"/>
  <c r="B357" i="34"/>
  <c r="J356" i="34"/>
  <c r="I356" i="34"/>
  <c r="H356" i="34"/>
  <c r="G356" i="34"/>
  <c r="F356" i="34"/>
  <c r="E356" i="34"/>
  <c r="D356" i="34"/>
  <c r="C356" i="34"/>
  <c r="B356" i="34"/>
  <c r="J355" i="34"/>
  <c r="I355" i="34"/>
  <c r="H355" i="34"/>
  <c r="G355" i="34"/>
  <c r="F355" i="34"/>
  <c r="E355" i="34"/>
  <c r="D355" i="34"/>
  <c r="C355" i="34"/>
  <c r="B355" i="34"/>
  <c r="J354" i="34"/>
  <c r="I354" i="34"/>
  <c r="H354" i="34"/>
  <c r="G354" i="34"/>
  <c r="F354" i="34"/>
  <c r="E354" i="34"/>
  <c r="D354" i="34"/>
  <c r="C354" i="34"/>
  <c r="B354" i="34"/>
  <c r="J353" i="34"/>
  <c r="I353" i="34"/>
  <c r="H353" i="34"/>
  <c r="G353" i="34"/>
  <c r="F353" i="34"/>
  <c r="E353" i="34"/>
  <c r="D353" i="34"/>
  <c r="C353" i="34"/>
  <c r="B353" i="34"/>
  <c r="J352" i="34"/>
  <c r="I352" i="34"/>
  <c r="H352" i="34"/>
  <c r="G352" i="34"/>
  <c r="F352" i="34"/>
  <c r="E352" i="34"/>
  <c r="D352" i="34"/>
  <c r="C352" i="34"/>
  <c r="B352" i="34"/>
  <c r="J351" i="34"/>
  <c r="I351" i="34"/>
  <c r="H351" i="34"/>
  <c r="G351" i="34"/>
  <c r="F351" i="34"/>
  <c r="E351" i="34"/>
  <c r="D351" i="34"/>
  <c r="C351" i="34"/>
  <c r="B351" i="34"/>
  <c r="J350" i="34"/>
  <c r="I350" i="34"/>
  <c r="H350" i="34"/>
  <c r="G350" i="34"/>
  <c r="F350" i="34"/>
  <c r="E350" i="34"/>
  <c r="D350" i="34"/>
  <c r="C350" i="34"/>
  <c r="B350" i="34"/>
  <c r="J349" i="34"/>
  <c r="I349" i="34"/>
  <c r="H349" i="34"/>
  <c r="G349" i="34"/>
  <c r="F349" i="34"/>
  <c r="E349" i="34"/>
  <c r="D349" i="34"/>
  <c r="C349" i="34"/>
  <c r="B349" i="34"/>
  <c r="J348" i="34"/>
  <c r="I348" i="34"/>
  <c r="H348" i="34"/>
  <c r="G348" i="34"/>
  <c r="F348" i="34"/>
  <c r="E348" i="34"/>
  <c r="D348" i="34"/>
  <c r="C348" i="34"/>
  <c r="B348" i="34"/>
  <c r="J347" i="34"/>
  <c r="I347" i="34"/>
  <c r="H347" i="34"/>
  <c r="G347" i="34"/>
  <c r="F347" i="34"/>
  <c r="E347" i="34"/>
  <c r="D347" i="34"/>
  <c r="C347" i="34"/>
  <c r="B347" i="34"/>
  <c r="J346" i="34"/>
  <c r="I346" i="34"/>
  <c r="H346" i="34"/>
  <c r="G346" i="34"/>
  <c r="F346" i="34"/>
  <c r="E346" i="34"/>
  <c r="D346" i="34"/>
  <c r="C346" i="34"/>
  <c r="B346" i="34"/>
  <c r="J345" i="34"/>
  <c r="I345" i="34"/>
  <c r="H345" i="34"/>
  <c r="G345" i="34"/>
  <c r="F345" i="34"/>
  <c r="E345" i="34"/>
  <c r="D345" i="34"/>
  <c r="C345" i="34"/>
  <c r="B345" i="34"/>
  <c r="J344" i="34"/>
  <c r="I344" i="34"/>
  <c r="H344" i="34"/>
  <c r="G344" i="34"/>
  <c r="F344" i="34"/>
  <c r="E344" i="34"/>
  <c r="D344" i="34"/>
  <c r="C344" i="34"/>
  <c r="B344" i="34"/>
  <c r="J343" i="34"/>
  <c r="I343" i="34"/>
  <c r="H343" i="34"/>
  <c r="G343" i="34"/>
  <c r="F343" i="34"/>
  <c r="E343" i="34"/>
  <c r="D343" i="34"/>
  <c r="C343" i="34"/>
  <c r="B343" i="34"/>
  <c r="J342" i="34"/>
  <c r="I342" i="34"/>
  <c r="H342" i="34"/>
  <c r="G342" i="34"/>
  <c r="F342" i="34"/>
  <c r="E342" i="34"/>
  <c r="D342" i="34"/>
  <c r="C342" i="34"/>
  <c r="B342" i="34"/>
  <c r="J341" i="34"/>
  <c r="I341" i="34"/>
  <c r="H341" i="34"/>
  <c r="G341" i="34"/>
  <c r="F341" i="34"/>
  <c r="E341" i="34"/>
  <c r="D341" i="34"/>
  <c r="C341" i="34"/>
  <c r="B341" i="34"/>
  <c r="J340" i="34"/>
  <c r="I340" i="34"/>
  <c r="H340" i="34"/>
  <c r="G340" i="34"/>
  <c r="F340" i="34"/>
  <c r="E340" i="34"/>
  <c r="D340" i="34"/>
  <c r="C340" i="34"/>
  <c r="B340" i="34"/>
  <c r="J339" i="34"/>
  <c r="I339" i="34"/>
  <c r="H339" i="34"/>
  <c r="G339" i="34"/>
  <c r="F339" i="34"/>
  <c r="E339" i="34"/>
  <c r="D339" i="34"/>
  <c r="C339" i="34"/>
  <c r="B339" i="34"/>
  <c r="J338" i="34"/>
  <c r="I338" i="34"/>
  <c r="H338" i="34"/>
  <c r="G338" i="34"/>
  <c r="F338" i="34"/>
  <c r="E338" i="34"/>
  <c r="D338" i="34"/>
  <c r="C338" i="34"/>
  <c r="B338" i="34"/>
  <c r="J337" i="34"/>
  <c r="I337" i="34"/>
  <c r="H337" i="34"/>
  <c r="G337" i="34"/>
  <c r="F337" i="34"/>
  <c r="E337" i="34"/>
  <c r="D337" i="34"/>
  <c r="C337" i="34"/>
  <c r="B337" i="34"/>
  <c r="J336" i="34"/>
  <c r="I336" i="34"/>
  <c r="H336" i="34"/>
  <c r="G336" i="34"/>
  <c r="F336" i="34"/>
  <c r="E336" i="34"/>
  <c r="D336" i="34"/>
  <c r="C336" i="34"/>
  <c r="B336" i="34"/>
  <c r="J335" i="34"/>
  <c r="I335" i="34"/>
  <c r="H335" i="34"/>
  <c r="G335" i="34"/>
  <c r="F335" i="34"/>
  <c r="E335" i="34"/>
  <c r="D335" i="34"/>
  <c r="C335" i="34"/>
  <c r="B335" i="34"/>
  <c r="J334" i="34"/>
  <c r="I334" i="34"/>
  <c r="H334" i="34"/>
  <c r="G334" i="34"/>
  <c r="F334" i="34"/>
  <c r="E334" i="34"/>
  <c r="D334" i="34"/>
  <c r="C334" i="34"/>
  <c r="B334" i="34"/>
  <c r="J333" i="34"/>
  <c r="I333" i="34"/>
  <c r="H333" i="34"/>
  <c r="G333" i="34"/>
  <c r="F333" i="34"/>
  <c r="E333" i="34"/>
  <c r="D333" i="34"/>
  <c r="C333" i="34"/>
  <c r="B333" i="34"/>
  <c r="J332" i="34"/>
  <c r="I332" i="34"/>
  <c r="H332" i="34"/>
  <c r="G332" i="34"/>
  <c r="F332" i="34"/>
  <c r="E332" i="34"/>
  <c r="D332" i="34"/>
  <c r="C332" i="34"/>
  <c r="B332" i="34"/>
  <c r="J331" i="34"/>
  <c r="I331" i="34"/>
  <c r="H331" i="34"/>
  <c r="G331" i="34"/>
  <c r="F331" i="34"/>
  <c r="E331" i="34"/>
  <c r="D331" i="34"/>
  <c r="C331" i="34"/>
  <c r="B331" i="34"/>
  <c r="J330" i="34"/>
  <c r="I330" i="34"/>
  <c r="H330" i="34"/>
  <c r="G330" i="34"/>
  <c r="F330" i="34"/>
  <c r="E330" i="34"/>
  <c r="D330" i="34"/>
  <c r="C330" i="34"/>
  <c r="B330" i="34"/>
  <c r="J329" i="34"/>
  <c r="I329" i="34"/>
  <c r="H329" i="34"/>
  <c r="G329" i="34"/>
  <c r="F329" i="34"/>
  <c r="E329" i="34"/>
  <c r="D329" i="34"/>
  <c r="C329" i="34"/>
  <c r="B329" i="34"/>
  <c r="J328" i="34"/>
  <c r="I328" i="34"/>
  <c r="H328" i="34"/>
  <c r="G328" i="34"/>
  <c r="F328" i="34"/>
  <c r="E328" i="34"/>
  <c r="D328" i="34"/>
  <c r="C328" i="34"/>
  <c r="B328" i="34"/>
  <c r="J327" i="34"/>
  <c r="I327" i="34"/>
  <c r="H327" i="34"/>
  <c r="G327" i="34"/>
  <c r="F327" i="34"/>
  <c r="E327" i="34"/>
  <c r="D327" i="34"/>
  <c r="C327" i="34"/>
  <c r="B327" i="34"/>
  <c r="J326" i="34"/>
  <c r="I326" i="34"/>
  <c r="H326" i="34"/>
  <c r="G326" i="34"/>
  <c r="F326" i="34"/>
  <c r="E326" i="34"/>
  <c r="D326" i="34"/>
  <c r="C326" i="34"/>
  <c r="B326" i="34"/>
  <c r="J325" i="34"/>
  <c r="I325" i="34"/>
  <c r="H325" i="34"/>
  <c r="G325" i="34"/>
  <c r="F325" i="34"/>
  <c r="E325" i="34"/>
  <c r="D325" i="34"/>
  <c r="C325" i="34"/>
  <c r="B325" i="34"/>
  <c r="J324" i="34"/>
  <c r="I324" i="34"/>
  <c r="H324" i="34"/>
  <c r="G324" i="34"/>
  <c r="F324" i="34"/>
  <c r="E324" i="34"/>
  <c r="D324" i="34"/>
  <c r="C324" i="34"/>
  <c r="B324" i="34"/>
  <c r="J323" i="34"/>
  <c r="I323" i="34"/>
  <c r="H323" i="34"/>
  <c r="G323" i="34"/>
  <c r="F323" i="34"/>
  <c r="E323" i="34"/>
  <c r="D323" i="34"/>
  <c r="C323" i="34"/>
  <c r="B323" i="34"/>
  <c r="J322" i="34"/>
  <c r="I322" i="34"/>
  <c r="H322" i="34"/>
  <c r="G322" i="34"/>
  <c r="F322" i="34"/>
  <c r="E322" i="34"/>
  <c r="D322" i="34"/>
  <c r="C322" i="34"/>
  <c r="B322" i="34"/>
  <c r="J321" i="34"/>
  <c r="I321" i="34"/>
  <c r="H321" i="34"/>
  <c r="G321" i="34"/>
  <c r="F321" i="34"/>
  <c r="E321" i="34"/>
  <c r="D321" i="34"/>
  <c r="C321" i="34"/>
  <c r="B321" i="34"/>
  <c r="J320" i="34"/>
  <c r="I320" i="34"/>
  <c r="H320" i="34"/>
  <c r="G320" i="34"/>
  <c r="F320" i="34"/>
  <c r="E320" i="34"/>
  <c r="D320" i="34"/>
  <c r="C320" i="34"/>
  <c r="B320" i="34"/>
  <c r="J319" i="34"/>
  <c r="I319" i="34"/>
  <c r="H319" i="34"/>
  <c r="G319" i="34"/>
  <c r="F319" i="34"/>
  <c r="E319" i="34"/>
  <c r="D319" i="34"/>
  <c r="C319" i="34"/>
  <c r="B319" i="34"/>
  <c r="J318" i="34"/>
  <c r="I318" i="34"/>
  <c r="H318" i="34"/>
  <c r="G318" i="34"/>
  <c r="F318" i="34"/>
  <c r="E318" i="34"/>
  <c r="D318" i="34"/>
  <c r="C318" i="34"/>
  <c r="B318" i="34"/>
  <c r="J317" i="34"/>
  <c r="I317" i="34"/>
  <c r="H317" i="34"/>
  <c r="G317" i="34"/>
  <c r="F317" i="34"/>
  <c r="E317" i="34"/>
  <c r="D317" i="34"/>
  <c r="C317" i="34"/>
  <c r="B317" i="34"/>
  <c r="J316" i="34"/>
  <c r="I316" i="34"/>
  <c r="H316" i="34"/>
  <c r="G316" i="34"/>
  <c r="F316" i="34"/>
  <c r="E316" i="34"/>
  <c r="D316" i="34"/>
  <c r="C316" i="34"/>
  <c r="B316" i="34"/>
  <c r="J315" i="34"/>
  <c r="I315" i="34"/>
  <c r="H315" i="34"/>
  <c r="G315" i="34"/>
  <c r="F315" i="34"/>
  <c r="E315" i="34"/>
  <c r="D315" i="34"/>
  <c r="C315" i="34"/>
  <c r="B315" i="34"/>
  <c r="J314" i="34"/>
  <c r="I314" i="34"/>
  <c r="H314" i="34"/>
  <c r="G314" i="34"/>
  <c r="F314" i="34"/>
  <c r="E314" i="34"/>
  <c r="D314" i="34"/>
  <c r="C314" i="34"/>
  <c r="B314" i="34"/>
  <c r="J313" i="34"/>
  <c r="I313" i="34"/>
  <c r="H313" i="34"/>
  <c r="G313" i="34"/>
  <c r="F313" i="34"/>
  <c r="E313" i="34"/>
  <c r="D313" i="34"/>
  <c r="C313" i="34"/>
  <c r="B313" i="34"/>
  <c r="J312" i="34"/>
  <c r="I312" i="34"/>
  <c r="H312" i="34"/>
  <c r="G312" i="34"/>
  <c r="F312" i="34"/>
  <c r="E312" i="34"/>
  <c r="D312" i="34"/>
  <c r="C312" i="34"/>
  <c r="B312" i="34"/>
  <c r="J311" i="34"/>
  <c r="I311" i="34"/>
  <c r="H311" i="34"/>
  <c r="G311" i="34"/>
  <c r="F311" i="34"/>
  <c r="E311" i="34"/>
  <c r="D311" i="34"/>
  <c r="C311" i="34"/>
  <c r="B311" i="34"/>
  <c r="J310" i="34"/>
  <c r="I310" i="34"/>
  <c r="H310" i="34"/>
  <c r="G310" i="34"/>
  <c r="F310" i="34"/>
  <c r="E310" i="34"/>
  <c r="D310" i="34"/>
  <c r="C310" i="34"/>
  <c r="B310" i="34"/>
  <c r="J309" i="34"/>
  <c r="I309" i="34"/>
  <c r="H309" i="34"/>
  <c r="G309" i="34"/>
  <c r="F309" i="34"/>
  <c r="E309" i="34"/>
  <c r="D309" i="34"/>
  <c r="C309" i="34"/>
  <c r="B309" i="34"/>
  <c r="J308" i="34"/>
  <c r="I308" i="34"/>
  <c r="H308" i="34"/>
  <c r="G308" i="34"/>
  <c r="F308" i="34"/>
  <c r="E308" i="34"/>
  <c r="D308" i="34"/>
  <c r="C308" i="34"/>
  <c r="B308" i="34"/>
  <c r="J307" i="34"/>
  <c r="I307" i="34"/>
  <c r="H307" i="34"/>
  <c r="G307" i="34"/>
  <c r="F307" i="34"/>
  <c r="E307" i="34"/>
  <c r="D307" i="34"/>
  <c r="C307" i="34"/>
  <c r="B307" i="34"/>
  <c r="J306" i="34"/>
  <c r="I306" i="34"/>
  <c r="H306" i="34"/>
  <c r="G306" i="34"/>
  <c r="F306" i="34"/>
  <c r="E306" i="34"/>
  <c r="D306" i="34"/>
  <c r="C306" i="34"/>
  <c r="B306" i="34"/>
  <c r="J305" i="34"/>
  <c r="I305" i="34"/>
  <c r="H305" i="34"/>
  <c r="G305" i="34"/>
  <c r="F305" i="34"/>
  <c r="E305" i="34"/>
  <c r="D305" i="34"/>
  <c r="C305" i="34"/>
  <c r="B305" i="34"/>
  <c r="J304" i="34"/>
  <c r="I304" i="34"/>
  <c r="H304" i="34"/>
  <c r="G304" i="34"/>
  <c r="F304" i="34"/>
  <c r="E304" i="34"/>
  <c r="D304" i="34"/>
  <c r="C304" i="34"/>
  <c r="B304" i="34"/>
  <c r="J303" i="34"/>
  <c r="I303" i="34"/>
  <c r="H303" i="34"/>
  <c r="G303" i="34"/>
  <c r="F303" i="34"/>
  <c r="E303" i="34"/>
  <c r="D303" i="34"/>
  <c r="C303" i="34"/>
  <c r="B303" i="34"/>
  <c r="J302" i="34"/>
  <c r="I302" i="34"/>
  <c r="H302" i="34"/>
  <c r="G302" i="34"/>
  <c r="F302" i="34"/>
  <c r="E302" i="34"/>
  <c r="D302" i="34"/>
  <c r="C302" i="34"/>
  <c r="B302" i="34"/>
  <c r="J301" i="34"/>
  <c r="I301" i="34"/>
  <c r="H301" i="34"/>
  <c r="G301" i="34"/>
  <c r="F301" i="34"/>
  <c r="E301" i="34"/>
  <c r="D301" i="34"/>
  <c r="C301" i="34"/>
  <c r="B301" i="34"/>
  <c r="J300" i="34"/>
  <c r="I300" i="34"/>
  <c r="H300" i="34"/>
  <c r="G300" i="34"/>
  <c r="F300" i="34"/>
  <c r="E300" i="34"/>
  <c r="D300" i="34"/>
  <c r="C300" i="34"/>
  <c r="B300" i="34"/>
  <c r="J299" i="34"/>
  <c r="I299" i="34"/>
  <c r="H299" i="34"/>
  <c r="G299" i="34"/>
  <c r="F299" i="34"/>
  <c r="E299" i="34"/>
  <c r="D299" i="34"/>
  <c r="C299" i="34"/>
  <c r="B299" i="34"/>
  <c r="J298" i="34"/>
  <c r="I298" i="34"/>
  <c r="H298" i="34"/>
  <c r="G298" i="34"/>
  <c r="F298" i="34"/>
  <c r="E298" i="34"/>
  <c r="D298" i="34"/>
  <c r="C298" i="34"/>
  <c r="B298" i="34"/>
  <c r="J297" i="34"/>
  <c r="I297" i="34"/>
  <c r="H297" i="34"/>
  <c r="G297" i="34"/>
  <c r="F297" i="34"/>
  <c r="E297" i="34"/>
  <c r="D297" i="34"/>
  <c r="C297" i="34"/>
  <c r="B297" i="34"/>
  <c r="J296" i="34"/>
  <c r="I296" i="34"/>
  <c r="H296" i="34"/>
  <c r="G296" i="34"/>
  <c r="F296" i="34"/>
  <c r="E296" i="34"/>
  <c r="D296" i="34"/>
  <c r="C296" i="34"/>
  <c r="B296" i="34"/>
  <c r="J295" i="34"/>
  <c r="I295" i="34"/>
  <c r="H295" i="34"/>
  <c r="G295" i="34"/>
  <c r="F295" i="34"/>
  <c r="E295" i="34"/>
  <c r="D295" i="34"/>
  <c r="C295" i="34"/>
  <c r="B295" i="34"/>
  <c r="J294" i="34"/>
  <c r="I294" i="34"/>
  <c r="H294" i="34"/>
  <c r="G294" i="34"/>
  <c r="F294" i="34"/>
  <c r="E294" i="34"/>
  <c r="D294" i="34"/>
  <c r="C294" i="34"/>
  <c r="B294" i="34"/>
  <c r="J293" i="34"/>
  <c r="I293" i="34"/>
  <c r="H293" i="34"/>
  <c r="G293" i="34"/>
  <c r="F293" i="34"/>
  <c r="E293" i="34"/>
  <c r="D293" i="34"/>
  <c r="C293" i="34"/>
  <c r="B293" i="34"/>
  <c r="J292" i="34"/>
  <c r="I292" i="34"/>
  <c r="H292" i="34"/>
  <c r="G292" i="34"/>
  <c r="F292" i="34"/>
  <c r="E292" i="34"/>
  <c r="D292" i="34"/>
  <c r="C292" i="34"/>
  <c r="B292" i="34"/>
  <c r="J291" i="34"/>
  <c r="I291" i="34"/>
  <c r="H291" i="34"/>
  <c r="G291" i="34"/>
  <c r="F291" i="34"/>
  <c r="E291" i="34"/>
  <c r="D291" i="34"/>
  <c r="C291" i="34"/>
  <c r="B291" i="34"/>
  <c r="J290" i="34"/>
  <c r="I290" i="34"/>
  <c r="H290" i="34"/>
  <c r="G290" i="34"/>
  <c r="F290" i="34"/>
  <c r="E290" i="34"/>
  <c r="D290" i="34"/>
  <c r="C290" i="34"/>
  <c r="B290" i="34"/>
  <c r="J289" i="34"/>
  <c r="I289" i="34"/>
  <c r="H289" i="34"/>
  <c r="G289" i="34"/>
  <c r="F289" i="34"/>
  <c r="E289" i="34"/>
  <c r="D289" i="34"/>
  <c r="C289" i="34"/>
  <c r="B289" i="34"/>
  <c r="J288" i="34"/>
  <c r="I288" i="34"/>
  <c r="H288" i="34"/>
  <c r="G288" i="34"/>
  <c r="F288" i="34"/>
  <c r="E288" i="34"/>
  <c r="D288" i="34"/>
  <c r="C288" i="34"/>
  <c r="B288" i="34"/>
  <c r="J287" i="34"/>
  <c r="I287" i="34"/>
  <c r="H287" i="34"/>
  <c r="G287" i="34"/>
  <c r="F287" i="34"/>
  <c r="E287" i="34"/>
  <c r="D287" i="34"/>
  <c r="C287" i="34"/>
  <c r="B287" i="34"/>
  <c r="J286" i="34"/>
  <c r="I286" i="34"/>
  <c r="H286" i="34"/>
  <c r="G286" i="34"/>
  <c r="F286" i="34"/>
  <c r="E286" i="34"/>
  <c r="D286" i="34"/>
  <c r="C286" i="34"/>
  <c r="B286" i="34"/>
  <c r="J285" i="34"/>
  <c r="I285" i="34"/>
  <c r="H285" i="34"/>
  <c r="G285" i="34"/>
  <c r="F285" i="34"/>
  <c r="E285" i="34"/>
  <c r="D285" i="34"/>
  <c r="C285" i="34"/>
  <c r="B285" i="34"/>
  <c r="J284" i="34"/>
  <c r="I284" i="34"/>
  <c r="H284" i="34"/>
  <c r="G284" i="34"/>
  <c r="F284" i="34"/>
  <c r="E284" i="34"/>
  <c r="D284" i="34"/>
  <c r="C284" i="34"/>
  <c r="B284" i="34"/>
  <c r="J283" i="34"/>
  <c r="I283" i="34"/>
  <c r="H283" i="34"/>
  <c r="G283" i="34"/>
  <c r="F283" i="34"/>
  <c r="E283" i="34"/>
  <c r="D283" i="34"/>
  <c r="C283" i="34"/>
  <c r="B283" i="34"/>
  <c r="J282" i="34"/>
  <c r="I282" i="34"/>
  <c r="H282" i="34"/>
  <c r="G282" i="34"/>
  <c r="F282" i="34"/>
  <c r="E282" i="34"/>
  <c r="D282" i="34"/>
  <c r="C282" i="34"/>
  <c r="B282" i="34"/>
  <c r="J281" i="34"/>
  <c r="I281" i="34"/>
  <c r="H281" i="34"/>
  <c r="G281" i="34"/>
  <c r="F281" i="34"/>
  <c r="E281" i="34"/>
  <c r="D281" i="34"/>
  <c r="C281" i="34"/>
  <c r="B281" i="34"/>
  <c r="J280" i="34"/>
  <c r="I280" i="34"/>
  <c r="H280" i="34"/>
  <c r="G280" i="34"/>
  <c r="F280" i="34"/>
  <c r="E280" i="34"/>
  <c r="D280" i="34"/>
  <c r="C280" i="34"/>
  <c r="B280" i="34"/>
  <c r="J279" i="34"/>
  <c r="I279" i="34"/>
  <c r="H279" i="34"/>
  <c r="G279" i="34"/>
  <c r="F279" i="34"/>
  <c r="E279" i="34"/>
  <c r="D279" i="34"/>
  <c r="C279" i="34"/>
  <c r="B279" i="34"/>
  <c r="J278" i="34"/>
  <c r="I278" i="34"/>
  <c r="H278" i="34"/>
  <c r="G278" i="34"/>
  <c r="F278" i="34"/>
  <c r="E278" i="34"/>
  <c r="D278" i="34"/>
  <c r="C278" i="34"/>
  <c r="B278" i="34"/>
  <c r="J277" i="34"/>
  <c r="I277" i="34"/>
  <c r="H277" i="34"/>
  <c r="G277" i="34"/>
  <c r="F277" i="34"/>
  <c r="E277" i="34"/>
  <c r="D277" i="34"/>
  <c r="C277" i="34"/>
  <c r="B277" i="34"/>
  <c r="J276" i="34"/>
  <c r="I276" i="34"/>
  <c r="H276" i="34"/>
  <c r="G276" i="34"/>
  <c r="F276" i="34"/>
  <c r="E276" i="34"/>
  <c r="D276" i="34"/>
  <c r="C276" i="34"/>
  <c r="B276" i="34"/>
  <c r="J275" i="34"/>
  <c r="I275" i="34"/>
  <c r="H275" i="34"/>
  <c r="G275" i="34"/>
  <c r="F275" i="34"/>
  <c r="E275" i="34"/>
  <c r="D275" i="34"/>
  <c r="C275" i="34"/>
  <c r="B275" i="34"/>
  <c r="J274" i="34"/>
  <c r="I274" i="34"/>
  <c r="H274" i="34"/>
  <c r="G274" i="34"/>
  <c r="F274" i="34"/>
  <c r="E274" i="34"/>
  <c r="D274" i="34"/>
  <c r="C274" i="34"/>
  <c r="B274" i="34"/>
  <c r="J273" i="34"/>
  <c r="I273" i="34"/>
  <c r="H273" i="34"/>
  <c r="G273" i="34"/>
  <c r="F273" i="34"/>
  <c r="E273" i="34"/>
  <c r="D273" i="34"/>
  <c r="C273" i="34"/>
  <c r="B273" i="34"/>
  <c r="J272" i="34"/>
  <c r="I272" i="34"/>
  <c r="H272" i="34"/>
  <c r="G272" i="34"/>
  <c r="F272" i="34"/>
  <c r="E272" i="34"/>
  <c r="D272" i="34"/>
  <c r="C272" i="34"/>
  <c r="B272" i="34"/>
  <c r="J271" i="34"/>
  <c r="I271" i="34"/>
  <c r="H271" i="34"/>
  <c r="G271" i="34"/>
  <c r="F271" i="34"/>
  <c r="E271" i="34"/>
  <c r="D271" i="34"/>
  <c r="C271" i="34"/>
  <c r="B271" i="34"/>
  <c r="J270" i="34"/>
  <c r="I270" i="34"/>
  <c r="H270" i="34"/>
  <c r="G270" i="34"/>
  <c r="F270" i="34"/>
  <c r="E270" i="34"/>
  <c r="D270" i="34"/>
  <c r="C270" i="34"/>
  <c r="B270" i="34"/>
  <c r="J269" i="34"/>
  <c r="I269" i="34"/>
  <c r="H269" i="34"/>
  <c r="G269" i="34"/>
  <c r="F269" i="34"/>
  <c r="E269" i="34"/>
  <c r="D269" i="34"/>
  <c r="C269" i="34"/>
  <c r="B269" i="34"/>
  <c r="J268" i="34"/>
  <c r="I268" i="34"/>
  <c r="H268" i="34"/>
  <c r="G268" i="34"/>
  <c r="F268" i="34"/>
  <c r="E268" i="34"/>
  <c r="D268" i="34"/>
  <c r="C268" i="34"/>
  <c r="B268" i="34"/>
  <c r="J267" i="34"/>
  <c r="I267" i="34"/>
  <c r="H267" i="34"/>
  <c r="G267" i="34"/>
  <c r="F267" i="34"/>
  <c r="E267" i="34"/>
  <c r="D267" i="34"/>
  <c r="C267" i="34"/>
  <c r="B267" i="34"/>
  <c r="J266" i="34"/>
  <c r="I266" i="34"/>
  <c r="H266" i="34"/>
  <c r="G266" i="34"/>
  <c r="F266" i="34"/>
  <c r="E266" i="34"/>
  <c r="D266" i="34"/>
  <c r="C266" i="34"/>
  <c r="B266" i="34"/>
  <c r="J265" i="34"/>
  <c r="I265" i="34"/>
  <c r="H265" i="34"/>
  <c r="G265" i="34"/>
  <c r="F265" i="34"/>
  <c r="E265" i="34"/>
  <c r="D265" i="34"/>
  <c r="C265" i="34"/>
  <c r="B265" i="34"/>
  <c r="J264" i="34"/>
  <c r="I264" i="34"/>
  <c r="H264" i="34"/>
  <c r="G264" i="34"/>
  <c r="F264" i="34"/>
  <c r="E264" i="34"/>
  <c r="D264" i="34"/>
  <c r="C264" i="34"/>
  <c r="B264" i="34"/>
  <c r="J263" i="34"/>
  <c r="I263" i="34"/>
  <c r="H263" i="34"/>
  <c r="G263" i="34"/>
  <c r="F263" i="34"/>
  <c r="E263" i="34"/>
  <c r="D263" i="34"/>
  <c r="C263" i="34"/>
  <c r="B263" i="34"/>
  <c r="J262" i="34"/>
  <c r="I262" i="34"/>
  <c r="H262" i="34"/>
  <c r="G262" i="34"/>
  <c r="F262" i="34"/>
  <c r="E262" i="34"/>
  <c r="D262" i="34"/>
  <c r="C262" i="34"/>
  <c r="B262" i="34"/>
  <c r="J261" i="34"/>
  <c r="I261" i="34"/>
  <c r="H261" i="34"/>
  <c r="G261" i="34"/>
  <c r="F261" i="34"/>
  <c r="E261" i="34"/>
  <c r="D261" i="34"/>
  <c r="C261" i="34"/>
  <c r="B261" i="34"/>
  <c r="J260" i="34"/>
  <c r="I260" i="34"/>
  <c r="H260" i="34"/>
  <c r="G260" i="34"/>
  <c r="F260" i="34"/>
  <c r="E260" i="34"/>
  <c r="D260" i="34"/>
  <c r="C260" i="34"/>
  <c r="B260" i="34"/>
  <c r="J259" i="34"/>
  <c r="I259" i="34"/>
  <c r="H259" i="34"/>
  <c r="G259" i="34"/>
  <c r="F259" i="34"/>
  <c r="E259" i="34"/>
  <c r="D259" i="34"/>
  <c r="C259" i="34"/>
  <c r="B259" i="34"/>
  <c r="J258" i="34"/>
  <c r="I258" i="34"/>
  <c r="H258" i="34"/>
  <c r="G258" i="34"/>
  <c r="F258" i="34"/>
  <c r="E258" i="34"/>
  <c r="D258" i="34"/>
  <c r="C258" i="34"/>
  <c r="B258" i="34"/>
  <c r="J257" i="34"/>
  <c r="I257" i="34"/>
  <c r="H257" i="34"/>
  <c r="G257" i="34"/>
  <c r="F257" i="34"/>
  <c r="E257" i="34"/>
  <c r="D257" i="34"/>
  <c r="C257" i="34"/>
  <c r="B257" i="34"/>
  <c r="J256" i="34"/>
  <c r="I256" i="34"/>
  <c r="H256" i="34"/>
  <c r="G256" i="34"/>
  <c r="F256" i="34"/>
  <c r="E256" i="34"/>
  <c r="D256" i="34"/>
  <c r="C256" i="34"/>
  <c r="B256" i="34"/>
  <c r="J255" i="34"/>
  <c r="I255" i="34"/>
  <c r="H255" i="34"/>
  <c r="G255" i="34"/>
  <c r="F255" i="34"/>
  <c r="E255" i="34"/>
  <c r="D255" i="34"/>
  <c r="C255" i="34"/>
  <c r="B255" i="34"/>
  <c r="J254" i="34"/>
  <c r="I254" i="34"/>
  <c r="H254" i="34"/>
  <c r="G254" i="34"/>
  <c r="F254" i="34"/>
  <c r="E254" i="34"/>
  <c r="D254" i="34"/>
  <c r="C254" i="34"/>
  <c r="B254" i="34"/>
  <c r="J253" i="34"/>
  <c r="I253" i="34"/>
  <c r="H253" i="34"/>
  <c r="G253" i="34"/>
  <c r="F253" i="34"/>
  <c r="E253" i="34"/>
  <c r="D253" i="34"/>
  <c r="C253" i="34"/>
  <c r="B253" i="34"/>
  <c r="J252" i="34"/>
  <c r="I252" i="34"/>
  <c r="H252" i="34"/>
  <c r="G252" i="34"/>
  <c r="F252" i="34"/>
  <c r="E252" i="34"/>
  <c r="D252" i="34"/>
  <c r="C252" i="34"/>
  <c r="B252" i="34"/>
  <c r="J251" i="34"/>
  <c r="I251" i="34"/>
  <c r="H251" i="34"/>
  <c r="G251" i="34"/>
  <c r="F251" i="34"/>
  <c r="E251" i="34"/>
  <c r="D251" i="34"/>
  <c r="C251" i="34"/>
  <c r="B251" i="34"/>
  <c r="J250" i="34"/>
  <c r="I250" i="34"/>
  <c r="H250" i="34"/>
  <c r="G250" i="34"/>
  <c r="F250" i="34"/>
  <c r="E250" i="34"/>
  <c r="D250" i="34"/>
  <c r="C250" i="34"/>
  <c r="B250" i="34"/>
  <c r="J249" i="34"/>
  <c r="I249" i="34"/>
  <c r="H249" i="34"/>
  <c r="G249" i="34"/>
  <c r="F249" i="34"/>
  <c r="E249" i="34"/>
  <c r="D249" i="34"/>
  <c r="C249" i="34"/>
  <c r="B249" i="34"/>
  <c r="J248" i="34"/>
  <c r="I248" i="34"/>
  <c r="H248" i="34"/>
  <c r="G248" i="34"/>
  <c r="F248" i="34"/>
  <c r="E248" i="34"/>
  <c r="D248" i="34"/>
  <c r="C248" i="34"/>
  <c r="B248" i="34"/>
  <c r="J247" i="34"/>
  <c r="I247" i="34"/>
  <c r="H247" i="34"/>
  <c r="G247" i="34"/>
  <c r="F247" i="34"/>
  <c r="E247" i="34"/>
  <c r="D247" i="34"/>
  <c r="C247" i="34"/>
  <c r="B247" i="34"/>
  <c r="J246" i="34"/>
  <c r="I246" i="34"/>
  <c r="H246" i="34"/>
  <c r="G246" i="34"/>
  <c r="F246" i="34"/>
  <c r="E246" i="34"/>
  <c r="D246" i="34"/>
  <c r="C246" i="34"/>
  <c r="B246" i="34"/>
  <c r="J245" i="34"/>
  <c r="I245" i="34"/>
  <c r="H245" i="34"/>
  <c r="G245" i="34"/>
  <c r="F245" i="34"/>
  <c r="E245" i="34"/>
  <c r="D245" i="34"/>
  <c r="C245" i="34"/>
  <c r="B245" i="34"/>
  <c r="J244" i="34"/>
  <c r="I244" i="34"/>
  <c r="H244" i="34"/>
  <c r="G244" i="34"/>
  <c r="F244" i="34"/>
  <c r="E244" i="34"/>
  <c r="D244" i="34"/>
  <c r="C244" i="34"/>
  <c r="B244" i="34"/>
  <c r="J243" i="34"/>
  <c r="I243" i="34"/>
  <c r="H243" i="34"/>
  <c r="G243" i="34"/>
  <c r="F243" i="34"/>
  <c r="E243" i="34"/>
  <c r="D243" i="34"/>
  <c r="C243" i="34"/>
  <c r="B243" i="34"/>
  <c r="J242" i="34"/>
  <c r="I242" i="34"/>
  <c r="H242" i="34"/>
  <c r="G242" i="34"/>
  <c r="F242" i="34"/>
  <c r="E242" i="34"/>
  <c r="D242" i="34"/>
  <c r="C242" i="34"/>
  <c r="B242" i="34"/>
  <c r="J241" i="34"/>
  <c r="I241" i="34"/>
  <c r="H241" i="34"/>
  <c r="G241" i="34"/>
  <c r="F241" i="34"/>
  <c r="E241" i="34"/>
  <c r="D241" i="34"/>
  <c r="C241" i="34"/>
  <c r="B241" i="34"/>
  <c r="J240" i="34"/>
  <c r="I240" i="34"/>
  <c r="H240" i="34"/>
  <c r="G240" i="34"/>
  <c r="F240" i="34"/>
  <c r="E240" i="34"/>
  <c r="D240" i="34"/>
  <c r="C240" i="34"/>
  <c r="B240" i="34"/>
  <c r="J239" i="34"/>
  <c r="I239" i="34"/>
  <c r="H239" i="34"/>
  <c r="G239" i="34"/>
  <c r="F239" i="34"/>
  <c r="E239" i="34"/>
  <c r="D239" i="34"/>
  <c r="C239" i="34"/>
  <c r="B239" i="34"/>
  <c r="J238" i="34"/>
  <c r="I238" i="34"/>
  <c r="H238" i="34"/>
  <c r="G238" i="34"/>
  <c r="F238" i="34"/>
  <c r="E238" i="34"/>
  <c r="D238" i="34"/>
  <c r="C238" i="34"/>
  <c r="B238" i="34"/>
  <c r="J237" i="34"/>
  <c r="I237" i="34"/>
  <c r="H237" i="34"/>
  <c r="G237" i="34"/>
  <c r="F237" i="34"/>
  <c r="E237" i="34"/>
  <c r="D237" i="34"/>
  <c r="C237" i="34"/>
  <c r="B237" i="34"/>
  <c r="J236" i="34"/>
  <c r="I236" i="34"/>
  <c r="H236" i="34"/>
  <c r="G236" i="34"/>
  <c r="F236" i="34"/>
  <c r="E236" i="34"/>
  <c r="D236" i="34"/>
  <c r="C236" i="34"/>
  <c r="B236" i="34"/>
  <c r="J235" i="34"/>
  <c r="I235" i="34"/>
  <c r="H235" i="34"/>
  <c r="G235" i="34"/>
  <c r="F235" i="34"/>
  <c r="E235" i="34"/>
  <c r="D235" i="34"/>
  <c r="C235" i="34"/>
  <c r="B235" i="34"/>
  <c r="J234" i="34"/>
  <c r="I234" i="34"/>
  <c r="H234" i="34"/>
  <c r="G234" i="34"/>
  <c r="F234" i="34"/>
  <c r="E234" i="34"/>
  <c r="D234" i="34"/>
  <c r="C234" i="34"/>
  <c r="B234" i="34"/>
  <c r="J233" i="34"/>
  <c r="I233" i="34"/>
  <c r="H233" i="34"/>
  <c r="G233" i="34"/>
  <c r="F233" i="34"/>
  <c r="E233" i="34"/>
  <c r="D233" i="34"/>
  <c r="C233" i="34"/>
  <c r="B233" i="34"/>
  <c r="J232" i="34"/>
  <c r="I232" i="34"/>
  <c r="H232" i="34"/>
  <c r="G232" i="34"/>
  <c r="F232" i="34"/>
  <c r="E232" i="34"/>
  <c r="D232" i="34"/>
  <c r="C232" i="34"/>
  <c r="B232" i="34"/>
  <c r="J231" i="34"/>
  <c r="I231" i="34"/>
  <c r="H231" i="34"/>
  <c r="G231" i="34"/>
  <c r="F231" i="34"/>
  <c r="E231" i="34"/>
  <c r="D231" i="34"/>
  <c r="C231" i="34"/>
  <c r="B231" i="34"/>
  <c r="J230" i="34"/>
  <c r="I230" i="34"/>
  <c r="H230" i="34"/>
  <c r="G230" i="34"/>
  <c r="F230" i="34"/>
  <c r="E230" i="34"/>
  <c r="D230" i="34"/>
  <c r="C230" i="34"/>
  <c r="B230" i="34"/>
  <c r="J229" i="34"/>
  <c r="I229" i="34"/>
  <c r="H229" i="34"/>
  <c r="G229" i="34"/>
  <c r="F229" i="34"/>
  <c r="E229" i="34"/>
  <c r="D229" i="34"/>
  <c r="C229" i="34"/>
  <c r="B229" i="34"/>
  <c r="J228" i="34"/>
  <c r="I228" i="34"/>
  <c r="H228" i="34"/>
  <c r="G228" i="34"/>
  <c r="F228" i="34"/>
  <c r="E228" i="34"/>
  <c r="D228" i="34"/>
  <c r="C228" i="34"/>
  <c r="B228" i="34"/>
  <c r="J227" i="34"/>
  <c r="I227" i="34"/>
  <c r="H227" i="34"/>
  <c r="G227" i="34"/>
  <c r="F227" i="34"/>
  <c r="E227" i="34"/>
  <c r="D227" i="34"/>
  <c r="C227" i="34"/>
  <c r="B227" i="34"/>
  <c r="J226" i="34"/>
  <c r="I226" i="34"/>
  <c r="H226" i="34"/>
  <c r="G226" i="34"/>
  <c r="F226" i="34"/>
  <c r="E226" i="34"/>
  <c r="D226" i="34"/>
  <c r="C226" i="34"/>
  <c r="B226" i="34"/>
  <c r="J225" i="34"/>
  <c r="I225" i="34"/>
  <c r="H225" i="34"/>
  <c r="G225" i="34"/>
  <c r="F225" i="34"/>
  <c r="E225" i="34"/>
  <c r="D225" i="34"/>
  <c r="C225" i="34"/>
  <c r="B225" i="34"/>
  <c r="J224" i="34"/>
  <c r="I224" i="34"/>
  <c r="H224" i="34"/>
  <c r="G224" i="34"/>
  <c r="F224" i="34"/>
  <c r="E224" i="34"/>
  <c r="D224" i="34"/>
  <c r="C224" i="34"/>
  <c r="B224" i="34"/>
  <c r="J223" i="34"/>
  <c r="I223" i="34"/>
  <c r="H223" i="34"/>
  <c r="G223" i="34"/>
  <c r="F223" i="34"/>
  <c r="E223" i="34"/>
  <c r="D223" i="34"/>
  <c r="C223" i="34"/>
  <c r="B223" i="34"/>
  <c r="J222" i="34"/>
  <c r="I222" i="34"/>
  <c r="H222" i="34"/>
  <c r="G222" i="34"/>
  <c r="F222" i="34"/>
  <c r="E222" i="34"/>
  <c r="D222" i="34"/>
  <c r="C222" i="34"/>
  <c r="B222" i="34"/>
  <c r="J221" i="34"/>
  <c r="I221" i="34"/>
  <c r="H221" i="34"/>
  <c r="G221" i="34"/>
  <c r="F221" i="34"/>
  <c r="E221" i="34"/>
  <c r="D221" i="34"/>
  <c r="C221" i="34"/>
  <c r="B221" i="34"/>
  <c r="J220" i="34"/>
  <c r="I220" i="34"/>
  <c r="H220" i="34"/>
  <c r="G220" i="34"/>
  <c r="F220" i="34"/>
  <c r="E220" i="34"/>
  <c r="D220" i="34"/>
  <c r="C220" i="34"/>
  <c r="B220" i="34"/>
  <c r="J219" i="34"/>
  <c r="I219" i="34"/>
  <c r="H219" i="34"/>
  <c r="G219" i="34"/>
  <c r="F219" i="34"/>
  <c r="E219" i="34"/>
  <c r="D219" i="34"/>
  <c r="C219" i="34"/>
  <c r="B219" i="34"/>
  <c r="J218" i="34"/>
  <c r="I218" i="34"/>
  <c r="H218" i="34"/>
  <c r="G218" i="34"/>
  <c r="F218" i="34"/>
  <c r="E218" i="34"/>
  <c r="D218" i="34"/>
  <c r="C218" i="34"/>
  <c r="B218" i="34"/>
  <c r="J217" i="34"/>
  <c r="I217" i="34"/>
  <c r="H217" i="34"/>
  <c r="G217" i="34"/>
  <c r="F217" i="34"/>
  <c r="E217" i="34"/>
  <c r="D217" i="34"/>
  <c r="C217" i="34"/>
  <c r="B217" i="34"/>
  <c r="J216" i="34"/>
  <c r="I216" i="34"/>
  <c r="H216" i="34"/>
  <c r="G216" i="34"/>
  <c r="F216" i="34"/>
  <c r="E216" i="34"/>
  <c r="D216" i="34"/>
  <c r="C216" i="34"/>
  <c r="B216" i="34"/>
  <c r="J215" i="34"/>
  <c r="I215" i="34"/>
  <c r="H215" i="34"/>
  <c r="G215" i="34"/>
  <c r="F215" i="34"/>
  <c r="E215" i="34"/>
  <c r="D215" i="34"/>
  <c r="C215" i="34"/>
  <c r="B215" i="34"/>
  <c r="J214" i="34"/>
  <c r="I214" i="34"/>
  <c r="H214" i="34"/>
  <c r="G214" i="34"/>
  <c r="F214" i="34"/>
  <c r="E214" i="34"/>
  <c r="D214" i="34"/>
  <c r="C214" i="34"/>
  <c r="B214" i="34"/>
  <c r="J213" i="34"/>
  <c r="I213" i="34"/>
  <c r="H213" i="34"/>
  <c r="G213" i="34"/>
  <c r="F213" i="34"/>
  <c r="E213" i="34"/>
  <c r="D213" i="34"/>
  <c r="C213" i="34"/>
  <c r="B213" i="34"/>
  <c r="J212" i="34"/>
  <c r="I212" i="34"/>
  <c r="H212" i="34"/>
  <c r="G212" i="34"/>
  <c r="F212" i="34"/>
  <c r="E212" i="34"/>
  <c r="D212" i="34"/>
  <c r="C212" i="34"/>
  <c r="B212" i="34"/>
  <c r="J211" i="34"/>
  <c r="I211" i="34"/>
  <c r="H211" i="34"/>
  <c r="G211" i="34"/>
  <c r="F211" i="34"/>
  <c r="E211" i="34"/>
  <c r="D211" i="34"/>
  <c r="C211" i="34"/>
  <c r="B211" i="34"/>
  <c r="J210" i="34"/>
  <c r="I210" i="34"/>
  <c r="H210" i="34"/>
  <c r="G210" i="34"/>
  <c r="F210" i="34"/>
  <c r="E210" i="34"/>
  <c r="D210" i="34"/>
  <c r="C210" i="34"/>
  <c r="B210" i="34"/>
  <c r="J209" i="34"/>
  <c r="I209" i="34"/>
  <c r="H209" i="34"/>
  <c r="G209" i="34"/>
  <c r="F209" i="34"/>
  <c r="E209" i="34"/>
  <c r="D209" i="34"/>
  <c r="C209" i="34"/>
  <c r="B209" i="34"/>
  <c r="J208" i="34"/>
  <c r="I208" i="34"/>
  <c r="H208" i="34"/>
  <c r="G208" i="34"/>
  <c r="F208" i="34"/>
  <c r="E208" i="34"/>
  <c r="D208" i="34"/>
  <c r="C208" i="34"/>
  <c r="B208" i="34"/>
  <c r="J207" i="34"/>
  <c r="I207" i="34"/>
  <c r="H207" i="34"/>
  <c r="G207" i="34"/>
  <c r="F207" i="34"/>
  <c r="E207" i="34"/>
  <c r="D207" i="34"/>
  <c r="C207" i="34"/>
  <c r="B207" i="34"/>
  <c r="J206" i="34"/>
  <c r="I206" i="34"/>
  <c r="H206" i="34"/>
  <c r="G206" i="34"/>
  <c r="F206" i="34"/>
  <c r="E206" i="34"/>
  <c r="D206" i="34"/>
  <c r="C206" i="34"/>
  <c r="B206" i="34"/>
  <c r="J205" i="34"/>
  <c r="I205" i="34"/>
  <c r="H205" i="34"/>
  <c r="G205" i="34"/>
  <c r="F205" i="34"/>
  <c r="E205" i="34"/>
  <c r="D205" i="34"/>
  <c r="C205" i="34"/>
  <c r="B205" i="34"/>
  <c r="J204" i="34"/>
  <c r="I204" i="34"/>
  <c r="H204" i="34"/>
  <c r="G204" i="34"/>
  <c r="F204" i="34"/>
  <c r="E204" i="34"/>
  <c r="D204" i="34"/>
  <c r="C204" i="34"/>
  <c r="B204" i="34"/>
  <c r="J203" i="34"/>
  <c r="I203" i="34"/>
  <c r="H203" i="34"/>
  <c r="G203" i="34"/>
  <c r="F203" i="34"/>
  <c r="E203" i="34"/>
  <c r="D203" i="34"/>
  <c r="C203" i="34"/>
  <c r="B203" i="34"/>
  <c r="J202" i="34"/>
  <c r="I202" i="34"/>
  <c r="H202" i="34"/>
  <c r="G202" i="34"/>
  <c r="F202" i="34"/>
  <c r="E202" i="34"/>
  <c r="D202" i="34"/>
  <c r="C202" i="34"/>
  <c r="B202" i="34"/>
  <c r="J201" i="34"/>
  <c r="I201" i="34"/>
  <c r="H201" i="34"/>
  <c r="G201" i="34"/>
  <c r="F201" i="34"/>
  <c r="E201" i="34"/>
  <c r="D201" i="34"/>
  <c r="C201" i="34"/>
  <c r="B201" i="34"/>
  <c r="J200" i="34"/>
  <c r="I200" i="34"/>
  <c r="H200" i="34"/>
  <c r="G200" i="34"/>
  <c r="F200" i="34"/>
  <c r="E200" i="34"/>
  <c r="D200" i="34"/>
  <c r="C200" i="34"/>
  <c r="B200" i="34"/>
  <c r="J199" i="34"/>
  <c r="I199" i="34"/>
  <c r="H199" i="34"/>
  <c r="G199" i="34"/>
  <c r="F199" i="34"/>
  <c r="E199" i="34"/>
  <c r="D199" i="34"/>
  <c r="C199" i="34"/>
  <c r="B199" i="34"/>
  <c r="J198" i="34"/>
  <c r="I198" i="34"/>
  <c r="H198" i="34"/>
  <c r="G198" i="34"/>
  <c r="F198" i="34"/>
  <c r="E198" i="34"/>
  <c r="D198" i="34"/>
  <c r="C198" i="34"/>
  <c r="B198" i="34"/>
  <c r="J197" i="34"/>
  <c r="I197" i="34"/>
  <c r="H197" i="34"/>
  <c r="G197" i="34"/>
  <c r="F197" i="34"/>
  <c r="E197" i="34"/>
  <c r="D197" i="34"/>
  <c r="C197" i="34"/>
  <c r="B197" i="34"/>
  <c r="J196" i="34"/>
  <c r="I196" i="34"/>
  <c r="H196" i="34"/>
  <c r="G196" i="34"/>
  <c r="F196" i="34"/>
  <c r="E196" i="34"/>
  <c r="D196" i="34"/>
  <c r="C196" i="34"/>
  <c r="B196" i="34"/>
  <c r="J195" i="34"/>
  <c r="I195" i="34"/>
  <c r="H195" i="34"/>
  <c r="G195" i="34"/>
  <c r="F195" i="34"/>
  <c r="E195" i="34"/>
  <c r="D195" i="34"/>
  <c r="C195" i="34"/>
  <c r="B195" i="34"/>
  <c r="J194" i="34"/>
  <c r="I194" i="34"/>
  <c r="H194" i="34"/>
  <c r="G194" i="34"/>
  <c r="F194" i="34"/>
  <c r="E194" i="34"/>
  <c r="D194" i="34"/>
  <c r="C194" i="34"/>
  <c r="B194" i="34"/>
  <c r="J193" i="34"/>
  <c r="I193" i="34"/>
  <c r="H193" i="34"/>
  <c r="G193" i="34"/>
  <c r="F193" i="34"/>
  <c r="E193" i="34"/>
  <c r="D193" i="34"/>
  <c r="C193" i="34"/>
  <c r="B193" i="34"/>
  <c r="J192" i="34"/>
  <c r="I192" i="34"/>
  <c r="H192" i="34"/>
  <c r="G192" i="34"/>
  <c r="F192" i="34"/>
  <c r="E192" i="34"/>
  <c r="D192" i="34"/>
  <c r="C192" i="34"/>
  <c r="B192" i="34"/>
  <c r="J191" i="34"/>
  <c r="I191" i="34"/>
  <c r="H191" i="34"/>
  <c r="G191" i="34"/>
  <c r="F191" i="34"/>
  <c r="E191" i="34"/>
  <c r="D191" i="34"/>
  <c r="C191" i="34"/>
  <c r="B191" i="34"/>
  <c r="J190" i="34"/>
  <c r="I190" i="34"/>
  <c r="H190" i="34"/>
  <c r="G190" i="34"/>
  <c r="F190" i="34"/>
  <c r="E190" i="34"/>
  <c r="D190" i="34"/>
  <c r="C190" i="34"/>
  <c r="B190" i="34"/>
  <c r="J189" i="34"/>
  <c r="I189" i="34"/>
  <c r="H189" i="34"/>
  <c r="G189" i="34"/>
  <c r="F189" i="34"/>
  <c r="E189" i="34"/>
  <c r="D189" i="34"/>
  <c r="C189" i="34"/>
  <c r="B189" i="34"/>
  <c r="J188" i="34"/>
  <c r="I188" i="34"/>
  <c r="H188" i="34"/>
  <c r="G188" i="34"/>
  <c r="F188" i="34"/>
  <c r="E188" i="34"/>
  <c r="D188" i="34"/>
  <c r="C188" i="34"/>
  <c r="B188" i="34"/>
  <c r="J187" i="34"/>
  <c r="I187" i="34"/>
  <c r="H187" i="34"/>
  <c r="G187" i="34"/>
  <c r="F187" i="34"/>
  <c r="E187" i="34"/>
  <c r="D187" i="34"/>
  <c r="C187" i="34"/>
  <c r="B187" i="34"/>
  <c r="J186" i="34"/>
  <c r="I186" i="34"/>
  <c r="H186" i="34"/>
  <c r="G186" i="34"/>
  <c r="F186" i="34"/>
  <c r="E186" i="34"/>
  <c r="D186" i="34"/>
  <c r="C186" i="34"/>
  <c r="B186" i="34"/>
  <c r="J185" i="34"/>
  <c r="I185" i="34"/>
  <c r="H185" i="34"/>
  <c r="G185" i="34"/>
  <c r="F185" i="34"/>
  <c r="E185" i="34"/>
  <c r="D185" i="34"/>
  <c r="C185" i="34"/>
  <c r="B185" i="34"/>
  <c r="J184" i="34"/>
  <c r="I184" i="34"/>
  <c r="H184" i="34"/>
  <c r="G184" i="34"/>
  <c r="F184" i="34"/>
  <c r="E184" i="34"/>
  <c r="D184" i="34"/>
  <c r="C184" i="34"/>
  <c r="B184" i="34"/>
  <c r="J183" i="34"/>
  <c r="I183" i="34"/>
  <c r="H183" i="34"/>
  <c r="G183" i="34"/>
  <c r="F183" i="34"/>
  <c r="E183" i="34"/>
  <c r="D183" i="34"/>
  <c r="C183" i="34"/>
  <c r="B183" i="34"/>
  <c r="J182" i="34"/>
  <c r="I182" i="34"/>
  <c r="H182" i="34"/>
  <c r="G182" i="34"/>
  <c r="F182" i="34"/>
  <c r="E182" i="34"/>
  <c r="D182" i="34"/>
  <c r="C182" i="34"/>
  <c r="B182" i="34"/>
  <c r="J181" i="34"/>
  <c r="I181" i="34"/>
  <c r="H181" i="34"/>
  <c r="G181" i="34"/>
  <c r="F181" i="34"/>
  <c r="E181" i="34"/>
  <c r="D181" i="34"/>
  <c r="C181" i="34"/>
  <c r="B181" i="34"/>
  <c r="J180" i="34"/>
  <c r="I180" i="34"/>
  <c r="H180" i="34"/>
  <c r="G180" i="34"/>
  <c r="F180" i="34"/>
  <c r="E180" i="34"/>
  <c r="D180" i="34"/>
  <c r="C180" i="34"/>
  <c r="B180" i="34"/>
  <c r="J179" i="34"/>
  <c r="I179" i="34"/>
  <c r="H179" i="34"/>
  <c r="G179" i="34"/>
  <c r="F179" i="34"/>
  <c r="E179" i="34"/>
  <c r="D179" i="34"/>
  <c r="C179" i="34"/>
  <c r="B179" i="34"/>
  <c r="J178" i="34"/>
  <c r="I178" i="34"/>
  <c r="H178" i="34"/>
  <c r="G178" i="34"/>
  <c r="F178" i="34"/>
  <c r="E178" i="34"/>
  <c r="D178" i="34"/>
  <c r="C178" i="34"/>
  <c r="B178" i="34"/>
  <c r="J177" i="34"/>
  <c r="I177" i="34"/>
  <c r="H177" i="34"/>
  <c r="G177" i="34"/>
  <c r="F177" i="34"/>
  <c r="E177" i="34"/>
  <c r="D177" i="34"/>
  <c r="C177" i="34"/>
  <c r="B177" i="34"/>
  <c r="J176" i="34"/>
  <c r="I176" i="34"/>
  <c r="H176" i="34"/>
  <c r="G176" i="34"/>
  <c r="F176" i="34"/>
  <c r="E176" i="34"/>
  <c r="D176" i="34"/>
  <c r="C176" i="34"/>
  <c r="B176" i="34"/>
  <c r="J175" i="34"/>
  <c r="I175" i="34"/>
  <c r="H175" i="34"/>
  <c r="G175" i="34"/>
  <c r="F175" i="34"/>
  <c r="E175" i="34"/>
  <c r="D175" i="34"/>
  <c r="C175" i="34"/>
  <c r="B175" i="34"/>
  <c r="J174" i="34"/>
  <c r="I174" i="34"/>
  <c r="H174" i="34"/>
  <c r="G174" i="34"/>
  <c r="F174" i="34"/>
  <c r="E174" i="34"/>
  <c r="D174" i="34"/>
  <c r="C174" i="34"/>
  <c r="B174" i="34"/>
  <c r="J173" i="34"/>
  <c r="I173" i="34"/>
  <c r="H173" i="34"/>
  <c r="G173" i="34"/>
  <c r="F173" i="34"/>
  <c r="E173" i="34"/>
  <c r="D173" i="34"/>
  <c r="C173" i="34"/>
  <c r="B173" i="34"/>
  <c r="J172" i="34"/>
  <c r="I172" i="34"/>
  <c r="H172" i="34"/>
  <c r="G172" i="34"/>
  <c r="F172" i="34"/>
  <c r="E172" i="34"/>
  <c r="D172" i="34"/>
  <c r="C172" i="34"/>
  <c r="B172" i="34"/>
  <c r="J171" i="34"/>
  <c r="I171" i="34"/>
  <c r="H171" i="34"/>
  <c r="G171" i="34"/>
  <c r="F171" i="34"/>
  <c r="E171" i="34"/>
  <c r="D171" i="34"/>
  <c r="C171" i="34"/>
  <c r="B171" i="34"/>
  <c r="J170" i="34"/>
  <c r="I170" i="34"/>
  <c r="H170" i="34"/>
  <c r="G170" i="34"/>
  <c r="F170" i="34"/>
  <c r="E170" i="34"/>
  <c r="D170" i="34"/>
  <c r="C170" i="34"/>
  <c r="B170" i="34"/>
  <c r="J169" i="34"/>
  <c r="I169" i="34"/>
  <c r="H169" i="34"/>
  <c r="G169" i="34"/>
  <c r="F169" i="34"/>
  <c r="E169" i="34"/>
  <c r="D169" i="34"/>
  <c r="C169" i="34"/>
  <c r="B169" i="34"/>
  <c r="J168" i="34"/>
  <c r="I168" i="34"/>
  <c r="H168" i="34"/>
  <c r="G168" i="34"/>
  <c r="F168" i="34"/>
  <c r="E168" i="34"/>
  <c r="D168" i="34"/>
  <c r="C168" i="34"/>
  <c r="B168" i="34"/>
  <c r="J167" i="34"/>
  <c r="I167" i="34"/>
  <c r="H167" i="34"/>
  <c r="G167" i="34"/>
  <c r="F167" i="34"/>
  <c r="E167" i="34"/>
  <c r="D167" i="34"/>
  <c r="C167" i="34"/>
  <c r="B167" i="34"/>
  <c r="J166" i="34"/>
  <c r="I166" i="34"/>
  <c r="H166" i="34"/>
  <c r="G166" i="34"/>
  <c r="F166" i="34"/>
  <c r="E166" i="34"/>
  <c r="D166" i="34"/>
  <c r="C166" i="34"/>
  <c r="B166" i="34"/>
  <c r="J165" i="34"/>
  <c r="I165" i="34"/>
  <c r="H165" i="34"/>
  <c r="G165" i="34"/>
  <c r="F165" i="34"/>
  <c r="E165" i="34"/>
  <c r="D165" i="34"/>
  <c r="C165" i="34"/>
  <c r="B165" i="34"/>
  <c r="J164" i="34"/>
  <c r="I164" i="34"/>
  <c r="H164" i="34"/>
  <c r="G164" i="34"/>
  <c r="F164" i="34"/>
  <c r="E164" i="34"/>
  <c r="D164" i="34"/>
  <c r="C164" i="34"/>
  <c r="B164" i="34"/>
  <c r="J163" i="34"/>
  <c r="I163" i="34"/>
  <c r="H163" i="34"/>
  <c r="G163" i="34"/>
  <c r="F163" i="34"/>
  <c r="E163" i="34"/>
  <c r="D163" i="34"/>
  <c r="C163" i="34"/>
  <c r="B163" i="34"/>
  <c r="J162" i="34"/>
  <c r="I162" i="34"/>
  <c r="H162" i="34"/>
  <c r="G162" i="34"/>
  <c r="F162" i="34"/>
  <c r="E162" i="34"/>
  <c r="D162" i="34"/>
  <c r="C162" i="34"/>
  <c r="B162" i="34"/>
  <c r="J161" i="34"/>
  <c r="I161" i="34"/>
  <c r="H161" i="34"/>
  <c r="G161" i="34"/>
  <c r="F161" i="34"/>
  <c r="E161" i="34"/>
  <c r="D161" i="34"/>
  <c r="C161" i="34"/>
  <c r="B161" i="34"/>
  <c r="J160" i="34"/>
  <c r="I160" i="34"/>
  <c r="H160" i="34"/>
  <c r="G160" i="34"/>
  <c r="F160" i="34"/>
  <c r="E160" i="34"/>
  <c r="D160" i="34"/>
  <c r="C160" i="34"/>
  <c r="B160" i="34"/>
  <c r="J159" i="34"/>
  <c r="I159" i="34"/>
  <c r="H159" i="34"/>
  <c r="G159" i="34"/>
  <c r="F159" i="34"/>
  <c r="E159" i="34"/>
  <c r="D159" i="34"/>
  <c r="C159" i="34"/>
  <c r="B159" i="34"/>
  <c r="J158" i="34"/>
  <c r="I158" i="34"/>
  <c r="H158" i="34"/>
  <c r="G158" i="34"/>
  <c r="F158" i="34"/>
  <c r="E158" i="34"/>
  <c r="D158" i="34"/>
  <c r="C158" i="34"/>
  <c r="B158" i="34"/>
  <c r="J157" i="34"/>
  <c r="I157" i="34"/>
  <c r="H157" i="34"/>
  <c r="G157" i="34"/>
  <c r="F157" i="34"/>
  <c r="E157" i="34"/>
  <c r="D157" i="34"/>
  <c r="C157" i="34"/>
  <c r="B157" i="34"/>
  <c r="J156" i="34"/>
  <c r="I156" i="34"/>
  <c r="H156" i="34"/>
  <c r="G156" i="34"/>
  <c r="F156" i="34"/>
  <c r="E156" i="34"/>
  <c r="D156" i="34"/>
  <c r="C156" i="34"/>
  <c r="B156" i="34"/>
  <c r="J155" i="34"/>
  <c r="I155" i="34"/>
  <c r="H155" i="34"/>
  <c r="G155" i="34"/>
  <c r="F155" i="34"/>
  <c r="E155" i="34"/>
  <c r="D155" i="34"/>
  <c r="C155" i="34"/>
  <c r="B155" i="34"/>
  <c r="J154" i="34"/>
  <c r="I154" i="34"/>
  <c r="H154" i="34"/>
  <c r="G154" i="34"/>
  <c r="F154" i="34"/>
  <c r="E154" i="34"/>
  <c r="D154" i="34"/>
  <c r="C154" i="34"/>
  <c r="B154" i="34"/>
  <c r="J153" i="34"/>
  <c r="I153" i="34"/>
  <c r="H153" i="34"/>
  <c r="G153" i="34"/>
  <c r="F153" i="34"/>
  <c r="E153" i="34"/>
  <c r="D153" i="34"/>
  <c r="C153" i="34"/>
  <c r="B153" i="34"/>
  <c r="J152" i="34"/>
  <c r="I152" i="34"/>
  <c r="H152" i="34"/>
  <c r="G152" i="34"/>
  <c r="F152" i="34"/>
  <c r="E152" i="34"/>
  <c r="D152" i="34"/>
  <c r="C152" i="34"/>
  <c r="B152" i="34"/>
  <c r="J151" i="34"/>
  <c r="I151" i="34"/>
  <c r="H151" i="34"/>
  <c r="G151" i="34"/>
  <c r="F151" i="34"/>
  <c r="E151" i="34"/>
  <c r="D151" i="34"/>
  <c r="C151" i="34"/>
  <c r="B151" i="34"/>
  <c r="J150" i="34"/>
  <c r="I150" i="34"/>
  <c r="H150" i="34"/>
  <c r="G150" i="34"/>
  <c r="F150" i="34"/>
  <c r="E150" i="34"/>
  <c r="D150" i="34"/>
  <c r="C150" i="34"/>
  <c r="B150" i="34"/>
  <c r="J149" i="34"/>
  <c r="I149" i="34"/>
  <c r="H149" i="34"/>
  <c r="G149" i="34"/>
  <c r="F149" i="34"/>
  <c r="E149" i="34"/>
  <c r="D149" i="34"/>
  <c r="C149" i="34"/>
  <c r="B149" i="34"/>
  <c r="J148" i="34"/>
  <c r="I148" i="34"/>
  <c r="H148" i="34"/>
  <c r="G148" i="34"/>
  <c r="F148" i="34"/>
  <c r="E148" i="34"/>
  <c r="D148" i="34"/>
  <c r="C148" i="34"/>
  <c r="B148" i="34"/>
  <c r="J147" i="34"/>
  <c r="I147" i="34"/>
  <c r="H147" i="34"/>
  <c r="G147" i="34"/>
  <c r="F147" i="34"/>
  <c r="E147" i="34"/>
  <c r="D147" i="34"/>
  <c r="C147" i="34"/>
  <c r="B147" i="34"/>
  <c r="J146" i="34"/>
  <c r="I146" i="34"/>
  <c r="H146" i="34"/>
  <c r="G146" i="34"/>
  <c r="F146" i="34"/>
  <c r="E146" i="34"/>
  <c r="D146" i="34"/>
  <c r="C146" i="34"/>
  <c r="B146" i="34"/>
  <c r="J145" i="34"/>
  <c r="I145" i="34"/>
  <c r="H145" i="34"/>
  <c r="G145" i="34"/>
  <c r="F145" i="34"/>
  <c r="E145" i="34"/>
  <c r="D145" i="34"/>
  <c r="C145" i="34"/>
  <c r="B145" i="34"/>
  <c r="J144" i="34"/>
  <c r="I144" i="34"/>
  <c r="H144" i="34"/>
  <c r="G144" i="34"/>
  <c r="F144" i="34"/>
  <c r="E144" i="34"/>
  <c r="D144" i="34"/>
  <c r="C144" i="34"/>
  <c r="B144" i="34"/>
  <c r="J143" i="34"/>
  <c r="I143" i="34"/>
  <c r="H143" i="34"/>
  <c r="G143" i="34"/>
  <c r="F143" i="34"/>
  <c r="E143" i="34"/>
  <c r="D143" i="34"/>
  <c r="C143" i="34"/>
  <c r="B143" i="34"/>
  <c r="J142" i="34"/>
  <c r="I142" i="34"/>
  <c r="H142" i="34"/>
  <c r="G142" i="34"/>
  <c r="F142" i="34"/>
  <c r="E142" i="34"/>
  <c r="D142" i="34"/>
  <c r="C142" i="34"/>
  <c r="B142" i="34"/>
  <c r="J141" i="34"/>
  <c r="I141" i="34"/>
  <c r="H141" i="34"/>
  <c r="G141" i="34"/>
  <c r="F141" i="34"/>
  <c r="E141" i="34"/>
  <c r="D141" i="34"/>
  <c r="C141" i="34"/>
  <c r="B141" i="34"/>
  <c r="J140" i="34"/>
  <c r="I140" i="34"/>
  <c r="H140" i="34"/>
  <c r="G140" i="34"/>
  <c r="F140" i="34"/>
  <c r="E140" i="34"/>
  <c r="D140" i="34"/>
  <c r="C140" i="34"/>
  <c r="B140" i="34"/>
  <c r="J139" i="34"/>
  <c r="I139" i="34"/>
  <c r="H139" i="34"/>
  <c r="G139" i="34"/>
  <c r="F139" i="34"/>
  <c r="E139" i="34"/>
  <c r="D139" i="34"/>
  <c r="C139" i="34"/>
  <c r="B139" i="34"/>
  <c r="J138" i="34"/>
  <c r="I138" i="34"/>
  <c r="H138" i="34"/>
  <c r="G138" i="34"/>
  <c r="F138" i="34"/>
  <c r="E138" i="34"/>
  <c r="D138" i="34"/>
  <c r="C138" i="34"/>
  <c r="B138" i="34"/>
  <c r="J137" i="34"/>
  <c r="I137" i="34"/>
  <c r="H137" i="34"/>
  <c r="G137" i="34"/>
  <c r="F137" i="34"/>
  <c r="E137" i="34"/>
  <c r="D137" i="34"/>
  <c r="C137" i="34"/>
  <c r="B137" i="34"/>
  <c r="J136" i="34"/>
  <c r="I136" i="34"/>
  <c r="H136" i="34"/>
  <c r="G136" i="34"/>
  <c r="F136" i="34"/>
  <c r="E136" i="34"/>
  <c r="D136" i="34"/>
  <c r="C136" i="34"/>
  <c r="B136" i="34"/>
  <c r="J135" i="34"/>
  <c r="I135" i="34"/>
  <c r="H135" i="34"/>
  <c r="G135" i="34"/>
  <c r="F135" i="34"/>
  <c r="E135" i="34"/>
  <c r="D135" i="34"/>
  <c r="C135" i="34"/>
  <c r="B135" i="34"/>
  <c r="J134" i="34"/>
  <c r="I134" i="34"/>
  <c r="H134" i="34"/>
  <c r="G134" i="34"/>
  <c r="F134" i="34"/>
  <c r="E134" i="34"/>
  <c r="D134" i="34"/>
  <c r="C134" i="34"/>
  <c r="B134" i="34"/>
  <c r="J133" i="34"/>
  <c r="I133" i="34"/>
  <c r="H133" i="34"/>
  <c r="G133" i="34"/>
  <c r="F133" i="34"/>
  <c r="E133" i="34"/>
  <c r="D133" i="34"/>
  <c r="C133" i="34"/>
  <c r="B133" i="34"/>
  <c r="J132" i="34"/>
  <c r="I132" i="34"/>
  <c r="H132" i="34"/>
  <c r="G132" i="34"/>
  <c r="F132" i="34"/>
  <c r="E132" i="34"/>
  <c r="D132" i="34"/>
  <c r="C132" i="34"/>
  <c r="B132" i="34"/>
  <c r="J131" i="34"/>
  <c r="I131" i="34"/>
  <c r="H131" i="34"/>
  <c r="G131" i="34"/>
  <c r="F131" i="34"/>
  <c r="E131" i="34"/>
  <c r="D131" i="34"/>
  <c r="C131" i="34"/>
  <c r="B131" i="34"/>
  <c r="J130" i="34"/>
  <c r="I130" i="34"/>
  <c r="H130" i="34"/>
  <c r="G130" i="34"/>
  <c r="F130" i="34"/>
  <c r="E130" i="34"/>
  <c r="D130" i="34"/>
  <c r="C130" i="34"/>
  <c r="B130" i="34"/>
  <c r="J129" i="34"/>
  <c r="I129" i="34"/>
  <c r="H129" i="34"/>
  <c r="G129" i="34"/>
  <c r="F129" i="34"/>
  <c r="E129" i="34"/>
  <c r="D129" i="34"/>
  <c r="C129" i="34"/>
  <c r="B129" i="34"/>
  <c r="J128" i="34"/>
  <c r="I128" i="34"/>
  <c r="H128" i="34"/>
  <c r="G128" i="34"/>
  <c r="F128" i="34"/>
  <c r="E128" i="34"/>
  <c r="D128" i="34"/>
  <c r="C128" i="34"/>
  <c r="B128" i="34"/>
  <c r="J127" i="34"/>
  <c r="I127" i="34"/>
  <c r="H127" i="34"/>
  <c r="G127" i="34"/>
  <c r="F127" i="34"/>
  <c r="E127" i="34"/>
  <c r="D127" i="34"/>
  <c r="C127" i="34"/>
  <c r="B127" i="34"/>
  <c r="J126" i="34"/>
  <c r="I126" i="34"/>
  <c r="H126" i="34"/>
  <c r="G126" i="34"/>
  <c r="F126" i="34"/>
  <c r="E126" i="34"/>
  <c r="D126" i="34"/>
  <c r="C126" i="34"/>
  <c r="B126" i="34"/>
  <c r="J125" i="34"/>
  <c r="I125" i="34"/>
  <c r="H125" i="34"/>
  <c r="G125" i="34"/>
  <c r="F125" i="34"/>
  <c r="E125" i="34"/>
  <c r="D125" i="34"/>
  <c r="C125" i="34"/>
  <c r="B125" i="34"/>
  <c r="J124" i="34"/>
  <c r="I124" i="34"/>
  <c r="H124" i="34"/>
  <c r="G124" i="34"/>
  <c r="F124" i="34"/>
  <c r="E124" i="34"/>
  <c r="D124" i="34"/>
  <c r="C124" i="34"/>
  <c r="B124" i="34"/>
  <c r="J123" i="34"/>
  <c r="I123" i="34"/>
  <c r="H123" i="34"/>
  <c r="G123" i="34"/>
  <c r="F123" i="34"/>
  <c r="E123" i="34"/>
  <c r="D123" i="34"/>
  <c r="C123" i="34"/>
  <c r="B123" i="34"/>
  <c r="J122" i="34"/>
  <c r="I122" i="34"/>
  <c r="H122" i="34"/>
  <c r="G122" i="34"/>
  <c r="F122" i="34"/>
  <c r="E122" i="34"/>
  <c r="D122" i="34"/>
  <c r="C122" i="34"/>
  <c r="B122" i="34"/>
  <c r="J121" i="34"/>
  <c r="I121" i="34"/>
  <c r="H121" i="34"/>
  <c r="G121" i="34"/>
  <c r="F121" i="34"/>
  <c r="E121" i="34"/>
  <c r="D121" i="34"/>
  <c r="C121" i="34"/>
  <c r="B121" i="34"/>
  <c r="J120" i="34"/>
  <c r="I120" i="34"/>
  <c r="H120" i="34"/>
  <c r="G120" i="34"/>
  <c r="F120" i="34"/>
  <c r="E120" i="34"/>
  <c r="D120" i="34"/>
  <c r="C120" i="34"/>
  <c r="B120" i="34"/>
  <c r="J119" i="34"/>
  <c r="I119" i="34"/>
  <c r="H119" i="34"/>
  <c r="G119" i="34"/>
  <c r="F119" i="34"/>
  <c r="E119" i="34"/>
  <c r="D119" i="34"/>
  <c r="C119" i="34"/>
  <c r="B119" i="34"/>
  <c r="J118" i="34"/>
  <c r="I118" i="34"/>
  <c r="H118" i="34"/>
  <c r="G118" i="34"/>
  <c r="F118" i="34"/>
  <c r="E118" i="34"/>
  <c r="D118" i="34"/>
  <c r="C118" i="34"/>
  <c r="B118" i="34"/>
  <c r="J117" i="34"/>
  <c r="I117" i="34"/>
  <c r="H117" i="34"/>
  <c r="G117" i="34"/>
  <c r="F117" i="34"/>
  <c r="E117" i="34"/>
  <c r="D117" i="34"/>
  <c r="C117" i="34"/>
  <c r="B117" i="34"/>
  <c r="J116" i="34"/>
  <c r="I116" i="34"/>
  <c r="H116" i="34"/>
  <c r="G116" i="34"/>
  <c r="F116" i="34"/>
  <c r="E116" i="34"/>
  <c r="D116" i="34"/>
  <c r="C116" i="34"/>
  <c r="B116" i="34"/>
  <c r="J115" i="34"/>
  <c r="I115" i="34"/>
  <c r="H115" i="34"/>
  <c r="G115" i="34"/>
  <c r="F115" i="34"/>
  <c r="E115" i="34"/>
  <c r="D115" i="34"/>
  <c r="C115" i="34"/>
  <c r="B115" i="34"/>
  <c r="J114" i="34"/>
  <c r="I114" i="34"/>
  <c r="H114" i="34"/>
  <c r="G114" i="34"/>
  <c r="F114" i="34"/>
  <c r="E114" i="34"/>
  <c r="D114" i="34"/>
  <c r="C114" i="34"/>
  <c r="B114" i="34"/>
  <c r="J113" i="34"/>
  <c r="I113" i="34"/>
  <c r="H113" i="34"/>
  <c r="G113" i="34"/>
  <c r="F113" i="34"/>
  <c r="E113" i="34"/>
  <c r="D113" i="34"/>
  <c r="C113" i="34"/>
  <c r="B113" i="34"/>
  <c r="J112" i="34"/>
  <c r="I112" i="34"/>
  <c r="H112" i="34"/>
  <c r="G112" i="34"/>
  <c r="F112" i="34"/>
  <c r="E112" i="34"/>
  <c r="D112" i="34"/>
  <c r="C112" i="34"/>
  <c r="B112" i="34"/>
  <c r="J111" i="34"/>
  <c r="I111" i="34"/>
  <c r="H111" i="34"/>
  <c r="G111" i="34"/>
  <c r="F111" i="34"/>
  <c r="E111" i="34"/>
  <c r="D111" i="34"/>
  <c r="C111" i="34"/>
  <c r="B111" i="34"/>
  <c r="J110" i="34"/>
  <c r="I110" i="34"/>
  <c r="H110" i="34"/>
  <c r="G110" i="34"/>
  <c r="F110" i="34"/>
  <c r="E110" i="34"/>
  <c r="D110" i="34"/>
  <c r="C110" i="34"/>
  <c r="B110" i="34"/>
  <c r="J109" i="34"/>
  <c r="I109" i="34"/>
  <c r="H109" i="34"/>
  <c r="G109" i="34"/>
  <c r="F109" i="34"/>
  <c r="E109" i="34"/>
  <c r="D109" i="34"/>
  <c r="C109" i="34"/>
  <c r="B109" i="34"/>
  <c r="J108" i="34"/>
  <c r="I108" i="34"/>
  <c r="H108" i="34"/>
  <c r="G108" i="34"/>
  <c r="F108" i="34"/>
  <c r="E108" i="34"/>
  <c r="D108" i="34"/>
  <c r="C108" i="34"/>
  <c r="B108" i="34"/>
  <c r="J107" i="34"/>
  <c r="I107" i="34"/>
  <c r="H107" i="34"/>
  <c r="G107" i="34"/>
  <c r="F107" i="34"/>
  <c r="E107" i="34"/>
  <c r="D107" i="34"/>
  <c r="C107" i="34"/>
  <c r="B107" i="34"/>
  <c r="J106" i="34"/>
  <c r="I106" i="34"/>
  <c r="H106" i="34"/>
  <c r="G106" i="34"/>
  <c r="F106" i="34"/>
  <c r="E106" i="34"/>
  <c r="D106" i="34"/>
  <c r="C106" i="34"/>
  <c r="B106" i="34"/>
  <c r="J105" i="34"/>
  <c r="I105" i="34"/>
  <c r="H105" i="34"/>
  <c r="G105" i="34"/>
  <c r="F105" i="34"/>
  <c r="E105" i="34"/>
  <c r="D105" i="34"/>
  <c r="C105" i="34"/>
  <c r="B105" i="34"/>
  <c r="J104" i="34"/>
  <c r="I104" i="34"/>
  <c r="H104" i="34"/>
  <c r="G104" i="34"/>
  <c r="F104" i="34"/>
  <c r="E104" i="34"/>
  <c r="D104" i="34"/>
  <c r="C104" i="34"/>
  <c r="B104" i="34"/>
  <c r="J103" i="34"/>
  <c r="I103" i="34"/>
  <c r="H103" i="34"/>
  <c r="G103" i="34"/>
  <c r="F103" i="34"/>
  <c r="E103" i="34"/>
  <c r="D103" i="34"/>
  <c r="C103" i="34"/>
  <c r="B103" i="34"/>
  <c r="J102" i="34"/>
  <c r="I102" i="34"/>
  <c r="H102" i="34"/>
  <c r="G102" i="34"/>
  <c r="F102" i="34"/>
  <c r="E102" i="34"/>
  <c r="D102" i="34"/>
  <c r="C102" i="34"/>
  <c r="B102" i="34"/>
  <c r="J101" i="34"/>
  <c r="I101" i="34"/>
  <c r="H101" i="34"/>
  <c r="G101" i="34"/>
  <c r="F101" i="34"/>
  <c r="E101" i="34"/>
  <c r="D101" i="34"/>
  <c r="C101" i="34"/>
  <c r="B101" i="34"/>
  <c r="J100" i="34"/>
  <c r="I100" i="34"/>
  <c r="H100" i="34"/>
  <c r="G100" i="34"/>
  <c r="F100" i="34"/>
  <c r="E100" i="34"/>
  <c r="D100" i="34"/>
  <c r="C100" i="34"/>
  <c r="B100" i="34"/>
  <c r="J99" i="34"/>
  <c r="I99" i="34"/>
  <c r="H99" i="34"/>
  <c r="G99" i="34"/>
  <c r="F99" i="34"/>
  <c r="E99" i="34"/>
  <c r="D99" i="34"/>
  <c r="C99" i="34"/>
  <c r="B99" i="34"/>
  <c r="J98" i="34"/>
  <c r="I98" i="34"/>
  <c r="H98" i="34"/>
  <c r="G98" i="34"/>
  <c r="F98" i="34"/>
  <c r="E98" i="34"/>
  <c r="D98" i="34"/>
  <c r="C98" i="34"/>
  <c r="B98" i="34"/>
  <c r="J97" i="34"/>
  <c r="I97" i="34"/>
  <c r="H97" i="34"/>
  <c r="G97" i="34"/>
  <c r="F97" i="34"/>
  <c r="E97" i="34"/>
  <c r="D97" i="34"/>
  <c r="C97" i="34"/>
  <c r="B97" i="34"/>
  <c r="J96" i="34"/>
  <c r="I96" i="34"/>
  <c r="H96" i="34"/>
  <c r="G96" i="34"/>
  <c r="F96" i="34"/>
  <c r="E96" i="34"/>
  <c r="D96" i="34"/>
  <c r="C96" i="34"/>
  <c r="B96" i="34"/>
  <c r="J95" i="34"/>
  <c r="I95" i="34"/>
  <c r="H95" i="34"/>
  <c r="G95" i="34"/>
  <c r="F95" i="34"/>
  <c r="E95" i="34"/>
  <c r="D95" i="34"/>
  <c r="C95" i="34"/>
  <c r="B95" i="34"/>
  <c r="J94" i="34"/>
  <c r="I94" i="34"/>
  <c r="H94" i="34"/>
  <c r="G94" i="34"/>
  <c r="F94" i="34"/>
  <c r="E94" i="34"/>
  <c r="D94" i="34"/>
  <c r="C94" i="34"/>
  <c r="B94" i="34"/>
  <c r="J93" i="34"/>
  <c r="I93" i="34"/>
  <c r="H93" i="34"/>
  <c r="G93" i="34"/>
  <c r="F93" i="34"/>
  <c r="E93" i="34"/>
  <c r="D93" i="34"/>
  <c r="C93" i="34"/>
  <c r="B93" i="34"/>
  <c r="J92" i="34"/>
  <c r="I92" i="34"/>
  <c r="H92" i="34"/>
  <c r="G92" i="34"/>
  <c r="F92" i="34"/>
  <c r="E92" i="34"/>
  <c r="D92" i="34"/>
  <c r="C92" i="34"/>
  <c r="B92" i="34"/>
  <c r="J91" i="34"/>
  <c r="I91" i="34"/>
  <c r="H91" i="34"/>
  <c r="G91" i="34"/>
  <c r="F91" i="34"/>
  <c r="E91" i="34"/>
  <c r="D91" i="34"/>
  <c r="C91" i="34"/>
  <c r="B91" i="34"/>
  <c r="J90" i="34"/>
  <c r="I90" i="34"/>
  <c r="H90" i="34"/>
  <c r="G90" i="34"/>
  <c r="F90" i="34"/>
  <c r="E90" i="34"/>
  <c r="D90" i="34"/>
  <c r="C90" i="34"/>
  <c r="B90" i="34"/>
  <c r="J89" i="34"/>
  <c r="I89" i="34"/>
  <c r="H89" i="34"/>
  <c r="G89" i="34"/>
  <c r="F89" i="34"/>
  <c r="E89" i="34"/>
  <c r="D89" i="34"/>
  <c r="C89" i="34"/>
  <c r="B89" i="34"/>
  <c r="J88" i="34"/>
  <c r="I88" i="34"/>
  <c r="H88" i="34"/>
  <c r="G88" i="34"/>
  <c r="F88" i="34"/>
  <c r="E88" i="34"/>
  <c r="D88" i="34"/>
  <c r="C88" i="34"/>
  <c r="B88" i="34"/>
  <c r="J87" i="34"/>
  <c r="I87" i="34"/>
  <c r="H87" i="34"/>
  <c r="G87" i="34"/>
  <c r="F87" i="34"/>
  <c r="E87" i="34"/>
  <c r="D87" i="34"/>
  <c r="C87" i="34"/>
  <c r="B87" i="34"/>
  <c r="J86" i="34"/>
  <c r="I86" i="34"/>
  <c r="H86" i="34"/>
  <c r="G86" i="34"/>
  <c r="F86" i="34"/>
  <c r="E86" i="34"/>
  <c r="D86" i="34"/>
  <c r="C86" i="34"/>
  <c r="B86" i="34"/>
  <c r="J85" i="34"/>
  <c r="I85" i="34"/>
  <c r="H85" i="34"/>
  <c r="G85" i="34"/>
  <c r="F85" i="34"/>
  <c r="E85" i="34"/>
  <c r="D85" i="34"/>
  <c r="C85" i="34"/>
  <c r="B85" i="34"/>
  <c r="J84" i="34"/>
  <c r="I84" i="34"/>
  <c r="H84" i="34"/>
  <c r="G84" i="34"/>
  <c r="F84" i="34"/>
  <c r="E84" i="34"/>
  <c r="D84" i="34"/>
  <c r="C84" i="34"/>
  <c r="B84" i="34"/>
  <c r="J83" i="34"/>
  <c r="I83" i="34"/>
  <c r="H83" i="34"/>
  <c r="G83" i="34"/>
  <c r="F83" i="34"/>
  <c r="E83" i="34"/>
  <c r="D83" i="34"/>
  <c r="C83" i="34"/>
  <c r="B83" i="34"/>
  <c r="J82" i="34"/>
  <c r="I82" i="34"/>
  <c r="H82" i="34"/>
  <c r="G82" i="34"/>
  <c r="F82" i="34"/>
  <c r="E82" i="34"/>
  <c r="D82" i="34"/>
  <c r="C82" i="34"/>
  <c r="B82" i="34"/>
  <c r="J81" i="34"/>
  <c r="I81" i="34"/>
  <c r="H81" i="34"/>
  <c r="G81" i="34"/>
  <c r="F81" i="34"/>
  <c r="E81" i="34"/>
  <c r="D81" i="34"/>
  <c r="C81" i="34"/>
  <c r="B81" i="34"/>
  <c r="J80" i="34"/>
  <c r="I80" i="34"/>
  <c r="H80" i="34"/>
  <c r="G80" i="34"/>
  <c r="F80" i="34"/>
  <c r="E80" i="34"/>
  <c r="D80" i="34"/>
  <c r="C80" i="34"/>
  <c r="B80" i="34"/>
  <c r="J79" i="34"/>
  <c r="I79" i="34"/>
  <c r="H79" i="34"/>
  <c r="G79" i="34"/>
  <c r="F79" i="34"/>
  <c r="E79" i="34"/>
  <c r="D79" i="34"/>
  <c r="C79" i="34"/>
  <c r="B79" i="34"/>
  <c r="J78" i="34"/>
  <c r="I78" i="34"/>
  <c r="H78" i="34"/>
  <c r="G78" i="34"/>
  <c r="F78" i="34"/>
  <c r="E78" i="34"/>
  <c r="D78" i="34"/>
  <c r="C78" i="34"/>
  <c r="B78" i="34"/>
  <c r="J77" i="34"/>
  <c r="I77" i="34"/>
  <c r="H77" i="34"/>
  <c r="G77" i="34"/>
  <c r="F77" i="34"/>
  <c r="E77" i="34"/>
  <c r="D77" i="34"/>
  <c r="C77" i="34"/>
  <c r="B77" i="34"/>
  <c r="J76" i="34"/>
  <c r="I76" i="34"/>
  <c r="H76" i="34"/>
  <c r="G76" i="34"/>
  <c r="F76" i="34"/>
  <c r="E76" i="34"/>
  <c r="D76" i="34"/>
  <c r="C76" i="34"/>
  <c r="B76" i="34"/>
  <c r="J75" i="34"/>
  <c r="I75" i="34"/>
  <c r="H75" i="34"/>
  <c r="G75" i="34"/>
  <c r="F75" i="34"/>
  <c r="E75" i="34"/>
  <c r="D75" i="34"/>
  <c r="C75" i="34"/>
  <c r="B75" i="34"/>
  <c r="J74" i="34"/>
  <c r="I74" i="34"/>
  <c r="H74" i="34"/>
  <c r="G74" i="34"/>
  <c r="F74" i="34"/>
  <c r="E74" i="34"/>
  <c r="D74" i="34"/>
  <c r="C74" i="34"/>
  <c r="B74" i="34"/>
  <c r="J73" i="34"/>
  <c r="I73" i="34"/>
  <c r="H73" i="34"/>
  <c r="G73" i="34"/>
  <c r="F73" i="34"/>
  <c r="E73" i="34"/>
  <c r="D73" i="34"/>
  <c r="C73" i="34"/>
  <c r="B73" i="34"/>
  <c r="J72" i="34"/>
  <c r="I72" i="34"/>
  <c r="H72" i="34"/>
  <c r="G72" i="34"/>
  <c r="F72" i="34"/>
  <c r="E72" i="34"/>
  <c r="D72" i="34"/>
  <c r="C72" i="34"/>
  <c r="B72" i="34"/>
  <c r="J71" i="34"/>
  <c r="I71" i="34"/>
  <c r="H71" i="34"/>
  <c r="G71" i="34"/>
  <c r="F71" i="34"/>
  <c r="E71" i="34"/>
  <c r="D71" i="34"/>
  <c r="C71" i="34"/>
  <c r="B71" i="34"/>
  <c r="J70" i="34"/>
  <c r="I70" i="34"/>
  <c r="H70" i="34"/>
  <c r="G70" i="34"/>
  <c r="F70" i="34"/>
  <c r="E70" i="34"/>
  <c r="D70" i="34"/>
  <c r="C70" i="34"/>
  <c r="B70" i="34"/>
  <c r="J69" i="34"/>
  <c r="I69" i="34"/>
  <c r="H69" i="34"/>
  <c r="G69" i="34"/>
  <c r="F69" i="34"/>
  <c r="E69" i="34"/>
  <c r="D69" i="34"/>
  <c r="C69" i="34"/>
  <c r="B69" i="34"/>
  <c r="J68" i="34"/>
  <c r="I68" i="34"/>
  <c r="H68" i="34"/>
  <c r="G68" i="34"/>
  <c r="F68" i="34"/>
  <c r="E68" i="34"/>
  <c r="D68" i="34"/>
  <c r="C68" i="34"/>
  <c r="B68" i="34"/>
  <c r="J67" i="34"/>
  <c r="I67" i="34"/>
  <c r="H67" i="34"/>
  <c r="G67" i="34"/>
  <c r="F67" i="34"/>
  <c r="E67" i="34"/>
  <c r="D67" i="34"/>
  <c r="C67" i="34"/>
  <c r="B67" i="34"/>
  <c r="J66" i="34"/>
  <c r="I66" i="34"/>
  <c r="H66" i="34"/>
  <c r="G66" i="34"/>
  <c r="F66" i="34"/>
  <c r="E66" i="34"/>
  <c r="D66" i="34"/>
  <c r="C66" i="34"/>
  <c r="B66" i="34"/>
  <c r="J65" i="34"/>
  <c r="I65" i="34"/>
  <c r="H65" i="34"/>
  <c r="G65" i="34"/>
  <c r="F65" i="34"/>
  <c r="E65" i="34"/>
  <c r="D65" i="34"/>
  <c r="C65" i="34"/>
  <c r="B65" i="34"/>
  <c r="J64" i="34"/>
  <c r="I64" i="34"/>
  <c r="H64" i="34"/>
  <c r="G64" i="34"/>
  <c r="F64" i="34"/>
  <c r="E64" i="34"/>
  <c r="D64" i="34"/>
  <c r="C64" i="34"/>
  <c r="B64" i="34"/>
  <c r="J63" i="34"/>
  <c r="I63" i="34"/>
  <c r="H63" i="34"/>
  <c r="G63" i="34"/>
  <c r="F63" i="34"/>
  <c r="E63" i="34"/>
  <c r="D63" i="34"/>
  <c r="C63" i="34"/>
  <c r="B63" i="34"/>
  <c r="J62" i="34"/>
  <c r="I62" i="34"/>
  <c r="H62" i="34"/>
  <c r="G62" i="34"/>
  <c r="F62" i="34"/>
  <c r="E62" i="34"/>
  <c r="D62" i="34"/>
  <c r="C62" i="34"/>
  <c r="B62" i="34"/>
  <c r="J61" i="34"/>
  <c r="I61" i="34"/>
  <c r="H61" i="34"/>
  <c r="G61" i="34"/>
  <c r="F61" i="34"/>
  <c r="E61" i="34"/>
  <c r="D61" i="34"/>
  <c r="C61" i="34"/>
  <c r="B61" i="34"/>
  <c r="J60" i="34"/>
  <c r="I60" i="34"/>
  <c r="H60" i="34"/>
  <c r="G60" i="34"/>
  <c r="F60" i="34"/>
  <c r="E60" i="34"/>
  <c r="D60" i="34"/>
  <c r="C60" i="34"/>
  <c r="B60" i="34"/>
  <c r="J59" i="34"/>
  <c r="I59" i="34"/>
  <c r="H59" i="34"/>
  <c r="G59" i="34"/>
  <c r="F59" i="34"/>
  <c r="E59" i="34"/>
  <c r="D59" i="34"/>
  <c r="C59" i="34"/>
  <c r="B59" i="34"/>
  <c r="J58" i="34"/>
  <c r="I58" i="34"/>
  <c r="H58" i="34"/>
  <c r="G58" i="34"/>
  <c r="F58" i="34"/>
  <c r="E58" i="34"/>
  <c r="D58" i="34"/>
  <c r="C58" i="34"/>
  <c r="B58" i="34"/>
  <c r="J57" i="34"/>
  <c r="I57" i="34"/>
  <c r="H57" i="34"/>
  <c r="G57" i="34"/>
  <c r="F57" i="34"/>
  <c r="E57" i="34"/>
  <c r="D57" i="34"/>
  <c r="C57" i="34"/>
  <c r="B57" i="34"/>
  <c r="J56" i="34"/>
  <c r="I56" i="34"/>
  <c r="H56" i="34"/>
  <c r="G56" i="34"/>
  <c r="F56" i="34"/>
  <c r="E56" i="34"/>
  <c r="D56" i="34"/>
  <c r="C56" i="34"/>
  <c r="B56" i="34"/>
  <c r="J55" i="34"/>
  <c r="I55" i="34"/>
  <c r="H55" i="34"/>
  <c r="G55" i="34"/>
  <c r="F55" i="34"/>
  <c r="E55" i="34"/>
  <c r="D55" i="34"/>
  <c r="C55" i="34"/>
  <c r="B55" i="34"/>
  <c r="J54" i="34"/>
  <c r="I54" i="34"/>
  <c r="H54" i="34"/>
  <c r="G54" i="34"/>
  <c r="F54" i="34"/>
  <c r="E54" i="34"/>
  <c r="D54" i="34"/>
  <c r="C54" i="34"/>
  <c r="B54" i="34"/>
  <c r="J53" i="34"/>
  <c r="I53" i="34"/>
  <c r="H53" i="34"/>
  <c r="G53" i="34"/>
  <c r="F53" i="34"/>
  <c r="E53" i="34"/>
  <c r="D53" i="34"/>
  <c r="C53" i="34"/>
  <c r="B53" i="34"/>
  <c r="J52" i="34"/>
  <c r="I52" i="34"/>
  <c r="H52" i="34"/>
  <c r="G52" i="34"/>
  <c r="F52" i="34"/>
  <c r="E52" i="34"/>
  <c r="D52" i="34"/>
  <c r="C52" i="34"/>
  <c r="B52" i="34"/>
  <c r="J51" i="34"/>
  <c r="I51" i="34"/>
  <c r="H51" i="34"/>
  <c r="G51" i="34"/>
  <c r="F51" i="34"/>
  <c r="E51" i="34"/>
  <c r="D51" i="34"/>
  <c r="C51" i="34"/>
  <c r="B51" i="34"/>
  <c r="J50" i="34"/>
  <c r="I50" i="34"/>
  <c r="H50" i="34"/>
  <c r="G50" i="34"/>
  <c r="F50" i="34"/>
  <c r="E50" i="34"/>
  <c r="D50" i="34"/>
  <c r="C50" i="34"/>
  <c r="B50" i="34"/>
  <c r="J49" i="34"/>
  <c r="I49" i="34"/>
  <c r="H49" i="34"/>
  <c r="G49" i="34"/>
  <c r="F49" i="34"/>
  <c r="E49" i="34"/>
  <c r="D49" i="34"/>
  <c r="C49" i="34"/>
  <c r="B49" i="34"/>
  <c r="J48" i="34"/>
  <c r="I48" i="34"/>
  <c r="H48" i="34"/>
  <c r="G48" i="34"/>
  <c r="F48" i="34"/>
  <c r="E48" i="34"/>
  <c r="D48" i="34"/>
  <c r="C48" i="34"/>
  <c r="B48" i="34"/>
  <c r="J47" i="34"/>
  <c r="I47" i="34"/>
  <c r="H47" i="34"/>
  <c r="G47" i="34"/>
  <c r="F47" i="34"/>
  <c r="E47" i="34"/>
  <c r="D47" i="34"/>
  <c r="C47" i="34"/>
  <c r="B47" i="34"/>
  <c r="J46" i="34"/>
  <c r="I46" i="34"/>
  <c r="H46" i="34"/>
  <c r="G46" i="34"/>
  <c r="F46" i="34"/>
  <c r="E46" i="34"/>
  <c r="D46" i="34"/>
  <c r="C46" i="34"/>
  <c r="B46" i="34"/>
  <c r="J45" i="34"/>
  <c r="I45" i="34"/>
  <c r="H45" i="34"/>
  <c r="G45" i="34"/>
  <c r="F45" i="34"/>
  <c r="E45" i="34"/>
  <c r="D45" i="34"/>
  <c r="C45" i="34"/>
  <c r="B45" i="34"/>
  <c r="J44" i="34"/>
  <c r="I44" i="34"/>
  <c r="H44" i="34"/>
  <c r="G44" i="34"/>
  <c r="F44" i="34"/>
  <c r="E44" i="34"/>
  <c r="D44" i="34"/>
  <c r="C44" i="34"/>
  <c r="B44" i="34"/>
  <c r="J43" i="34"/>
  <c r="I43" i="34"/>
  <c r="H43" i="34"/>
  <c r="G43" i="34"/>
  <c r="F43" i="34"/>
  <c r="E43" i="34"/>
  <c r="D43" i="34"/>
  <c r="C43" i="34"/>
  <c r="B43" i="34"/>
  <c r="J42" i="34"/>
  <c r="I42" i="34"/>
  <c r="H42" i="34"/>
  <c r="G42" i="34"/>
  <c r="F42" i="34"/>
  <c r="E42" i="34"/>
  <c r="D42" i="34"/>
  <c r="C42" i="34"/>
  <c r="B42" i="34"/>
  <c r="J41" i="34"/>
  <c r="I41" i="34"/>
  <c r="H41" i="34"/>
  <c r="G41" i="34"/>
  <c r="F41" i="34"/>
  <c r="E41" i="34"/>
  <c r="D41" i="34"/>
  <c r="C41" i="34"/>
  <c r="B41" i="34"/>
  <c r="J40" i="34"/>
  <c r="I40" i="34"/>
  <c r="H40" i="34"/>
  <c r="G40" i="34"/>
  <c r="F40" i="34"/>
  <c r="E40" i="34"/>
  <c r="D40" i="34"/>
  <c r="C40" i="34"/>
  <c r="B40" i="34"/>
  <c r="J39" i="34"/>
  <c r="I39" i="34"/>
  <c r="H39" i="34"/>
  <c r="G39" i="34"/>
  <c r="F39" i="34"/>
  <c r="E39" i="34"/>
  <c r="D39" i="34"/>
  <c r="C39" i="34"/>
  <c r="B39" i="34"/>
  <c r="J38" i="34"/>
  <c r="I38" i="34"/>
  <c r="H38" i="34"/>
  <c r="G38" i="34"/>
  <c r="F38" i="34"/>
  <c r="E38" i="34"/>
  <c r="D38" i="34"/>
  <c r="C38" i="34"/>
  <c r="B38" i="34"/>
  <c r="J37" i="34"/>
  <c r="I37" i="34"/>
  <c r="H37" i="34"/>
  <c r="G37" i="34"/>
  <c r="F37" i="34"/>
  <c r="E37" i="34"/>
  <c r="D37" i="34"/>
  <c r="C37" i="34"/>
  <c r="B37" i="34"/>
  <c r="J36" i="34"/>
  <c r="I36" i="34"/>
  <c r="H36" i="34"/>
  <c r="G36" i="34"/>
  <c r="F36" i="34"/>
  <c r="E36" i="34"/>
  <c r="D36" i="34"/>
  <c r="C36" i="34"/>
  <c r="B36" i="34"/>
  <c r="J35" i="34"/>
  <c r="I35" i="34"/>
  <c r="H35" i="34"/>
  <c r="G35" i="34"/>
  <c r="F35" i="34"/>
  <c r="E35" i="34"/>
  <c r="D35" i="34"/>
  <c r="C35" i="34"/>
  <c r="B35" i="34"/>
  <c r="J34" i="34"/>
  <c r="I34" i="34"/>
  <c r="H34" i="34"/>
  <c r="G34" i="34"/>
  <c r="F34" i="34"/>
  <c r="E34" i="34"/>
  <c r="D34" i="34"/>
  <c r="C34" i="34"/>
  <c r="B34" i="34"/>
  <c r="J33" i="34"/>
  <c r="I33" i="34"/>
  <c r="H33" i="34"/>
  <c r="G33" i="34"/>
  <c r="F33" i="34"/>
  <c r="E33" i="34"/>
  <c r="D33" i="34"/>
  <c r="C33" i="34"/>
  <c r="B33" i="34"/>
  <c r="J32" i="34"/>
  <c r="I32" i="34"/>
  <c r="H32" i="34"/>
  <c r="G32" i="34"/>
  <c r="F32" i="34"/>
  <c r="E32" i="34"/>
  <c r="D32" i="34"/>
  <c r="C32" i="34"/>
  <c r="B32" i="34"/>
  <c r="J31" i="34"/>
  <c r="I31" i="34"/>
  <c r="H31" i="34"/>
  <c r="G31" i="34"/>
  <c r="F31" i="34"/>
  <c r="E31" i="34"/>
  <c r="D31" i="34"/>
  <c r="C31" i="34"/>
  <c r="B31" i="34"/>
  <c r="J30" i="34"/>
  <c r="I30" i="34"/>
  <c r="H30" i="34"/>
  <c r="G30" i="34"/>
  <c r="F30" i="34"/>
  <c r="E30" i="34"/>
  <c r="D30" i="34"/>
  <c r="C30" i="34"/>
  <c r="B30" i="34"/>
  <c r="J29" i="34"/>
  <c r="I29" i="34"/>
  <c r="H29" i="34"/>
  <c r="G29" i="34"/>
  <c r="F29" i="34"/>
  <c r="E29" i="34"/>
  <c r="D29" i="34"/>
  <c r="C29" i="34"/>
  <c r="B29" i="34"/>
  <c r="J28" i="34"/>
  <c r="I28" i="34"/>
  <c r="H28" i="34"/>
  <c r="G28" i="34"/>
  <c r="F28" i="34"/>
  <c r="E28" i="34"/>
  <c r="D28" i="34"/>
  <c r="C28" i="34"/>
  <c r="B28" i="34"/>
  <c r="J27" i="34"/>
  <c r="I27" i="34"/>
  <c r="H27" i="34"/>
  <c r="G27" i="34"/>
  <c r="F27" i="34"/>
  <c r="E27" i="34"/>
  <c r="D27" i="34"/>
  <c r="C27" i="34"/>
  <c r="B27" i="34"/>
  <c r="J26" i="34"/>
  <c r="I26" i="34"/>
  <c r="H26" i="34"/>
  <c r="G26" i="34"/>
  <c r="F26" i="34"/>
  <c r="E26" i="34"/>
  <c r="D26" i="34"/>
  <c r="C26" i="34"/>
  <c r="B26" i="34"/>
  <c r="J25" i="34"/>
  <c r="I25" i="34"/>
  <c r="H25" i="34"/>
  <c r="G25" i="34"/>
  <c r="F25" i="34"/>
  <c r="E25" i="34"/>
  <c r="D25" i="34"/>
  <c r="C25" i="34"/>
  <c r="B25" i="34"/>
  <c r="J24" i="34"/>
  <c r="I24" i="34"/>
  <c r="H24" i="34"/>
  <c r="G24" i="34"/>
  <c r="F24" i="34"/>
  <c r="E24" i="34"/>
  <c r="D24" i="34"/>
  <c r="C24" i="34"/>
  <c r="B24" i="34"/>
  <c r="J23" i="34"/>
  <c r="I23" i="34"/>
  <c r="H23" i="34"/>
  <c r="G23" i="34"/>
  <c r="F23" i="34"/>
  <c r="E23" i="34"/>
  <c r="D23" i="34"/>
  <c r="C23" i="34"/>
  <c r="B23" i="34"/>
  <c r="J22" i="34"/>
  <c r="I22" i="34"/>
  <c r="H22" i="34"/>
  <c r="G22" i="34"/>
  <c r="F22" i="34"/>
  <c r="E22" i="34"/>
  <c r="D22" i="34"/>
  <c r="C22" i="34"/>
  <c r="B22" i="34"/>
  <c r="J21" i="34"/>
  <c r="I21" i="34"/>
  <c r="H21" i="34"/>
  <c r="G21" i="34"/>
  <c r="F21" i="34"/>
  <c r="E21" i="34"/>
  <c r="D21" i="34"/>
  <c r="C21" i="34"/>
  <c r="B21" i="34"/>
  <c r="J20" i="34"/>
  <c r="I20" i="34"/>
  <c r="H20" i="34"/>
  <c r="G20" i="34"/>
  <c r="F20" i="34"/>
  <c r="E20" i="34"/>
  <c r="D20" i="34"/>
  <c r="C20" i="34"/>
  <c r="B20" i="34"/>
  <c r="J19" i="34"/>
  <c r="I19" i="34"/>
  <c r="H19" i="34"/>
  <c r="G19" i="34"/>
  <c r="F19" i="34"/>
  <c r="E19" i="34"/>
  <c r="D19" i="34"/>
  <c r="C19" i="34"/>
  <c r="B19" i="34"/>
  <c r="J18" i="34"/>
  <c r="I18" i="34"/>
  <c r="H18" i="34"/>
  <c r="G18" i="34"/>
  <c r="F18" i="34"/>
  <c r="E18" i="34"/>
  <c r="D18" i="34"/>
  <c r="C18" i="34"/>
  <c r="B18" i="34"/>
  <c r="J17" i="34"/>
  <c r="I17" i="34"/>
  <c r="H17" i="34"/>
  <c r="G17" i="34"/>
  <c r="F17" i="34"/>
  <c r="E17" i="34"/>
  <c r="D17" i="34"/>
  <c r="C17" i="34"/>
  <c r="B17" i="34"/>
  <c r="J16" i="34"/>
  <c r="I16" i="34"/>
  <c r="H16" i="34"/>
  <c r="G16" i="34"/>
  <c r="F16" i="34"/>
  <c r="E16" i="34"/>
  <c r="D16" i="34"/>
  <c r="C16" i="34"/>
  <c r="B16" i="34"/>
  <c r="J15" i="34"/>
  <c r="I15" i="34"/>
  <c r="H15" i="34"/>
  <c r="G15" i="34"/>
  <c r="F15" i="34"/>
  <c r="E15" i="34"/>
  <c r="D15" i="34"/>
  <c r="C15" i="34"/>
  <c r="B15" i="34"/>
  <c r="J14" i="34"/>
  <c r="I14" i="34"/>
  <c r="H14" i="34"/>
  <c r="G14" i="34"/>
  <c r="F14" i="34"/>
  <c r="E14" i="34"/>
  <c r="D14" i="34"/>
  <c r="C14" i="34"/>
  <c r="B14" i="34"/>
  <c r="J13" i="34"/>
  <c r="I13" i="34"/>
  <c r="H13" i="34"/>
  <c r="G13" i="34"/>
  <c r="F13" i="34"/>
  <c r="E13" i="34"/>
  <c r="D13" i="34"/>
  <c r="C13" i="34"/>
  <c r="B13" i="34"/>
  <c r="J12" i="34"/>
  <c r="I12" i="34"/>
  <c r="H12" i="34"/>
  <c r="G12" i="34"/>
  <c r="F12" i="34"/>
  <c r="E12" i="34"/>
  <c r="D12" i="34"/>
  <c r="C12" i="34"/>
  <c r="B12" i="34"/>
  <c r="J11" i="34"/>
  <c r="I11" i="34"/>
  <c r="H11" i="34"/>
  <c r="G11" i="34"/>
  <c r="F11" i="34"/>
  <c r="E11" i="34"/>
  <c r="D11" i="34"/>
  <c r="C11" i="34"/>
  <c r="B11" i="34"/>
  <c r="J10" i="34"/>
  <c r="I10" i="34"/>
  <c r="H10" i="34"/>
  <c r="G10" i="34"/>
  <c r="F10" i="34"/>
  <c r="E10" i="34"/>
  <c r="D10" i="34"/>
  <c r="C10" i="34"/>
  <c r="B10" i="34"/>
  <c r="J9" i="34"/>
  <c r="I9" i="34"/>
  <c r="H9" i="34"/>
  <c r="G9" i="34"/>
  <c r="F9" i="34"/>
  <c r="E9" i="34"/>
  <c r="D9" i="34"/>
  <c r="C9" i="34"/>
  <c r="B9" i="34"/>
  <c r="J8" i="34"/>
  <c r="I8" i="34"/>
  <c r="H8" i="34"/>
  <c r="G8" i="34"/>
  <c r="F8" i="34"/>
  <c r="E8" i="34"/>
  <c r="D8" i="34"/>
  <c r="C8" i="34"/>
  <c r="B8" i="34"/>
  <c r="J7" i="34"/>
  <c r="I7" i="34"/>
  <c r="H7" i="34"/>
  <c r="G7" i="34"/>
  <c r="F7" i="34"/>
  <c r="E7" i="34"/>
  <c r="D7" i="34"/>
  <c r="C7" i="34"/>
  <c r="B7" i="34"/>
  <c r="J6" i="34"/>
  <c r="I6" i="34"/>
  <c r="H6" i="34"/>
  <c r="G6" i="34"/>
  <c r="F6" i="34"/>
  <c r="E6" i="34"/>
  <c r="D6" i="34"/>
  <c r="C6" i="34"/>
  <c r="B6" i="34"/>
  <c r="J5" i="34"/>
  <c r="I5" i="34"/>
  <c r="H5" i="34"/>
  <c r="G5" i="34"/>
  <c r="F5" i="34"/>
  <c r="E5" i="34"/>
  <c r="D5" i="34"/>
  <c r="C5" i="34"/>
  <c r="B5" i="34"/>
  <c r="J4" i="34"/>
  <c r="I4" i="34"/>
  <c r="H4" i="34"/>
  <c r="G4" i="34"/>
  <c r="F4" i="34"/>
  <c r="E4" i="34"/>
  <c r="D4" i="34"/>
  <c r="C4" i="34"/>
  <c r="B4" i="34"/>
  <c r="J3" i="34"/>
  <c r="I3" i="34"/>
  <c r="H3" i="34"/>
  <c r="G3" i="34"/>
  <c r="F3" i="34"/>
  <c r="E3" i="34"/>
  <c r="D3" i="34"/>
  <c r="C3" i="34"/>
  <c r="B3" i="34"/>
  <c r="L500" i="33"/>
  <c r="K500" i="33"/>
  <c r="J500" i="33"/>
  <c r="I500" i="33"/>
  <c r="H500" i="33"/>
  <c r="G500" i="33"/>
  <c r="F500" i="33"/>
  <c r="E500" i="33"/>
  <c r="D500" i="33"/>
  <c r="C500" i="33"/>
  <c r="L499" i="33"/>
  <c r="K499" i="33"/>
  <c r="J499" i="33"/>
  <c r="I499" i="33"/>
  <c r="H499" i="33"/>
  <c r="G499" i="33"/>
  <c r="F499" i="33"/>
  <c r="E499" i="33"/>
  <c r="D499" i="33"/>
  <c r="C499" i="33"/>
  <c r="L498" i="33"/>
  <c r="K498" i="33"/>
  <c r="J498" i="33"/>
  <c r="I498" i="33"/>
  <c r="H498" i="33"/>
  <c r="G498" i="33"/>
  <c r="F498" i="33"/>
  <c r="E498" i="33"/>
  <c r="D498" i="33"/>
  <c r="C498" i="33"/>
  <c r="L497" i="33"/>
  <c r="K497" i="33"/>
  <c r="J497" i="33"/>
  <c r="I497" i="33"/>
  <c r="H497" i="33"/>
  <c r="G497" i="33"/>
  <c r="F497" i="33"/>
  <c r="E497" i="33"/>
  <c r="D497" i="33"/>
  <c r="C497" i="33"/>
  <c r="L496" i="33"/>
  <c r="K496" i="33"/>
  <c r="J496" i="33"/>
  <c r="I496" i="33"/>
  <c r="H496" i="33"/>
  <c r="G496" i="33"/>
  <c r="F496" i="33"/>
  <c r="E496" i="33"/>
  <c r="D496" i="33"/>
  <c r="C496" i="33"/>
  <c r="L495" i="33"/>
  <c r="K495" i="33"/>
  <c r="J495" i="33"/>
  <c r="I495" i="33"/>
  <c r="H495" i="33"/>
  <c r="G495" i="33"/>
  <c r="F495" i="33"/>
  <c r="E495" i="33"/>
  <c r="D495" i="33"/>
  <c r="C495" i="33"/>
  <c r="L494" i="33"/>
  <c r="K494" i="33"/>
  <c r="J494" i="33"/>
  <c r="I494" i="33"/>
  <c r="H494" i="33"/>
  <c r="G494" i="33"/>
  <c r="F494" i="33"/>
  <c r="E494" i="33"/>
  <c r="D494" i="33"/>
  <c r="C494" i="33"/>
  <c r="L493" i="33"/>
  <c r="K493" i="33"/>
  <c r="J493" i="33"/>
  <c r="I493" i="33"/>
  <c r="H493" i="33"/>
  <c r="G493" i="33"/>
  <c r="F493" i="33"/>
  <c r="E493" i="33"/>
  <c r="D493" i="33"/>
  <c r="C493" i="33"/>
  <c r="L492" i="33"/>
  <c r="K492" i="33"/>
  <c r="J492" i="33"/>
  <c r="I492" i="33"/>
  <c r="H492" i="33"/>
  <c r="G492" i="33"/>
  <c r="F492" i="33"/>
  <c r="E492" i="33"/>
  <c r="D492" i="33"/>
  <c r="C492" i="33"/>
  <c r="L491" i="33"/>
  <c r="K491" i="33"/>
  <c r="J491" i="33"/>
  <c r="I491" i="33"/>
  <c r="H491" i="33"/>
  <c r="G491" i="33"/>
  <c r="F491" i="33"/>
  <c r="E491" i="33"/>
  <c r="D491" i="33"/>
  <c r="C491" i="33"/>
  <c r="L490" i="33"/>
  <c r="K490" i="33"/>
  <c r="J490" i="33"/>
  <c r="I490" i="33"/>
  <c r="H490" i="33"/>
  <c r="G490" i="33"/>
  <c r="F490" i="33"/>
  <c r="E490" i="33"/>
  <c r="D490" i="33"/>
  <c r="C490" i="33"/>
  <c r="L489" i="33"/>
  <c r="K489" i="33"/>
  <c r="J489" i="33"/>
  <c r="I489" i="33"/>
  <c r="H489" i="33"/>
  <c r="G489" i="33"/>
  <c r="F489" i="33"/>
  <c r="E489" i="33"/>
  <c r="D489" i="33"/>
  <c r="C489" i="33"/>
  <c r="L488" i="33"/>
  <c r="K488" i="33"/>
  <c r="J488" i="33"/>
  <c r="I488" i="33"/>
  <c r="H488" i="33"/>
  <c r="G488" i="33"/>
  <c r="F488" i="33"/>
  <c r="E488" i="33"/>
  <c r="D488" i="33"/>
  <c r="C488" i="33"/>
  <c r="L487" i="33"/>
  <c r="K487" i="33"/>
  <c r="J487" i="33"/>
  <c r="I487" i="33"/>
  <c r="H487" i="33"/>
  <c r="G487" i="33"/>
  <c r="F487" i="33"/>
  <c r="E487" i="33"/>
  <c r="D487" i="33"/>
  <c r="C487" i="33"/>
  <c r="L486" i="33"/>
  <c r="K486" i="33"/>
  <c r="J486" i="33"/>
  <c r="I486" i="33"/>
  <c r="H486" i="33"/>
  <c r="G486" i="33"/>
  <c r="F486" i="33"/>
  <c r="E486" i="33"/>
  <c r="D486" i="33"/>
  <c r="C486" i="33"/>
  <c r="L485" i="33"/>
  <c r="K485" i="33"/>
  <c r="J485" i="33"/>
  <c r="I485" i="33"/>
  <c r="H485" i="33"/>
  <c r="G485" i="33"/>
  <c r="F485" i="33"/>
  <c r="E485" i="33"/>
  <c r="D485" i="33"/>
  <c r="C485" i="33"/>
  <c r="L484" i="33"/>
  <c r="K484" i="33"/>
  <c r="J484" i="33"/>
  <c r="I484" i="33"/>
  <c r="H484" i="33"/>
  <c r="G484" i="33"/>
  <c r="F484" i="33"/>
  <c r="E484" i="33"/>
  <c r="D484" i="33"/>
  <c r="C484" i="33"/>
  <c r="L483" i="33"/>
  <c r="K483" i="33"/>
  <c r="J483" i="33"/>
  <c r="I483" i="33"/>
  <c r="H483" i="33"/>
  <c r="G483" i="33"/>
  <c r="F483" i="33"/>
  <c r="E483" i="33"/>
  <c r="D483" i="33"/>
  <c r="C483" i="33"/>
  <c r="L482" i="33"/>
  <c r="K482" i="33"/>
  <c r="J482" i="33"/>
  <c r="I482" i="33"/>
  <c r="H482" i="33"/>
  <c r="G482" i="33"/>
  <c r="F482" i="33"/>
  <c r="E482" i="33"/>
  <c r="D482" i="33"/>
  <c r="C482" i="33"/>
  <c r="L481" i="33"/>
  <c r="K481" i="33"/>
  <c r="J481" i="33"/>
  <c r="I481" i="33"/>
  <c r="H481" i="33"/>
  <c r="G481" i="33"/>
  <c r="F481" i="33"/>
  <c r="E481" i="33"/>
  <c r="D481" i="33"/>
  <c r="C481" i="33"/>
  <c r="L480" i="33"/>
  <c r="K480" i="33"/>
  <c r="J480" i="33"/>
  <c r="I480" i="33"/>
  <c r="H480" i="33"/>
  <c r="G480" i="33"/>
  <c r="F480" i="33"/>
  <c r="E480" i="33"/>
  <c r="D480" i="33"/>
  <c r="C480" i="33"/>
  <c r="L479" i="33"/>
  <c r="K479" i="33"/>
  <c r="J479" i="33"/>
  <c r="I479" i="33"/>
  <c r="H479" i="33"/>
  <c r="G479" i="33"/>
  <c r="F479" i="33"/>
  <c r="E479" i="33"/>
  <c r="D479" i="33"/>
  <c r="C479" i="33"/>
  <c r="L478" i="33"/>
  <c r="K478" i="33"/>
  <c r="J478" i="33"/>
  <c r="I478" i="33"/>
  <c r="H478" i="33"/>
  <c r="G478" i="33"/>
  <c r="F478" i="33"/>
  <c r="E478" i="33"/>
  <c r="D478" i="33"/>
  <c r="C478" i="33"/>
  <c r="L477" i="33"/>
  <c r="K477" i="33"/>
  <c r="J477" i="33"/>
  <c r="I477" i="33"/>
  <c r="H477" i="33"/>
  <c r="G477" i="33"/>
  <c r="F477" i="33"/>
  <c r="E477" i="33"/>
  <c r="D477" i="33"/>
  <c r="C477" i="33"/>
  <c r="L476" i="33"/>
  <c r="K476" i="33"/>
  <c r="J476" i="33"/>
  <c r="I476" i="33"/>
  <c r="H476" i="33"/>
  <c r="G476" i="33"/>
  <c r="F476" i="33"/>
  <c r="E476" i="33"/>
  <c r="D476" i="33"/>
  <c r="C476" i="33"/>
  <c r="L475" i="33"/>
  <c r="K475" i="33"/>
  <c r="J475" i="33"/>
  <c r="I475" i="33"/>
  <c r="H475" i="33"/>
  <c r="G475" i="33"/>
  <c r="F475" i="33"/>
  <c r="E475" i="33"/>
  <c r="D475" i="33"/>
  <c r="C475" i="33"/>
  <c r="L474" i="33"/>
  <c r="K474" i="33"/>
  <c r="J474" i="33"/>
  <c r="I474" i="33"/>
  <c r="H474" i="33"/>
  <c r="G474" i="33"/>
  <c r="F474" i="33"/>
  <c r="E474" i="33"/>
  <c r="D474" i="33"/>
  <c r="C474" i="33"/>
  <c r="L473" i="33"/>
  <c r="K473" i="33"/>
  <c r="J473" i="33"/>
  <c r="I473" i="33"/>
  <c r="H473" i="33"/>
  <c r="G473" i="33"/>
  <c r="F473" i="33"/>
  <c r="E473" i="33"/>
  <c r="D473" i="33"/>
  <c r="C473" i="33"/>
  <c r="L472" i="33"/>
  <c r="K472" i="33"/>
  <c r="J472" i="33"/>
  <c r="I472" i="33"/>
  <c r="H472" i="33"/>
  <c r="G472" i="33"/>
  <c r="F472" i="33"/>
  <c r="E472" i="33"/>
  <c r="D472" i="33"/>
  <c r="C472" i="33"/>
  <c r="L471" i="33"/>
  <c r="K471" i="33"/>
  <c r="J471" i="33"/>
  <c r="I471" i="33"/>
  <c r="H471" i="33"/>
  <c r="G471" i="33"/>
  <c r="F471" i="33"/>
  <c r="E471" i="33"/>
  <c r="D471" i="33"/>
  <c r="C471" i="33"/>
  <c r="L470" i="33"/>
  <c r="K470" i="33"/>
  <c r="J470" i="33"/>
  <c r="I470" i="33"/>
  <c r="H470" i="33"/>
  <c r="G470" i="33"/>
  <c r="F470" i="33"/>
  <c r="E470" i="33"/>
  <c r="D470" i="33"/>
  <c r="C470" i="33"/>
  <c r="L469" i="33"/>
  <c r="K469" i="33"/>
  <c r="J469" i="33"/>
  <c r="I469" i="33"/>
  <c r="H469" i="33"/>
  <c r="G469" i="33"/>
  <c r="F469" i="33"/>
  <c r="E469" i="33"/>
  <c r="D469" i="33"/>
  <c r="C469" i="33"/>
  <c r="L468" i="33"/>
  <c r="K468" i="33"/>
  <c r="J468" i="33"/>
  <c r="I468" i="33"/>
  <c r="H468" i="33"/>
  <c r="G468" i="33"/>
  <c r="F468" i="33"/>
  <c r="E468" i="33"/>
  <c r="D468" i="33"/>
  <c r="C468" i="33"/>
  <c r="L467" i="33"/>
  <c r="K467" i="33"/>
  <c r="J467" i="33"/>
  <c r="I467" i="33"/>
  <c r="H467" i="33"/>
  <c r="G467" i="33"/>
  <c r="F467" i="33"/>
  <c r="E467" i="33"/>
  <c r="D467" i="33"/>
  <c r="C467" i="33"/>
  <c r="L466" i="33"/>
  <c r="K466" i="33"/>
  <c r="J466" i="33"/>
  <c r="I466" i="33"/>
  <c r="H466" i="33"/>
  <c r="G466" i="33"/>
  <c r="F466" i="33"/>
  <c r="E466" i="33"/>
  <c r="D466" i="33"/>
  <c r="C466" i="33"/>
  <c r="L465" i="33"/>
  <c r="K465" i="33"/>
  <c r="J465" i="33"/>
  <c r="I465" i="33"/>
  <c r="H465" i="33"/>
  <c r="G465" i="33"/>
  <c r="F465" i="33"/>
  <c r="E465" i="33"/>
  <c r="D465" i="33"/>
  <c r="C465" i="33"/>
  <c r="L464" i="33"/>
  <c r="K464" i="33"/>
  <c r="J464" i="33"/>
  <c r="I464" i="33"/>
  <c r="H464" i="33"/>
  <c r="G464" i="33"/>
  <c r="F464" i="33"/>
  <c r="E464" i="33"/>
  <c r="D464" i="33"/>
  <c r="C464" i="33"/>
  <c r="L463" i="33"/>
  <c r="K463" i="33"/>
  <c r="J463" i="33"/>
  <c r="I463" i="33"/>
  <c r="H463" i="33"/>
  <c r="G463" i="33"/>
  <c r="F463" i="33"/>
  <c r="E463" i="33"/>
  <c r="D463" i="33"/>
  <c r="C463" i="33"/>
  <c r="L462" i="33"/>
  <c r="K462" i="33"/>
  <c r="J462" i="33"/>
  <c r="I462" i="33"/>
  <c r="H462" i="33"/>
  <c r="G462" i="33"/>
  <c r="F462" i="33"/>
  <c r="E462" i="33"/>
  <c r="D462" i="33"/>
  <c r="C462" i="33"/>
  <c r="L461" i="33"/>
  <c r="K461" i="33"/>
  <c r="J461" i="33"/>
  <c r="I461" i="33"/>
  <c r="H461" i="33"/>
  <c r="G461" i="33"/>
  <c r="F461" i="33"/>
  <c r="E461" i="33"/>
  <c r="D461" i="33"/>
  <c r="C461" i="33"/>
  <c r="L460" i="33"/>
  <c r="K460" i="33"/>
  <c r="J460" i="33"/>
  <c r="I460" i="33"/>
  <c r="H460" i="33"/>
  <c r="G460" i="33"/>
  <c r="F460" i="33"/>
  <c r="E460" i="33"/>
  <c r="D460" i="33"/>
  <c r="C460" i="33"/>
  <c r="L459" i="33"/>
  <c r="K459" i="33"/>
  <c r="J459" i="33"/>
  <c r="I459" i="33"/>
  <c r="H459" i="33"/>
  <c r="G459" i="33"/>
  <c r="F459" i="33"/>
  <c r="E459" i="33"/>
  <c r="D459" i="33"/>
  <c r="C459" i="33"/>
  <c r="L458" i="33"/>
  <c r="K458" i="33"/>
  <c r="J458" i="33"/>
  <c r="I458" i="33"/>
  <c r="H458" i="33"/>
  <c r="G458" i="33"/>
  <c r="F458" i="33"/>
  <c r="E458" i="33"/>
  <c r="D458" i="33"/>
  <c r="C458" i="33"/>
  <c r="L457" i="33"/>
  <c r="K457" i="33"/>
  <c r="J457" i="33"/>
  <c r="I457" i="33"/>
  <c r="H457" i="33"/>
  <c r="G457" i="33"/>
  <c r="F457" i="33"/>
  <c r="E457" i="33"/>
  <c r="D457" i="33"/>
  <c r="C457" i="33"/>
  <c r="L456" i="33"/>
  <c r="K456" i="33"/>
  <c r="J456" i="33"/>
  <c r="I456" i="33"/>
  <c r="H456" i="33"/>
  <c r="G456" i="33"/>
  <c r="F456" i="33"/>
  <c r="E456" i="33"/>
  <c r="D456" i="33"/>
  <c r="C456" i="33"/>
  <c r="L455" i="33"/>
  <c r="K455" i="33"/>
  <c r="J455" i="33"/>
  <c r="I455" i="33"/>
  <c r="H455" i="33"/>
  <c r="G455" i="33"/>
  <c r="F455" i="33"/>
  <c r="E455" i="33"/>
  <c r="D455" i="33"/>
  <c r="C455" i="33"/>
  <c r="L454" i="33"/>
  <c r="K454" i="33"/>
  <c r="J454" i="33"/>
  <c r="I454" i="33"/>
  <c r="H454" i="33"/>
  <c r="G454" i="33"/>
  <c r="F454" i="33"/>
  <c r="E454" i="33"/>
  <c r="D454" i="33"/>
  <c r="C454" i="33"/>
  <c r="L453" i="33"/>
  <c r="K453" i="33"/>
  <c r="J453" i="33"/>
  <c r="I453" i="33"/>
  <c r="H453" i="33"/>
  <c r="G453" i="33"/>
  <c r="F453" i="33"/>
  <c r="E453" i="33"/>
  <c r="D453" i="33"/>
  <c r="C453" i="33"/>
  <c r="L452" i="33"/>
  <c r="K452" i="33"/>
  <c r="J452" i="33"/>
  <c r="I452" i="33"/>
  <c r="H452" i="33"/>
  <c r="G452" i="33"/>
  <c r="F452" i="33"/>
  <c r="E452" i="33"/>
  <c r="D452" i="33"/>
  <c r="C452" i="33"/>
  <c r="L451" i="33"/>
  <c r="K451" i="33"/>
  <c r="J451" i="33"/>
  <c r="I451" i="33"/>
  <c r="H451" i="33"/>
  <c r="G451" i="33"/>
  <c r="F451" i="33"/>
  <c r="E451" i="33"/>
  <c r="D451" i="33"/>
  <c r="C451" i="33"/>
  <c r="L450" i="33"/>
  <c r="K450" i="33"/>
  <c r="J450" i="33"/>
  <c r="I450" i="33"/>
  <c r="H450" i="33"/>
  <c r="G450" i="33"/>
  <c r="F450" i="33"/>
  <c r="E450" i="33"/>
  <c r="D450" i="33"/>
  <c r="C450" i="33"/>
  <c r="L449" i="33"/>
  <c r="K449" i="33"/>
  <c r="J449" i="33"/>
  <c r="I449" i="33"/>
  <c r="H449" i="33"/>
  <c r="G449" i="33"/>
  <c r="F449" i="33"/>
  <c r="E449" i="33"/>
  <c r="D449" i="33"/>
  <c r="C449" i="33"/>
  <c r="L448" i="33"/>
  <c r="K448" i="33"/>
  <c r="J448" i="33"/>
  <c r="I448" i="33"/>
  <c r="H448" i="33"/>
  <c r="G448" i="33"/>
  <c r="F448" i="33"/>
  <c r="E448" i="33"/>
  <c r="D448" i="33"/>
  <c r="C448" i="33"/>
  <c r="L447" i="33"/>
  <c r="K447" i="33"/>
  <c r="J447" i="33"/>
  <c r="I447" i="33"/>
  <c r="H447" i="33"/>
  <c r="G447" i="33"/>
  <c r="F447" i="33"/>
  <c r="E447" i="33"/>
  <c r="D447" i="33"/>
  <c r="C447" i="33"/>
  <c r="L446" i="33"/>
  <c r="K446" i="33"/>
  <c r="J446" i="33"/>
  <c r="I446" i="33"/>
  <c r="H446" i="33"/>
  <c r="G446" i="33"/>
  <c r="F446" i="33"/>
  <c r="E446" i="33"/>
  <c r="D446" i="33"/>
  <c r="C446" i="33"/>
  <c r="L445" i="33"/>
  <c r="K445" i="33"/>
  <c r="J445" i="33"/>
  <c r="I445" i="33"/>
  <c r="H445" i="33"/>
  <c r="G445" i="33"/>
  <c r="F445" i="33"/>
  <c r="E445" i="33"/>
  <c r="D445" i="33"/>
  <c r="C445" i="33"/>
  <c r="L444" i="33"/>
  <c r="K444" i="33"/>
  <c r="J444" i="33"/>
  <c r="I444" i="33"/>
  <c r="H444" i="33"/>
  <c r="G444" i="33"/>
  <c r="F444" i="33"/>
  <c r="E444" i="33"/>
  <c r="D444" i="33"/>
  <c r="C444" i="33"/>
  <c r="L443" i="33"/>
  <c r="K443" i="33"/>
  <c r="J443" i="33"/>
  <c r="I443" i="33"/>
  <c r="H443" i="33"/>
  <c r="G443" i="33"/>
  <c r="F443" i="33"/>
  <c r="E443" i="33"/>
  <c r="D443" i="33"/>
  <c r="C443" i="33"/>
  <c r="L442" i="33"/>
  <c r="K442" i="33"/>
  <c r="J442" i="33"/>
  <c r="I442" i="33"/>
  <c r="H442" i="33"/>
  <c r="G442" i="33"/>
  <c r="F442" i="33"/>
  <c r="E442" i="33"/>
  <c r="D442" i="33"/>
  <c r="C442" i="33"/>
  <c r="L441" i="33"/>
  <c r="K441" i="33"/>
  <c r="J441" i="33"/>
  <c r="I441" i="33"/>
  <c r="H441" i="33"/>
  <c r="G441" i="33"/>
  <c r="F441" i="33"/>
  <c r="E441" i="33"/>
  <c r="D441" i="33"/>
  <c r="C441" i="33"/>
  <c r="L440" i="33"/>
  <c r="K440" i="33"/>
  <c r="J440" i="33"/>
  <c r="I440" i="33"/>
  <c r="H440" i="33"/>
  <c r="G440" i="33"/>
  <c r="F440" i="33"/>
  <c r="E440" i="33"/>
  <c r="D440" i="33"/>
  <c r="C440" i="33"/>
  <c r="L439" i="33"/>
  <c r="K439" i="33"/>
  <c r="J439" i="33"/>
  <c r="I439" i="33"/>
  <c r="H439" i="33"/>
  <c r="G439" i="33"/>
  <c r="F439" i="33"/>
  <c r="E439" i="33"/>
  <c r="D439" i="33"/>
  <c r="C439" i="33"/>
  <c r="L438" i="33"/>
  <c r="K438" i="33"/>
  <c r="J438" i="33"/>
  <c r="I438" i="33"/>
  <c r="H438" i="33"/>
  <c r="G438" i="33"/>
  <c r="F438" i="33"/>
  <c r="E438" i="33"/>
  <c r="D438" i="33"/>
  <c r="C438" i="33"/>
  <c r="L437" i="33"/>
  <c r="K437" i="33"/>
  <c r="J437" i="33"/>
  <c r="I437" i="33"/>
  <c r="H437" i="33"/>
  <c r="G437" i="33"/>
  <c r="F437" i="33"/>
  <c r="E437" i="33"/>
  <c r="D437" i="33"/>
  <c r="C437" i="33"/>
  <c r="L436" i="33"/>
  <c r="K436" i="33"/>
  <c r="J436" i="33"/>
  <c r="I436" i="33"/>
  <c r="H436" i="33"/>
  <c r="G436" i="33"/>
  <c r="F436" i="33"/>
  <c r="E436" i="33"/>
  <c r="D436" i="33"/>
  <c r="C436" i="33"/>
  <c r="L435" i="33"/>
  <c r="K435" i="33"/>
  <c r="J435" i="33"/>
  <c r="I435" i="33"/>
  <c r="H435" i="33"/>
  <c r="G435" i="33"/>
  <c r="F435" i="33"/>
  <c r="E435" i="33"/>
  <c r="D435" i="33"/>
  <c r="C435" i="33"/>
  <c r="L434" i="33"/>
  <c r="K434" i="33"/>
  <c r="J434" i="33"/>
  <c r="I434" i="33"/>
  <c r="H434" i="33"/>
  <c r="G434" i="33"/>
  <c r="F434" i="33"/>
  <c r="E434" i="33"/>
  <c r="D434" i="33"/>
  <c r="C434" i="33"/>
  <c r="L433" i="33"/>
  <c r="K433" i="33"/>
  <c r="J433" i="33"/>
  <c r="I433" i="33"/>
  <c r="H433" i="33"/>
  <c r="G433" i="33"/>
  <c r="F433" i="33"/>
  <c r="E433" i="33"/>
  <c r="D433" i="33"/>
  <c r="C433" i="33"/>
  <c r="L432" i="33"/>
  <c r="K432" i="33"/>
  <c r="J432" i="33"/>
  <c r="I432" i="33"/>
  <c r="H432" i="33"/>
  <c r="G432" i="33"/>
  <c r="F432" i="33"/>
  <c r="E432" i="33"/>
  <c r="D432" i="33"/>
  <c r="C432" i="33"/>
  <c r="L431" i="33"/>
  <c r="K431" i="33"/>
  <c r="J431" i="33"/>
  <c r="I431" i="33"/>
  <c r="H431" i="33"/>
  <c r="G431" i="33"/>
  <c r="F431" i="33"/>
  <c r="E431" i="33"/>
  <c r="D431" i="33"/>
  <c r="C431" i="33"/>
  <c r="L430" i="33"/>
  <c r="K430" i="33"/>
  <c r="J430" i="33"/>
  <c r="I430" i="33"/>
  <c r="H430" i="33"/>
  <c r="G430" i="33"/>
  <c r="F430" i="33"/>
  <c r="E430" i="33"/>
  <c r="D430" i="33"/>
  <c r="C430" i="33"/>
  <c r="L429" i="33"/>
  <c r="K429" i="33"/>
  <c r="J429" i="33"/>
  <c r="I429" i="33"/>
  <c r="H429" i="33"/>
  <c r="G429" i="33"/>
  <c r="F429" i="33"/>
  <c r="E429" i="33"/>
  <c r="D429" i="33"/>
  <c r="C429" i="33"/>
  <c r="L428" i="33"/>
  <c r="K428" i="33"/>
  <c r="J428" i="33"/>
  <c r="I428" i="33"/>
  <c r="H428" i="33"/>
  <c r="G428" i="33"/>
  <c r="F428" i="33"/>
  <c r="E428" i="33"/>
  <c r="D428" i="33"/>
  <c r="C428" i="33"/>
  <c r="L427" i="33"/>
  <c r="K427" i="33"/>
  <c r="J427" i="33"/>
  <c r="I427" i="33"/>
  <c r="H427" i="33"/>
  <c r="G427" i="33"/>
  <c r="F427" i="33"/>
  <c r="E427" i="33"/>
  <c r="D427" i="33"/>
  <c r="C427" i="33"/>
  <c r="L426" i="33"/>
  <c r="K426" i="33"/>
  <c r="J426" i="33"/>
  <c r="I426" i="33"/>
  <c r="H426" i="33"/>
  <c r="G426" i="33"/>
  <c r="F426" i="33"/>
  <c r="E426" i="33"/>
  <c r="D426" i="33"/>
  <c r="C426" i="33"/>
  <c r="L425" i="33"/>
  <c r="K425" i="33"/>
  <c r="J425" i="33"/>
  <c r="I425" i="33"/>
  <c r="H425" i="33"/>
  <c r="G425" i="33"/>
  <c r="F425" i="33"/>
  <c r="E425" i="33"/>
  <c r="D425" i="33"/>
  <c r="C425" i="33"/>
  <c r="L424" i="33"/>
  <c r="K424" i="33"/>
  <c r="J424" i="33"/>
  <c r="I424" i="33"/>
  <c r="H424" i="33"/>
  <c r="G424" i="33"/>
  <c r="F424" i="33"/>
  <c r="E424" i="33"/>
  <c r="D424" i="33"/>
  <c r="C424" i="33"/>
  <c r="L423" i="33"/>
  <c r="K423" i="33"/>
  <c r="J423" i="33"/>
  <c r="I423" i="33"/>
  <c r="H423" i="33"/>
  <c r="G423" i="33"/>
  <c r="F423" i="33"/>
  <c r="E423" i="33"/>
  <c r="D423" i="33"/>
  <c r="C423" i="33"/>
  <c r="L422" i="33"/>
  <c r="K422" i="33"/>
  <c r="J422" i="33"/>
  <c r="I422" i="33"/>
  <c r="H422" i="33"/>
  <c r="G422" i="33"/>
  <c r="F422" i="33"/>
  <c r="E422" i="33"/>
  <c r="D422" i="33"/>
  <c r="C422" i="33"/>
  <c r="L421" i="33"/>
  <c r="K421" i="33"/>
  <c r="J421" i="33"/>
  <c r="I421" i="33"/>
  <c r="H421" i="33"/>
  <c r="G421" i="33"/>
  <c r="F421" i="33"/>
  <c r="E421" i="33"/>
  <c r="D421" i="33"/>
  <c r="C421" i="33"/>
  <c r="L420" i="33"/>
  <c r="K420" i="33"/>
  <c r="J420" i="33"/>
  <c r="I420" i="33"/>
  <c r="H420" i="33"/>
  <c r="G420" i="33"/>
  <c r="F420" i="33"/>
  <c r="E420" i="33"/>
  <c r="D420" i="33"/>
  <c r="C420" i="33"/>
  <c r="L419" i="33"/>
  <c r="K419" i="33"/>
  <c r="J419" i="33"/>
  <c r="I419" i="33"/>
  <c r="H419" i="33"/>
  <c r="G419" i="33"/>
  <c r="F419" i="33"/>
  <c r="E419" i="33"/>
  <c r="D419" i="33"/>
  <c r="C419" i="33"/>
  <c r="L418" i="33"/>
  <c r="K418" i="33"/>
  <c r="J418" i="33"/>
  <c r="I418" i="33"/>
  <c r="H418" i="33"/>
  <c r="G418" i="33"/>
  <c r="F418" i="33"/>
  <c r="E418" i="33"/>
  <c r="D418" i="33"/>
  <c r="C418" i="33"/>
  <c r="L417" i="33"/>
  <c r="K417" i="33"/>
  <c r="J417" i="33"/>
  <c r="I417" i="33"/>
  <c r="H417" i="33"/>
  <c r="G417" i="33"/>
  <c r="F417" i="33"/>
  <c r="E417" i="33"/>
  <c r="D417" i="33"/>
  <c r="C417" i="33"/>
  <c r="L416" i="33"/>
  <c r="K416" i="33"/>
  <c r="J416" i="33"/>
  <c r="I416" i="33"/>
  <c r="H416" i="33"/>
  <c r="G416" i="33"/>
  <c r="F416" i="33"/>
  <c r="E416" i="33"/>
  <c r="D416" i="33"/>
  <c r="C416" i="33"/>
  <c r="L415" i="33"/>
  <c r="K415" i="33"/>
  <c r="J415" i="33"/>
  <c r="I415" i="33"/>
  <c r="H415" i="33"/>
  <c r="G415" i="33"/>
  <c r="F415" i="33"/>
  <c r="E415" i="33"/>
  <c r="D415" i="33"/>
  <c r="C415" i="33"/>
  <c r="L414" i="33"/>
  <c r="K414" i="33"/>
  <c r="J414" i="33"/>
  <c r="I414" i="33"/>
  <c r="H414" i="33"/>
  <c r="G414" i="33"/>
  <c r="F414" i="33"/>
  <c r="E414" i="33"/>
  <c r="D414" i="33"/>
  <c r="C414" i="33"/>
  <c r="L413" i="33"/>
  <c r="K413" i="33"/>
  <c r="J413" i="33"/>
  <c r="I413" i="33"/>
  <c r="H413" i="33"/>
  <c r="G413" i="33"/>
  <c r="F413" i="33"/>
  <c r="E413" i="33"/>
  <c r="D413" i="33"/>
  <c r="C413" i="33"/>
  <c r="L412" i="33"/>
  <c r="K412" i="33"/>
  <c r="J412" i="33"/>
  <c r="I412" i="33"/>
  <c r="H412" i="33"/>
  <c r="G412" i="33"/>
  <c r="F412" i="33"/>
  <c r="E412" i="33"/>
  <c r="D412" i="33"/>
  <c r="C412" i="33"/>
  <c r="L411" i="33"/>
  <c r="K411" i="33"/>
  <c r="J411" i="33"/>
  <c r="I411" i="33"/>
  <c r="H411" i="33"/>
  <c r="G411" i="33"/>
  <c r="F411" i="33"/>
  <c r="E411" i="33"/>
  <c r="D411" i="33"/>
  <c r="C411" i="33"/>
  <c r="L410" i="33"/>
  <c r="K410" i="33"/>
  <c r="J410" i="33"/>
  <c r="I410" i="33"/>
  <c r="H410" i="33"/>
  <c r="G410" i="33"/>
  <c r="F410" i="33"/>
  <c r="E410" i="33"/>
  <c r="D410" i="33"/>
  <c r="C410" i="33"/>
  <c r="L409" i="33"/>
  <c r="K409" i="33"/>
  <c r="J409" i="33"/>
  <c r="I409" i="33"/>
  <c r="H409" i="33"/>
  <c r="G409" i="33"/>
  <c r="F409" i="33"/>
  <c r="E409" i="33"/>
  <c r="D409" i="33"/>
  <c r="C409" i="33"/>
  <c r="L408" i="33"/>
  <c r="K408" i="33"/>
  <c r="J408" i="33"/>
  <c r="I408" i="33"/>
  <c r="H408" i="33"/>
  <c r="G408" i="33"/>
  <c r="F408" i="33"/>
  <c r="E408" i="33"/>
  <c r="D408" i="33"/>
  <c r="C408" i="33"/>
  <c r="L407" i="33"/>
  <c r="K407" i="33"/>
  <c r="J407" i="33"/>
  <c r="I407" i="33"/>
  <c r="H407" i="33"/>
  <c r="G407" i="33"/>
  <c r="F407" i="33"/>
  <c r="E407" i="33"/>
  <c r="D407" i="33"/>
  <c r="C407" i="33"/>
  <c r="L406" i="33"/>
  <c r="K406" i="33"/>
  <c r="J406" i="33"/>
  <c r="I406" i="33"/>
  <c r="H406" i="33"/>
  <c r="G406" i="33"/>
  <c r="F406" i="33"/>
  <c r="E406" i="33"/>
  <c r="D406" i="33"/>
  <c r="C406" i="33"/>
  <c r="L405" i="33"/>
  <c r="K405" i="33"/>
  <c r="J405" i="33"/>
  <c r="I405" i="33"/>
  <c r="H405" i="33"/>
  <c r="G405" i="33"/>
  <c r="F405" i="33"/>
  <c r="E405" i="33"/>
  <c r="D405" i="33"/>
  <c r="C405" i="33"/>
  <c r="L404" i="33"/>
  <c r="K404" i="33"/>
  <c r="J404" i="33"/>
  <c r="I404" i="33"/>
  <c r="H404" i="33"/>
  <c r="G404" i="33"/>
  <c r="F404" i="33"/>
  <c r="E404" i="33"/>
  <c r="D404" i="33"/>
  <c r="C404" i="33"/>
  <c r="L403" i="33"/>
  <c r="K403" i="33"/>
  <c r="J403" i="33"/>
  <c r="I403" i="33"/>
  <c r="H403" i="33"/>
  <c r="G403" i="33"/>
  <c r="F403" i="33"/>
  <c r="E403" i="33"/>
  <c r="D403" i="33"/>
  <c r="C403" i="33"/>
  <c r="L402" i="33"/>
  <c r="K402" i="33"/>
  <c r="J402" i="33"/>
  <c r="I402" i="33"/>
  <c r="H402" i="33"/>
  <c r="G402" i="33"/>
  <c r="F402" i="33"/>
  <c r="E402" i="33"/>
  <c r="D402" i="33"/>
  <c r="C402" i="33"/>
  <c r="L401" i="33"/>
  <c r="K401" i="33"/>
  <c r="J401" i="33"/>
  <c r="I401" i="33"/>
  <c r="H401" i="33"/>
  <c r="G401" i="33"/>
  <c r="F401" i="33"/>
  <c r="E401" i="33"/>
  <c r="D401" i="33"/>
  <c r="C401" i="33"/>
  <c r="L400" i="33"/>
  <c r="K400" i="33"/>
  <c r="J400" i="33"/>
  <c r="I400" i="33"/>
  <c r="H400" i="33"/>
  <c r="G400" i="33"/>
  <c r="F400" i="33"/>
  <c r="E400" i="33"/>
  <c r="D400" i="33"/>
  <c r="C400" i="33"/>
  <c r="L399" i="33"/>
  <c r="K399" i="33"/>
  <c r="J399" i="33"/>
  <c r="I399" i="33"/>
  <c r="H399" i="33"/>
  <c r="G399" i="33"/>
  <c r="F399" i="33"/>
  <c r="E399" i="33"/>
  <c r="D399" i="33"/>
  <c r="C399" i="33"/>
  <c r="L398" i="33"/>
  <c r="K398" i="33"/>
  <c r="J398" i="33"/>
  <c r="I398" i="33"/>
  <c r="H398" i="33"/>
  <c r="G398" i="33"/>
  <c r="F398" i="33"/>
  <c r="E398" i="33"/>
  <c r="D398" i="33"/>
  <c r="C398" i="33"/>
  <c r="L397" i="33"/>
  <c r="K397" i="33"/>
  <c r="J397" i="33"/>
  <c r="I397" i="33"/>
  <c r="H397" i="33"/>
  <c r="G397" i="33"/>
  <c r="F397" i="33"/>
  <c r="E397" i="33"/>
  <c r="D397" i="33"/>
  <c r="C397" i="33"/>
  <c r="L396" i="33"/>
  <c r="K396" i="33"/>
  <c r="J396" i="33"/>
  <c r="I396" i="33"/>
  <c r="H396" i="33"/>
  <c r="G396" i="33"/>
  <c r="F396" i="33"/>
  <c r="E396" i="33"/>
  <c r="D396" i="33"/>
  <c r="C396" i="33"/>
  <c r="L395" i="33"/>
  <c r="K395" i="33"/>
  <c r="J395" i="33"/>
  <c r="I395" i="33"/>
  <c r="H395" i="33"/>
  <c r="G395" i="33"/>
  <c r="F395" i="33"/>
  <c r="E395" i="33"/>
  <c r="D395" i="33"/>
  <c r="C395" i="33"/>
  <c r="L394" i="33"/>
  <c r="K394" i="33"/>
  <c r="J394" i="33"/>
  <c r="I394" i="33"/>
  <c r="H394" i="33"/>
  <c r="G394" i="33"/>
  <c r="F394" i="33"/>
  <c r="E394" i="33"/>
  <c r="D394" i="33"/>
  <c r="C394" i="33"/>
  <c r="L393" i="33"/>
  <c r="K393" i="33"/>
  <c r="J393" i="33"/>
  <c r="I393" i="33"/>
  <c r="H393" i="33"/>
  <c r="G393" i="33"/>
  <c r="F393" i="33"/>
  <c r="E393" i="33"/>
  <c r="D393" i="33"/>
  <c r="C393" i="33"/>
  <c r="L392" i="33"/>
  <c r="K392" i="33"/>
  <c r="J392" i="33"/>
  <c r="I392" i="33"/>
  <c r="H392" i="33"/>
  <c r="G392" i="33"/>
  <c r="F392" i="33"/>
  <c r="E392" i="33"/>
  <c r="D392" i="33"/>
  <c r="C392" i="33"/>
  <c r="L391" i="33"/>
  <c r="K391" i="33"/>
  <c r="J391" i="33"/>
  <c r="I391" i="33"/>
  <c r="H391" i="33"/>
  <c r="G391" i="33"/>
  <c r="F391" i="33"/>
  <c r="E391" i="33"/>
  <c r="D391" i="33"/>
  <c r="C391" i="33"/>
  <c r="L390" i="33"/>
  <c r="K390" i="33"/>
  <c r="J390" i="33"/>
  <c r="I390" i="33"/>
  <c r="H390" i="33"/>
  <c r="G390" i="33"/>
  <c r="F390" i="33"/>
  <c r="E390" i="33"/>
  <c r="D390" i="33"/>
  <c r="C390" i="33"/>
  <c r="L389" i="33"/>
  <c r="K389" i="33"/>
  <c r="J389" i="33"/>
  <c r="I389" i="33"/>
  <c r="H389" i="33"/>
  <c r="G389" i="33"/>
  <c r="F389" i="33"/>
  <c r="E389" i="33"/>
  <c r="D389" i="33"/>
  <c r="C389" i="33"/>
  <c r="L388" i="33"/>
  <c r="K388" i="33"/>
  <c r="J388" i="33"/>
  <c r="I388" i="33"/>
  <c r="H388" i="33"/>
  <c r="G388" i="33"/>
  <c r="F388" i="33"/>
  <c r="E388" i="33"/>
  <c r="D388" i="33"/>
  <c r="C388" i="33"/>
  <c r="L387" i="33"/>
  <c r="K387" i="33"/>
  <c r="J387" i="33"/>
  <c r="I387" i="33"/>
  <c r="H387" i="33"/>
  <c r="G387" i="33"/>
  <c r="F387" i="33"/>
  <c r="E387" i="33"/>
  <c r="D387" i="33"/>
  <c r="C387" i="33"/>
  <c r="L386" i="33"/>
  <c r="K386" i="33"/>
  <c r="J386" i="33"/>
  <c r="I386" i="33"/>
  <c r="H386" i="33"/>
  <c r="G386" i="33"/>
  <c r="F386" i="33"/>
  <c r="E386" i="33"/>
  <c r="D386" i="33"/>
  <c r="C386" i="33"/>
  <c r="L385" i="33"/>
  <c r="K385" i="33"/>
  <c r="J385" i="33"/>
  <c r="I385" i="33"/>
  <c r="H385" i="33"/>
  <c r="G385" i="33"/>
  <c r="F385" i="33"/>
  <c r="E385" i="33"/>
  <c r="D385" i="33"/>
  <c r="C385" i="33"/>
  <c r="L384" i="33"/>
  <c r="K384" i="33"/>
  <c r="J384" i="33"/>
  <c r="I384" i="33"/>
  <c r="H384" i="33"/>
  <c r="G384" i="33"/>
  <c r="F384" i="33"/>
  <c r="E384" i="33"/>
  <c r="D384" i="33"/>
  <c r="C384" i="33"/>
  <c r="L383" i="33"/>
  <c r="K383" i="33"/>
  <c r="J383" i="33"/>
  <c r="I383" i="33"/>
  <c r="H383" i="33"/>
  <c r="G383" i="33"/>
  <c r="F383" i="33"/>
  <c r="E383" i="33"/>
  <c r="D383" i="33"/>
  <c r="C383" i="33"/>
  <c r="L382" i="33"/>
  <c r="K382" i="33"/>
  <c r="J382" i="33"/>
  <c r="I382" i="33"/>
  <c r="H382" i="33"/>
  <c r="G382" i="33"/>
  <c r="F382" i="33"/>
  <c r="E382" i="33"/>
  <c r="D382" i="33"/>
  <c r="C382" i="33"/>
  <c r="L381" i="33"/>
  <c r="K381" i="33"/>
  <c r="J381" i="33"/>
  <c r="I381" i="33"/>
  <c r="H381" i="33"/>
  <c r="G381" i="33"/>
  <c r="F381" i="33"/>
  <c r="E381" i="33"/>
  <c r="D381" i="33"/>
  <c r="C381" i="33"/>
  <c r="L380" i="33"/>
  <c r="K380" i="33"/>
  <c r="J380" i="33"/>
  <c r="I380" i="33"/>
  <c r="H380" i="33"/>
  <c r="G380" i="33"/>
  <c r="F380" i="33"/>
  <c r="E380" i="33"/>
  <c r="D380" i="33"/>
  <c r="C380" i="33"/>
  <c r="L379" i="33"/>
  <c r="K379" i="33"/>
  <c r="J379" i="33"/>
  <c r="I379" i="33"/>
  <c r="H379" i="33"/>
  <c r="G379" i="33"/>
  <c r="F379" i="33"/>
  <c r="E379" i="33"/>
  <c r="D379" i="33"/>
  <c r="C379" i="33"/>
  <c r="L378" i="33"/>
  <c r="K378" i="33"/>
  <c r="J378" i="33"/>
  <c r="I378" i="33"/>
  <c r="H378" i="33"/>
  <c r="G378" i="33"/>
  <c r="F378" i="33"/>
  <c r="E378" i="33"/>
  <c r="D378" i="33"/>
  <c r="C378" i="33"/>
  <c r="L377" i="33"/>
  <c r="K377" i="33"/>
  <c r="J377" i="33"/>
  <c r="I377" i="33"/>
  <c r="H377" i="33"/>
  <c r="G377" i="33"/>
  <c r="F377" i="33"/>
  <c r="E377" i="33"/>
  <c r="D377" i="33"/>
  <c r="C377" i="33"/>
  <c r="L376" i="33"/>
  <c r="K376" i="33"/>
  <c r="J376" i="33"/>
  <c r="I376" i="33"/>
  <c r="H376" i="33"/>
  <c r="G376" i="33"/>
  <c r="F376" i="33"/>
  <c r="E376" i="33"/>
  <c r="D376" i="33"/>
  <c r="C376" i="33"/>
  <c r="L375" i="33"/>
  <c r="K375" i="33"/>
  <c r="J375" i="33"/>
  <c r="I375" i="33"/>
  <c r="H375" i="33"/>
  <c r="G375" i="33"/>
  <c r="F375" i="33"/>
  <c r="E375" i="33"/>
  <c r="D375" i="33"/>
  <c r="C375" i="33"/>
  <c r="L374" i="33"/>
  <c r="K374" i="33"/>
  <c r="J374" i="33"/>
  <c r="I374" i="33"/>
  <c r="H374" i="33"/>
  <c r="G374" i="33"/>
  <c r="F374" i="33"/>
  <c r="E374" i="33"/>
  <c r="D374" i="33"/>
  <c r="C374" i="33"/>
  <c r="L373" i="33"/>
  <c r="K373" i="33"/>
  <c r="J373" i="33"/>
  <c r="I373" i="33"/>
  <c r="H373" i="33"/>
  <c r="G373" i="33"/>
  <c r="F373" i="33"/>
  <c r="E373" i="33"/>
  <c r="D373" i="33"/>
  <c r="C373" i="33"/>
  <c r="L372" i="33"/>
  <c r="K372" i="33"/>
  <c r="J372" i="33"/>
  <c r="I372" i="33"/>
  <c r="H372" i="33"/>
  <c r="G372" i="33"/>
  <c r="F372" i="33"/>
  <c r="E372" i="33"/>
  <c r="D372" i="33"/>
  <c r="C372" i="33"/>
  <c r="L371" i="33"/>
  <c r="K371" i="33"/>
  <c r="J371" i="33"/>
  <c r="I371" i="33"/>
  <c r="H371" i="33"/>
  <c r="G371" i="33"/>
  <c r="F371" i="33"/>
  <c r="E371" i="33"/>
  <c r="D371" i="33"/>
  <c r="C371" i="33"/>
  <c r="L370" i="33"/>
  <c r="K370" i="33"/>
  <c r="J370" i="33"/>
  <c r="I370" i="33"/>
  <c r="H370" i="33"/>
  <c r="G370" i="33"/>
  <c r="F370" i="33"/>
  <c r="E370" i="33"/>
  <c r="D370" i="33"/>
  <c r="C370" i="33"/>
  <c r="L369" i="33"/>
  <c r="K369" i="33"/>
  <c r="J369" i="33"/>
  <c r="I369" i="33"/>
  <c r="H369" i="33"/>
  <c r="G369" i="33"/>
  <c r="F369" i="33"/>
  <c r="E369" i="33"/>
  <c r="D369" i="33"/>
  <c r="C369" i="33"/>
  <c r="L368" i="33"/>
  <c r="K368" i="33"/>
  <c r="J368" i="33"/>
  <c r="I368" i="33"/>
  <c r="H368" i="33"/>
  <c r="G368" i="33"/>
  <c r="F368" i="33"/>
  <c r="E368" i="33"/>
  <c r="D368" i="33"/>
  <c r="C368" i="33"/>
  <c r="L367" i="33"/>
  <c r="K367" i="33"/>
  <c r="J367" i="33"/>
  <c r="I367" i="33"/>
  <c r="H367" i="33"/>
  <c r="G367" i="33"/>
  <c r="F367" i="33"/>
  <c r="E367" i="33"/>
  <c r="D367" i="33"/>
  <c r="C367" i="33"/>
  <c r="L366" i="33"/>
  <c r="K366" i="33"/>
  <c r="J366" i="33"/>
  <c r="I366" i="33"/>
  <c r="H366" i="33"/>
  <c r="G366" i="33"/>
  <c r="F366" i="33"/>
  <c r="E366" i="33"/>
  <c r="D366" i="33"/>
  <c r="C366" i="33"/>
  <c r="L365" i="33"/>
  <c r="K365" i="33"/>
  <c r="J365" i="33"/>
  <c r="I365" i="33"/>
  <c r="H365" i="33"/>
  <c r="G365" i="33"/>
  <c r="F365" i="33"/>
  <c r="E365" i="33"/>
  <c r="D365" i="33"/>
  <c r="C365" i="33"/>
  <c r="L364" i="33"/>
  <c r="K364" i="33"/>
  <c r="J364" i="33"/>
  <c r="I364" i="33"/>
  <c r="H364" i="33"/>
  <c r="G364" i="33"/>
  <c r="F364" i="33"/>
  <c r="E364" i="33"/>
  <c r="D364" i="33"/>
  <c r="C364" i="33"/>
  <c r="L363" i="33"/>
  <c r="K363" i="33"/>
  <c r="J363" i="33"/>
  <c r="I363" i="33"/>
  <c r="H363" i="33"/>
  <c r="G363" i="33"/>
  <c r="F363" i="33"/>
  <c r="E363" i="33"/>
  <c r="D363" i="33"/>
  <c r="C363" i="33"/>
  <c r="L362" i="33"/>
  <c r="K362" i="33"/>
  <c r="J362" i="33"/>
  <c r="I362" i="33"/>
  <c r="H362" i="33"/>
  <c r="G362" i="33"/>
  <c r="F362" i="33"/>
  <c r="E362" i="33"/>
  <c r="D362" i="33"/>
  <c r="C362" i="33"/>
  <c r="L361" i="33"/>
  <c r="K361" i="33"/>
  <c r="J361" i="33"/>
  <c r="I361" i="33"/>
  <c r="H361" i="33"/>
  <c r="G361" i="33"/>
  <c r="F361" i="33"/>
  <c r="E361" i="33"/>
  <c r="D361" i="33"/>
  <c r="C361" i="33"/>
  <c r="L360" i="33"/>
  <c r="K360" i="33"/>
  <c r="J360" i="33"/>
  <c r="I360" i="33"/>
  <c r="H360" i="33"/>
  <c r="G360" i="33"/>
  <c r="F360" i="33"/>
  <c r="E360" i="33"/>
  <c r="D360" i="33"/>
  <c r="C360" i="33"/>
  <c r="L359" i="33"/>
  <c r="K359" i="33"/>
  <c r="J359" i="33"/>
  <c r="I359" i="33"/>
  <c r="H359" i="33"/>
  <c r="G359" i="33"/>
  <c r="F359" i="33"/>
  <c r="E359" i="33"/>
  <c r="D359" i="33"/>
  <c r="C359" i="33"/>
  <c r="L358" i="33"/>
  <c r="K358" i="33"/>
  <c r="J358" i="33"/>
  <c r="I358" i="33"/>
  <c r="H358" i="33"/>
  <c r="G358" i="33"/>
  <c r="F358" i="33"/>
  <c r="E358" i="33"/>
  <c r="D358" i="33"/>
  <c r="C358" i="33"/>
  <c r="L357" i="33"/>
  <c r="K357" i="33"/>
  <c r="J357" i="33"/>
  <c r="I357" i="33"/>
  <c r="H357" i="33"/>
  <c r="G357" i="33"/>
  <c r="F357" i="33"/>
  <c r="E357" i="33"/>
  <c r="D357" i="33"/>
  <c r="C357" i="33"/>
  <c r="L356" i="33"/>
  <c r="K356" i="33"/>
  <c r="J356" i="33"/>
  <c r="I356" i="33"/>
  <c r="H356" i="33"/>
  <c r="G356" i="33"/>
  <c r="F356" i="33"/>
  <c r="E356" i="33"/>
  <c r="D356" i="33"/>
  <c r="C356" i="33"/>
  <c r="L355" i="33"/>
  <c r="K355" i="33"/>
  <c r="J355" i="33"/>
  <c r="I355" i="33"/>
  <c r="H355" i="33"/>
  <c r="G355" i="33"/>
  <c r="F355" i="33"/>
  <c r="E355" i="33"/>
  <c r="D355" i="33"/>
  <c r="C355" i="33"/>
  <c r="L354" i="33"/>
  <c r="K354" i="33"/>
  <c r="J354" i="33"/>
  <c r="I354" i="33"/>
  <c r="H354" i="33"/>
  <c r="G354" i="33"/>
  <c r="F354" i="33"/>
  <c r="E354" i="33"/>
  <c r="D354" i="33"/>
  <c r="C354" i="33"/>
  <c r="L353" i="33"/>
  <c r="K353" i="33"/>
  <c r="J353" i="33"/>
  <c r="I353" i="33"/>
  <c r="H353" i="33"/>
  <c r="G353" i="33"/>
  <c r="F353" i="33"/>
  <c r="E353" i="33"/>
  <c r="D353" i="33"/>
  <c r="C353" i="33"/>
  <c r="L352" i="33"/>
  <c r="K352" i="33"/>
  <c r="J352" i="33"/>
  <c r="I352" i="33"/>
  <c r="H352" i="33"/>
  <c r="G352" i="33"/>
  <c r="F352" i="33"/>
  <c r="E352" i="33"/>
  <c r="D352" i="33"/>
  <c r="C352" i="33"/>
  <c r="L351" i="33"/>
  <c r="K351" i="33"/>
  <c r="J351" i="33"/>
  <c r="I351" i="33"/>
  <c r="H351" i="33"/>
  <c r="G351" i="33"/>
  <c r="F351" i="33"/>
  <c r="E351" i="33"/>
  <c r="D351" i="33"/>
  <c r="C351" i="33"/>
  <c r="L350" i="33"/>
  <c r="K350" i="33"/>
  <c r="J350" i="33"/>
  <c r="I350" i="33"/>
  <c r="H350" i="33"/>
  <c r="G350" i="33"/>
  <c r="F350" i="33"/>
  <c r="E350" i="33"/>
  <c r="D350" i="33"/>
  <c r="C350" i="33"/>
  <c r="L349" i="33"/>
  <c r="K349" i="33"/>
  <c r="J349" i="33"/>
  <c r="I349" i="33"/>
  <c r="H349" i="33"/>
  <c r="G349" i="33"/>
  <c r="F349" i="33"/>
  <c r="E349" i="33"/>
  <c r="D349" i="33"/>
  <c r="C349" i="33"/>
  <c r="L348" i="33"/>
  <c r="K348" i="33"/>
  <c r="J348" i="33"/>
  <c r="I348" i="33"/>
  <c r="H348" i="33"/>
  <c r="G348" i="33"/>
  <c r="F348" i="33"/>
  <c r="E348" i="33"/>
  <c r="D348" i="33"/>
  <c r="C348" i="33"/>
  <c r="L347" i="33"/>
  <c r="K347" i="33"/>
  <c r="J347" i="33"/>
  <c r="I347" i="33"/>
  <c r="H347" i="33"/>
  <c r="G347" i="33"/>
  <c r="F347" i="33"/>
  <c r="E347" i="33"/>
  <c r="D347" i="33"/>
  <c r="C347" i="33"/>
  <c r="L346" i="33"/>
  <c r="K346" i="33"/>
  <c r="J346" i="33"/>
  <c r="I346" i="33"/>
  <c r="H346" i="33"/>
  <c r="G346" i="33"/>
  <c r="F346" i="33"/>
  <c r="E346" i="33"/>
  <c r="D346" i="33"/>
  <c r="C346" i="33"/>
  <c r="L345" i="33"/>
  <c r="K345" i="33"/>
  <c r="J345" i="33"/>
  <c r="I345" i="33"/>
  <c r="H345" i="33"/>
  <c r="G345" i="33"/>
  <c r="F345" i="33"/>
  <c r="E345" i="33"/>
  <c r="D345" i="33"/>
  <c r="C345" i="33"/>
  <c r="L344" i="33"/>
  <c r="K344" i="33"/>
  <c r="J344" i="33"/>
  <c r="I344" i="33"/>
  <c r="H344" i="33"/>
  <c r="G344" i="33"/>
  <c r="F344" i="33"/>
  <c r="E344" i="33"/>
  <c r="D344" i="33"/>
  <c r="C344" i="33"/>
  <c r="L343" i="33"/>
  <c r="K343" i="33"/>
  <c r="J343" i="33"/>
  <c r="I343" i="33"/>
  <c r="H343" i="33"/>
  <c r="G343" i="33"/>
  <c r="F343" i="33"/>
  <c r="E343" i="33"/>
  <c r="D343" i="33"/>
  <c r="C343" i="33"/>
  <c r="L342" i="33"/>
  <c r="K342" i="33"/>
  <c r="J342" i="33"/>
  <c r="I342" i="33"/>
  <c r="H342" i="33"/>
  <c r="G342" i="33"/>
  <c r="F342" i="33"/>
  <c r="E342" i="33"/>
  <c r="D342" i="33"/>
  <c r="C342" i="33"/>
  <c r="L341" i="33"/>
  <c r="K341" i="33"/>
  <c r="J341" i="33"/>
  <c r="I341" i="33"/>
  <c r="H341" i="33"/>
  <c r="G341" i="33"/>
  <c r="F341" i="33"/>
  <c r="E341" i="33"/>
  <c r="D341" i="33"/>
  <c r="C341" i="33"/>
  <c r="L340" i="33"/>
  <c r="K340" i="33"/>
  <c r="J340" i="33"/>
  <c r="I340" i="33"/>
  <c r="H340" i="33"/>
  <c r="G340" i="33"/>
  <c r="F340" i="33"/>
  <c r="E340" i="33"/>
  <c r="D340" i="33"/>
  <c r="C340" i="33"/>
  <c r="L339" i="33"/>
  <c r="K339" i="33"/>
  <c r="J339" i="33"/>
  <c r="I339" i="33"/>
  <c r="H339" i="33"/>
  <c r="G339" i="33"/>
  <c r="F339" i="33"/>
  <c r="E339" i="33"/>
  <c r="D339" i="33"/>
  <c r="C339" i="33"/>
  <c r="L338" i="33"/>
  <c r="K338" i="33"/>
  <c r="J338" i="33"/>
  <c r="I338" i="33"/>
  <c r="H338" i="33"/>
  <c r="G338" i="33"/>
  <c r="F338" i="33"/>
  <c r="E338" i="33"/>
  <c r="D338" i="33"/>
  <c r="C338" i="33"/>
  <c r="L337" i="33"/>
  <c r="K337" i="33"/>
  <c r="J337" i="33"/>
  <c r="I337" i="33"/>
  <c r="H337" i="33"/>
  <c r="G337" i="33"/>
  <c r="F337" i="33"/>
  <c r="E337" i="33"/>
  <c r="D337" i="33"/>
  <c r="C337" i="33"/>
  <c r="L336" i="33"/>
  <c r="K336" i="33"/>
  <c r="J336" i="33"/>
  <c r="I336" i="33"/>
  <c r="H336" i="33"/>
  <c r="G336" i="33"/>
  <c r="F336" i="33"/>
  <c r="E336" i="33"/>
  <c r="D336" i="33"/>
  <c r="C336" i="33"/>
  <c r="L335" i="33"/>
  <c r="K335" i="33"/>
  <c r="J335" i="33"/>
  <c r="I335" i="33"/>
  <c r="H335" i="33"/>
  <c r="G335" i="33"/>
  <c r="F335" i="33"/>
  <c r="E335" i="33"/>
  <c r="D335" i="33"/>
  <c r="C335" i="33"/>
  <c r="L334" i="33"/>
  <c r="K334" i="33"/>
  <c r="J334" i="33"/>
  <c r="I334" i="33"/>
  <c r="H334" i="33"/>
  <c r="G334" i="33"/>
  <c r="F334" i="33"/>
  <c r="E334" i="33"/>
  <c r="D334" i="33"/>
  <c r="C334" i="33"/>
  <c r="L333" i="33"/>
  <c r="K333" i="33"/>
  <c r="J333" i="33"/>
  <c r="I333" i="33"/>
  <c r="H333" i="33"/>
  <c r="G333" i="33"/>
  <c r="F333" i="33"/>
  <c r="E333" i="33"/>
  <c r="D333" i="33"/>
  <c r="C333" i="33"/>
  <c r="L332" i="33"/>
  <c r="K332" i="33"/>
  <c r="J332" i="33"/>
  <c r="I332" i="33"/>
  <c r="H332" i="33"/>
  <c r="G332" i="33"/>
  <c r="F332" i="33"/>
  <c r="E332" i="33"/>
  <c r="D332" i="33"/>
  <c r="C332" i="33"/>
  <c r="L331" i="33"/>
  <c r="K331" i="33"/>
  <c r="J331" i="33"/>
  <c r="I331" i="33"/>
  <c r="H331" i="33"/>
  <c r="G331" i="33"/>
  <c r="F331" i="33"/>
  <c r="E331" i="33"/>
  <c r="D331" i="33"/>
  <c r="C331" i="33"/>
  <c r="L330" i="33"/>
  <c r="K330" i="33"/>
  <c r="J330" i="33"/>
  <c r="I330" i="33"/>
  <c r="H330" i="33"/>
  <c r="G330" i="33"/>
  <c r="F330" i="33"/>
  <c r="E330" i="33"/>
  <c r="D330" i="33"/>
  <c r="C330" i="33"/>
  <c r="L329" i="33"/>
  <c r="K329" i="33"/>
  <c r="J329" i="33"/>
  <c r="I329" i="33"/>
  <c r="H329" i="33"/>
  <c r="G329" i="33"/>
  <c r="F329" i="33"/>
  <c r="E329" i="33"/>
  <c r="D329" i="33"/>
  <c r="C329" i="33"/>
  <c r="L328" i="33"/>
  <c r="K328" i="33"/>
  <c r="J328" i="33"/>
  <c r="I328" i="33"/>
  <c r="H328" i="33"/>
  <c r="G328" i="33"/>
  <c r="F328" i="33"/>
  <c r="E328" i="33"/>
  <c r="D328" i="33"/>
  <c r="C328" i="33"/>
  <c r="L327" i="33"/>
  <c r="K327" i="33"/>
  <c r="J327" i="33"/>
  <c r="I327" i="33"/>
  <c r="H327" i="33"/>
  <c r="G327" i="33"/>
  <c r="F327" i="33"/>
  <c r="E327" i="33"/>
  <c r="D327" i="33"/>
  <c r="C327" i="33"/>
  <c r="L326" i="33"/>
  <c r="K326" i="33"/>
  <c r="J326" i="33"/>
  <c r="I326" i="33"/>
  <c r="H326" i="33"/>
  <c r="G326" i="33"/>
  <c r="F326" i="33"/>
  <c r="E326" i="33"/>
  <c r="D326" i="33"/>
  <c r="C326" i="33"/>
  <c r="L325" i="33"/>
  <c r="K325" i="33"/>
  <c r="J325" i="33"/>
  <c r="I325" i="33"/>
  <c r="H325" i="33"/>
  <c r="G325" i="33"/>
  <c r="F325" i="33"/>
  <c r="E325" i="33"/>
  <c r="D325" i="33"/>
  <c r="C325" i="33"/>
  <c r="L324" i="33"/>
  <c r="K324" i="33"/>
  <c r="J324" i="33"/>
  <c r="I324" i="33"/>
  <c r="H324" i="33"/>
  <c r="G324" i="33"/>
  <c r="F324" i="33"/>
  <c r="E324" i="33"/>
  <c r="D324" i="33"/>
  <c r="C324" i="33"/>
  <c r="L323" i="33"/>
  <c r="K323" i="33"/>
  <c r="J323" i="33"/>
  <c r="I323" i="33"/>
  <c r="H323" i="33"/>
  <c r="G323" i="33"/>
  <c r="F323" i="33"/>
  <c r="E323" i="33"/>
  <c r="D323" i="33"/>
  <c r="C323" i="33"/>
  <c r="L322" i="33"/>
  <c r="K322" i="33"/>
  <c r="J322" i="33"/>
  <c r="I322" i="33"/>
  <c r="H322" i="33"/>
  <c r="G322" i="33"/>
  <c r="F322" i="33"/>
  <c r="E322" i="33"/>
  <c r="D322" i="33"/>
  <c r="C322" i="33"/>
  <c r="L321" i="33"/>
  <c r="K321" i="33"/>
  <c r="J321" i="33"/>
  <c r="I321" i="33"/>
  <c r="H321" i="33"/>
  <c r="G321" i="33"/>
  <c r="F321" i="33"/>
  <c r="E321" i="33"/>
  <c r="D321" i="33"/>
  <c r="C321" i="33"/>
  <c r="L320" i="33"/>
  <c r="K320" i="33"/>
  <c r="J320" i="33"/>
  <c r="I320" i="33"/>
  <c r="H320" i="33"/>
  <c r="G320" i="33"/>
  <c r="F320" i="33"/>
  <c r="E320" i="33"/>
  <c r="D320" i="33"/>
  <c r="C320" i="33"/>
  <c r="L319" i="33"/>
  <c r="K319" i="33"/>
  <c r="J319" i="33"/>
  <c r="I319" i="33"/>
  <c r="H319" i="33"/>
  <c r="G319" i="33"/>
  <c r="F319" i="33"/>
  <c r="E319" i="33"/>
  <c r="D319" i="33"/>
  <c r="C319" i="33"/>
  <c r="L318" i="33"/>
  <c r="K318" i="33"/>
  <c r="J318" i="33"/>
  <c r="I318" i="33"/>
  <c r="H318" i="33"/>
  <c r="G318" i="33"/>
  <c r="F318" i="33"/>
  <c r="E318" i="33"/>
  <c r="D318" i="33"/>
  <c r="C318" i="33"/>
  <c r="L317" i="33"/>
  <c r="K317" i="33"/>
  <c r="J317" i="33"/>
  <c r="I317" i="33"/>
  <c r="H317" i="33"/>
  <c r="G317" i="33"/>
  <c r="F317" i="33"/>
  <c r="E317" i="33"/>
  <c r="D317" i="33"/>
  <c r="C317" i="33"/>
  <c r="L316" i="33"/>
  <c r="K316" i="33"/>
  <c r="J316" i="33"/>
  <c r="I316" i="33"/>
  <c r="H316" i="33"/>
  <c r="G316" i="33"/>
  <c r="F316" i="33"/>
  <c r="E316" i="33"/>
  <c r="D316" i="33"/>
  <c r="C316" i="33"/>
  <c r="L315" i="33"/>
  <c r="K315" i="33"/>
  <c r="J315" i="33"/>
  <c r="I315" i="33"/>
  <c r="H315" i="33"/>
  <c r="G315" i="33"/>
  <c r="F315" i="33"/>
  <c r="E315" i="33"/>
  <c r="D315" i="33"/>
  <c r="C315" i="33"/>
  <c r="L314" i="33"/>
  <c r="K314" i="33"/>
  <c r="J314" i="33"/>
  <c r="I314" i="33"/>
  <c r="H314" i="33"/>
  <c r="G314" i="33"/>
  <c r="F314" i="33"/>
  <c r="E314" i="33"/>
  <c r="D314" i="33"/>
  <c r="C314" i="33"/>
  <c r="L313" i="33"/>
  <c r="K313" i="33"/>
  <c r="J313" i="33"/>
  <c r="I313" i="33"/>
  <c r="H313" i="33"/>
  <c r="G313" i="33"/>
  <c r="F313" i="33"/>
  <c r="E313" i="33"/>
  <c r="D313" i="33"/>
  <c r="C313" i="33"/>
  <c r="L312" i="33"/>
  <c r="K312" i="33"/>
  <c r="J312" i="33"/>
  <c r="I312" i="33"/>
  <c r="H312" i="33"/>
  <c r="G312" i="33"/>
  <c r="F312" i="33"/>
  <c r="E312" i="33"/>
  <c r="D312" i="33"/>
  <c r="C312" i="33"/>
  <c r="L311" i="33"/>
  <c r="K311" i="33"/>
  <c r="J311" i="33"/>
  <c r="I311" i="33"/>
  <c r="H311" i="33"/>
  <c r="G311" i="33"/>
  <c r="F311" i="33"/>
  <c r="E311" i="33"/>
  <c r="D311" i="33"/>
  <c r="C311" i="33"/>
  <c r="L310" i="33"/>
  <c r="K310" i="33"/>
  <c r="J310" i="33"/>
  <c r="I310" i="33"/>
  <c r="H310" i="33"/>
  <c r="G310" i="33"/>
  <c r="F310" i="33"/>
  <c r="E310" i="33"/>
  <c r="D310" i="33"/>
  <c r="C310" i="33"/>
  <c r="L309" i="33"/>
  <c r="K309" i="33"/>
  <c r="J309" i="33"/>
  <c r="I309" i="33"/>
  <c r="H309" i="33"/>
  <c r="G309" i="33"/>
  <c r="F309" i="33"/>
  <c r="E309" i="33"/>
  <c r="D309" i="33"/>
  <c r="C309" i="33"/>
  <c r="L308" i="33"/>
  <c r="K308" i="33"/>
  <c r="J308" i="33"/>
  <c r="I308" i="33"/>
  <c r="H308" i="33"/>
  <c r="G308" i="33"/>
  <c r="F308" i="33"/>
  <c r="E308" i="33"/>
  <c r="D308" i="33"/>
  <c r="C308" i="33"/>
  <c r="L307" i="33"/>
  <c r="K307" i="33"/>
  <c r="J307" i="33"/>
  <c r="I307" i="33"/>
  <c r="H307" i="33"/>
  <c r="G307" i="33"/>
  <c r="F307" i="33"/>
  <c r="E307" i="33"/>
  <c r="D307" i="33"/>
  <c r="C307" i="33"/>
  <c r="L306" i="33"/>
  <c r="K306" i="33"/>
  <c r="J306" i="33"/>
  <c r="I306" i="33"/>
  <c r="H306" i="33"/>
  <c r="G306" i="33"/>
  <c r="F306" i="33"/>
  <c r="E306" i="33"/>
  <c r="D306" i="33"/>
  <c r="C306" i="33"/>
  <c r="L305" i="33"/>
  <c r="K305" i="33"/>
  <c r="J305" i="33"/>
  <c r="I305" i="33"/>
  <c r="H305" i="33"/>
  <c r="G305" i="33"/>
  <c r="F305" i="33"/>
  <c r="E305" i="33"/>
  <c r="D305" i="33"/>
  <c r="C305" i="33"/>
  <c r="L304" i="33"/>
  <c r="K304" i="33"/>
  <c r="J304" i="33"/>
  <c r="I304" i="33"/>
  <c r="H304" i="33"/>
  <c r="G304" i="33"/>
  <c r="F304" i="33"/>
  <c r="E304" i="33"/>
  <c r="D304" i="33"/>
  <c r="C304" i="33"/>
  <c r="L303" i="33"/>
  <c r="K303" i="33"/>
  <c r="J303" i="33"/>
  <c r="I303" i="33"/>
  <c r="H303" i="33"/>
  <c r="G303" i="33"/>
  <c r="F303" i="33"/>
  <c r="E303" i="33"/>
  <c r="D303" i="33"/>
  <c r="C303" i="33"/>
  <c r="L302" i="33"/>
  <c r="K302" i="33"/>
  <c r="J302" i="33"/>
  <c r="I302" i="33"/>
  <c r="H302" i="33"/>
  <c r="G302" i="33"/>
  <c r="F302" i="33"/>
  <c r="E302" i="33"/>
  <c r="D302" i="33"/>
  <c r="C302" i="33"/>
  <c r="L301" i="33"/>
  <c r="K301" i="33"/>
  <c r="J301" i="33"/>
  <c r="I301" i="33"/>
  <c r="H301" i="33"/>
  <c r="G301" i="33"/>
  <c r="F301" i="33"/>
  <c r="E301" i="33"/>
  <c r="D301" i="33"/>
  <c r="C301" i="33"/>
  <c r="L300" i="33"/>
  <c r="K300" i="33"/>
  <c r="J300" i="33"/>
  <c r="I300" i="33"/>
  <c r="H300" i="33"/>
  <c r="G300" i="33"/>
  <c r="F300" i="33"/>
  <c r="E300" i="33"/>
  <c r="D300" i="33"/>
  <c r="C300" i="33"/>
  <c r="L299" i="33"/>
  <c r="K299" i="33"/>
  <c r="J299" i="33"/>
  <c r="I299" i="33"/>
  <c r="H299" i="33"/>
  <c r="G299" i="33"/>
  <c r="F299" i="33"/>
  <c r="E299" i="33"/>
  <c r="D299" i="33"/>
  <c r="C299" i="33"/>
  <c r="L298" i="33"/>
  <c r="K298" i="33"/>
  <c r="J298" i="33"/>
  <c r="I298" i="33"/>
  <c r="H298" i="33"/>
  <c r="G298" i="33"/>
  <c r="F298" i="33"/>
  <c r="E298" i="33"/>
  <c r="D298" i="33"/>
  <c r="C298" i="33"/>
  <c r="L297" i="33"/>
  <c r="K297" i="33"/>
  <c r="J297" i="33"/>
  <c r="I297" i="33"/>
  <c r="H297" i="33"/>
  <c r="G297" i="33"/>
  <c r="F297" i="33"/>
  <c r="E297" i="33"/>
  <c r="D297" i="33"/>
  <c r="C297" i="33"/>
  <c r="L296" i="33"/>
  <c r="K296" i="33"/>
  <c r="J296" i="33"/>
  <c r="I296" i="33"/>
  <c r="H296" i="33"/>
  <c r="G296" i="33"/>
  <c r="F296" i="33"/>
  <c r="E296" i="33"/>
  <c r="D296" i="33"/>
  <c r="C296" i="33"/>
  <c r="L295" i="33"/>
  <c r="K295" i="33"/>
  <c r="J295" i="33"/>
  <c r="I295" i="33"/>
  <c r="H295" i="33"/>
  <c r="G295" i="33"/>
  <c r="F295" i="33"/>
  <c r="E295" i="33"/>
  <c r="D295" i="33"/>
  <c r="C295" i="33"/>
  <c r="L294" i="33"/>
  <c r="K294" i="33"/>
  <c r="J294" i="33"/>
  <c r="I294" i="33"/>
  <c r="H294" i="33"/>
  <c r="G294" i="33"/>
  <c r="F294" i="33"/>
  <c r="E294" i="33"/>
  <c r="D294" i="33"/>
  <c r="C294" i="33"/>
  <c r="L293" i="33"/>
  <c r="K293" i="33"/>
  <c r="J293" i="33"/>
  <c r="I293" i="33"/>
  <c r="H293" i="33"/>
  <c r="G293" i="33"/>
  <c r="F293" i="33"/>
  <c r="E293" i="33"/>
  <c r="D293" i="33"/>
  <c r="C293" i="33"/>
  <c r="L292" i="33"/>
  <c r="K292" i="33"/>
  <c r="J292" i="33"/>
  <c r="I292" i="33"/>
  <c r="H292" i="33"/>
  <c r="G292" i="33"/>
  <c r="F292" i="33"/>
  <c r="E292" i="33"/>
  <c r="D292" i="33"/>
  <c r="C292" i="33"/>
  <c r="L291" i="33"/>
  <c r="K291" i="33"/>
  <c r="J291" i="33"/>
  <c r="I291" i="33"/>
  <c r="H291" i="33"/>
  <c r="G291" i="33"/>
  <c r="F291" i="33"/>
  <c r="E291" i="33"/>
  <c r="D291" i="33"/>
  <c r="C291" i="33"/>
  <c r="L290" i="33"/>
  <c r="K290" i="33"/>
  <c r="J290" i="33"/>
  <c r="I290" i="33"/>
  <c r="H290" i="33"/>
  <c r="G290" i="33"/>
  <c r="F290" i="33"/>
  <c r="E290" i="33"/>
  <c r="D290" i="33"/>
  <c r="C290" i="33"/>
  <c r="L289" i="33"/>
  <c r="K289" i="33"/>
  <c r="J289" i="33"/>
  <c r="I289" i="33"/>
  <c r="H289" i="33"/>
  <c r="G289" i="33"/>
  <c r="F289" i="33"/>
  <c r="E289" i="33"/>
  <c r="D289" i="33"/>
  <c r="C289" i="33"/>
  <c r="L288" i="33"/>
  <c r="K288" i="33"/>
  <c r="J288" i="33"/>
  <c r="I288" i="33"/>
  <c r="H288" i="33"/>
  <c r="G288" i="33"/>
  <c r="F288" i="33"/>
  <c r="E288" i="33"/>
  <c r="D288" i="33"/>
  <c r="C288" i="33"/>
  <c r="L287" i="33"/>
  <c r="K287" i="33"/>
  <c r="J287" i="33"/>
  <c r="I287" i="33"/>
  <c r="H287" i="33"/>
  <c r="G287" i="33"/>
  <c r="F287" i="33"/>
  <c r="E287" i="33"/>
  <c r="D287" i="33"/>
  <c r="C287" i="33"/>
  <c r="L286" i="33"/>
  <c r="K286" i="33"/>
  <c r="J286" i="33"/>
  <c r="I286" i="33"/>
  <c r="H286" i="33"/>
  <c r="G286" i="33"/>
  <c r="F286" i="33"/>
  <c r="E286" i="33"/>
  <c r="D286" i="33"/>
  <c r="C286" i="33"/>
  <c r="L285" i="33"/>
  <c r="K285" i="33"/>
  <c r="J285" i="33"/>
  <c r="I285" i="33"/>
  <c r="H285" i="33"/>
  <c r="G285" i="33"/>
  <c r="F285" i="33"/>
  <c r="E285" i="33"/>
  <c r="D285" i="33"/>
  <c r="C285" i="33"/>
  <c r="L284" i="33"/>
  <c r="K284" i="33"/>
  <c r="J284" i="33"/>
  <c r="I284" i="33"/>
  <c r="H284" i="33"/>
  <c r="G284" i="33"/>
  <c r="F284" i="33"/>
  <c r="E284" i="33"/>
  <c r="D284" i="33"/>
  <c r="C284" i="33"/>
  <c r="L283" i="33"/>
  <c r="K283" i="33"/>
  <c r="J283" i="33"/>
  <c r="I283" i="33"/>
  <c r="H283" i="33"/>
  <c r="G283" i="33"/>
  <c r="F283" i="33"/>
  <c r="E283" i="33"/>
  <c r="D283" i="33"/>
  <c r="C283" i="33"/>
  <c r="L282" i="33"/>
  <c r="K282" i="33"/>
  <c r="J282" i="33"/>
  <c r="I282" i="33"/>
  <c r="H282" i="33"/>
  <c r="G282" i="33"/>
  <c r="F282" i="33"/>
  <c r="E282" i="33"/>
  <c r="D282" i="33"/>
  <c r="C282" i="33"/>
  <c r="L281" i="33"/>
  <c r="K281" i="33"/>
  <c r="J281" i="33"/>
  <c r="I281" i="33"/>
  <c r="H281" i="33"/>
  <c r="G281" i="33"/>
  <c r="F281" i="33"/>
  <c r="E281" i="33"/>
  <c r="D281" i="33"/>
  <c r="C281" i="33"/>
  <c r="L280" i="33"/>
  <c r="K280" i="33"/>
  <c r="J280" i="33"/>
  <c r="I280" i="33"/>
  <c r="H280" i="33"/>
  <c r="G280" i="33"/>
  <c r="F280" i="33"/>
  <c r="E280" i="33"/>
  <c r="D280" i="33"/>
  <c r="C280" i="33"/>
  <c r="L279" i="33"/>
  <c r="K279" i="33"/>
  <c r="J279" i="33"/>
  <c r="I279" i="33"/>
  <c r="H279" i="33"/>
  <c r="G279" i="33"/>
  <c r="F279" i="33"/>
  <c r="E279" i="33"/>
  <c r="D279" i="33"/>
  <c r="C279" i="33"/>
  <c r="L278" i="33"/>
  <c r="K278" i="33"/>
  <c r="J278" i="33"/>
  <c r="I278" i="33"/>
  <c r="H278" i="33"/>
  <c r="G278" i="33"/>
  <c r="F278" i="33"/>
  <c r="E278" i="33"/>
  <c r="D278" i="33"/>
  <c r="C278" i="33"/>
  <c r="L277" i="33"/>
  <c r="K277" i="33"/>
  <c r="J277" i="33"/>
  <c r="I277" i="33"/>
  <c r="H277" i="33"/>
  <c r="G277" i="33"/>
  <c r="F277" i="33"/>
  <c r="E277" i="33"/>
  <c r="D277" i="33"/>
  <c r="C277" i="33"/>
  <c r="L276" i="33"/>
  <c r="K276" i="33"/>
  <c r="J276" i="33"/>
  <c r="I276" i="33"/>
  <c r="H276" i="33"/>
  <c r="G276" i="33"/>
  <c r="F276" i="33"/>
  <c r="E276" i="33"/>
  <c r="D276" i="33"/>
  <c r="C276" i="33"/>
  <c r="L275" i="33"/>
  <c r="K275" i="33"/>
  <c r="J275" i="33"/>
  <c r="I275" i="33"/>
  <c r="H275" i="33"/>
  <c r="G275" i="33"/>
  <c r="F275" i="33"/>
  <c r="E275" i="33"/>
  <c r="D275" i="33"/>
  <c r="C275" i="33"/>
  <c r="L274" i="33"/>
  <c r="K274" i="33"/>
  <c r="J274" i="33"/>
  <c r="I274" i="33"/>
  <c r="H274" i="33"/>
  <c r="G274" i="33"/>
  <c r="F274" i="33"/>
  <c r="E274" i="33"/>
  <c r="D274" i="33"/>
  <c r="C274" i="33"/>
  <c r="L273" i="33"/>
  <c r="K273" i="33"/>
  <c r="J273" i="33"/>
  <c r="I273" i="33"/>
  <c r="H273" i="33"/>
  <c r="G273" i="33"/>
  <c r="F273" i="33"/>
  <c r="E273" i="33"/>
  <c r="D273" i="33"/>
  <c r="C273" i="33"/>
  <c r="L272" i="33"/>
  <c r="K272" i="33"/>
  <c r="J272" i="33"/>
  <c r="I272" i="33"/>
  <c r="H272" i="33"/>
  <c r="G272" i="33"/>
  <c r="F272" i="33"/>
  <c r="E272" i="33"/>
  <c r="D272" i="33"/>
  <c r="C272" i="33"/>
  <c r="L271" i="33"/>
  <c r="K271" i="33"/>
  <c r="J271" i="33"/>
  <c r="I271" i="33"/>
  <c r="H271" i="33"/>
  <c r="G271" i="33"/>
  <c r="F271" i="33"/>
  <c r="E271" i="33"/>
  <c r="D271" i="33"/>
  <c r="C271" i="33"/>
  <c r="L270" i="33"/>
  <c r="K270" i="33"/>
  <c r="J270" i="33"/>
  <c r="I270" i="33"/>
  <c r="H270" i="33"/>
  <c r="G270" i="33"/>
  <c r="F270" i="33"/>
  <c r="E270" i="33"/>
  <c r="D270" i="33"/>
  <c r="C270" i="33"/>
  <c r="L269" i="33"/>
  <c r="K269" i="33"/>
  <c r="J269" i="33"/>
  <c r="I269" i="33"/>
  <c r="H269" i="33"/>
  <c r="G269" i="33"/>
  <c r="F269" i="33"/>
  <c r="E269" i="33"/>
  <c r="D269" i="33"/>
  <c r="C269" i="33"/>
  <c r="L268" i="33"/>
  <c r="K268" i="33"/>
  <c r="J268" i="33"/>
  <c r="I268" i="33"/>
  <c r="H268" i="33"/>
  <c r="G268" i="33"/>
  <c r="F268" i="33"/>
  <c r="E268" i="33"/>
  <c r="D268" i="33"/>
  <c r="C268" i="33"/>
  <c r="L267" i="33"/>
  <c r="K267" i="33"/>
  <c r="J267" i="33"/>
  <c r="I267" i="33"/>
  <c r="H267" i="33"/>
  <c r="G267" i="33"/>
  <c r="F267" i="33"/>
  <c r="E267" i="33"/>
  <c r="D267" i="33"/>
  <c r="C267" i="33"/>
  <c r="L266" i="33"/>
  <c r="K266" i="33"/>
  <c r="J266" i="33"/>
  <c r="I266" i="33"/>
  <c r="H266" i="33"/>
  <c r="G266" i="33"/>
  <c r="F266" i="33"/>
  <c r="E266" i="33"/>
  <c r="D266" i="33"/>
  <c r="C266" i="33"/>
  <c r="L265" i="33"/>
  <c r="K265" i="33"/>
  <c r="J265" i="33"/>
  <c r="I265" i="33"/>
  <c r="H265" i="33"/>
  <c r="G265" i="33"/>
  <c r="F265" i="33"/>
  <c r="E265" i="33"/>
  <c r="D265" i="33"/>
  <c r="C265" i="33"/>
  <c r="L264" i="33"/>
  <c r="K264" i="33"/>
  <c r="J264" i="33"/>
  <c r="I264" i="33"/>
  <c r="H264" i="33"/>
  <c r="G264" i="33"/>
  <c r="F264" i="33"/>
  <c r="E264" i="33"/>
  <c r="D264" i="33"/>
  <c r="C264" i="33"/>
  <c r="L263" i="33"/>
  <c r="K263" i="33"/>
  <c r="J263" i="33"/>
  <c r="I263" i="33"/>
  <c r="H263" i="33"/>
  <c r="G263" i="33"/>
  <c r="F263" i="33"/>
  <c r="E263" i="33"/>
  <c r="D263" i="33"/>
  <c r="C263" i="33"/>
  <c r="L262" i="33"/>
  <c r="K262" i="33"/>
  <c r="J262" i="33"/>
  <c r="I262" i="33"/>
  <c r="H262" i="33"/>
  <c r="G262" i="33"/>
  <c r="F262" i="33"/>
  <c r="E262" i="33"/>
  <c r="D262" i="33"/>
  <c r="C262" i="33"/>
  <c r="L261" i="33"/>
  <c r="K261" i="33"/>
  <c r="J261" i="33"/>
  <c r="I261" i="33"/>
  <c r="H261" i="33"/>
  <c r="G261" i="33"/>
  <c r="F261" i="33"/>
  <c r="E261" i="33"/>
  <c r="D261" i="33"/>
  <c r="C261" i="33"/>
  <c r="L260" i="33"/>
  <c r="K260" i="33"/>
  <c r="J260" i="33"/>
  <c r="I260" i="33"/>
  <c r="H260" i="33"/>
  <c r="G260" i="33"/>
  <c r="F260" i="33"/>
  <c r="E260" i="33"/>
  <c r="D260" i="33"/>
  <c r="C260" i="33"/>
  <c r="L259" i="33"/>
  <c r="K259" i="33"/>
  <c r="J259" i="33"/>
  <c r="I259" i="33"/>
  <c r="H259" i="33"/>
  <c r="G259" i="33"/>
  <c r="F259" i="33"/>
  <c r="E259" i="33"/>
  <c r="D259" i="33"/>
  <c r="C259" i="33"/>
  <c r="L258" i="33"/>
  <c r="K258" i="33"/>
  <c r="J258" i="33"/>
  <c r="I258" i="33"/>
  <c r="H258" i="33"/>
  <c r="G258" i="33"/>
  <c r="F258" i="33"/>
  <c r="E258" i="33"/>
  <c r="D258" i="33"/>
  <c r="C258" i="33"/>
  <c r="L257" i="33"/>
  <c r="K257" i="33"/>
  <c r="J257" i="33"/>
  <c r="I257" i="33"/>
  <c r="H257" i="33"/>
  <c r="G257" i="33"/>
  <c r="F257" i="33"/>
  <c r="E257" i="33"/>
  <c r="D257" i="33"/>
  <c r="C257" i="33"/>
  <c r="L256" i="33"/>
  <c r="K256" i="33"/>
  <c r="J256" i="33"/>
  <c r="I256" i="33"/>
  <c r="H256" i="33"/>
  <c r="G256" i="33"/>
  <c r="F256" i="33"/>
  <c r="E256" i="33"/>
  <c r="D256" i="33"/>
  <c r="C256" i="33"/>
  <c r="L255" i="33"/>
  <c r="K255" i="33"/>
  <c r="J255" i="33"/>
  <c r="I255" i="33"/>
  <c r="H255" i="33"/>
  <c r="G255" i="33"/>
  <c r="F255" i="33"/>
  <c r="E255" i="33"/>
  <c r="D255" i="33"/>
  <c r="C255" i="33"/>
  <c r="L254" i="33"/>
  <c r="K254" i="33"/>
  <c r="J254" i="33"/>
  <c r="I254" i="33"/>
  <c r="H254" i="33"/>
  <c r="G254" i="33"/>
  <c r="F254" i="33"/>
  <c r="E254" i="33"/>
  <c r="D254" i="33"/>
  <c r="C254" i="33"/>
  <c r="L253" i="33"/>
  <c r="K253" i="33"/>
  <c r="J253" i="33"/>
  <c r="I253" i="33"/>
  <c r="H253" i="33"/>
  <c r="G253" i="33"/>
  <c r="F253" i="33"/>
  <c r="E253" i="33"/>
  <c r="D253" i="33"/>
  <c r="C253" i="33"/>
  <c r="L252" i="33"/>
  <c r="K252" i="33"/>
  <c r="J252" i="33"/>
  <c r="I252" i="33"/>
  <c r="H252" i="33"/>
  <c r="G252" i="33"/>
  <c r="F252" i="33"/>
  <c r="E252" i="33"/>
  <c r="D252" i="33"/>
  <c r="C252" i="33"/>
  <c r="L251" i="33"/>
  <c r="K251" i="33"/>
  <c r="J251" i="33"/>
  <c r="I251" i="33"/>
  <c r="H251" i="33"/>
  <c r="G251" i="33"/>
  <c r="F251" i="33"/>
  <c r="E251" i="33"/>
  <c r="D251" i="33"/>
  <c r="C251" i="33"/>
  <c r="L250" i="33"/>
  <c r="K250" i="33"/>
  <c r="J250" i="33"/>
  <c r="I250" i="33"/>
  <c r="H250" i="33"/>
  <c r="G250" i="33"/>
  <c r="F250" i="33"/>
  <c r="E250" i="33"/>
  <c r="D250" i="33"/>
  <c r="C250" i="33"/>
  <c r="L249" i="33"/>
  <c r="K249" i="33"/>
  <c r="J249" i="33"/>
  <c r="I249" i="33"/>
  <c r="H249" i="33"/>
  <c r="G249" i="33"/>
  <c r="F249" i="33"/>
  <c r="E249" i="33"/>
  <c r="D249" i="33"/>
  <c r="C249" i="33"/>
  <c r="L248" i="33"/>
  <c r="K248" i="33"/>
  <c r="J248" i="33"/>
  <c r="I248" i="33"/>
  <c r="H248" i="33"/>
  <c r="G248" i="33"/>
  <c r="F248" i="33"/>
  <c r="E248" i="33"/>
  <c r="D248" i="33"/>
  <c r="C248" i="33"/>
  <c r="L247" i="33"/>
  <c r="K247" i="33"/>
  <c r="J247" i="33"/>
  <c r="I247" i="33"/>
  <c r="H247" i="33"/>
  <c r="G247" i="33"/>
  <c r="F247" i="33"/>
  <c r="E247" i="33"/>
  <c r="D247" i="33"/>
  <c r="C247" i="33"/>
  <c r="L246" i="33"/>
  <c r="K246" i="33"/>
  <c r="J246" i="33"/>
  <c r="I246" i="33"/>
  <c r="H246" i="33"/>
  <c r="G246" i="33"/>
  <c r="F246" i="33"/>
  <c r="E246" i="33"/>
  <c r="D246" i="33"/>
  <c r="C246" i="33"/>
  <c r="L245" i="33"/>
  <c r="K245" i="33"/>
  <c r="J245" i="33"/>
  <c r="I245" i="33"/>
  <c r="H245" i="33"/>
  <c r="G245" i="33"/>
  <c r="F245" i="33"/>
  <c r="E245" i="33"/>
  <c r="D245" i="33"/>
  <c r="C245" i="33"/>
  <c r="L244" i="33"/>
  <c r="K244" i="33"/>
  <c r="J244" i="33"/>
  <c r="I244" i="33"/>
  <c r="H244" i="33"/>
  <c r="G244" i="33"/>
  <c r="F244" i="33"/>
  <c r="E244" i="33"/>
  <c r="D244" i="33"/>
  <c r="C244" i="33"/>
  <c r="L243" i="33"/>
  <c r="K243" i="33"/>
  <c r="J243" i="33"/>
  <c r="I243" i="33"/>
  <c r="H243" i="33"/>
  <c r="G243" i="33"/>
  <c r="F243" i="33"/>
  <c r="E243" i="33"/>
  <c r="D243" i="33"/>
  <c r="C243" i="33"/>
  <c r="L242" i="33"/>
  <c r="K242" i="33"/>
  <c r="J242" i="33"/>
  <c r="I242" i="33"/>
  <c r="H242" i="33"/>
  <c r="G242" i="33"/>
  <c r="F242" i="33"/>
  <c r="E242" i="33"/>
  <c r="D242" i="33"/>
  <c r="C242" i="33"/>
  <c r="L241" i="33"/>
  <c r="K241" i="33"/>
  <c r="J241" i="33"/>
  <c r="I241" i="33"/>
  <c r="H241" i="33"/>
  <c r="G241" i="33"/>
  <c r="F241" i="33"/>
  <c r="E241" i="33"/>
  <c r="D241" i="33"/>
  <c r="C241" i="33"/>
  <c r="L240" i="33"/>
  <c r="K240" i="33"/>
  <c r="J240" i="33"/>
  <c r="I240" i="33"/>
  <c r="H240" i="33"/>
  <c r="G240" i="33"/>
  <c r="F240" i="33"/>
  <c r="E240" i="33"/>
  <c r="D240" i="33"/>
  <c r="C240" i="33"/>
  <c r="L239" i="33"/>
  <c r="K239" i="33"/>
  <c r="J239" i="33"/>
  <c r="I239" i="33"/>
  <c r="H239" i="33"/>
  <c r="G239" i="33"/>
  <c r="F239" i="33"/>
  <c r="E239" i="33"/>
  <c r="D239" i="33"/>
  <c r="C239" i="33"/>
  <c r="L238" i="33"/>
  <c r="K238" i="33"/>
  <c r="J238" i="33"/>
  <c r="I238" i="33"/>
  <c r="H238" i="33"/>
  <c r="G238" i="33"/>
  <c r="F238" i="33"/>
  <c r="E238" i="33"/>
  <c r="D238" i="33"/>
  <c r="C238" i="33"/>
  <c r="L237" i="33"/>
  <c r="K237" i="33"/>
  <c r="J237" i="33"/>
  <c r="I237" i="33"/>
  <c r="H237" i="33"/>
  <c r="G237" i="33"/>
  <c r="F237" i="33"/>
  <c r="E237" i="33"/>
  <c r="D237" i="33"/>
  <c r="C237" i="33"/>
  <c r="L236" i="33"/>
  <c r="K236" i="33"/>
  <c r="J236" i="33"/>
  <c r="I236" i="33"/>
  <c r="H236" i="33"/>
  <c r="G236" i="33"/>
  <c r="F236" i="33"/>
  <c r="E236" i="33"/>
  <c r="D236" i="33"/>
  <c r="C236" i="33"/>
  <c r="L235" i="33"/>
  <c r="K235" i="33"/>
  <c r="J235" i="33"/>
  <c r="I235" i="33"/>
  <c r="H235" i="33"/>
  <c r="G235" i="33"/>
  <c r="F235" i="33"/>
  <c r="E235" i="33"/>
  <c r="D235" i="33"/>
  <c r="C235" i="33"/>
  <c r="L234" i="33"/>
  <c r="K234" i="33"/>
  <c r="J234" i="33"/>
  <c r="I234" i="33"/>
  <c r="H234" i="33"/>
  <c r="G234" i="33"/>
  <c r="F234" i="33"/>
  <c r="E234" i="33"/>
  <c r="D234" i="33"/>
  <c r="C234" i="33"/>
  <c r="L233" i="33"/>
  <c r="K233" i="33"/>
  <c r="J233" i="33"/>
  <c r="I233" i="33"/>
  <c r="H233" i="33"/>
  <c r="G233" i="33"/>
  <c r="F233" i="33"/>
  <c r="E233" i="33"/>
  <c r="D233" i="33"/>
  <c r="C233" i="33"/>
  <c r="L232" i="33"/>
  <c r="K232" i="33"/>
  <c r="J232" i="33"/>
  <c r="I232" i="33"/>
  <c r="H232" i="33"/>
  <c r="G232" i="33"/>
  <c r="F232" i="33"/>
  <c r="E232" i="33"/>
  <c r="D232" i="33"/>
  <c r="C232" i="33"/>
  <c r="L231" i="33"/>
  <c r="K231" i="33"/>
  <c r="J231" i="33"/>
  <c r="I231" i="33"/>
  <c r="H231" i="33"/>
  <c r="G231" i="33"/>
  <c r="F231" i="33"/>
  <c r="E231" i="33"/>
  <c r="D231" i="33"/>
  <c r="C231" i="33"/>
  <c r="L230" i="33"/>
  <c r="K230" i="33"/>
  <c r="J230" i="33"/>
  <c r="I230" i="33"/>
  <c r="H230" i="33"/>
  <c r="G230" i="33"/>
  <c r="F230" i="33"/>
  <c r="E230" i="33"/>
  <c r="D230" i="33"/>
  <c r="C230" i="33"/>
  <c r="L229" i="33"/>
  <c r="K229" i="33"/>
  <c r="J229" i="33"/>
  <c r="I229" i="33"/>
  <c r="H229" i="33"/>
  <c r="G229" i="33"/>
  <c r="F229" i="33"/>
  <c r="E229" i="33"/>
  <c r="D229" i="33"/>
  <c r="C229" i="33"/>
  <c r="L228" i="33"/>
  <c r="K228" i="33"/>
  <c r="J228" i="33"/>
  <c r="I228" i="33"/>
  <c r="H228" i="33"/>
  <c r="G228" i="33"/>
  <c r="F228" i="33"/>
  <c r="E228" i="33"/>
  <c r="D228" i="33"/>
  <c r="C228" i="33"/>
  <c r="L227" i="33"/>
  <c r="K227" i="33"/>
  <c r="J227" i="33"/>
  <c r="I227" i="33"/>
  <c r="H227" i="33"/>
  <c r="G227" i="33"/>
  <c r="F227" i="33"/>
  <c r="E227" i="33"/>
  <c r="D227" i="33"/>
  <c r="C227" i="33"/>
  <c r="L226" i="33"/>
  <c r="K226" i="33"/>
  <c r="J226" i="33"/>
  <c r="I226" i="33"/>
  <c r="H226" i="33"/>
  <c r="G226" i="33"/>
  <c r="F226" i="33"/>
  <c r="E226" i="33"/>
  <c r="D226" i="33"/>
  <c r="C226" i="33"/>
  <c r="L225" i="33"/>
  <c r="K225" i="33"/>
  <c r="J225" i="33"/>
  <c r="I225" i="33"/>
  <c r="H225" i="33"/>
  <c r="G225" i="33"/>
  <c r="F225" i="33"/>
  <c r="E225" i="33"/>
  <c r="D225" i="33"/>
  <c r="C225" i="33"/>
  <c r="L224" i="33"/>
  <c r="K224" i="33"/>
  <c r="J224" i="33"/>
  <c r="I224" i="33"/>
  <c r="H224" i="33"/>
  <c r="G224" i="33"/>
  <c r="F224" i="33"/>
  <c r="E224" i="33"/>
  <c r="D224" i="33"/>
  <c r="C224" i="33"/>
  <c r="L223" i="33"/>
  <c r="K223" i="33"/>
  <c r="J223" i="33"/>
  <c r="I223" i="33"/>
  <c r="H223" i="33"/>
  <c r="G223" i="33"/>
  <c r="F223" i="33"/>
  <c r="E223" i="33"/>
  <c r="D223" i="33"/>
  <c r="C223" i="33"/>
  <c r="L222" i="33"/>
  <c r="K222" i="33"/>
  <c r="J222" i="33"/>
  <c r="I222" i="33"/>
  <c r="H222" i="33"/>
  <c r="G222" i="33"/>
  <c r="F222" i="33"/>
  <c r="E222" i="33"/>
  <c r="D222" i="33"/>
  <c r="C222" i="33"/>
  <c r="L221" i="33"/>
  <c r="K221" i="33"/>
  <c r="J221" i="33"/>
  <c r="I221" i="33"/>
  <c r="H221" i="33"/>
  <c r="G221" i="33"/>
  <c r="F221" i="33"/>
  <c r="E221" i="33"/>
  <c r="D221" i="33"/>
  <c r="C221" i="33"/>
  <c r="L220" i="33"/>
  <c r="K220" i="33"/>
  <c r="J220" i="33"/>
  <c r="I220" i="33"/>
  <c r="H220" i="33"/>
  <c r="G220" i="33"/>
  <c r="F220" i="33"/>
  <c r="E220" i="33"/>
  <c r="D220" i="33"/>
  <c r="C220" i="33"/>
  <c r="L219" i="33"/>
  <c r="K219" i="33"/>
  <c r="J219" i="33"/>
  <c r="I219" i="33"/>
  <c r="H219" i="33"/>
  <c r="G219" i="33"/>
  <c r="F219" i="33"/>
  <c r="E219" i="33"/>
  <c r="D219" i="33"/>
  <c r="C219" i="33"/>
  <c r="L218" i="33"/>
  <c r="K218" i="33"/>
  <c r="J218" i="33"/>
  <c r="I218" i="33"/>
  <c r="H218" i="33"/>
  <c r="G218" i="33"/>
  <c r="F218" i="33"/>
  <c r="E218" i="33"/>
  <c r="D218" i="33"/>
  <c r="C218" i="33"/>
  <c r="L217" i="33"/>
  <c r="K217" i="33"/>
  <c r="J217" i="33"/>
  <c r="I217" i="33"/>
  <c r="H217" i="33"/>
  <c r="G217" i="33"/>
  <c r="F217" i="33"/>
  <c r="E217" i="33"/>
  <c r="D217" i="33"/>
  <c r="C217" i="33"/>
  <c r="L216" i="33"/>
  <c r="K216" i="33"/>
  <c r="J216" i="33"/>
  <c r="I216" i="33"/>
  <c r="H216" i="33"/>
  <c r="G216" i="33"/>
  <c r="F216" i="33"/>
  <c r="E216" i="33"/>
  <c r="D216" i="33"/>
  <c r="C216" i="33"/>
  <c r="L215" i="33"/>
  <c r="K215" i="33"/>
  <c r="J215" i="33"/>
  <c r="I215" i="33"/>
  <c r="H215" i="33"/>
  <c r="G215" i="33"/>
  <c r="F215" i="33"/>
  <c r="E215" i="33"/>
  <c r="D215" i="33"/>
  <c r="C215" i="33"/>
  <c r="L214" i="33"/>
  <c r="K214" i="33"/>
  <c r="J214" i="33"/>
  <c r="I214" i="33"/>
  <c r="H214" i="33"/>
  <c r="G214" i="33"/>
  <c r="F214" i="33"/>
  <c r="E214" i="33"/>
  <c r="D214" i="33"/>
  <c r="C214" i="33"/>
  <c r="L213" i="33"/>
  <c r="K213" i="33"/>
  <c r="J213" i="33"/>
  <c r="I213" i="33"/>
  <c r="H213" i="33"/>
  <c r="G213" i="33"/>
  <c r="F213" i="33"/>
  <c r="E213" i="33"/>
  <c r="D213" i="33"/>
  <c r="C213" i="33"/>
  <c r="L212" i="33"/>
  <c r="K212" i="33"/>
  <c r="J212" i="33"/>
  <c r="I212" i="33"/>
  <c r="H212" i="33"/>
  <c r="G212" i="33"/>
  <c r="F212" i="33"/>
  <c r="E212" i="33"/>
  <c r="D212" i="33"/>
  <c r="C212" i="33"/>
  <c r="L211" i="33"/>
  <c r="K211" i="33"/>
  <c r="J211" i="33"/>
  <c r="I211" i="33"/>
  <c r="H211" i="33"/>
  <c r="G211" i="33"/>
  <c r="F211" i="33"/>
  <c r="E211" i="33"/>
  <c r="D211" i="33"/>
  <c r="C211" i="33"/>
  <c r="L210" i="33"/>
  <c r="K210" i="33"/>
  <c r="J210" i="33"/>
  <c r="I210" i="33"/>
  <c r="H210" i="33"/>
  <c r="G210" i="33"/>
  <c r="F210" i="33"/>
  <c r="E210" i="33"/>
  <c r="D210" i="33"/>
  <c r="C210" i="33"/>
  <c r="L209" i="33"/>
  <c r="K209" i="33"/>
  <c r="J209" i="33"/>
  <c r="I209" i="33"/>
  <c r="H209" i="33"/>
  <c r="G209" i="33"/>
  <c r="F209" i="33"/>
  <c r="E209" i="33"/>
  <c r="D209" i="33"/>
  <c r="C209" i="33"/>
  <c r="L208" i="33"/>
  <c r="K208" i="33"/>
  <c r="J208" i="33"/>
  <c r="I208" i="33"/>
  <c r="H208" i="33"/>
  <c r="G208" i="33"/>
  <c r="F208" i="33"/>
  <c r="E208" i="33"/>
  <c r="D208" i="33"/>
  <c r="C208" i="33"/>
  <c r="L207" i="33"/>
  <c r="K207" i="33"/>
  <c r="J207" i="33"/>
  <c r="I207" i="33"/>
  <c r="H207" i="33"/>
  <c r="G207" i="33"/>
  <c r="F207" i="33"/>
  <c r="E207" i="33"/>
  <c r="D207" i="33"/>
  <c r="C207" i="33"/>
  <c r="L206" i="33"/>
  <c r="K206" i="33"/>
  <c r="J206" i="33"/>
  <c r="I206" i="33"/>
  <c r="H206" i="33"/>
  <c r="G206" i="33"/>
  <c r="F206" i="33"/>
  <c r="E206" i="33"/>
  <c r="D206" i="33"/>
  <c r="C206" i="33"/>
  <c r="L205" i="33"/>
  <c r="K205" i="33"/>
  <c r="J205" i="33"/>
  <c r="I205" i="33"/>
  <c r="H205" i="33"/>
  <c r="G205" i="33"/>
  <c r="F205" i="33"/>
  <c r="E205" i="33"/>
  <c r="D205" i="33"/>
  <c r="C205" i="33"/>
  <c r="L204" i="33"/>
  <c r="K204" i="33"/>
  <c r="J204" i="33"/>
  <c r="I204" i="33"/>
  <c r="H204" i="33"/>
  <c r="G204" i="33"/>
  <c r="F204" i="33"/>
  <c r="E204" i="33"/>
  <c r="D204" i="33"/>
  <c r="C204" i="33"/>
  <c r="L203" i="33"/>
  <c r="K203" i="33"/>
  <c r="J203" i="33"/>
  <c r="I203" i="33"/>
  <c r="H203" i="33"/>
  <c r="G203" i="33"/>
  <c r="F203" i="33"/>
  <c r="E203" i="33"/>
  <c r="D203" i="33"/>
  <c r="C203" i="33"/>
  <c r="L202" i="33"/>
  <c r="K202" i="33"/>
  <c r="J202" i="33"/>
  <c r="I202" i="33"/>
  <c r="H202" i="33"/>
  <c r="G202" i="33"/>
  <c r="F202" i="33"/>
  <c r="E202" i="33"/>
  <c r="D202" i="33"/>
  <c r="C202" i="33"/>
  <c r="L201" i="33"/>
  <c r="K201" i="33"/>
  <c r="J201" i="33"/>
  <c r="I201" i="33"/>
  <c r="H201" i="33"/>
  <c r="G201" i="33"/>
  <c r="F201" i="33"/>
  <c r="E201" i="33"/>
  <c r="D201" i="33"/>
  <c r="C201" i="33"/>
  <c r="L200" i="33"/>
  <c r="K200" i="33"/>
  <c r="J200" i="33"/>
  <c r="I200" i="33"/>
  <c r="H200" i="33"/>
  <c r="G200" i="33"/>
  <c r="F200" i="33"/>
  <c r="E200" i="33"/>
  <c r="D200" i="33"/>
  <c r="C200" i="33"/>
  <c r="L199" i="33"/>
  <c r="K199" i="33"/>
  <c r="J199" i="33"/>
  <c r="I199" i="33"/>
  <c r="H199" i="33"/>
  <c r="G199" i="33"/>
  <c r="F199" i="33"/>
  <c r="E199" i="33"/>
  <c r="D199" i="33"/>
  <c r="C199" i="33"/>
  <c r="L198" i="33"/>
  <c r="K198" i="33"/>
  <c r="J198" i="33"/>
  <c r="I198" i="33"/>
  <c r="H198" i="33"/>
  <c r="G198" i="33"/>
  <c r="F198" i="33"/>
  <c r="E198" i="33"/>
  <c r="D198" i="33"/>
  <c r="C198" i="33"/>
  <c r="L197" i="33"/>
  <c r="K197" i="33"/>
  <c r="J197" i="33"/>
  <c r="I197" i="33"/>
  <c r="H197" i="33"/>
  <c r="G197" i="33"/>
  <c r="F197" i="33"/>
  <c r="E197" i="33"/>
  <c r="D197" i="33"/>
  <c r="C197" i="33"/>
  <c r="L196" i="33"/>
  <c r="K196" i="33"/>
  <c r="J196" i="33"/>
  <c r="I196" i="33"/>
  <c r="H196" i="33"/>
  <c r="G196" i="33"/>
  <c r="F196" i="33"/>
  <c r="E196" i="33"/>
  <c r="D196" i="33"/>
  <c r="C196" i="33"/>
  <c r="L195" i="33"/>
  <c r="K195" i="33"/>
  <c r="J195" i="33"/>
  <c r="I195" i="33"/>
  <c r="H195" i="33"/>
  <c r="G195" i="33"/>
  <c r="F195" i="33"/>
  <c r="E195" i="33"/>
  <c r="D195" i="33"/>
  <c r="C195" i="33"/>
  <c r="L194" i="33"/>
  <c r="K194" i="33"/>
  <c r="J194" i="33"/>
  <c r="I194" i="33"/>
  <c r="H194" i="33"/>
  <c r="G194" i="33"/>
  <c r="F194" i="33"/>
  <c r="E194" i="33"/>
  <c r="D194" i="33"/>
  <c r="C194" i="33"/>
  <c r="L193" i="33"/>
  <c r="K193" i="33"/>
  <c r="J193" i="33"/>
  <c r="I193" i="33"/>
  <c r="H193" i="33"/>
  <c r="G193" i="33"/>
  <c r="F193" i="33"/>
  <c r="E193" i="33"/>
  <c r="D193" i="33"/>
  <c r="C193" i="33"/>
  <c r="L192" i="33"/>
  <c r="K192" i="33"/>
  <c r="J192" i="33"/>
  <c r="I192" i="33"/>
  <c r="H192" i="33"/>
  <c r="G192" i="33"/>
  <c r="F192" i="33"/>
  <c r="E192" i="33"/>
  <c r="D192" i="33"/>
  <c r="C192" i="33"/>
  <c r="L191" i="33"/>
  <c r="K191" i="33"/>
  <c r="J191" i="33"/>
  <c r="I191" i="33"/>
  <c r="H191" i="33"/>
  <c r="G191" i="33"/>
  <c r="F191" i="33"/>
  <c r="E191" i="33"/>
  <c r="D191" i="33"/>
  <c r="C191" i="33"/>
  <c r="L190" i="33"/>
  <c r="K190" i="33"/>
  <c r="J190" i="33"/>
  <c r="I190" i="33"/>
  <c r="H190" i="33"/>
  <c r="G190" i="33"/>
  <c r="F190" i="33"/>
  <c r="E190" i="33"/>
  <c r="D190" i="33"/>
  <c r="C190" i="33"/>
  <c r="L189" i="33"/>
  <c r="K189" i="33"/>
  <c r="J189" i="33"/>
  <c r="I189" i="33"/>
  <c r="H189" i="33"/>
  <c r="G189" i="33"/>
  <c r="F189" i="33"/>
  <c r="E189" i="33"/>
  <c r="D189" i="33"/>
  <c r="C189" i="33"/>
  <c r="L188" i="33"/>
  <c r="K188" i="33"/>
  <c r="J188" i="33"/>
  <c r="I188" i="33"/>
  <c r="H188" i="33"/>
  <c r="G188" i="33"/>
  <c r="F188" i="33"/>
  <c r="E188" i="33"/>
  <c r="D188" i="33"/>
  <c r="C188" i="33"/>
  <c r="L187" i="33"/>
  <c r="K187" i="33"/>
  <c r="J187" i="33"/>
  <c r="I187" i="33"/>
  <c r="H187" i="33"/>
  <c r="G187" i="33"/>
  <c r="F187" i="33"/>
  <c r="E187" i="33"/>
  <c r="D187" i="33"/>
  <c r="C187" i="33"/>
  <c r="L186" i="33"/>
  <c r="K186" i="33"/>
  <c r="J186" i="33"/>
  <c r="I186" i="33"/>
  <c r="H186" i="33"/>
  <c r="G186" i="33"/>
  <c r="F186" i="33"/>
  <c r="E186" i="33"/>
  <c r="D186" i="33"/>
  <c r="C186" i="33"/>
  <c r="L185" i="33"/>
  <c r="K185" i="33"/>
  <c r="J185" i="33"/>
  <c r="I185" i="33"/>
  <c r="H185" i="33"/>
  <c r="G185" i="33"/>
  <c r="F185" i="33"/>
  <c r="E185" i="33"/>
  <c r="D185" i="33"/>
  <c r="C185" i="33"/>
  <c r="L184" i="33"/>
  <c r="K184" i="33"/>
  <c r="J184" i="33"/>
  <c r="I184" i="33"/>
  <c r="H184" i="33"/>
  <c r="G184" i="33"/>
  <c r="F184" i="33"/>
  <c r="E184" i="33"/>
  <c r="D184" i="33"/>
  <c r="C184" i="33"/>
  <c r="L183" i="33"/>
  <c r="K183" i="33"/>
  <c r="J183" i="33"/>
  <c r="I183" i="33"/>
  <c r="H183" i="33"/>
  <c r="G183" i="33"/>
  <c r="F183" i="33"/>
  <c r="E183" i="33"/>
  <c r="D183" i="33"/>
  <c r="C183" i="33"/>
  <c r="L182" i="33"/>
  <c r="K182" i="33"/>
  <c r="J182" i="33"/>
  <c r="I182" i="33"/>
  <c r="H182" i="33"/>
  <c r="G182" i="33"/>
  <c r="F182" i="33"/>
  <c r="E182" i="33"/>
  <c r="D182" i="33"/>
  <c r="C182" i="33"/>
  <c r="L181" i="33"/>
  <c r="K181" i="33"/>
  <c r="J181" i="33"/>
  <c r="I181" i="33"/>
  <c r="H181" i="33"/>
  <c r="G181" i="33"/>
  <c r="F181" i="33"/>
  <c r="E181" i="33"/>
  <c r="D181" i="33"/>
  <c r="C181" i="33"/>
  <c r="L180" i="33"/>
  <c r="K180" i="33"/>
  <c r="J180" i="33"/>
  <c r="I180" i="33"/>
  <c r="H180" i="33"/>
  <c r="G180" i="33"/>
  <c r="F180" i="33"/>
  <c r="E180" i="33"/>
  <c r="D180" i="33"/>
  <c r="C180" i="33"/>
  <c r="L179" i="33"/>
  <c r="K179" i="33"/>
  <c r="J179" i="33"/>
  <c r="I179" i="33"/>
  <c r="H179" i="33"/>
  <c r="G179" i="33"/>
  <c r="F179" i="33"/>
  <c r="E179" i="33"/>
  <c r="D179" i="33"/>
  <c r="C179" i="33"/>
  <c r="L178" i="33"/>
  <c r="K178" i="33"/>
  <c r="J178" i="33"/>
  <c r="I178" i="33"/>
  <c r="H178" i="33"/>
  <c r="G178" i="33"/>
  <c r="F178" i="33"/>
  <c r="E178" i="33"/>
  <c r="D178" i="33"/>
  <c r="C178" i="33"/>
  <c r="L177" i="33"/>
  <c r="K177" i="33"/>
  <c r="J177" i="33"/>
  <c r="I177" i="33"/>
  <c r="H177" i="33"/>
  <c r="G177" i="33"/>
  <c r="F177" i="33"/>
  <c r="E177" i="33"/>
  <c r="D177" i="33"/>
  <c r="C177" i="33"/>
  <c r="L176" i="33"/>
  <c r="K176" i="33"/>
  <c r="J176" i="33"/>
  <c r="I176" i="33"/>
  <c r="H176" i="33"/>
  <c r="G176" i="33"/>
  <c r="F176" i="33"/>
  <c r="E176" i="33"/>
  <c r="D176" i="33"/>
  <c r="C176" i="33"/>
  <c r="L175" i="33"/>
  <c r="K175" i="33"/>
  <c r="J175" i="33"/>
  <c r="I175" i="33"/>
  <c r="H175" i="33"/>
  <c r="G175" i="33"/>
  <c r="F175" i="33"/>
  <c r="E175" i="33"/>
  <c r="D175" i="33"/>
  <c r="C175" i="33"/>
  <c r="L174" i="33"/>
  <c r="K174" i="33"/>
  <c r="J174" i="33"/>
  <c r="I174" i="33"/>
  <c r="H174" i="33"/>
  <c r="G174" i="33"/>
  <c r="F174" i="33"/>
  <c r="E174" i="33"/>
  <c r="D174" i="33"/>
  <c r="C174" i="33"/>
  <c r="L173" i="33"/>
  <c r="K173" i="33"/>
  <c r="J173" i="33"/>
  <c r="I173" i="33"/>
  <c r="H173" i="33"/>
  <c r="G173" i="33"/>
  <c r="F173" i="33"/>
  <c r="E173" i="33"/>
  <c r="D173" i="33"/>
  <c r="C173" i="33"/>
  <c r="L172" i="33"/>
  <c r="K172" i="33"/>
  <c r="J172" i="33"/>
  <c r="I172" i="33"/>
  <c r="H172" i="33"/>
  <c r="G172" i="33"/>
  <c r="F172" i="33"/>
  <c r="E172" i="33"/>
  <c r="D172" i="33"/>
  <c r="C172" i="33"/>
  <c r="L171" i="33"/>
  <c r="K171" i="33"/>
  <c r="J171" i="33"/>
  <c r="I171" i="33"/>
  <c r="H171" i="33"/>
  <c r="G171" i="33"/>
  <c r="F171" i="33"/>
  <c r="E171" i="33"/>
  <c r="D171" i="33"/>
  <c r="C171" i="33"/>
  <c r="L170" i="33"/>
  <c r="K170" i="33"/>
  <c r="J170" i="33"/>
  <c r="I170" i="33"/>
  <c r="H170" i="33"/>
  <c r="G170" i="33"/>
  <c r="F170" i="33"/>
  <c r="E170" i="33"/>
  <c r="D170" i="33"/>
  <c r="C170" i="33"/>
  <c r="L169" i="33"/>
  <c r="K169" i="33"/>
  <c r="J169" i="33"/>
  <c r="I169" i="33"/>
  <c r="H169" i="33"/>
  <c r="G169" i="33"/>
  <c r="F169" i="33"/>
  <c r="E169" i="33"/>
  <c r="D169" i="33"/>
  <c r="C169" i="33"/>
  <c r="L168" i="33"/>
  <c r="K168" i="33"/>
  <c r="J168" i="33"/>
  <c r="I168" i="33"/>
  <c r="H168" i="33"/>
  <c r="G168" i="33"/>
  <c r="F168" i="33"/>
  <c r="E168" i="33"/>
  <c r="D168" i="33"/>
  <c r="C168" i="33"/>
  <c r="L167" i="33"/>
  <c r="K167" i="33"/>
  <c r="J167" i="33"/>
  <c r="I167" i="33"/>
  <c r="H167" i="33"/>
  <c r="G167" i="33"/>
  <c r="F167" i="33"/>
  <c r="E167" i="33"/>
  <c r="D167" i="33"/>
  <c r="C167" i="33"/>
  <c r="L166" i="33"/>
  <c r="K166" i="33"/>
  <c r="J166" i="33"/>
  <c r="I166" i="33"/>
  <c r="H166" i="33"/>
  <c r="G166" i="33"/>
  <c r="F166" i="33"/>
  <c r="E166" i="33"/>
  <c r="D166" i="33"/>
  <c r="C166" i="33"/>
  <c r="L165" i="33"/>
  <c r="K165" i="33"/>
  <c r="J165" i="33"/>
  <c r="I165" i="33"/>
  <c r="H165" i="33"/>
  <c r="G165" i="33"/>
  <c r="F165" i="33"/>
  <c r="E165" i="33"/>
  <c r="D165" i="33"/>
  <c r="C165" i="33"/>
  <c r="L164" i="33"/>
  <c r="K164" i="33"/>
  <c r="J164" i="33"/>
  <c r="I164" i="33"/>
  <c r="H164" i="33"/>
  <c r="G164" i="33"/>
  <c r="F164" i="33"/>
  <c r="E164" i="33"/>
  <c r="D164" i="33"/>
  <c r="C164" i="33"/>
  <c r="L163" i="33"/>
  <c r="K163" i="33"/>
  <c r="J163" i="33"/>
  <c r="I163" i="33"/>
  <c r="H163" i="33"/>
  <c r="G163" i="33"/>
  <c r="F163" i="33"/>
  <c r="E163" i="33"/>
  <c r="D163" i="33"/>
  <c r="C163" i="33"/>
  <c r="L162" i="33"/>
  <c r="K162" i="33"/>
  <c r="J162" i="33"/>
  <c r="I162" i="33"/>
  <c r="H162" i="33"/>
  <c r="G162" i="33"/>
  <c r="F162" i="33"/>
  <c r="E162" i="33"/>
  <c r="D162" i="33"/>
  <c r="C162" i="33"/>
  <c r="L161" i="33"/>
  <c r="K161" i="33"/>
  <c r="J161" i="33"/>
  <c r="I161" i="33"/>
  <c r="H161" i="33"/>
  <c r="G161" i="33"/>
  <c r="F161" i="33"/>
  <c r="E161" i="33"/>
  <c r="D161" i="33"/>
  <c r="C161" i="33"/>
  <c r="L160" i="33"/>
  <c r="K160" i="33"/>
  <c r="J160" i="33"/>
  <c r="I160" i="33"/>
  <c r="H160" i="33"/>
  <c r="G160" i="33"/>
  <c r="F160" i="33"/>
  <c r="E160" i="33"/>
  <c r="D160" i="33"/>
  <c r="C160" i="33"/>
  <c r="L159" i="33"/>
  <c r="K159" i="33"/>
  <c r="J159" i="33"/>
  <c r="I159" i="33"/>
  <c r="H159" i="33"/>
  <c r="G159" i="33"/>
  <c r="F159" i="33"/>
  <c r="E159" i="33"/>
  <c r="D159" i="33"/>
  <c r="C159" i="33"/>
  <c r="L158" i="33"/>
  <c r="K158" i="33"/>
  <c r="J158" i="33"/>
  <c r="I158" i="33"/>
  <c r="H158" i="33"/>
  <c r="G158" i="33"/>
  <c r="F158" i="33"/>
  <c r="E158" i="33"/>
  <c r="D158" i="33"/>
  <c r="C158" i="33"/>
  <c r="L157" i="33"/>
  <c r="K157" i="33"/>
  <c r="J157" i="33"/>
  <c r="I157" i="33"/>
  <c r="H157" i="33"/>
  <c r="G157" i="33"/>
  <c r="F157" i="33"/>
  <c r="E157" i="33"/>
  <c r="D157" i="33"/>
  <c r="C157" i="33"/>
  <c r="L156" i="33"/>
  <c r="K156" i="33"/>
  <c r="J156" i="33"/>
  <c r="I156" i="33"/>
  <c r="H156" i="33"/>
  <c r="G156" i="33"/>
  <c r="F156" i="33"/>
  <c r="E156" i="33"/>
  <c r="D156" i="33"/>
  <c r="C156" i="33"/>
  <c r="L155" i="33"/>
  <c r="K155" i="33"/>
  <c r="J155" i="33"/>
  <c r="I155" i="33"/>
  <c r="H155" i="33"/>
  <c r="G155" i="33"/>
  <c r="F155" i="33"/>
  <c r="E155" i="33"/>
  <c r="D155" i="33"/>
  <c r="C155" i="33"/>
  <c r="L154" i="33"/>
  <c r="K154" i="33"/>
  <c r="J154" i="33"/>
  <c r="I154" i="33"/>
  <c r="H154" i="33"/>
  <c r="G154" i="33"/>
  <c r="F154" i="33"/>
  <c r="E154" i="33"/>
  <c r="D154" i="33"/>
  <c r="C154" i="33"/>
  <c r="L153" i="33"/>
  <c r="K153" i="33"/>
  <c r="J153" i="33"/>
  <c r="I153" i="33"/>
  <c r="H153" i="33"/>
  <c r="G153" i="33"/>
  <c r="F153" i="33"/>
  <c r="E153" i="33"/>
  <c r="D153" i="33"/>
  <c r="C153" i="33"/>
  <c r="L152" i="33"/>
  <c r="K152" i="33"/>
  <c r="J152" i="33"/>
  <c r="I152" i="33"/>
  <c r="H152" i="33"/>
  <c r="G152" i="33"/>
  <c r="F152" i="33"/>
  <c r="E152" i="33"/>
  <c r="D152" i="33"/>
  <c r="C152" i="33"/>
  <c r="L151" i="33"/>
  <c r="K151" i="33"/>
  <c r="J151" i="33"/>
  <c r="I151" i="33"/>
  <c r="H151" i="33"/>
  <c r="G151" i="33"/>
  <c r="F151" i="33"/>
  <c r="E151" i="33"/>
  <c r="D151" i="33"/>
  <c r="C151" i="33"/>
  <c r="L150" i="33"/>
  <c r="K150" i="33"/>
  <c r="J150" i="33"/>
  <c r="I150" i="33"/>
  <c r="H150" i="33"/>
  <c r="G150" i="33"/>
  <c r="F150" i="33"/>
  <c r="E150" i="33"/>
  <c r="D150" i="33"/>
  <c r="C150" i="33"/>
  <c r="L149" i="33"/>
  <c r="K149" i="33"/>
  <c r="J149" i="33"/>
  <c r="I149" i="33"/>
  <c r="H149" i="33"/>
  <c r="G149" i="33"/>
  <c r="F149" i="33"/>
  <c r="E149" i="33"/>
  <c r="D149" i="33"/>
  <c r="C149" i="33"/>
  <c r="L148" i="33"/>
  <c r="K148" i="33"/>
  <c r="J148" i="33"/>
  <c r="I148" i="33"/>
  <c r="H148" i="33"/>
  <c r="G148" i="33"/>
  <c r="F148" i="33"/>
  <c r="E148" i="33"/>
  <c r="D148" i="33"/>
  <c r="C148" i="33"/>
  <c r="L147" i="33"/>
  <c r="K147" i="33"/>
  <c r="J147" i="33"/>
  <c r="I147" i="33"/>
  <c r="H147" i="33"/>
  <c r="G147" i="33"/>
  <c r="F147" i="33"/>
  <c r="E147" i="33"/>
  <c r="D147" i="33"/>
  <c r="C147" i="33"/>
  <c r="L146" i="33"/>
  <c r="K146" i="33"/>
  <c r="J146" i="33"/>
  <c r="I146" i="33"/>
  <c r="H146" i="33"/>
  <c r="G146" i="33"/>
  <c r="F146" i="33"/>
  <c r="E146" i="33"/>
  <c r="D146" i="33"/>
  <c r="C146" i="33"/>
  <c r="L145" i="33"/>
  <c r="K145" i="33"/>
  <c r="J145" i="33"/>
  <c r="I145" i="33"/>
  <c r="H145" i="33"/>
  <c r="G145" i="33"/>
  <c r="F145" i="33"/>
  <c r="E145" i="33"/>
  <c r="D145" i="33"/>
  <c r="C145" i="33"/>
  <c r="L144" i="33"/>
  <c r="K144" i="33"/>
  <c r="J144" i="33"/>
  <c r="I144" i="33"/>
  <c r="H144" i="33"/>
  <c r="G144" i="33"/>
  <c r="F144" i="33"/>
  <c r="E144" i="33"/>
  <c r="D144" i="33"/>
  <c r="C144" i="33"/>
  <c r="L143" i="33"/>
  <c r="K143" i="33"/>
  <c r="J143" i="33"/>
  <c r="I143" i="33"/>
  <c r="H143" i="33"/>
  <c r="G143" i="33"/>
  <c r="F143" i="33"/>
  <c r="E143" i="33"/>
  <c r="D143" i="33"/>
  <c r="C143" i="33"/>
  <c r="L142" i="33"/>
  <c r="K142" i="33"/>
  <c r="J142" i="33"/>
  <c r="I142" i="33"/>
  <c r="H142" i="33"/>
  <c r="G142" i="33"/>
  <c r="F142" i="33"/>
  <c r="E142" i="33"/>
  <c r="D142" i="33"/>
  <c r="C142" i="33"/>
  <c r="L141" i="33"/>
  <c r="K141" i="33"/>
  <c r="J141" i="33"/>
  <c r="I141" i="33"/>
  <c r="H141" i="33"/>
  <c r="G141" i="33"/>
  <c r="F141" i="33"/>
  <c r="E141" i="33"/>
  <c r="D141" i="33"/>
  <c r="C141" i="33"/>
  <c r="L140" i="33"/>
  <c r="K140" i="33"/>
  <c r="J140" i="33"/>
  <c r="I140" i="33"/>
  <c r="H140" i="33"/>
  <c r="G140" i="33"/>
  <c r="F140" i="33"/>
  <c r="E140" i="33"/>
  <c r="D140" i="33"/>
  <c r="C140" i="33"/>
  <c r="L139" i="33"/>
  <c r="K139" i="33"/>
  <c r="J139" i="33"/>
  <c r="I139" i="33"/>
  <c r="H139" i="33"/>
  <c r="G139" i="33"/>
  <c r="F139" i="33"/>
  <c r="E139" i="33"/>
  <c r="D139" i="33"/>
  <c r="C139" i="33"/>
  <c r="L138" i="33"/>
  <c r="K138" i="33"/>
  <c r="J138" i="33"/>
  <c r="I138" i="33"/>
  <c r="H138" i="33"/>
  <c r="G138" i="33"/>
  <c r="F138" i="33"/>
  <c r="E138" i="33"/>
  <c r="D138" i="33"/>
  <c r="C138" i="33"/>
  <c r="L137" i="33"/>
  <c r="K137" i="33"/>
  <c r="J137" i="33"/>
  <c r="I137" i="33"/>
  <c r="H137" i="33"/>
  <c r="G137" i="33"/>
  <c r="F137" i="33"/>
  <c r="E137" i="33"/>
  <c r="D137" i="33"/>
  <c r="C137" i="33"/>
  <c r="L136" i="33"/>
  <c r="K136" i="33"/>
  <c r="J136" i="33"/>
  <c r="I136" i="33"/>
  <c r="H136" i="33"/>
  <c r="G136" i="33"/>
  <c r="F136" i="33"/>
  <c r="E136" i="33"/>
  <c r="D136" i="33"/>
  <c r="C136" i="33"/>
  <c r="L135" i="33"/>
  <c r="K135" i="33"/>
  <c r="J135" i="33"/>
  <c r="I135" i="33"/>
  <c r="H135" i="33"/>
  <c r="G135" i="33"/>
  <c r="F135" i="33"/>
  <c r="E135" i="33"/>
  <c r="D135" i="33"/>
  <c r="C135" i="33"/>
  <c r="L134" i="33"/>
  <c r="K134" i="33"/>
  <c r="J134" i="33"/>
  <c r="I134" i="33"/>
  <c r="H134" i="33"/>
  <c r="G134" i="33"/>
  <c r="F134" i="33"/>
  <c r="E134" i="33"/>
  <c r="D134" i="33"/>
  <c r="C134" i="33"/>
  <c r="L133" i="33"/>
  <c r="K133" i="33"/>
  <c r="J133" i="33"/>
  <c r="I133" i="33"/>
  <c r="H133" i="33"/>
  <c r="G133" i="33"/>
  <c r="F133" i="33"/>
  <c r="E133" i="33"/>
  <c r="D133" i="33"/>
  <c r="C133" i="33"/>
  <c r="L132" i="33"/>
  <c r="K132" i="33"/>
  <c r="J132" i="33"/>
  <c r="I132" i="33"/>
  <c r="H132" i="33"/>
  <c r="G132" i="33"/>
  <c r="F132" i="33"/>
  <c r="E132" i="33"/>
  <c r="D132" i="33"/>
  <c r="C132" i="33"/>
  <c r="L131" i="33"/>
  <c r="K131" i="33"/>
  <c r="J131" i="33"/>
  <c r="I131" i="33"/>
  <c r="H131" i="33"/>
  <c r="G131" i="33"/>
  <c r="F131" i="33"/>
  <c r="E131" i="33"/>
  <c r="D131" i="33"/>
  <c r="C131" i="33"/>
  <c r="L130" i="33"/>
  <c r="K130" i="33"/>
  <c r="J130" i="33"/>
  <c r="I130" i="33"/>
  <c r="H130" i="33"/>
  <c r="G130" i="33"/>
  <c r="F130" i="33"/>
  <c r="E130" i="33"/>
  <c r="D130" i="33"/>
  <c r="C130" i="33"/>
  <c r="L129" i="33"/>
  <c r="K129" i="33"/>
  <c r="J129" i="33"/>
  <c r="I129" i="33"/>
  <c r="H129" i="33"/>
  <c r="G129" i="33"/>
  <c r="F129" i="33"/>
  <c r="E129" i="33"/>
  <c r="D129" i="33"/>
  <c r="C129" i="33"/>
  <c r="L128" i="33"/>
  <c r="K128" i="33"/>
  <c r="J128" i="33"/>
  <c r="I128" i="33"/>
  <c r="H128" i="33"/>
  <c r="G128" i="33"/>
  <c r="F128" i="33"/>
  <c r="E128" i="33"/>
  <c r="D128" i="33"/>
  <c r="C128" i="33"/>
  <c r="L127" i="33"/>
  <c r="K127" i="33"/>
  <c r="J127" i="33"/>
  <c r="I127" i="33"/>
  <c r="H127" i="33"/>
  <c r="G127" i="33"/>
  <c r="F127" i="33"/>
  <c r="E127" i="33"/>
  <c r="D127" i="33"/>
  <c r="C127" i="33"/>
  <c r="L126" i="33"/>
  <c r="K126" i="33"/>
  <c r="J126" i="33"/>
  <c r="I126" i="33"/>
  <c r="H126" i="33"/>
  <c r="G126" i="33"/>
  <c r="F126" i="33"/>
  <c r="E126" i="33"/>
  <c r="D126" i="33"/>
  <c r="C126" i="33"/>
  <c r="L125" i="33"/>
  <c r="K125" i="33"/>
  <c r="J125" i="33"/>
  <c r="I125" i="33"/>
  <c r="H125" i="33"/>
  <c r="G125" i="33"/>
  <c r="F125" i="33"/>
  <c r="E125" i="33"/>
  <c r="D125" i="33"/>
  <c r="C125" i="33"/>
  <c r="L124" i="33"/>
  <c r="K124" i="33"/>
  <c r="J124" i="33"/>
  <c r="I124" i="33"/>
  <c r="H124" i="33"/>
  <c r="G124" i="33"/>
  <c r="F124" i="33"/>
  <c r="E124" i="33"/>
  <c r="D124" i="33"/>
  <c r="C124" i="33"/>
  <c r="L123" i="33"/>
  <c r="K123" i="33"/>
  <c r="J123" i="33"/>
  <c r="I123" i="33"/>
  <c r="H123" i="33"/>
  <c r="G123" i="33"/>
  <c r="F123" i="33"/>
  <c r="E123" i="33"/>
  <c r="D123" i="33"/>
  <c r="C123" i="33"/>
  <c r="L122" i="33"/>
  <c r="K122" i="33"/>
  <c r="J122" i="33"/>
  <c r="I122" i="33"/>
  <c r="H122" i="33"/>
  <c r="G122" i="33"/>
  <c r="F122" i="33"/>
  <c r="E122" i="33"/>
  <c r="D122" i="33"/>
  <c r="C122" i="33"/>
  <c r="L121" i="33"/>
  <c r="K121" i="33"/>
  <c r="J121" i="33"/>
  <c r="I121" i="33"/>
  <c r="H121" i="33"/>
  <c r="G121" i="33"/>
  <c r="F121" i="33"/>
  <c r="E121" i="33"/>
  <c r="D121" i="33"/>
  <c r="C121" i="33"/>
  <c r="L120" i="33"/>
  <c r="K120" i="33"/>
  <c r="J120" i="33"/>
  <c r="I120" i="33"/>
  <c r="H120" i="33"/>
  <c r="G120" i="33"/>
  <c r="F120" i="33"/>
  <c r="E120" i="33"/>
  <c r="D120" i="33"/>
  <c r="C120" i="33"/>
  <c r="L119" i="33"/>
  <c r="K119" i="33"/>
  <c r="J119" i="33"/>
  <c r="I119" i="33"/>
  <c r="H119" i="33"/>
  <c r="G119" i="33"/>
  <c r="F119" i="33"/>
  <c r="E119" i="33"/>
  <c r="D119" i="33"/>
  <c r="C119" i="33"/>
  <c r="L118" i="33"/>
  <c r="K118" i="33"/>
  <c r="J118" i="33"/>
  <c r="I118" i="33"/>
  <c r="H118" i="33"/>
  <c r="G118" i="33"/>
  <c r="F118" i="33"/>
  <c r="E118" i="33"/>
  <c r="D118" i="33"/>
  <c r="C118" i="33"/>
  <c r="L117" i="33"/>
  <c r="K117" i="33"/>
  <c r="J117" i="33"/>
  <c r="I117" i="33"/>
  <c r="H117" i="33"/>
  <c r="G117" i="33"/>
  <c r="F117" i="33"/>
  <c r="E117" i="33"/>
  <c r="D117" i="33"/>
  <c r="C117" i="33"/>
  <c r="L116" i="33"/>
  <c r="K116" i="33"/>
  <c r="J116" i="33"/>
  <c r="I116" i="33"/>
  <c r="H116" i="33"/>
  <c r="G116" i="33"/>
  <c r="F116" i="33"/>
  <c r="E116" i="33"/>
  <c r="D116" i="33"/>
  <c r="C116" i="33"/>
  <c r="L115" i="33"/>
  <c r="K115" i="33"/>
  <c r="J115" i="33"/>
  <c r="I115" i="33"/>
  <c r="H115" i="33"/>
  <c r="G115" i="33"/>
  <c r="F115" i="33"/>
  <c r="E115" i="33"/>
  <c r="D115" i="33"/>
  <c r="C115" i="33"/>
  <c r="L114" i="33"/>
  <c r="K114" i="33"/>
  <c r="J114" i="33"/>
  <c r="I114" i="33"/>
  <c r="H114" i="33"/>
  <c r="G114" i="33"/>
  <c r="F114" i="33"/>
  <c r="E114" i="33"/>
  <c r="D114" i="33"/>
  <c r="C114" i="33"/>
  <c r="L113" i="33"/>
  <c r="K113" i="33"/>
  <c r="J113" i="33"/>
  <c r="I113" i="33"/>
  <c r="H113" i="33"/>
  <c r="G113" i="33"/>
  <c r="F113" i="33"/>
  <c r="E113" i="33"/>
  <c r="D113" i="33"/>
  <c r="C113" i="33"/>
  <c r="L112" i="33"/>
  <c r="K112" i="33"/>
  <c r="J112" i="33"/>
  <c r="I112" i="33"/>
  <c r="H112" i="33"/>
  <c r="G112" i="33"/>
  <c r="F112" i="33"/>
  <c r="E112" i="33"/>
  <c r="D112" i="33"/>
  <c r="C112" i="33"/>
  <c r="L111" i="33"/>
  <c r="K111" i="33"/>
  <c r="J111" i="33"/>
  <c r="I111" i="33"/>
  <c r="H111" i="33"/>
  <c r="G111" i="33"/>
  <c r="F111" i="33"/>
  <c r="E111" i="33"/>
  <c r="D111" i="33"/>
  <c r="C111" i="33"/>
  <c r="L110" i="33"/>
  <c r="K110" i="33"/>
  <c r="J110" i="33"/>
  <c r="I110" i="33"/>
  <c r="H110" i="33"/>
  <c r="G110" i="33"/>
  <c r="F110" i="33"/>
  <c r="E110" i="33"/>
  <c r="D110" i="33"/>
  <c r="C110" i="33"/>
  <c r="L109" i="33"/>
  <c r="K109" i="33"/>
  <c r="J109" i="33"/>
  <c r="I109" i="33"/>
  <c r="H109" i="33"/>
  <c r="G109" i="33"/>
  <c r="F109" i="33"/>
  <c r="E109" i="33"/>
  <c r="D109" i="33"/>
  <c r="C109" i="33"/>
  <c r="L108" i="33"/>
  <c r="K108" i="33"/>
  <c r="J108" i="33"/>
  <c r="I108" i="33"/>
  <c r="H108" i="33"/>
  <c r="G108" i="33"/>
  <c r="F108" i="33"/>
  <c r="E108" i="33"/>
  <c r="D108" i="33"/>
  <c r="C108" i="33"/>
  <c r="L107" i="33"/>
  <c r="K107" i="33"/>
  <c r="J107" i="33"/>
  <c r="I107" i="33"/>
  <c r="H107" i="33"/>
  <c r="G107" i="33"/>
  <c r="F107" i="33"/>
  <c r="E107" i="33"/>
  <c r="D107" i="33"/>
  <c r="C107" i="33"/>
  <c r="L106" i="33"/>
  <c r="K106" i="33"/>
  <c r="J106" i="33"/>
  <c r="I106" i="33"/>
  <c r="H106" i="33"/>
  <c r="G106" i="33"/>
  <c r="F106" i="33"/>
  <c r="E106" i="33"/>
  <c r="D106" i="33"/>
  <c r="C106" i="33"/>
  <c r="L105" i="33"/>
  <c r="K105" i="33"/>
  <c r="J105" i="33"/>
  <c r="I105" i="33"/>
  <c r="H105" i="33"/>
  <c r="G105" i="33"/>
  <c r="F105" i="33"/>
  <c r="E105" i="33"/>
  <c r="D105" i="33"/>
  <c r="C105" i="33"/>
  <c r="L104" i="33"/>
  <c r="K104" i="33"/>
  <c r="J104" i="33"/>
  <c r="I104" i="33"/>
  <c r="H104" i="33"/>
  <c r="G104" i="33"/>
  <c r="F104" i="33"/>
  <c r="E104" i="33"/>
  <c r="D104" i="33"/>
  <c r="C104" i="33"/>
  <c r="L103" i="33"/>
  <c r="K103" i="33"/>
  <c r="J103" i="33"/>
  <c r="I103" i="33"/>
  <c r="H103" i="33"/>
  <c r="G103" i="33"/>
  <c r="F103" i="33"/>
  <c r="E103" i="33"/>
  <c r="D103" i="33"/>
  <c r="C103" i="33"/>
  <c r="L102" i="33"/>
  <c r="K102" i="33"/>
  <c r="J102" i="33"/>
  <c r="I102" i="33"/>
  <c r="H102" i="33"/>
  <c r="G102" i="33"/>
  <c r="F102" i="33"/>
  <c r="E102" i="33"/>
  <c r="D102" i="33"/>
  <c r="C102" i="33"/>
  <c r="L101" i="33"/>
  <c r="K101" i="33"/>
  <c r="J101" i="33"/>
  <c r="I101" i="33"/>
  <c r="H101" i="33"/>
  <c r="G101" i="33"/>
  <c r="F101" i="33"/>
  <c r="E101" i="33"/>
  <c r="D101" i="33"/>
  <c r="C101" i="33"/>
  <c r="L100" i="33"/>
  <c r="K100" i="33"/>
  <c r="J100" i="33"/>
  <c r="I100" i="33"/>
  <c r="H100" i="33"/>
  <c r="G100" i="33"/>
  <c r="F100" i="33"/>
  <c r="E100" i="33"/>
  <c r="D100" i="33"/>
  <c r="C100" i="33"/>
  <c r="L99" i="33"/>
  <c r="K99" i="33"/>
  <c r="J99" i="33"/>
  <c r="I99" i="33"/>
  <c r="H99" i="33"/>
  <c r="G99" i="33"/>
  <c r="F99" i="33"/>
  <c r="E99" i="33"/>
  <c r="D99" i="33"/>
  <c r="C99" i="33"/>
  <c r="L98" i="33"/>
  <c r="K98" i="33"/>
  <c r="J98" i="33"/>
  <c r="I98" i="33"/>
  <c r="H98" i="33"/>
  <c r="G98" i="33"/>
  <c r="F98" i="33"/>
  <c r="E98" i="33"/>
  <c r="D98" i="33"/>
  <c r="C98" i="33"/>
  <c r="L97" i="33"/>
  <c r="K97" i="33"/>
  <c r="J97" i="33"/>
  <c r="I97" i="33"/>
  <c r="H97" i="33"/>
  <c r="G97" i="33"/>
  <c r="F97" i="33"/>
  <c r="E97" i="33"/>
  <c r="D97" i="33"/>
  <c r="C97" i="33"/>
  <c r="L96" i="33"/>
  <c r="K96" i="33"/>
  <c r="J96" i="33"/>
  <c r="I96" i="33"/>
  <c r="H96" i="33"/>
  <c r="G96" i="33"/>
  <c r="F96" i="33"/>
  <c r="E96" i="33"/>
  <c r="D96" i="33"/>
  <c r="C96" i="33"/>
  <c r="L95" i="33"/>
  <c r="K95" i="33"/>
  <c r="J95" i="33"/>
  <c r="I95" i="33"/>
  <c r="H95" i="33"/>
  <c r="G95" i="33"/>
  <c r="F95" i="33"/>
  <c r="E95" i="33"/>
  <c r="D95" i="33"/>
  <c r="C95" i="33"/>
  <c r="L94" i="33"/>
  <c r="K94" i="33"/>
  <c r="J94" i="33"/>
  <c r="I94" i="33"/>
  <c r="H94" i="33"/>
  <c r="G94" i="33"/>
  <c r="F94" i="33"/>
  <c r="E94" i="33"/>
  <c r="D94" i="33"/>
  <c r="C94" i="33"/>
  <c r="L93" i="33"/>
  <c r="K93" i="33"/>
  <c r="J93" i="33"/>
  <c r="I93" i="33"/>
  <c r="H93" i="33"/>
  <c r="G93" i="33"/>
  <c r="F93" i="33"/>
  <c r="E93" i="33"/>
  <c r="D93" i="33"/>
  <c r="C93" i="33"/>
  <c r="L92" i="33"/>
  <c r="K92" i="33"/>
  <c r="J92" i="33"/>
  <c r="I92" i="33"/>
  <c r="H92" i="33"/>
  <c r="G92" i="33"/>
  <c r="F92" i="33"/>
  <c r="E92" i="33"/>
  <c r="D92" i="33"/>
  <c r="C92" i="33"/>
  <c r="L91" i="33"/>
  <c r="K91" i="33"/>
  <c r="J91" i="33"/>
  <c r="I91" i="33"/>
  <c r="H91" i="33"/>
  <c r="G91" i="33"/>
  <c r="F91" i="33"/>
  <c r="E91" i="33"/>
  <c r="D91" i="33"/>
  <c r="C91" i="33"/>
  <c r="L90" i="33"/>
  <c r="K90" i="33"/>
  <c r="J90" i="33"/>
  <c r="I90" i="33"/>
  <c r="H90" i="33"/>
  <c r="G90" i="33"/>
  <c r="F90" i="33"/>
  <c r="E90" i="33"/>
  <c r="D90" i="33"/>
  <c r="C90" i="33"/>
  <c r="L89" i="33"/>
  <c r="K89" i="33"/>
  <c r="J89" i="33"/>
  <c r="I89" i="33"/>
  <c r="H89" i="33"/>
  <c r="G89" i="33"/>
  <c r="F89" i="33"/>
  <c r="E89" i="33"/>
  <c r="D89" i="33"/>
  <c r="C89" i="33"/>
  <c r="L88" i="33"/>
  <c r="K88" i="33"/>
  <c r="J88" i="33"/>
  <c r="I88" i="33"/>
  <c r="H88" i="33"/>
  <c r="G88" i="33"/>
  <c r="F88" i="33"/>
  <c r="E88" i="33"/>
  <c r="D88" i="33"/>
  <c r="C88" i="33"/>
  <c r="L87" i="33"/>
  <c r="K87" i="33"/>
  <c r="J87" i="33"/>
  <c r="I87" i="33"/>
  <c r="H87" i="33"/>
  <c r="G87" i="33"/>
  <c r="F87" i="33"/>
  <c r="E87" i="33"/>
  <c r="D87" i="33"/>
  <c r="C87" i="33"/>
  <c r="L86" i="33"/>
  <c r="K86" i="33"/>
  <c r="J86" i="33"/>
  <c r="I86" i="33"/>
  <c r="H86" i="33"/>
  <c r="G86" i="33"/>
  <c r="F86" i="33"/>
  <c r="E86" i="33"/>
  <c r="D86" i="33"/>
  <c r="C86" i="33"/>
  <c r="L85" i="33"/>
  <c r="K85" i="33"/>
  <c r="J85" i="33"/>
  <c r="I85" i="33"/>
  <c r="H85" i="33"/>
  <c r="G85" i="33"/>
  <c r="F85" i="33"/>
  <c r="E85" i="33"/>
  <c r="D85" i="33"/>
  <c r="C85" i="33"/>
  <c r="L84" i="33"/>
  <c r="K84" i="33"/>
  <c r="J84" i="33"/>
  <c r="I84" i="33"/>
  <c r="H84" i="33"/>
  <c r="G84" i="33"/>
  <c r="F84" i="33"/>
  <c r="E84" i="33"/>
  <c r="D84" i="33"/>
  <c r="C84" i="33"/>
  <c r="L83" i="33"/>
  <c r="K83" i="33"/>
  <c r="J83" i="33"/>
  <c r="I83" i="33"/>
  <c r="H83" i="33"/>
  <c r="G83" i="33"/>
  <c r="F83" i="33"/>
  <c r="E83" i="33"/>
  <c r="D83" i="33"/>
  <c r="C83" i="33"/>
  <c r="L82" i="33"/>
  <c r="K82" i="33"/>
  <c r="J82" i="33"/>
  <c r="I82" i="33"/>
  <c r="H82" i="33"/>
  <c r="G82" i="33"/>
  <c r="F82" i="33"/>
  <c r="E82" i="33"/>
  <c r="D82" i="33"/>
  <c r="C82" i="33"/>
  <c r="L81" i="33"/>
  <c r="K81" i="33"/>
  <c r="J81" i="33"/>
  <c r="I81" i="33"/>
  <c r="H81" i="33"/>
  <c r="G81" i="33"/>
  <c r="F81" i="33"/>
  <c r="E81" i="33"/>
  <c r="D81" i="33"/>
  <c r="C81" i="33"/>
  <c r="L80" i="33"/>
  <c r="K80" i="33"/>
  <c r="J80" i="33"/>
  <c r="I80" i="33"/>
  <c r="H80" i="33"/>
  <c r="G80" i="33"/>
  <c r="F80" i="33"/>
  <c r="E80" i="33"/>
  <c r="D80" i="33"/>
  <c r="C80" i="33"/>
  <c r="L79" i="33"/>
  <c r="K79" i="33"/>
  <c r="J79" i="33"/>
  <c r="I79" i="33"/>
  <c r="H79" i="33"/>
  <c r="G79" i="33"/>
  <c r="F79" i="33"/>
  <c r="E79" i="33"/>
  <c r="D79" i="33"/>
  <c r="C79" i="33"/>
  <c r="L78" i="33"/>
  <c r="K78" i="33"/>
  <c r="J78" i="33"/>
  <c r="I78" i="33"/>
  <c r="H78" i="33"/>
  <c r="G78" i="33"/>
  <c r="F78" i="33"/>
  <c r="E78" i="33"/>
  <c r="D78" i="33"/>
  <c r="C78" i="33"/>
  <c r="L77" i="33"/>
  <c r="K77" i="33"/>
  <c r="J77" i="33"/>
  <c r="I77" i="33"/>
  <c r="H77" i="33"/>
  <c r="G77" i="33"/>
  <c r="F77" i="33"/>
  <c r="E77" i="33"/>
  <c r="D77" i="33"/>
  <c r="C77" i="33"/>
  <c r="L76" i="33"/>
  <c r="K76" i="33"/>
  <c r="J76" i="33"/>
  <c r="I76" i="33"/>
  <c r="H76" i="33"/>
  <c r="G76" i="33"/>
  <c r="F76" i="33"/>
  <c r="E76" i="33"/>
  <c r="D76" i="33"/>
  <c r="C76" i="33"/>
  <c r="L75" i="33"/>
  <c r="K75" i="33"/>
  <c r="J75" i="33"/>
  <c r="I75" i="33"/>
  <c r="H75" i="33"/>
  <c r="G75" i="33"/>
  <c r="F75" i="33"/>
  <c r="E75" i="33"/>
  <c r="D75" i="33"/>
  <c r="C75" i="33"/>
  <c r="L74" i="33"/>
  <c r="K74" i="33"/>
  <c r="J74" i="33"/>
  <c r="I74" i="33"/>
  <c r="H74" i="33"/>
  <c r="G74" i="33"/>
  <c r="F74" i="33"/>
  <c r="E74" i="33"/>
  <c r="D74" i="33"/>
  <c r="C74" i="33"/>
  <c r="L73" i="33"/>
  <c r="K73" i="33"/>
  <c r="J73" i="33"/>
  <c r="I73" i="33"/>
  <c r="H73" i="33"/>
  <c r="G73" i="33"/>
  <c r="F73" i="33"/>
  <c r="E73" i="33"/>
  <c r="D73" i="33"/>
  <c r="C73" i="33"/>
  <c r="L72" i="33"/>
  <c r="K72" i="33"/>
  <c r="J72" i="33"/>
  <c r="I72" i="33"/>
  <c r="H72" i="33"/>
  <c r="G72" i="33"/>
  <c r="F72" i="33"/>
  <c r="E72" i="33"/>
  <c r="D72" i="33"/>
  <c r="C72" i="33"/>
  <c r="L71" i="33"/>
  <c r="K71" i="33"/>
  <c r="J71" i="33"/>
  <c r="I71" i="33"/>
  <c r="H71" i="33"/>
  <c r="G71" i="33"/>
  <c r="F71" i="33"/>
  <c r="E71" i="33"/>
  <c r="D71" i="33"/>
  <c r="C71" i="33"/>
  <c r="L70" i="33"/>
  <c r="K70" i="33"/>
  <c r="J70" i="33"/>
  <c r="I70" i="33"/>
  <c r="H70" i="33"/>
  <c r="G70" i="33"/>
  <c r="F70" i="33"/>
  <c r="E70" i="33"/>
  <c r="D70" i="33"/>
  <c r="C70" i="33"/>
  <c r="L69" i="33"/>
  <c r="K69" i="33"/>
  <c r="J69" i="33"/>
  <c r="I69" i="33"/>
  <c r="H69" i="33"/>
  <c r="G69" i="33"/>
  <c r="F69" i="33"/>
  <c r="E69" i="33"/>
  <c r="D69" i="33"/>
  <c r="C69" i="33"/>
  <c r="L68" i="33"/>
  <c r="K68" i="33"/>
  <c r="J68" i="33"/>
  <c r="I68" i="33"/>
  <c r="H68" i="33"/>
  <c r="G68" i="33"/>
  <c r="F68" i="33"/>
  <c r="E68" i="33"/>
  <c r="D68" i="33"/>
  <c r="C68" i="33"/>
  <c r="L67" i="33"/>
  <c r="K67" i="33"/>
  <c r="J67" i="33"/>
  <c r="I67" i="33"/>
  <c r="H67" i="33"/>
  <c r="G67" i="33"/>
  <c r="F67" i="33"/>
  <c r="E67" i="33"/>
  <c r="D67" i="33"/>
  <c r="C67" i="33"/>
  <c r="L66" i="33"/>
  <c r="K66" i="33"/>
  <c r="J66" i="33"/>
  <c r="I66" i="33"/>
  <c r="H66" i="33"/>
  <c r="G66" i="33"/>
  <c r="F66" i="33"/>
  <c r="E66" i="33"/>
  <c r="D66" i="33"/>
  <c r="C66" i="33"/>
  <c r="L65" i="33"/>
  <c r="K65" i="33"/>
  <c r="J65" i="33"/>
  <c r="I65" i="33"/>
  <c r="H65" i="33"/>
  <c r="G65" i="33"/>
  <c r="F65" i="33"/>
  <c r="E65" i="33"/>
  <c r="D65" i="33"/>
  <c r="C65" i="33"/>
  <c r="L64" i="33"/>
  <c r="K64" i="33"/>
  <c r="J64" i="33"/>
  <c r="I64" i="33"/>
  <c r="H64" i="33"/>
  <c r="G64" i="33"/>
  <c r="F64" i="33"/>
  <c r="E64" i="33"/>
  <c r="D64" i="33"/>
  <c r="C64" i="33"/>
  <c r="L63" i="33"/>
  <c r="K63" i="33"/>
  <c r="J63" i="33"/>
  <c r="I63" i="33"/>
  <c r="H63" i="33"/>
  <c r="G63" i="33"/>
  <c r="F63" i="33"/>
  <c r="E63" i="33"/>
  <c r="D63" i="33"/>
  <c r="C63" i="33"/>
  <c r="L62" i="33"/>
  <c r="K62" i="33"/>
  <c r="J62" i="33"/>
  <c r="I62" i="33"/>
  <c r="H62" i="33"/>
  <c r="G62" i="33"/>
  <c r="F62" i="33"/>
  <c r="E62" i="33"/>
  <c r="D62" i="33"/>
  <c r="C62" i="33"/>
  <c r="L61" i="33"/>
  <c r="K61" i="33"/>
  <c r="J61" i="33"/>
  <c r="I61" i="33"/>
  <c r="H61" i="33"/>
  <c r="G61" i="33"/>
  <c r="F61" i="33"/>
  <c r="E61" i="33"/>
  <c r="D61" i="33"/>
  <c r="C61" i="33"/>
  <c r="L60" i="33"/>
  <c r="K60" i="33"/>
  <c r="J60" i="33"/>
  <c r="I60" i="33"/>
  <c r="H60" i="33"/>
  <c r="G60" i="33"/>
  <c r="F60" i="33"/>
  <c r="E60" i="33"/>
  <c r="D60" i="33"/>
  <c r="C60" i="33"/>
  <c r="L59" i="33"/>
  <c r="K59" i="33"/>
  <c r="J59" i="33"/>
  <c r="I59" i="33"/>
  <c r="H59" i="33"/>
  <c r="G59" i="33"/>
  <c r="F59" i="33"/>
  <c r="E59" i="33"/>
  <c r="D59" i="33"/>
  <c r="C59" i="33"/>
  <c r="L58" i="33"/>
  <c r="K58" i="33"/>
  <c r="J58" i="33"/>
  <c r="I58" i="33"/>
  <c r="H58" i="33"/>
  <c r="G58" i="33"/>
  <c r="F58" i="33"/>
  <c r="E58" i="33"/>
  <c r="D58" i="33"/>
  <c r="C58" i="33"/>
  <c r="L57" i="33"/>
  <c r="K57" i="33"/>
  <c r="J57" i="33"/>
  <c r="I57" i="33"/>
  <c r="H57" i="33"/>
  <c r="G57" i="33"/>
  <c r="F57" i="33"/>
  <c r="E57" i="33"/>
  <c r="D57" i="33"/>
  <c r="C57" i="33"/>
  <c r="L56" i="33"/>
  <c r="K56" i="33"/>
  <c r="J56" i="33"/>
  <c r="I56" i="33"/>
  <c r="H56" i="33"/>
  <c r="G56" i="33"/>
  <c r="F56" i="33"/>
  <c r="E56" i="33"/>
  <c r="D56" i="33"/>
  <c r="C56" i="33"/>
  <c r="L55" i="33"/>
  <c r="K55" i="33"/>
  <c r="J55" i="33"/>
  <c r="I55" i="33"/>
  <c r="H55" i="33"/>
  <c r="G55" i="33"/>
  <c r="F55" i="33"/>
  <c r="E55" i="33"/>
  <c r="D55" i="33"/>
  <c r="C55" i="33"/>
  <c r="L54" i="33"/>
  <c r="K54" i="33"/>
  <c r="J54" i="33"/>
  <c r="I54" i="33"/>
  <c r="H54" i="33"/>
  <c r="G54" i="33"/>
  <c r="F54" i="33"/>
  <c r="E54" i="33"/>
  <c r="D54" i="33"/>
  <c r="C54" i="33"/>
  <c r="L53" i="33"/>
  <c r="K53" i="33"/>
  <c r="J53" i="33"/>
  <c r="I53" i="33"/>
  <c r="H53" i="33"/>
  <c r="G53" i="33"/>
  <c r="F53" i="33"/>
  <c r="E53" i="33"/>
  <c r="D53" i="33"/>
  <c r="C53" i="33"/>
  <c r="L52" i="33"/>
  <c r="K52" i="33"/>
  <c r="J52" i="33"/>
  <c r="I52" i="33"/>
  <c r="H52" i="33"/>
  <c r="G52" i="33"/>
  <c r="F52" i="33"/>
  <c r="E52" i="33"/>
  <c r="D52" i="33"/>
  <c r="C52" i="33"/>
  <c r="L51" i="33"/>
  <c r="K51" i="33"/>
  <c r="J51" i="33"/>
  <c r="I51" i="33"/>
  <c r="H51" i="33"/>
  <c r="G51" i="33"/>
  <c r="F51" i="33"/>
  <c r="E51" i="33"/>
  <c r="D51" i="33"/>
  <c r="C51" i="33"/>
  <c r="L50" i="33"/>
  <c r="K50" i="33"/>
  <c r="J50" i="33"/>
  <c r="I50" i="33"/>
  <c r="H50" i="33"/>
  <c r="G50" i="33"/>
  <c r="F50" i="33"/>
  <c r="E50" i="33"/>
  <c r="D50" i="33"/>
  <c r="C50" i="33"/>
  <c r="L49" i="33"/>
  <c r="K49" i="33"/>
  <c r="J49" i="33"/>
  <c r="I49" i="33"/>
  <c r="H49" i="33"/>
  <c r="G49" i="33"/>
  <c r="F49" i="33"/>
  <c r="E49" i="33"/>
  <c r="D49" i="33"/>
  <c r="C49" i="33"/>
  <c r="L48" i="33"/>
  <c r="K48" i="33"/>
  <c r="J48" i="33"/>
  <c r="I48" i="33"/>
  <c r="H48" i="33"/>
  <c r="G48" i="33"/>
  <c r="F48" i="33"/>
  <c r="E48" i="33"/>
  <c r="D48" i="33"/>
  <c r="C48" i="33"/>
  <c r="L47" i="33"/>
  <c r="K47" i="33"/>
  <c r="J47" i="33"/>
  <c r="I47" i="33"/>
  <c r="H47" i="33"/>
  <c r="G47" i="33"/>
  <c r="F47" i="33"/>
  <c r="E47" i="33"/>
  <c r="D47" i="33"/>
  <c r="C47" i="33"/>
  <c r="L46" i="33"/>
  <c r="K46" i="33"/>
  <c r="J46" i="33"/>
  <c r="I46" i="33"/>
  <c r="H46" i="33"/>
  <c r="G46" i="33"/>
  <c r="F46" i="33"/>
  <c r="E46" i="33"/>
  <c r="D46" i="33"/>
  <c r="C46" i="33"/>
  <c r="L45" i="33"/>
  <c r="K45" i="33"/>
  <c r="J45" i="33"/>
  <c r="I45" i="33"/>
  <c r="H45" i="33"/>
  <c r="G45" i="33"/>
  <c r="F45" i="33"/>
  <c r="E45" i="33"/>
  <c r="D45" i="33"/>
  <c r="C45" i="33"/>
  <c r="L44" i="33"/>
  <c r="K44" i="33"/>
  <c r="J44" i="33"/>
  <c r="I44" i="33"/>
  <c r="H44" i="33"/>
  <c r="G44" i="33"/>
  <c r="F44" i="33"/>
  <c r="E44" i="33"/>
  <c r="D44" i="33"/>
  <c r="C44" i="33"/>
  <c r="L43" i="33"/>
  <c r="K43" i="33"/>
  <c r="J43" i="33"/>
  <c r="I43" i="33"/>
  <c r="H43" i="33"/>
  <c r="G43" i="33"/>
  <c r="F43" i="33"/>
  <c r="E43" i="33"/>
  <c r="D43" i="33"/>
  <c r="C43" i="33"/>
  <c r="L42" i="33"/>
  <c r="K42" i="33"/>
  <c r="J42" i="33"/>
  <c r="I42" i="33"/>
  <c r="H42" i="33"/>
  <c r="G42" i="33"/>
  <c r="F42" i="33"/>
  <c r="E42" i="33"/>
  <c r="D42" i="33"/>
  <c r="C42" i="33"/>
  <c r="L41" i="33"/>
  <c r="K41" i="33"/>
  <c r="J41" i="33"/>
  <c r="I41" i="33"/>
  <c r="H41" i="33"/>
  <c r="G41" i="33"/>
  <c r="F41" i="33"/>
  <c r="E41" i="33"/>
  <c r="D41" i="33"/>
  <c r="C41" i="33"/>
  <c r="L40" i="33"/>
  <c r="K40" i="33"/>
  <c r="J40" i="33"/>
  <c r="I40" i="33"/>
  <c r="H40" i="33"/>
  <c r="G40" i="33"/>
  <c r="F40" i="33"/>
  <c r="E40" i="33"/>
  <c r="D40" i="33"/>
  <c r="C40" i="33"/>
  <c r="L39" i="33"/>
  <c r="K39" i="33"/>
  <c r="J39" i="33"/>
  <c r="I39" i="33"/>
  <c r="H39" i="33"/>
  <c r="G39" i="33"/>
  <c r="F39" i="33"/>
  <c r="E39" i="33"/>
  <c r="D39" i="33"/>
  <c r="C39" i="33"/>
  <c r="L38" i="33"/>
  <c r="K38" i="33"/>
  <c r="J38" i="33"/>
  <c r="I38" i="33"/>
  <c r="H38" i="33"/>
  <c r="G38" i="33"/>
  <c r="F38" i="33"/>
  <c r="E38" i="33"/>
  <c r="D38" i="33"/>
  <c r="C38" i="33"/>
  <c r="L37" i="33"/>
  <c r="K37" i="33"/>
  <c r="J37" i="33"/>
  <c r="I37" i="33"/>
  <c r="H37" i="33"/>
  <c r="G37" i="33"/>
  <c r="F37" i="33"/>
  <c r="E37" i="33"/>
  <c r="D37" i="33"/>
  <c r="C37" i="33"/>
  <c r="L36" i="33"/>
  <c r="K36" i="33"/>
  <c r="J36" i="33"/>
  <c r="I36" i="33"/>
  <c r="H36" i="33"/>
  <c r="G36" i="33"/>
  <c r="F36" i="33"/>
  <c r="E36" i="33"/>
  <c r="D36" i="33"/>
  <c r="C36" i="33"/>
  <c r="L35" i="33"/>
  <c r="K35" i="33"/>
  <c r="J35" i="33"/>
  <c r="I35" i="33"/>
  <c r="H35" i="33"/>
  <c r="G35" i="33"/>
  <c r="F35" i="33"/>
  <c r="E35" i="33"/>
  <c r="D35" i="33"/>
  <c r="C35" i="33"/>
  <c r="L34" i="33"/>
  <c r="K34" i="33"/>
  <c r="J34" i="33"/>
  <c r="I34" i="33"/>
  <c r="H34" i="33"/>
  <c r="G34" i="33"/>
  <c r="F34" i="33"/>
  <c r="E34" i="33"/>
  <c r="D34" i="33"/>
  <c r="C34" i="33"/>
  <c r="L33" i="33"/>
  <c r="K33" i="33"/>
  <c r="J33" i="33"/>
  <c r="I33" i="33"/>
  <c r="H33" i="33"/>
  <c r="G33" i="33"/>
  <c r="F33" i="33"/>
  <c r="E33" i="33"/>
  <c r="D33" i="33"/>
  <c r="C33" i="33"/>
  <c r="L32" i="33"/>
  <c r="K32" i="33"/>
  <c r="J32" i="33"/>
  <c r="I32" i="33"/>
  <c r="H32" i="33"/>
  <c r="G32" i="33"/>
  <c r="F32" i="33"/>
  <c r="E32" i="33"/>
  <c r="D32" i="33"/>
  <c r="C32" i="33"/>
  <c r="L31" i="33"/>
  <c r="K31" i="33"/>
  <c r="J31" i="33"/>
  <c r="I31" i="33"/>
  <c r="H31" i="33"/>
  <c r="G31" i="33"/>
  <c r="F31" i="33"/>
  <c r="E31" i="33"/>
  <c r="D31" i="33"/>
  <c r="C31" i="33"/>
  <c r="L30" i="33"/>
  <c r="K30" i="33"/>
  <c r="J30" i="33"/>
  <c r="I30" i="33"/>
  <c r="H30" i="33"/>
  <c r="G30" i="33"/>
  <c r="F30" i="33"/>
  <c r="E30" i="33"/>
  <c r="D30" i="33"/>
  <c r="C30" i="33"/>
  <c r="L29" i="33"/>
  <c r="K29" i="33"/>
  <c r="J29" i="33"/>
  <c r="I29" i="33"/>
  <c r="H29" i="33"/>
  <c r="G29" i="33"/>
  <c r="F29" i="33"/>
  <c r="E29" i="33"/>
  <c r="D29" i="33"/>
  <c r="C29" i="33"/>
  <c r="L28" i="33"/>
  <c r="K28" i="33"/>
  <c r="J28" i="33"/>
  <c r="I28" i="33"/>
  <c r="H28" i="33"/>
  <c r="G28" i="33"/>
  <c r="F28" i="33"/>
  <c r="E28" i="33"/>
  <c r="D28" i="33"/>
  <c r="C28" i="33"/>
  <c r="L27" i="33"/>
  <c r="K27" i="33"/>
  <c r="J27" i="33"/>
  <c r="I27" i="33"/>
  <c r="H27" i="33"/>
  <c r="G27" i="33"/>
  <c r="F27" i="33"/>
  <c r="E27" i="33"/>
  <c r="D27" i="33"/>
  <c r="C27" i="33"/>
  <c r="L26" i="33"/>
  <c r="K26" i="33"/>
  <c r="J26" i="33"/>
  <c r="I26" i="33"/>
  <c r="H26" i="33"/>
  <c r="G26" i="33"/>
  <c r="F26" i="33"/>
  <c r="E26" i="33"/>
  <c r="D26" i="33"/>
  <c r="C26" i="33"/>
  <c r="L25" i="33"/>
  <c r="K25" i="33"/>
  <c r="J25" i="33"/>
  <c r="I25" i="33"/>
  <c r="H25" i="33"/>
  <c r="G25" i="33"/>
  <c r="F25" i="33"/>
  <c r="E25" i="33"/>
  <c r="D25" i="33"/>
  <c r="C25" i="33"/>
  <c r="L24" i="33"/>
  <c r="K24" i="33"/>
  <c r="J24" i="33"/>
  <c r="I24" i="33"/>
  <c r="H24" i="33"/>
  <c r="G24" i="33"/>
  <c r="F24" i="33"/>
  <c r="E24" i="33"/>
  <c r="D24" i="33"/>
  <c r="C24" i="33"/>
  <c r="L23" i="33"/>
  <c r="K23" i="33"/>
  <c r="J23" i="33"/>
  <c r="I23" i="33"/>
  <c r="H23" i="33"/>
  <c r="G23" i="33"/>
  <c r="F23" i="33"/>
  <c r="E23" i="33"/>
  <c r="D23" i="33"/>
  <c r="C23" i="33"/>
  <c r="L22" i="33"/>
  <c r="K22" i="33"/>
  <c r="J22" i="33"/>
  <c r="I22" i="33"/>
  <c r="H22" i="33"/>
  <c r="G22" i="33"/>
  <c r="F22" i="33"/>
  <c r="E22" i="33"/>
  <c r="D22" i="33"/>
  <c r="C22" i="33"/>
  <c r="L21" i="33"/>
  <c r="K21" i="33"/>
  <c r="J21" i="33"/>
  <c r="I21" i="33"/>
  <c r="H21" i="33"/>
  <c r="G21" i="33"/>
  <c r="F21" i="33"/>
  <c r="E21" i="33"/>
  <c r="D21" i="33"/>
  <c r="C21" i="33"/>
  <c r="L20" i="33"/>
  <c r="K20" i="33"/>
  <c r="J20" i="33"/>
  <c r="I20" i="33"/>
  <c r="H20" i="33"/>
  <c r="G20" i="33"/>
  <c r="F20" i="33"/>
  <c r="E20" i="33"/>
  <c r="D20" i="33"/>
  <c r="C20" i="33"/>
  <c r="L19" i="33"/>
  <c r="K19" i="33"/>
  <c r="J19" i="33"/>
  <c r="I19" i="33"/>
  <c r="H19" i="33"/>
  <c r="G19" i="33"/>
  <c r="F19" i="33"/>
  <c r="E19" i="33"/>
  <c r="D19" i="33"/>
  <c r="C19" i="33"/>
  <c r="L18" i="33"/>
  <c r="K18" i="33"/>
  <c r="J18" i="33"/>
  <c r="I18" i="33"/>
  <c r="H18" i="33"/>
  <c r="G18" i="33"/>
  <c r="F18" i="33"/>
  <c r="E18" i="33"/>
  <c r="D18" i="33"/>
  <c r="C18" i="33"/>
  <c r="L17" i="33"/>
  <c r="K17" i="33"/>
  <c r="J17" i="33"/>
  <c r="I17" i="33"/>
  <c r="H17" i="33"/>
  <c r="G17" i="33"/>
  <c r="F17" i="33"/>
  <c r="E17" i="33"/>
  <c r="D17" i="33"/>
  <c r="C17" i="33"/>
  <c r="L16" i="33"/>
  <c r="K16" i="33"/>
  <c r="J16" i="33"/>
  <c r="I16" i="33"/>
  <c r="H16" i="33"/>
  <c r="G16" i="33"/>
  <c r="F16" i="33"/>
  <c r="E16" i="33"/>
  <c r="D16" i="33"/>
  <c r="C16" i="33"/>
  <c r="L15" i="33"/>
  <c r="K15" i="33"/>
  <c r="J15" i="33"/>
  <c r="I15" i="33"/>
  <c r="H15" i="33"/>
  <c r="G15" i="33"/>
  <c r="F15" i="33"/>
  <c r="E15" i="33"/>
  <c r="D15" i="33"/>
  <c r="C15" i="33"/>
  <c r="L14" i="33"/>
  <c r="K14" i="33"/>
  <c r="J14" i="33"/>
  <c r="I14" i="33"/>
  <c r="H14" i="33"/>
  <c r="G14" i="33"/>
  <c r="F14" i="33"/>
  <c r="E14" i="33"/>
  <c r="D14" i="33"/>
  <c r="C14" i="33"/>
  <c r="L13" i="33"/>
  <c r="K13" i="33"/>
  <c r="J13" i="33"/>
  <c r="I13" i="33"/>
  <c r="H13" i="33"/>
  <c r="G13" i="33"/>
  <c r="F13" i="33"/>
  <c r="E13" i="33"/>
  <c r="D13" i="33"/>
  <c r="C13" i="33"/>
  <c r="L12" i="33"/>
  <c r="K12" i="33"/>
  <c r="J12" i="33"/>
  <c r="I12" i="33"/>
  <c r="H12" i="33"/>
  <c r="G12" i="33"/>
  <c r="F12" i="33"/>
  <c r="E12" i="33"/>
  <c r="D12" i="33"/>
  <c r="C12" i="33"/>
  <c r="L11" i="33"/>
  <c r="K11" i="33"/>
  <c r="J11" i="33"/>
  <c r="I11" i="33"/>
  <c r="H11" i="33"/>
  <c r="G11" i="33"/>
  <c r="F11" i="33"/>
  <c r="E11" i="33"/>
  <c r="D11" i="33"/>
  <c r="C11" i="33"/>
  <c r="L10" i="33"/>
  <c r="K10" i="33"/>
  <c r="J10" i="33"/>
  <c r="I10" i="33"/>
  <c r="H10" i="33"/>
  <c r="G10" i="33"/>
  <c r="F10" i="33"/>
  <c r="E10" i="33"/>
  <c r="D10" i="33"/>
  <c r="C10" i="33"/>
  <c r="L9" i="33"/>
  <c r="K9" i="33"/>
  <c r="J9" i="33"/>
  <c r="I9" i="33"/>
  <c r="H9" i="33"/>
  <c r="G9" i="33"/>
  <c r="F9" i="33"/>
  <c r="E9" i="33"/>
  <c r="D9" i="33"/>
  <c r="C9" i="33"/>
  <c r="L8" i="33"/>
  <c r="K8" i="33"/>
  <c r="J8" i="33"/>
  <c r="I8" i="33"/>
  <c r="H8" i="33"/>
  <c r="G8" i="33"/>
  <c r="F8" i="33"/>
  <c r="E8" i="33"/>
  <c r="D8" i="33"/>
  <c r="C8" i="33"/>
  <c r="L7" i="33"/>
  <c r="K7" i="33"/>
  <c r="J7" i="33"/>
  <c r="I7" i="33"/>
  <c r="H7" i="33"/>
  <c r="G7" i="33"/>
  <c r="F7" i="33"/>
  <c r="E7" i="33"/>
  <c r="D7" i="33"/>
  <c r="C7" i="33"/>
  <c r="L6" i="33"/>
  <c r="K6" i="33"/>
  <c r="J6" i="33"/>
  <c r="I6" i="33"/>
  <c r="H6" i="33"/>
  <c r="G6" i="33"/>
  <c r="F6" i="33"/>
  <c r="E6" i="33"/>
  <c r="D6" i="33"/>
  <c r="C6" i="33"/>
  <c r="L5" i="33"/>
  <c r="K5" i="33"/>
  <c r="J5" i="33"/>
  <c r="I5" i="33"/>
  <c r="H5" i="33"/>
  <c r="G5" i="33"/>
  <c r="F5" i="33"/>
  <c r="E5" i="33"/>
  <c r="D5" i="33"/>
  <c r="C5" i="33"/>
  <c r="L4" i="33"/>
  <c r="K4" i="33"/>
  <c r="J4" i="33"/>
  <c r="I4" i="33"/>
  <c r="H4" i="33"/>
  <c r="G4" i="33"/>
  <c r="F4" i="33"/>
  <c r="E4" i="33"/>
  <c r="D4" i="33"/>
  <c r="C4" i="33"/>
  <c r="L3" i="33"/>
  <c r="K3" i="33"/>
  <c r="J3" i="33"/>
  <c r="I3" i="33"/>
  <c r="H3" i="33"/>
  <c r="G3" i="33"/>
  <c r="F3" i="33"/>
  <c r="E3" i="33"/>
  <c r="D3" i="33"/>
  <c r="C3" i="33"/>
  <c r="I34" i="1"/>
  <c r="H34" i="1"/>
  <c r="G34" i="1"/>
  <c r="F34" i="1"/>
  <c r="I33" i="1"/>
  <c r="H33" i="1"/>
  <c r="G33" i="1"/>
  <c r="F33" i="1"/>
  <c r="I32" i="1"/>
  <c r="H32" i="1"/>
  <c r="G32" i="1"/>
  <c r="F32" i="1"/>
  <c r="I31" i="1"/>
  <c r="H31" i="1"/>
  <c r="G31" i="1"/>
  <c r="F31" i="1"/>
  <c r="I30" i="1"/>
  <c r="H30" i="1"/>
  <c r="G30" i="1"/>
  <c r="F30" i="1"/>
  <c r="I29" i="1"/>
  <c r="H29" i="1"/>
  <c r="G29" i="1"/>
  <c r="F29" i="1"/>
  <c r="I28" i="1"/>
  <c r="H28" i="1"/>
  <c r="G28" i="1"/>
  <c r="F28" i="1"/>
  <c r="I27" i="1"/>
  <c r="H27" i="1"/>
  <c r="G27" i="1"/>
  <c r="F27" i="1"/>
  <c r="I26" i="1"/>
  <c r="H26" i="1"/>
  <c r="G26" i="1"/>
  <c r="F26" i="1"/>
  <c r="I25" i="1"/>
  <c r="H25" i="1"/>
  <c r="G25" i="1"/>
  <c r="F25" i="1"/>
  <c r="I24" i="1"/>
  <c r="H24" i="1"/>
  <c r="G24" i="1"/>
  <c r="F24" i="1"/>
  <c r="I23" i="1"/>
  <c r="H23" i="1"/>
  <c r="G23" i="1"/>
  <c r="F23" i="1"/>
  <c r="I22" i="1"/>
  <c r="H22" i="1"/>
  <c r="G22" i="1"/>
  <c r="F22" i="1"/>
  <c r="I21" i="1"/>
  <c r="H21" i="1"/>
  <c r="G21" i="1"/>
  <c r="F21" i="1"/>
  <c r="I20" i="1"/>
  <c r="H20" i="1"/>
  <c r="G20" i="1"/>
  <c r="F20" i="1"/>
  <c r="I19" i="1"/>
  <c r="H19" i="1"/>
  <c r="G19" i="1"/>
  <c r="F19" i="1"/>
  <c r="I18" i="1"/>
  <c r="H18" i="1"/>
  <c r="G18" i="1"/>
  <c r="F18" i="1"/>
  <c r="I17" i="1"/>
  <c r="H17" i="1"/>
  <c r="G17" i="1"/>
  <c r="F17" i="1"/>
  <c r="I16" i="1"/>
  <c r="H16" i="1"/>
  <c r="G16" i="1"/>
  <c r="F16" i="1"/>
  <c r="I15" i="1"/>
  <c r="H15" i="1"/>
  <c r="G15" i="1"/>
  <c r="F15" i="1"/>
  <c r="I14" i="1"/>
  <c r="H14" i="1"/>
  <c r="G14" i="1"/>
  <c r="F14" i="1"/>
  <c r="I13" i="1"/>
  <c r="H13" i="1"/>
  <c r="G13" i="1"/>
  <c r="F13" i="1"/>
  <c r="I12" i="1"/>
  <c r="H12" i="1"/>
  <c r="G12" i="1"/>
  <c r="F12" i="1"/>
  <c r="I11" i="1"/>
  <c r="H11" i="1"/>
  <c r="G11" i="1"/>
  <c r="F11" i="1"/>
  <c r="I10" i="1"/>
  <c r="H10" i="1"/>
  <c r="G10" i="1"/>
  <c r="F10" i="1"/>
  <c r="I9" i="1"/>
  <c r="H9" i="1"/>
  <c r="G9" i="1"/>
  <c r="F9" i="1"/>
  <c r="I8" i="1"/>
  <c r="H8" i="1"/>
  <c r="G8" i="1"/>
  <c r="F8" i="1"/>
  <c r="I7" i="1"/>
  <c r="H7" i="1"/>
  <c r="G7" i="1"/>
  <c r="F7" i="1"/>
  <c r="I6" i="1"/>
  <c r="H6" i="1"/>
  <c r="G6" i="1"/>
  <c r="F6" i="1"/>
  <c r="I5" i="1"/>
  <c r="H5" i="1"/>
  <c r="G5" i="1"/>
  <c r="F5" i="1"/>
  <c r="I4" i="1"/>
  <c r="H4" i="1"/>
  <c r="G4" i="1"/>
  <c r="F4" i="1"/>
  <c r="I3" i="1"/>
  <c r="H3" i="1"/>
  <c r="G3" i="1"/>
  <c r="F3" i="1"/>
  <c r="B18" i="1"/>
  <c r="B17" i="1"/>
  <c r="B16" i="1"/>
  <c r="B15" i="1"/>
  <c r="B14" i="1"/>
  <c r="B13" i="1"/>
  <c r="B12" i="1"/>
  <c r="B11" i="1"/>
  <c r="B10" i="1"/>
  <c r="B9" i="1"/>
  <c r="T6" i="1" s="1"/>
  <c r="B8" i="1"/>
  <c r="T5" i="1" s="1"/>
  <c r="B7" i="1"/>
  <c r="T4" i="1" s="1"/>
  <c r="B6" i="1"/>
  <c r="B5" i="1"/>
  <c r="B4" i="1"/>
  <c r="B3" i="1"/>
  <c r="A332" i="33" l="1"/>
  <c r="A352" i="33"/>
  <c r="A372" i="33"/>
  <c r="F7" i="47"/>
  <c r="F42" i="47" s="1"/>
  <c r="F77" i="47" s="1"/>
  <c r="B11" i="47"/>
  <c r="B25" i="47"/>
  <c r="T7" i="47"/>
  <c r="T42" i="47" s="1"/>
  <c r="T77" i="47" s="1"/>
  <c r="B36" i="47"/>
  <c r="AE7" i="47"/>
  <c r="AE42" i="47" s="1"/>
  <c r="AE77" i="47" s="1"/>
  <c r="A321" i="33"/>
  <c r="A341" i="33"/>
  <c r="A361" i="33"/>
  <c r="A381" i="33"/>
  <c r="J7" i="47"/>
  <c r="J42" i="47" s="1"/>
  <c r="J77" i="47" s="1"/>
  <c r="B15" i="47"/>
  <c r="B31" i="47"/>
  <c r="Z7" i="47"/>
  <c r="Z42" i="47" s="1"/>
  <c r="Z77" i="47" s="1"/>
  <c r="A322" i="33"/>
  <c r="A342" i="33"/>
  <c r="A362" i="33"/>
  <c r="A382" i="33"/>
  <c r="K7" i="47"/>
  <c r="K42" i="47" s="1"/>
  <c r="K77" i="47" s="1"/>
  <c r="B16" i="47"/>
  <c r="AA7" i="47"/>
  <c r="AA42" i="47" s="1"/>
  <c r="AA77" i="47" s="1"/>
  <c r="B32" i="47"/>
  <c r="B30" i="47"/>
  <c r="Y7" i="47"/>
  <c r="Y42" i="47" s="1"/>
  <c r="Y77" i="47" s="1"/>
  <c r="B26" i="47"/>
  <c r="U7" i="47"/>
  <c r="U42" i="47" s="1"/>
  <c r="U77" i="47" s="1"/>
  <c r="B27" i="47"/>
  <c r="V7" i="47"/>
  <c r="V42" i="47" s="1"/>
  <c r="V77" i="47" s="1"/>
  <c r="B22" i="47"/>
  <c r="Q7" i="47"/>
  <c r="Q42" i="47" s="1"/>
  <c r="Q77" i="47" s="1"/>
  <c r="AD7" i="47"/>
  <c r="AD42" i="47" s="1"/>
  <c r="AD77" i="47" s="1"/>
  <c r="B35" i="47"/>
  <c r="B12" i="47"/>
  <c r="G7" i="47"/>
  <c r="G42" i="47" s="1"/>
  <c r="G77" i="47" s="1"/>
  <c r="AB7" i="47"/>
  <c r="AB42" i="47" s="1"/>
  <c r="AB77" i="47" s="1"/>
  <c r="B33" i="47"/>
  <c r="E7" i="47"/>
  <c r="E42" i="47" s="1"/>
  <c r="E77" i="47" s="1"/>
  <c r="B10" i="47"/>
  <c r="B21" i="47"/>
  <c r="P7" i="47"/>
  <c r="P42" i="47" s="1"/>
  <c r="P77" i="47" s="1"/>
  <c r="B28" i="47"/>
  <c r="W7" i="47"/>
  <c r="W42" i="47" s="1"/>
  <c r="W77" i="47" s="1"/>
  <c r="A328" i="33"/>
  <c r="A348" i="33"/>
  <c r="A368" i="33"/>
  <c r="O7" i="47"/>
  <c r="O42" i="47" s="1"/>
  <c r="O77" i="47" s="1"/>
  <c r="B20" i="47"/>
  <c r="L7" i="47"/>
  <c r="L42" i="47" s="1"/>
  <c r="L77" i="47" s="1"/>
  <c r="B17" i="47"/>
  <c r="M7" i="47"/>
  <c r="M42" i="47" s="1"/>
  <c r="M77" i="47" s="1"/>
  <c r="B18" i="47"/>
  <c r="AF7" i="47"/>
  <c r="AF42" i="47" s="1"/>
  <c r="AF77" i="47" s="1"/>
  <c r="B37" i="47"/>
  <c r="B8" i="47"/>
  <c r="C7" i="47"/>
  <c r="C42" i="47" s="1"/>
  <c r="C77" i="47" s="1"/>
  <c r="H7" i="47"/>
  <c r="H42" i="47" s="1"/>
  <c r="H77" i="47" s="1"/>
  <c r="B13" i="47"/>
  <c r="B23" i="47"/>
  <c r="R7" i="47"/>
  <c r="R42" i="47" s="1"/>
  <c r="R77" i="47" s="1"/>
  <c r="AG7" i="47"/>
  <c r="AG42" i="47" s="1"/>
  <c r="AG77" i="47" s="1"/>
  <c r="B38" i="47"/>
  <c r="B9" i="47"/>
  <c r="D7" i="47"/>
  <c r="D42" i="47" s="1"/>
  <c r="D77" i="47" s="1"/>
  <c r="I7" i="47"/>
  <c r="I42" i="47" s="1"/>
  <c r="I77" i="47" s="1"/>
  <c r="B14" i="47"/>
  <c r="N7" i="47"/>
  <c r="N42" i="47" s="1"/>
  <c r="N77" i="47" s="1"/>
  <c r="B19" i="47"/>
  <c r="S7" i="47"/>
  <c r="S42" i="47" s="1"/>
  <c r="S77" i="47" s="1"/>
  <c r="B24" i="47"/>
  <c r="B29" i="47"/>
  <c r="X7" i="47"/>
  <c r="X42" i="47" s="1"/>
  <c r="X77" i="47" s="1"/>
  <c r="AC7" i="47"/>
  <c r="AC42" i="47" s="1"/>
  <c r="AC77" i="47" s="1"/>
  <c r="B34" i="47"/>
  <c r="AH7" i="47"/>
  <c r="AH42" i="47" s="1"/>
  <c r="AH77" i="47" s="1"/>
  <c r="B39" i="47"/>
  <c r="A323" i="33"/>
  <c r="A343" i="33"/>
  <c r="A363" i="33"/>
  <c r="A383" i="33"/>
  <c r="A324" i="33"/>
  <c r="A344" i="33"/>
  <c r="A364" i="33"/>
  <c r="A384" i="33"/>
  <c r="A325" i="33"/>
  <c r="A345" i="33"/>
  <c r="A365" i="33"/>
  <c r="A385" i="33"/>
  <c r="A326" i="33"/>
  <c r="A346" i="33"/>
  <c r="A366" i="33"/>
  <c r="A386" i="33"/>
  <c r="A327" i="33"/>
  <c r="A347" i="33"/>
  <c r="A367" i="33"/>
  <c r="A333" i="33"/>
  <c r="A353" i="33"/>
  <c r="A373" i="33"/>
  <c r="A334" i="33"/>
  <c r="A354" i="33"/>
  <c r="A374" i="33"/>
  <c r="A335" i="33"/>
  <c r="A355" i="33"/>
  <c r="A375" i="33"/>
  <c r="A329" i="33"/>
  <c r="A349" i="33"/>
  <c r="A369" i="33"/>
  <c r="A330" i="33"/>
  <c r="A350" i="33"/>
  <c r="A370" i="33"/>
  <c r="A331" i="33"/>
  <c r="A351" i="33"/>
  <c r="A371" i="33"/>
  <c r="A336" i="33"/>
  <c r="A356" i="33"/>
  <c r="A376" i="33"/>
  <c r="A337" i="33"/>
  <c r="A357" i="33"/>
  <c r="A377" i="33"/>
  <c r="A338" i="33"/>
  <c r="A358" i="33"/>
  <c r="A378" i="33"/>
  <c r="A319" i="33"/>
  <c r="A339" i="33"/>
  <c r="A359" i="33"/>
  <c r="A379" i="33"/>
  <c r="A320" i="33"/>
  <c r="A340" i="33"/>
  <c r="A360" i="33"/>
  <c r="A380" i="33"/>
  <c r="A111" i="33"/>
  <c r="A151" i="33"/>
  <c r="A191" i="33"/>
  <c r="A211" i="33"/>
  <c r="A231" i="33"/>
  <c r="A251" i="33"/>
  <c r="A271" i="33"/>
  <c r="A291" i="33"/>
  <c r="A3" i="33"/>
  <c r="A311" i="33"/>
  <c r="C12" i="46"/>
  <c r="C12" i="44"/>
  <c r="A23" i="33"/>
  <c r="A43" i="33"/>
  <c r="A63" i="33"/>
  <c r="A83" i="33"/>
  <c r="A103" i="33"/>
  <c r="A123" i="33"/>
  <c r="A143" i="33"/>
  <c r="A163" i="33"/>
  <c r="A183" i="33"/>
  <c r="A203" i="33"/>
  <c r="A223" i="33"/>
  <c r="A243" i="33"/>
  <c r="A263" i="33"/>
  <c r="A283" i="33"/>
  <c r="A303" i="33"/>
  <c r="C32" i="44"/>
  <c r="C32" i="46"/>
  <c r="C13" i="46"/>
  <c r="C13" i="44"/>
  <c r="C28" i="46"/>
  <c r="C28" i="44"/>
  <c r="C8" i="46"/>
  <c r="C8" i="44"/>
  <c r="C23" i="46"/>
  <c r="C23" i="44"/>
  <c r="C38" i="44"/>
  <c r="C38" i="46"/>
  <c r="C22" i="46"/>
  <c r="C22" i="44"/>
  <c r="C18" i="44"/>
  <c r="C18" i="46"/>
  <c r="C33" i="44"/>
  <c r="C33" i="46"/>
  <c r="C27" i="46"/>
  <c r="C27" i="44"/>
  <c r="C17" i="44"/>
  <c r="C17" i="46"/>
  <c r="C9" i="44"/>
  <c r="C9" i="46"/>
  <c r="C24" i="46"/>
  <c r="C24" i="44"/>
  <c r="C34" i="44"/>
  <c r="C34" i="46"/>
  <c r="A71" i="33"/>
  <c r="C14" i="44"/>
  <c r="C14" i="46"/>
  <c r="C29" i="44"/>
  <c r="C29" i="46"/>
  <c r="A11" i="33"/>
  <c r="A31" i="33"/>
  <c r="A51" i="33"/>
  <c r="A91" i="33"/>
  <c r="A171" i="33"/>
  <c r="C10" i="44"/>
  <c r="C10" i="46"/>
  <c r="C15" i="46"/>
  <c r="C15" i="44"/>
  <c r="C20" i="46"/>
  <c r="C20" i="44"/>
  <c r="C25" i="46"/>
  <c r="C25" i="44"/>
  <c r="C30" i="44"/>
  <c r="C30" i="46"/>
  <c r="C35" i="44"/>
  <c r="C35" i="46"/>
  <c r="A15" i="33"/>
  <c r="A35" i="33"/>
  <c r="A55" i="33"/>
  <c r="A75" i="33"/>
  <c r="A95" i="33"/>
  <c r="A115" i="33"/>
  <c r="A135" i="33"/>
  <c r="A155" i="33"/>
  <c r="A175" i="33"/>
  <c r="A195" i="33"/>
  <c r="A215" i="33"/>
  <c r="A235" i="33"/>
  <c r="A255" i="33"/>
  <c r="A275" i="33"/>
  <c r="A295" i="33"/>
  <c r="A315" i="33"/>
  <c r="C37" i="44"/>
  <c r="C37" i="46"/>
  <c r="C19" i="46"/>
  <c r="C19" i="44"/>
  <c r="C39" i="46"/>
  <c r="C39" i="44"/>
  <c r="A131" i="33"/>
  <c r="C11" i="44"/>
  <c r="C11" i="46"/>
  <c r="C16" i="44"/>
  <c r="C16" i="46"/>
  <c r="C21" i="46"/>
  <c r="C21" i="44"/>
  <c r="C26" i="46"/>
  <c r="C26" i="44"/>
  <c r="C31" i="44"/>
  <c r="C31" i="46"/>
  <c r="C36" i="44"/>
  <c r="C36" i="46"/>
  <c r="A5" i="33"/>
  <c r="A25" i="33"/>
  <c r="A45" i="33"/>
  <c r="A65" i="33"/>
  <c r="A85" i="33"/>
  <c r="A105" i="33"/>
  <c r="A125" i="33"/>
  <c r="A145" i="33"/>
  <c r="A165" i="33"/>
  <c r="A185" i="33"/>
  <c r="A205" i="33"/>
  <c r="A225" i="33"/>
  <c r="A245" i="33"/>
  <c r="A265" i="33"/>
  <c r="A285" i="33"/>
  <c r="A305" i="33"/>
  <c r="A6" i="33"/>
  <c r="A26" i="33"/>
  <c r="A46" i="33"/>
  <c r="A66" i="33"/>
  <c r="A86" i="33"/>
  <c r="A106" i="33"/>
  <c r="A126" i="33"/>
  <c r="A146" i="33"/>
  <c r="A166" i="33"/>
  <c r="A186" i="33"/>
  <c r="A206" i="33"/>
  <c r="A226" i="33"/>
  <c r="A246" i="33"/>
  <c r="A266" i="33"/>
  <c r="A286" i="33"/>
  <c r="A306" i="33"/>
  <c r="A7" i="33"/>
  <c r="A27" i="33"/>
  <c r="A47" i="33"/>
  <c r="A67" i="33"/>
  <c r="A87" i="33"/>
  <c r="A107" i="33"/>
  <c r="A127" i="33"/>
  <c r="A147" i="33"/>
  <c r="A167" i="33"/>
  <c r="A187" i="33"/>
  <c r="A207" i="33"/>
  <c r="A227" i="33"/>
  <c r="A247" i="33"/>
  <c r="A267" i="33"/>
  <c r="A287" i="33"/>
  <c r="A307" i="33"/>
  <c r="A8" i="33"/>
  <c r="A28" i="33"/>
  <c r="A48" i="33"/>
  <c r="A68" i="33"/>
  <c r="A88" i="33"/>
  <c r="A108" i="33"/>
  <c r="A128" i="33"/>
  <c r="A148" i="33"/>
  <c r="A168" i="33"/>
  <c r="A188" i="33"/>
  <c r="A208" i="33"/>
  <c r="A228" i="33"/>
  <c r="A248" i="33"/>
  <c r="A268" i="33"/>
  <c r="A288" i="33"/>
  <c r="A308" i="33"/>
  <c r="A9" i="33"/>
  <c r="A29" i="33"/>
  <c r="A49" i="33"/>
  <c r="A69" i="33"/>
  <c r="A89" i="33"/>
  <c r="A109" i="33"/>
  <c r="A129" i="33"/>
  <c r="A149" i="33"/>
  <c r="A169" i="33"/>
  <c r="A189" i="33"/>
  <c r="A209" i="33"/>
  <c r="A229" i="33"/>
  <c r="A249" i="33"/>
  <c r="A269" i="33"/>
  <c r="A289" i="33"/>
  <c r="A309" i="33"/>
  <c r="A10" i="33"/>
  <c r="A30" i="33"/>
  <c r="A50" i="33"/>
  <c r="A70" i="33"/>
  <c r="A90" i="33"/>
  <c r="A110" i="33"/>
  <c r="A130" i="33"/>
  <c r="A150" i="33"/>
  <c r="A170" i="33"/>
  <c r="A190" i="33"/>
  <c r="A210" i="33"/>
  <c r="A230" i="33"/>
  <c r="A250" i="33"/>
  <c r="A270" i="33"/>
  <c r="A290" i="33"/>
  <c r="A310" i="33"/>
  <c r="A12" i="33"/>
  <c r="A32" i="33"/>
  <c r="A52" i="33"/>
  <c r="A72" i="33"/>
  <c r="A92" i="33"/>
  <c r="A112" i="33"/>
  <c r="A132" i="33"/>
  <c r="A152" i="33"/>
  <c r="A172" i="33"/>
  <c r="A192" i="33"/>
  <c r="A212" i="33"/>
  <c r="A232" i="33"/>
  <c r="A252" i="33"/>
  <c r="A272" i="33"/>
  <c r="A292" i="33"/>
  <c r="A312" i="33"/>
  <c r="A13" i="33"/>
  <c r="A33" i="33"/>
  <c r="A53" i="33"/>
  <c r="A73" i="33"/>
  <c r="A93" i="33"/>
  <c r="A113" i="33"/>
  <c r="A133" i="33"/>
  <c r="A153" i="33"/>
  <c r="A173" i="33"/>
  <c r="A193" i="33"/>
  <c r="A213" i="33"/>
  <c r="A233" i="33"/>
  <c r="A253" i="33"/>
  <c r="A273" i="33"/>
  <c r="A293" i="33"/>
  <c r="A313" i="33"/>
  <c r="A14" i="33"/>
  <c r="A34" i="33"/>
  <c r="A54" i="33"/>
  <c r="A74" i="33"/>
  <c r="A94" i="33"/>
  <c r="A114" i="33"/>
  <c r="A134" i="33"/>
  <c r="A154" i="33"/>
  <c r="A174" i="33"/>
  <c r="A194" i="33"/>
  <c r="A214" i="33"/>
  <c r="A234" i="33"/>
  <c r="A254" i="33"/>
  <c r="A274" i="33"/>
  <c r="A294" i="33"/>
  <c r="A314" i="33"/>
  <c r="A16" i="33"/>
  <c r="A36" i="33"/>
  <c r="A56" i="33"/>
  <c r="A76" i="33"/>
  <c r="A96" i="33"/>
  <c r="A116" i="33"/>
  <c r="A136" i="33"/>
  <c r="A156" i="33"/>
  <c r="A176" i="33"/>
  <c r="A196" i="33"/>
  <c r="A216" i="33"/>
  <c r="A236" i="33"/>
  <c r="A256" i="33"/>
  <c r="A276" i="33"/>
  <c r="A296" i="33"/>
  <c r="A316" i="33"/>
  <c r="A17" i="33"/>
  <c r="A37" i="33"/>
  <c r="A57" i="33"/>
  <c r="A77" i="33"/>
  <c r="A97" i="33"/>
  <c r="A117" i="33"/>
  <c r="A137" i="33"/>
  <c r="A157" i="33"/>
  <c r="A177" i="33"/>
  <c r="A197" i="33"/>
  <c r="A217" i="33"/>
  <c r="A237" i="33"/>
  <c r="A257" i="33"/>
  <c r="A277" i="33"/>
  <c r="A297" i="33"/>
  <c r="A317" i="33"/>
  <c r="A18" i="33"/>
  <c r="A38" i="33"/>
  <c r="A58" i="33"/>
  <c r="A78" i="33"/>
  <c r="A98" i="33"/>
  <c r="A118" i="33"/>
  <c r="A138" i="33"/>
  <c r="A158" i="33"/>
  <c r="A178" i="33"/>
  <c r="A198" i="33"/>
  <c r="A218" i="33"/>
  <c r="A238" i="33"/>
  <c r="A258" i="33"/>
  <c r="A278" i="33"/>
  <c r="A298" i="33"/>
  <c r="A318" i="33"/>
  <c r="A19" i="33"/>
  <c r="A39" i="33"/>
  <c r="A59" i="33"/>
  <c r="A79" i="33"/>
  <c r="A99" i="33"/>
  <c r="A119" i="33"/>
  <c r="A139" i="33"/>
  <c r="A159" i="33"/>
  <c r="A179" i="33"/>
  <c r="A199" i="33"/>
  <c r="A219" i="33"/>
  <c r="A239" i="33"/>
  <c r="A259" i="33"/>
  <c r="A279" i="33"/>
  <c r="A299" i="33"/>
  <c r="A20" i="33"/>
  <c r="A40" i="33"/>
  <c r="A60" i="33"/>
  <c r="A80" i="33"/>
  <c r="A100" i="33"/>
  <c r="A120" i="33"/>
  <c r="A140" i="33"/>
  <c r="A160" i="33"/>
  <c r="A180" i="33"/>
  <c r="A200" i="33"/>
  <c r="A220" i="33"/>
  <c r="A240" i="33"/>
  <c r="A260" i="33"/>
  <c r="A280" i="33"/>
  <c r="A300" i="33"/>
  <c r="A21" i="33"/>
  <c r="A41" i="33"/>
  <c r="A61" i="33"/>
  <c r="A81" i="33"/>
  <c r="A101" i="33"/>
  <c r="A121" i="33"/>
  <c r="A141" i="33"/>
  <c r="A161" i="33"/>
  <c r="A181" i="33"/>
  <c r="A201" i="33"/>
  <c r="A221" i="33"/>
  <c r="A241" i="33"/>
  <c r="A261" i="33"/>
  <c r="A281" i="33"/>
  <c r="A301" i="33"/>
  <c r="A22" i="33"/>
  <c r="A42" i="33"/>
  <c r="A62" i="33"/>
  <c r="A82" i="33"/>
  <c r="A102" i="33"/>
  <c r="A122" i="33"/>
  <c r="A142" i="33"/>
  <c r="A162" i="33"/>
  <c r="A182" i="33"/>
  <c r="A202" i="33"/>
  <c r="A222" i="33"/>
  <c r="A242" i="33"/>
  <c r="A262" i="33"/>
  <c r="A282" i="33"/>
  <c r="A302" i="33"/>
  <c r="A4" i="33"/>
  <c r="A24" i="33"/>
  <c r="A44" i="33"/>
  <c r="A64" i="33"/>
  <c r="A84" i="33"/>
  <c r="A104" i="33"/>
  <c r="A124" i="33"/>
  <c r="A144" i="33"/>
  <c r="A164" i="33"/>
  <c r="A184" i="33"/>
  <c r="A204" i="33"/>
  <c r="A224" i="33"/>
  <c r="A244" i="33"/>
  <c r="A264" i="33"/>
  <c r="A284" i="33"/>
  <c r="A304" i="33"/>
  <c r="T3" i="1"/>
  <c r="CJ82" i="33"/>
  <c r="CH82" i="33"/>
  <c r="CJ81" i="33"/>
  <c r="CH81" i="33"/>
  <c r="CJ80" i="33"/>
  <c r="CH80" i="33"/>
  <c r="CJ79" i="33"/>
  <c r="CH79" i="33"/>
  <c r="CJ78" i="33"/>
  <c r="CH78" i="33"/>
  <c r="CJ77" i="33"/>
  <c r="CH77" i="33"/>
  <c r="CJ76" i="33"/>
  <c r="CH76" i="33"/>
  <c r="CJ75" i="33"/>
  <c r="CH75" i="33"/>
  <c r="CJ74" i="33"/>
  <c r="CH74" i="33"/>
  <c r="CJ73" i="33"/>
  <c r="CH73" i="33"/>
  <c r="CJ72" i="33"/>
  <c r="CH72" i="33"/>
  <c r="CJ71" i="33"/>
  <c r="CH71" i="33"/>
  <c r="CJ70" i="33"/>
  <c r="CH70" i="33"/>
  <c r="CJ69" i="33"/>
  <c r="CH69" i="33"/>
  <c r="CJ68" i="33"/>
  <c r="CH68" i="33"/>
  <c r="CJ67" i="33"/>
  <c r="CH67" i="33"/>
  <c r="CJ66" i="33"/>
  <c r="CH66" i="33"/>
  <c r="CJ65" i="33"/>
  <c r="CH65" i="33"/>
  <c r="CJ64" i="33"/>
  <c r="CH64" i="33"/>
  <c r="F29" i="46" l="1"/>
  <c r="E29" i="46"/>
  <c r="D29" i="46"/>
  <c r="F26" i="46"/>
  <c r="E26" i="46"/>
  <c r="D26" i="46"/>
  <c r="E27" i="46"/>
  <c r="D27" i="46"/>
  <c r="F27" i="46"/>
  <c r="F38" i="46"/>
  <c r="E38" i="46"/>
  <c r="D38" i="46"/>
  <c r="BE38" i="46" s="1"/>
  <c r="F34" i="46"/>
  <c r="E34" i="46"/>
  <c r="D34" i="46"/>
  <c r="BE34" i="46" s="1"/>
  <c r="F36" i="46"/>
  <c r="D36" i="46"/>
  <c r="BE36" i="46" s="1"/>
  <c r="E36" i="46"/>
  <c r="F25" i="46"/>
  <c r="E25" i="46"/>
  <c r="D25" i="46"/>
  <c r="E24" i="46"/>
  <c r="D24" i="46"/>
  <c r="F24" i="46"/>
  <c r="F28" i="46"/>
  <c r="E28" i="46"/>
  <c r="D28" i="46"/>
  <c r="BE28" i="46" s="1"/>
  <c r="F37" i="46"/>
  <c r="E37" i="46"/>
  <c r="D37" i="46"/>
  <c r="BE37" i="46" s="1"/>
  <c r="F35" i="46"/>
  <c r="E35" i="46"/>
  <c r="D35" i="46"/>
  <c r="BE35" i="46" s="1"/>
  <c r="F31" i="46"/>
  <c r="E31" i="46"/>
  <c r="D31" i="46"/>
  <c r="BE31" i="46" s="1"/>
  <c r="F33" i="46"/>
  <c r="E33" i="46"/>
  <c r="D33" i="46"/>
  <c r="BE33" i="46" s="1"/>
  <c r="F39" i="46"/>
  <c r="E39" i="46"/>
  <c r="D39" i="46"/>
  <c r="F30" i="46"/>
  <c r="D30" i="46"/>
  <c r="BE30" i="46" s="1"/>
  <c r="E30" i="46"/>
  <c r="F32" i="46"/>
  <c r="E32" i="46"/>
  <c r="D32" i="46"/>
  <c r="BE32" i="46" s="1"/>
  <c r="AE33" i="47"/>
  <c r="K33" i="47"/>
  <c r="P33" i="47"/>
  <c r="AF33" i="47"/>
  <c r="I33" i="47"/>
  <c r="C33" i="47"/>
  <c r="AD33" i="47"/>
  <c r="H33" i="47"/>
  <c r="AA33" i="47"/>
  <c r="E33" i="47"/>
  <c r="Z33" i="47"/>
  <c r="D33" i="47"/>
  <c r="V33" i="47"/>
  <c r="U33" i="47"/>
  <c r="T33" i="47"/>
  <c r="S33" i="47"/>
  <c r="R33" i="47"/>
  <c r="Q33" i="47"/>
  <c r="G33" i="47"/>
  <c r="F33" i="47"/>
  <c r="AC33" i="47"/>
  <c r="O33" i="47"/>
  <c r="AB33" i="47"/>
  <c r="X33" i="47"/>
  <c r="Y33" i="47"/>
  <c r="W33" i="47"/>
  <c r="N33" i="47"/>
  <c r="M33" i="47"/>
  <c r="AG33" i="47"/>
  <c r="J33" i="47"/>
  <c r="AH33" i="47"/>
  <c r="L33" i="47"/>
  <c r="AA39" i="47"/>
  <c r="G39" i="47"/>
  <c r="Z39" i="47"/>
  <c r="F39" i="47"/>
  <c r="V39" i="47"/>
  <c r="U39" i="47"/>
  <c r="AC39" i="47"/>
  <c r="R39" i="47"/>
  <c r="Q39" i="47"/>
  <c r="P39" i="47"/>
  <c r="N39" i="47"/>
  <c r="AE39" i="47"/>
  <c r="AD39" i="47"/>
  <c r="X39" i="47"/>
  <c r="W39" i="47"/>
  <c r="M39" i="47"/>
  <c r="L39" i="47"/>
  <c r="K39" i="47"/>
  <c r="J39" i="47"/>
  <c r="I39" i="47"/>
  <c r="H39" i="47"/>
  <c r="AB39" i="47"/>
  <c r="C39" i="47"/>
  <c r="T39" i="47"/>
  <c r="S39" i="47"/>
  <c r="Y39" i="47"/>
  <c r="O39" i="47"/>
  <c r="D39" i="47"/>
  <c r="E39" i="47"/>
  <c r="AH39" i="47"/>
  <c r="AG39" i="47"/>
  <c r="AF39" i="47"/>
  <c r="AC35" i="47"/>
  <c r="I35" i="47"/>
  <c r="Q35" i="47"/>
  <c r="N35" i="47"/>
  <c r="M35" i="47"/>
  <c r="AF35" i="47"/>
  <c r="J35" i="47"/>
  <c r="AE35" i="47"/>
  <c r="H35" i="47"/>
  <c r="Z35" i="47"/>
  <c r="D35" i="47"/>
  <c r="Y35" i="47"/>
  <c r="X35" i="47"/>
  <c r="W35" i="47"/>
  <c r="V35" i="47"/>
  <c r="U35" i="47"/>
  <c r="AH35" i="47"/>
  <c r="AD35" i="47"/>
  <c r="AB35" i="47"/>
  <c r="AG35" i="47"/>
  <c r="AA35" i="47"/>
  <c r="S35" i="47"/>
  <c r="T35" i="47"/>
  <c r="R35" i="47"/>
  <c r="L35" i="47"/>
  <c r="K35" i="47"/>
  <c r="G35" i="47"/>
  <c r="F35" i="47"/>
  <c r="E35" i="47"/>
  <c r="P35" i="47"/>
  <c r="O35" i="47"/>
  <c r="C35" i="47"/>
  <c r="O15" i="47"/>
  <c r="W15" i="47"/>
  <c r="V15" i="47"/>
  <c r="R15" i="47"/>
  <c r="AH15" i="47"/>
  <c r="M15" i="47"/>
  <c r="AG15" i="47"/>
  <c r="L15" i="47"/>
  <c r="AF15" i="47"/>
  <c r="K15" i="47"/>
  <c r="AE15" i="47"/>
  <c r="J15" i="47"/>
  <c r="AB15" i="47"/>
  <c r="AD15" i="47"/>
  <c r="AC15" i="47"/>
  <c r="AA15" i="47"/>
  <c r="C15" i="47"/>
  <c r="Y15" i="47"/>
  <c r="Z15" i="47"/>
  <c r="X15" i="47"/>
  <c r="S15" i="47"/>
  <c r="Q15" i="47"/>
  <c r="P15" i="47"/>
  <c r="N15" i="47"/>
  <c r="I15" i="47"/>
  <c r="H15" i="47"/>
  <c r="G15" i="47"/>
  <c r="F15" i="47"/>
  <c r="D15" i="47"/>
  <c r="T15" i="47"/>
  <c r="E15" i="47"/>
  <c r="U15" i="47"/>
  <c r="O12" i="47"/>
  <c r="AH12" i="47"/>
  <c r="N12" i="47"/>
  <c r="AD12" i="47"/>
  <c r="J12" i="47"/>
  <c r="Z12" i="47"/>
  <c r="F12" i="47"/>
  <c r="Y12" i="47"/>
  <c r="E12" i="47"/>
  <c r="X12" i="47"/>
  <c r="D12" i="47"/>
  <c r="W12" i="47"/>
  <c r="AG12" i="47"/>
  <c r="AC12" i="47"/>
  <c r="AF12" i="47"/>
  <c r="AE12" i="47"/>
  <c r="C12" i="47"/>
  <c r="AB12" i="47"/>
  <c r="V12" i="47"/>
  <c r="AA12" i="47"/>
  <c r="U12" i="47"/>
  <c r="R12" i="47"/>
  <c r="Q12" i="47"/>
  <c r="P12" i="47"/>
  <c r="M12" i="47"/>
  <c r="L12" i="47"/>
  <c r="I12" i="47"/>
  <c r="H12" i="47"/>
  <c r="T12" i="47"/>
  <c r="S12" i="47"/>
  <c r="G12" i="47"/>
  <c r="K12" i="47"/>
  <c r="V18" i="47"/>
  <c r="N18" i="47"/>
  <c r="AH18" i="47"/>
  <c r="M18" i="47"/>
  <c r="AD18" i="47"/>
  <c r="I18" i="47"/>
  <c r="C18" i="47"/>
  <c r="Z18" i="47"/>
  <c r="E18" i="47"/>
  <c r="Y18" i="47"/>
  <c r="D18" i="47"/>
  <c r="X18" i="47"/>
  <c r="W18" i="47"/>
  <c r="T18" i="47"/>
  <c r="G18" i="47"/>
  <c r="F18" i="47"/>
  <c r="AG18" i="47"/>
  <c r="AE18" i="47"/>
  <c r="AF18" i="47"/>
  <c r="AC18" i="47"/>
  <c r="U18" i="47"/>
  <c r="S18" i="47"/>
  <c r="R18" i="47"/>
  <c r="Q18" i="47"/>
  <c r="P18" i="47"/>
  <c r="O18" i="47"/>
  <c r="L18" i="47"/>
  <c r="K18" i="47"/>
  <c r="AB18" i="47"/>
  <c r="AA18" i="47"/>
  <c r="H18" i="47"/>
  <c r="J18" i="47"/>
  <c r="S8" i="47"/>
  <c r="R8" i="47"/>
  <c r="AH8" i="47"/>
  <c r="N8" i="47"/>
  <c r="AD8" i="47"/>
  <c r="J8" i="47"/>
  <c r="AC8" i="47"/>
  <c r="I8" i="47"/>
  <c r="AB8" i="47"/>
  <c r="H8" i="47"/>
  <c r="AA8" i="47"/>
  <c r="G8" i="47"/>
  <c r="AE8" i="47"/>
  <c r="AG8" i="47"/>
  <c r="C8" i="47"/>
  <c r="AF8" i="47"/>
  <c r="Z8" i="47"/>
  <c r="X8" i="47"/>
  <c r="Y8" i="47"/>
  <c r="W8" i="47"/>
  <c r="T8" i="47"/>
  <c r="Q8" i="47"/>
  <c r="O8" i="47"/>
  <c r="P8" i="47"/>
  <c r="M8" i="47"/>
  <c r="K8" i="47"/>
  <c r="U8" i="47"/>
  <c r="V8" i="47"/>
  <c r="L8" i="47"/>
  <c r="F8" i="47"/>
  <c r="E8" i="47"/>
  <c r="D8" i="47"/>
  <c r="O29" i="47"/>
  <c r="AH29" i="47"/>
  <c r="M29" i="47"/>
  <c r="W29" i="47"/>
  <c r="V29" i="47"/>
  <c r="R29" i="47"/>
  <c r="L29" i="47"/>
  <c r="AG29" i="47"/>
  <c r="K29" i="47"/>
  <c r="AF29" i="47"/>
  <c r="J29" i="47"/>
  <c r="AE29" i="47"/>
  <c r="I29" i="47"/>
  <c r="AD29" i="47"/>
  <c r="H29" i="47"/>
  <c r="AC29" i="47"/>
  <c r="G29" i="47"/>
  <c r="E29" i="47"/>
  <c r="D29" i="47"/>
  <c r="Z29" i="47"/>
  <c r="Y29" i="47"/>
  <c r="U29" i="47"/>
  <c r="X29" i="47"/>
  <c r="C29" i="47"/>
  <c r="T29" i="47"/>
  <c r="S29" i="47"/>
  <c r="Q29" i="47"/>
  <c r="P29" i="47"/>
  <c r="AA29" i="47"/>
  <c r="F29" i="47"/>
  <c r="AB29" i="47"/>
  <c r="N29" i="47"/>
  <c r="AD24" i="47"/>
  <c r="J24" i="47"/>
  <c r="U24" i="47"/>
  <c r="W24" i="47"/>
  <c r="V24" i="47"/>
  <c r="Q24" i="47"/>
  <c r="M24" i="47"/>
  <c r="AH24" i="47"/>
  <c r="L24" i="47"/>
  <c r="AG24" i="47"/>
  <c r="K24" i="47"/>
  <c r="C24" i="47"/>
  <c r="AF24" i="47"/>
  <c r="I24" i="47"/>
  <c r="AE24" i="47"/>
  <c r="H24" i="47"/>
  <c r="AC24" i="47"/>
  <c r="G24" i="47"/>
  <c r="AA24" i="47"/>
  <c r="AB24" i="47"/>
  <c r="Z24" i="47"/>
  <c r="T24" i="47"/>
  <c r="S24" i="47"/>
  <c r="R24" i="47"/>
  <c r="P24" i="47"/>
  <c r="O24" i="47"/>
  <c r="N24" i="47"/>
  <c r="F24" i="47"/>
  <c r="E24" i="47"/>
  <c r="Y24" i="47"/>
  <c r="X24" i="47"/>
  <c r="D24" i="47"/>
  <c r="AG17" i="47"/>
  <c r="M17" i="47"/>
  <c r="X17" i="47"/>
  <c r="W17" i="47"/>
  <c r="S17" i="47"/>
  <c r="O17" i="47"/>
  <c r="N17" i="47"/>
  <c r="AH17" i="47"/>
  <c r="L17" i="47"/>
  <c r="AF17" i="47"/>
  <c r="K17" i="47"/>
  <c r="E17" i="47"/>
  <c r="AE17" i="47"/>
  <c r="AD17" i="47"/>
  <c r="D17" i="47"/>
  <c r="AC17" i="47"/>
  <c r="AA17" i="47"/>
  <c r="C17" i="47"/>
  <c r="AB17" i="47"/>
  <c r="Z17" i="47"/>
  <c r="U17" i="47"/>
  <c r="T17" i="47"/>
  <c r="Q17" i="47"/>
  <c r="R17" i="47"/>
  <c r="J17" i="47"/>
  <c r="P17" i="47"/>
  <c r="I17" i="47"/>
  <c r="H17" i="47"/>
  <c r="V17" i="47"/>
  <c r="F17" i="47"/>
  <c r="Y17" i="47"/>
  <c r="G17" i="47"/>
  <c r="AF22" i="47"/>
  <c r="L22" i="47"/>
  <c r="T22" i="47"/>
  <c r="R22" i="47"/>
  <c r="Q22" i="47"/>
  <c r="M22" i="47"/>
  <c r="AD22" i="47"/>
  <c r="H22" i="47"/>
  <c r="C22" i="47"/>
  <c r="AC22" i="47"/>
  <c r="G22" i="47"/>
  <c r="AB22" i="47"/>
  <c r="F22" i="47"/>
  <c r="AA22" i="47"/>
  <c r="E22" i="47"/>
  <c r="Y22" i="47"/>
  <c r="W22" i="47"/>
  <c r="U22" i="47"/>
  <c r="S22" i="47"/>
  <c r="V22" i="47"/>
  <c r="P22" i="47"/>
  <c r="N22" i="47"/>
  <c r="O22" i="47"/>
  <c r="K22" i="47"/>
  <c r="D22" i="47"/>
  <c r="AH22" i="47"/>
  <c r="AG22" i="47"/>
  <c r="AE22" i="47"/>
  <c r="J22" i="47"/>
  <c r="Z22" i="47"/>
  <c r="X22" i="47"/>
  <c r="I22" i="47"/>
  <c r="X13" i="47"/>
  <c r="D13" i="47"/>
  <c r="C13" i="47"/>
  <c r="W13" i="47"/>
  <c r="S13" i="47"/>
  <c r="O13" i="47"/>
  <c r="AH13" i="47"/>
  <c r="N13" i="47"/>
  <c r="AG13" i="47"/>
  <c r="M13" i="47"/>
  <c r="AF13" i="47"/>
  <c r="L13" i="47"/>
  <c r="AE13" i="47"/>
  <c r="AD13" i="47"/>
  <c r="AC13" i="47"/>
  <c r="AB13" i="47"/>
  <c r="AA13" i="47"/>
  <c r="Y13" i="47"/>
  <c r="Z13" i="47"/>
  <c r="V13" i="47"/>
  <c r="R13" i="47"/>
  <c r="K13" i="47"/>
  <c r="Q13" i="47"/>
  <c r="P13" i="47"/>
  <c r="I13" i="47"/>
  <c r="J13" i="47"/>
  <c r="H13" i="47"/>
  <c r="G13" i="47"/>
  <c r="U13" i="47"/>
  <c r="T13" i="47"/>
  <c r="F13" i="47"/>
  <c r="E13" i="47"/>
  <c r="AG31" i="47"/>
  <c r="M31" i="47"/>
  <c r="O31" i="47"/>
  <c r="AA31" i="47"/>
  <c r="E31" i="47"/>
  <c r="Z31" i="47"/>
  <c r="D31" i="47"/>
  <c r="V31" i="47"/>
  <c r="R31" i="47"/>
  <c r="Q31" i="47"/>
  <c r="P31" i="47"/>
  <c r="N31" i="47"/>
  <c r="L31" i="47"/>
  <c r="AH31" i="47"/>
  <c r="K31" i="47"/>
  <c r="Y31" i="47"/>
  <c r="X31" i="47"/>
  <c r="W31" i="47"/>
  <c r="U31" i="47"/>
  <c r="T31" i="47"/>
  <c r="J31" i="47"/>
  <c r="S31" i="47"/>
  <c r="I31" i="47"/>
  <c r="F31" i="47"/>
  <c r="AF31" i="47"/>
  <c r="AE31" i="47"/>
  <c r="AD31" i="47"/>
  <c r="H31" i="47"/>
  <c r="G31" i="47"/>
  <c r="C31" i="47"/>
  <c r="AC31" i="47"/>
  <c r="AB31" i="47"/>
  <c r="AE19" i="47"/>
  <c r="K19" i="47"/>
  <c r="Y19" i="47"/>
  <c r="D19" i="47"/>
  <c r="X19" i="47"/>
  <c r="T19" i="47"/>
  <c r="P19" i="47"/>
  <c r="O19" i="47"/>
  <c r="N19" i="47"/>
  <c r="AH19" i="47"/>
  <c r="M19" i="47"/>
  <c r="AF19" i="47"/>
  <c r="J19" i="47"/>
  <c r="H19" i="47"/>
  <c r="G19" i="47"/>
  <c r="F19" i="47"/>
  <c r="E19" i="47"/>
  <c r="AG19" i="47"/>
  <c r="AD19" i="47"/>
  <c r="C19" i="47"/>
  <c r="AA19" i="47"/>
  <c r="V19" i="47"/>
  <c r="Z19" i="47"/>
  <c r="S19" i="47"/>
  <c r="W19" i="47"/>
  <c r="U19" i="47"/>
  <c r="R19" i="47"/>
  <c r="Q19" i="47"/>
  <c r="AB19" i="47"/>
  <c r="I19" i="47"/>
  <c r="L19" i="47"/>
  <c r="AC19" i="47"/>
  <c r="T20" i="47"/>
  <c r="O20" i="47"/>
  <c r="N20" i="47"/>
  <c r="AE20" i="47"/>
  <c r="J20" i="47"/>
  <c r="AA20" i="47"/>
  <c r="F20" i="47"/>
  <c r="Z20" i="47"/>
  <c r="E20" i="47"/>
  <c r="Y20" i="47"/>
  <c r="D20" i="47"/>
  <c r="X20" i="47"/>
  <c r="V20" i="47"/>
  <c r="M20" i="47"/>
  <c r="K20" i="47"/>
  <c r="I20" i="47"/>
  <c r="L20" i="47"/>
  <c r="H20" i="47"/>
  <c r="G20" i="47"/>
  <c r="AF20" i="47"/>
  <c r="AD20" i="47"/>
  <c r="AB20" i="47"/>
  <c r="AC20" i="47"/>
  <c r="U20" i="47"/>
  <c r="W20" i="47"/>
  <c r="S20" i="47"/>
  <c r="R20" i="47"/>
  <c r="C20" i="47"/>
  <c r="AG20" i="47"/>
  <c r="Q20" i="47"/>
  <c r="P20" i="47"/>
  <c r="AH20" i="47"/>
  <c r="Q27" i="47"/>
  <c r="AG27" i="47"/>
  <c r="L27" i="47"/>
  <c r="S27" i="47"/>
  <c r="R27" i="47"/>
  <c r="M27" i="47"/>
  <c r="AD27" i="47"/>
  <c r="H27" i="47"/>
  <c r="AC27" i="47"/>
  <c r="G27" i="47"/>
  <c r="AB27" i="47"/>
  <c r="F27" i="47"/>
  <c r="AA27" i="47"/>
  <c r="E27" i="47"/>
  <c r="Z27" i="47"/>
  <c r="D27" i="47"/>
  <c r="Y27" i="47"/>
  <c r="AE27" i="47"/>
  <c r="W27" i="47"/>
  <c r="V27" i="47"/>
  <c r="X27" i="47"/>
  <c r="U27" i="47"/>
  <c r="P27" i="47"/>
  <c r="T27" i="47"/>
  <c r="O27" i="47"/>
  <c r="J27" i="47"/>
  <c r="I27" i="47"/>
  <c r="C27" i="47"/>
  <c r="AH27" i="47"/>
  <c r="AF27" i="47"/>
  <c r="N27" i="47"/>
  <c r="K27" i="47"/>
  <c r="T34" i="47"/>
  <c r="AA34" i="47"/>
  <c r="F34" i="47"/>
  <c r="W34" i="47"/>
  <c r="V34" i="47"/>
  <c r="C34" i="47"/>
  <c r="R34" i="47"/>
  <c r="Q34" i="47"/>
  <c r="M34" i="47"/>
  <c r="AH34" i="47"/>
  <c r="L34" i="47"/>
  <c r="AG34" i="47"/>
  <c r="K34" i="47"/>
  <c r="AF34" i="47"/>
  <c r="J34" i="47"/>
  <c r="AE34" i="47"/>
  <c r="I34" i="47"/>
  <c r="AD34" i="47"/>
  <c r="H34" i="47"/>
  <c r="U34" i="47"/>
  <c r="S34" i="47"/>
  <c r="P34" i="47"/>
  <c r="O34" i="47"/>
  <c r="N34" i="47"/>
  <c r="E34" i="47"/>
  <c r="G34" i="47"/>
  <c r="D34" i="47"/>
  <c r="AC34" i="47"/>
  <c r="AB34" i="47"/>
  <c r="Z34" i="47"/>
  <c r="Y34" i="47"/>
  <c r="X34" i="47"/>
  <c r="AC37" i="47"/>
  <c r="I37" i="47"/>
  <c r="AB37" i="47"/>
  <c r="H37" i="47"/>
  <c r="X37" i="47"/>
  <c r="D37" i="47"/>
  <c r="W37" i="47"/>
  <c r="O37" i="47"/>
  <c r="AD37" i="47"/>
  <c r="V37" i="47"/>
  <c r="AF37" i="47"/>
  <c r="AE37" i="47"/>
  <c r="Y37" i="47"/>
  <c r="U37" i="47"/>
  <c r="Q37" i="47"/>
  <c r="P37" i="47"/>
  <c r="N37" i="47"/>
  <c r="M37" i="47"/>
  <c r="L37" i="47"/>
  <c r="K37" i="47"/>
  <c r="AA37" i="47"/>
  <c r="Z37" i="47"/>
  <c r="T37" i="47"/>
  <c r="S37" i="47"/>
  <c r="R37" i="47"/>
  <c r="G37" i="47"/>
  <c r="J37" i="47"/>
  <c r="F37" i="47"/>
  <c r="AG37" i="47"/>
  <c r="AH37" i="47"/>
  <c r="E37" i="47"/>
  <c r="C37" i="47"/>
  <c r="AG14" i="47"/>
  <c r="M14" i="47"/>
  <c r="AF14" i="47"/>
  <c r="L14" i="47"/>
  <c r="C14" i="47"/>
  <c r="AB14" i="47"/>
  <c r="H14" i="47"/>
  <c r="X14" i="47"/>
  <c r="D14" i="47"/>
  <c r="W14" i="47"/>
  <c r="V14" i="47"/>
  <c r="U14" i="47"/>
  <c r="AH14" i="47"/>
  <c r="AD14" i="47"/>
  <c r="AE14" i="47"/>
  <c r="AC14" i="47"/>
  <c r="AA14" i="47"/>
  <c r="Y14" i="47"/>
  <c r="Z14" i="47"/>
  <c r="T14" i="47"/>
  <c r="Q14" i="47"/>
  <c r="P14" i="47"/>
  <c r="N14" i="47"/>
  <c r="J14" i="47"/>
  <c r="O14" i="47"/>
  <c r="K14" i="47"/>
  <c r="I14" i="47"/>
  <c r="G14" i="47"/>
  <c r="F14" i="47"/>
  <c r="S14" i="47"/>
  <c r="R14" i="47"/>
  <c r="E14" i="47"/>
  <c r="AB26" i="47"/>
  <c r="H26" i="47"/>
  <c r="V26" i="47"/>
  <c r="AA26" i="47"/>
  <c r="E26" i="47"/>
  <c r="Z26" i="47"/>
  <c r="D26" i="47"/>
  <c r="U26" i="47"/>
  <c r="Q26" i="47"/>
  <c r="P26" i="47"/>
  <c r="O26" i="47"/>
  <c r="N26" i="47"/>
  <c r="M26" i="47"/>
  <c r="AH26" i="47"/>
  <c r="L26" i="47"/>
  <c r="T26" i="47"/>
  <c r="S26" i="47"/>
  <c r="R26" i="47"/>
  <c r="K26" i="47"/>
  <c r="J26" i="47"/>
  <c r="G26" i="47"/>
  <c r="I26" i="47"/>
  <c r="F26" i="47"/>
  <c r="C26" i="47"/>
  <c r="AF26" i="47"/>
  <c r="AG26" i="47"/>
  <c r="AE26" i="47"/>
  <c r="AD26" i="47"/>
  <c r="AC26" i="47"/>
  <c r="Y26" i="47"/>
  <c r="X26" i="47"/>
  <c r="W26" i="47"/>
  <c r="T36" i="47"/>
  <c r="S36" i="47"/>
  <c r="O36" i="47"/>
  <c r="AH36" i="47"/>
  <c r="N36" i="47"/>
  <c r="V36" i="47"/>
  <c r="AF36" i="47"/>
  <c r="G36" i="47"/>
  <c r="AE36" i="47"/>
  <c r="E36" i="47"/>
  <c r="AD36" i="47"/>
  <c r="D36" i="47"/>
  <c r="AA36" i="47"/>
  <c r="Z36" i="47"/>
  <c r="U36" i="47"/>
  <c r="R36" i="47"/>
  <c r="Q36" i="47"/>
  <c r="P36" i="47"/>
  <c r="M36" i="47"/>
  <c r="L36" i="47"/>
  <c r="AC36" i="47"/>
  <c r="AB36" i="47"/>
  <c r="X36" i="47"/>
  <c r="Y36" i="47"/>
  <c r="K36" i="47"/>
  <c r="W36" i="47"/>
  <c r="J36" i="47"/>
  <c r="I36" i="47"/>
  <c r="AG36" i="47"/>
  <c r="H36" i="47"/>
  <c r="F36" i="47"/>
  <c r="C36" i="47"/>
  <c r="AB9" i="47"/>
  <c r="H9" i="47"/>
  <c r="AA9" i="47"/>
  <c r="G9" i="47"/>
  <c r="W9" i="47"/>
  <c r="S9" i="47"/>
  <c r="R9" i="47"/>
  <c r="Q9" i="47"/>
  <c r="P9" i="47"/>
  <c r="AG9" i="47"/>
  <c r="D9" i="47"/>
  <c r="C9" i="47"/>
  <c r="AF9" i="47"/>
  <c r="AE9" i="47"/>
  <c r="AD9" i="47"/>
  <c r="AC9" i="47"/>
  <c r="Y9" i="47"/>
  <c r="Z9" i="47"/>
  <c r="X9" i="47"/>
  <c r="T9" i="47"/>
  <c r="O9" i="47"/>
  <c r="N9" i="47"/>
  <c r="M9" i="47"/>
  <c r="L9" i="47"/>
  <c r="J9" i="47"/>
  <c r="AH9" i="47"/>
  <c r="V9" i="47"/>
  <c r="K9" i="47"/>
  <c r="I9" i="47"/>
  <c r="U9" i="47"/>
  <c r="F9" i="47"/>
  <c r="E9" i="47"/>
  <c r="V32" i="47"/>
  <c r="Z32" i="47"/>
  <c r="E32" i="47"/>
  <c r="R32" i="47"/>
  <c r="Q32" i="47"/>
  <c r="N32" i="47"/>
  <c r="M32" i="47"/>
  <c r="AE32" i="47"/>
  <c r="I32" i="47"/>
  <c r="AD32" i="47"/>
  <c r="H32" i="47"/>
  <c r="AC32" i="47"/>
  <c r="G32" i="47"/>
  <c r="AB32" i="47"/>
  <c r="F32" i="47"/>
  <c r="AA32" i="47"/>
  <c r="D32" i="47"/>
  <c r="Y32" i="47"/>
  <c r="AH32" i="47"/>
  <c r="AG32" i="47"/>
  <c r="AF32" i="47"/>
  <c r="W32" i="47"/>
  <c r="X32" i="47"/>
  <c r="U32" i="47"/>
  <c r="P32" i="47"/>
  <c r="K32" i="47"/>
  <c r="O32" i="47"/>
  <c r="L32" i="47"/>
  <c r="J32" i="47"/>
  <c r="C32" i="47"/>
  <c r="S32" i="47"/>
  <c r="T32" i="47"/>
  <c r="Z11" i="47"/>
  <c r="F11" i="47"/>
  <c r="Y11" i="47"/>
  <c r="E11" i="47"/>
  <c r="U11" i="47"/>
  <c r="Q11" i="47"/>
  <c r="P11" i="47"/>
  <c r="O11" i="47"/>
  <c r="AH11" i="47"/>
  <c r="N11" i="47"/>
  <c r="AF11" i="47"/>
  <c r="AE11" i="47"/>
  <c r="AD11" i="47"/>
  <c r="C11" i="47"/>
  <c r="AC11" i="47"/>
  <c r="AB11" i="47"/>
  <c r="X11" i="47"/>
  <c r="AA11" i="47"/>
  <c r="W11" i="47"/>
  <c r="S11" i="47"/>
  <c r="R11" i="47"/>
  <c r="L11" i="47"/>
  <c r="M11" i="47"/>
  <c r="K11" i="47"/>
  <c r="I11" i="47"/>
  <c r="AG11" i="47"/>
  <c r="V11" i="47"/>
  <c r="T11" i="47"/>
  <c r="J11" i="47"/>
  <c r="G11" i="47"/>
  <c r="D11" i="47"/>
  <c r="H11" i="47"/>
  <c r="R38" i="47"/>
  <c r="Q38" i="47"/>
  <c r="AG38" i="47"/>
  <c r="M38" i="47"/>
  <c r="AF38" i="47"/>
  <c r="L38" i="47"/>
  <c r="AH38" i="47"/>
  <c r="H38" i="47"/>
  <c r="X38" i="47"/>
  <c r="T38" i="47"/>
  <c r="AB38" i="47"/>
  <c r="AA38" i="47"/>
  <c r="W38" i="47"/>
  <c r="V38" i="47"/>
  <c r="C38" i="47"/>
  <c r="O38" i="47"/>
  <c r="N38" i="47"/>
  <c r="K38" i="47"/>
  <c r="J38" i="47"/>
  <c r="I38" i="47"/>
  <c r="G38" i="47"/>
  <c r="AE38" i="47"/>
  <c r="Z38" i="47"/>
  <c r="Y38" i="47"/>
  <c r="U38" i="47"/>
  <c r="S38" i="47"/>
  <c r="P38" i="47"/>
  <c r="F38" i="47"/>
  <c r="E38" i="47"/>
  <c r="D38" i="47"/>
  <c r="AD38" i="47"/>
  <c r="AC38" i="47"/>
  <c r="Z28" i="47"/>
  <c r="F28" i="47"/>
  <c r="W28" i="47"/>
  <c r="AF28" i="47"/>
  <c r="J28" i="47"/>
  <c r="AE28" i="47"/>
  <c r="I28" i="47"/>
  <c r="AA28" i="47"/>
  <c r="D28" i="47"/>
  <c r="U28" i="47"/>
  <c r="T28" i="47"/>
  <c r="S28" i="47"/>
  <c r="R28" i="47"/>
  <c r="Q28" i="47"/>
  <c r="P28" i="47"/>
  <c r="AH28" i="47"/>
  <c r="AG28" i="47"/>
  <c r="AD28" i="47"/>
  <c r="AB28" i="47"/>
  <c r="AC28" i="47"/>
  <c r="Y28" i="47"/>
  <c r="O28" i="47"/>
  <c r="N28" i="47"/>
  <c r="M28" i="47"/>
  <c r="C28" i="47"/>
  <c r="L28" i="47"/>
  <c r="K28" i="47"/>
  <c r="H28" i="47"/>
  <c r="G28" i="47"/>
  <c r="E28" i="47"/>
  <c r="X28" i="47"/>
  <c r="V28" i="47"/>
  <c r="X30" i="47"/>
  <c r="D30" i="47"/>
  <c r="Y30" i="47"/>
  <c r="N30" i="47"/>
  <c r="M30" i="47"/>
  <c r="AE30" i="47"/>
  <c r="I30" i="47"/>
  <c r="AA30" i="47"/>
  <c r="E30" i="47"/>
  <c r="Z30" i="47"/>
  <c r="W30" i="47"/>
  <c r="V30" i="47"/>
  <c r="U30" i="47"/>
  <c r="T30" i="47"/>
  <c r="P30" i="47"/>
  <c r="L30" i="47"/>
  <c r="K30" i="47"/>
  <c r="O30" i="47"/>
  <c r="J30" i="47"/>
  <c r="G30" i="47"/>
  <c r="H30" i="47"/>
  <c r="F30" i="47"/>
  <c r="AH30" i="47"/>
  <c r="AG30" i="47"/>
  <c r="AF30" i="47"/>
  <c r="AD30" i="47"/>
  <c r="C30" i="47"/>
  <c r="AC30" i="47"/>
  <c r="AB30" i="47"/>
  <c r="S30" i="47"/>
  <c r="R30" i="47"/>
  <c r="Q30" i="47"/>
  <c r="X16" i="47"/>
  <c r="D16" i="47"/>
  <c r="AH16" i="47"/>
  <c r="M16" i="47"/>
  <c r="AG16" i="47"/>
  <c r="L16" i="47"/>
  <c r="AC16" i="47"/>
  <c r="H16" i="47"/>
  <c r="Y16" i="47"/>
  <c r="W16" i="47"/>
  <c r="V16" i="47"/>
  <c r="U16" i="47"/>
  <c r="E16" i="47"/>
  <c r="AF16" i="47"/>
  <c r="AE16" i="47"/>
  <c r="AD16" i="47"/>
  <c r="AA16" i="47"/>
  <c r="AB16" i="47"/>
  <c r="C16" i="47"/>
  <c r="Z16" i="47"/>
  <c r="R16" i="47"/>
  <c r="O16" i="47"/>
  <c r="K16" i="47"/>
  <c r="Q16" i="47"/>
  <c r="P16" i="47"/>
  <c r="N16" i="47"/>
  <c r="J16" i="47"/>
  <c r="I16" i="47"/>
  <c r="T16" i="47"/>
  <c r="S16" i="47"/>
  <c r="G16" i="47"/>
  <c r="F16" i="47"/>
  <c r="S25" i="47"/>
  <c r="AF25" i="47"/>
  <c r="K25" i="47"/>
  <c r="N25" i="47"/>
  <c r="M25" i="47"/>
  <c r="AD25" i="47"/>
  <c r="H25" i="47"/>
  <c r="Z25" i="47"/>
  <c r="D25" i="47"/>
  <c r="Y25" i="47"/>
  <c r="X25" i="47"/>
  <c r="W25" i="47"/>
  <c r="C25" i="47"/>
  <c r="V25" i="47"/>
  <c r="U25" i="47"/>
  <c r="J25" i="47"/>
  <c r="G25" i="47"/>
  <c r="F25" i="47"/>
  <c r="I25" i="47"/>
  <c r="E25" i="47"/>
  <c r="AE25" i="47"/>
  <c r="AC25" i="47"/>
  <c r="AA25" i="47"/>
  <c r="AB25" i="47"/>
  <c r="R25" i="47"/>
  <c r="T25" i="47"/>
  <c r="Q25" i="47"/>
  <c r="P25" i="47"/>
  <c r="AH25" i="47"/>
  <c r="O25" i="47"/>
  <c r="L25" i="47"/>
  <c r="AG25" i="47"/>
  <c r="W21" i="47"/>
  <c r="AD21" i="47"/>
  <c r="I21" i="47"/>
  <c r="AA21" i="47"/>
  <c r="E21" i="47"/>
  <c r="Z21" i="47"/>
  <c r="D21" i="47"/>
  <c r="U21" i="47"/>
  <c r="Q21" i="47"/>
  <c r="P21" i="47"/>
  <c r="O21" i="47"/>
  <c r="N21" i="47"/>
  <c r="AH21" i="47"/>
  <c r="L21" i="47"/>
  <c r="S21" i="47"/>
  <c r="R21" i="47"/>
  <c r="M21" i="47"/>
  <c r="K21" i="47"/>
  <c r="J21" i="47"/>
  <c r="G21" i="47"/>
  <c r="H21" i="47"/>
  <c r="F21" i="47"/>
  <c r="AG21" i="47"/>
  <c r="AF21" i="47"/>
  <c r="AE21" i="47"/>
  <c r="AC21" i="47"/>
  <c r="AB21" i="47"/>
  <c r="Y21" i="47"/>
  <c r="X21" i="47"/>
  <c r="C21" i="47"/>
  <c r="V21" i="47"/>
  <c r="T21" i="47"/>
  <c r="U23" i="47"/>
  <c r="AE23" i="47"/>
  <c r="J23" i="47"/>
  <c r="AF23" i="47"/>
  <c r="I23" i="47"/>
  <c r="AD23" i="47"/>
  <c r="H23" i="47"/>
  <c r="Z23" i="47"/>
  <c r="D23" i="47"/>
  <c r="V23" i="47"/>
  <c r="T23" i="47"/>
  <c r="C23" i="47"/>
  <c r="S23" i="47"/>
  <c r="R23" i="47"/>
  <c r="Q23" i="47"/>
  <c r="P23" i="47"/>
  <c r="AG23" i="47"/>
  <c r="AC23" i="47"/>
  <c r="AB23" i="47"/>
  <c r="AA23" i="47"/>
  <c r="Y23" i="47"/>
  <c r="W23" i="47"/>
  <c r="X23" i="47"/>
  <c r="O23" i="47"/>
  <c r="L23" i="47"/>
  <c r="F23" i="47"/>
  <c r="K23" i="47"/>
  <c r="G23" i="47"/>
  <c r="E23" i="47"/>
  <c r="AH23" i="47"/>
  <c r="M23" i="47"/>
  <c r="N23" i="47"/>
  <c r="Q10" i="47"/>
  <c r="P10" i="47"/>
  <c r="AF10" i="47"/>
  <c r="L10" i="47"/>
  <c r="AB10" i="47"/>
  <c r="H10" i="47"/>
  <c r="AA10" i="47"/>
  <c r="G10" i="47"/>
  <c r="Z10" i="47"/>
  <c r="F10" i="47"/>
  <c r="Y10" i="47"/>
  <c r="E10" i="47"/>
  <c r="AH10" i="47"/>
  <c r="AE10" i="47"/>
  <c r="AG10" i="47"/>
  <c r="C10" i="47"/>
  <c r="AD10" i="47"/>
  <c r="AC10" i="47"/>
  <c r="W10" i="47"/>
  <c r="X10" i="47"/>
  <c r="V10" i="47"/>
  <c r="S10" i="47"/>
  <c r="N10" i="47"/>
  <c r="R10" i="47"/>
  <c r="O10" i="47"/>
  <c r="M10" i="47"/>
  <c r="J10" i="47"/>
  <c r="T10" i="47"/>
  <c r="D10" i="47"/>
  <c r="U10" i="47"/>
  <c r="I10" i="47"/>
  <c r="K10" i="47"/>
  <c r="B58" i="47"/>
  <c r="B74" i="47"/>
  <c r="B43" i="47"/>
  <c r="B69" i="47"/>
  <c r="B72" i="47"/>
  <c r="B47" i="47"/>
  <c r="B66" i="47"/>
  <c r="B68" i="47"/>
  <c r="B70" i="47"/>
  <c r="B50" i="47"/>
  <c r="B53" i="47"/>
  <c r="B45" i="47"/>
  <c r="B54" i="47"/>
  <c r="B55" i="47"/>
  <c r="B62" i="47"/>
  <c r="B59" i="47"/>
  <c r="B56" i="47"/>
  <c r="B49" i="47"/>
  <c r="B61" i="47"/>
  <c r="B65" i="47"/>
  <c r="B60" i="47"/>
  <c r="B64" i="47"/>
  <c r="B57" i="47"/>
  <c r="B71" i="47"/>
  <c r="B44" i="47"/>
  <c r="B67" i="47"/>
  <c r="B46" i="47"/>
  <c r="B51" i="47"/>
  <c r="B48" i="47"/>
  <c r="B52" i="47"/>
  <c r="B73" i="47"/>
  <c r="B63" i="47"/>
  <c r="E32" i="44"/>
  <c r="F32" i="44"/>
  <c r="D32" i="44"/>
  <c r="BE32" i="44" s="1"/>
  <c r="F16" i="46"/>
  <c r="E16" i="46"/>
  <c r="D16" i="46"/>
  <c r="F33" i="44"/>
  <c r="D33" i="44"/>
  <c r="BE33" i="44" s="1"/>
  <c r="E33" i="44"/>
  <c r="D31" i="44"/>
  <c r="BE31" i="44" s="1"/>
  <c r="E31" i="44"/>
  <c r="F31" i="44"/>
  <c r="E27" i="44"/>
  <c r="D27" i="44"/>
  <c r="F27" i="44"/>
  <c r="D11" i="44"/>
  <c r="F11" i="44"/>
  <c r="E11" i="44"/>
  <c r="D22" i="44"/>
  <c r="E22" i="44"/>
  <c r="F22" i="44"/>
  <c r="D17" i="44"/>
  <c r="E17" i="44"/>
  <c r="F17" i="44"/>
  <c r="D10" i="44"/>
  <c r="E10" i="44"/>
  <c r="F10" i="44"/>
  <c r="D21" i="46"/>
  <c r="F21" i="46"/>
  <c r="E21" i="46"/>
  <c r="BE29" i="46"/>
  <c r="F22" i="46"/>
  <c r="E22" i="46"/>
  <c r="D22" i="46"/>
  <c r="D26" i="44"/>
  <c r="F26" i="44"/>
  <c r="E26" i="44"/>
  <c r="D16" i="44"/>
  <c r="E16" i="44"/>
  <c r="F16" i="44"/>
  <c r="F39" i="44"/>
  <c r="D39" i="44"/>
  <c r="BE39" i="44" s="1"/>
  <c r="E39" i="44"/>
  <c r="E29" i="44"/>
  <c r="F29" i="44"/>
  <c r="D29" i="44"/>
  <c r="BE29" i="44" s="1"/>
  <c r="F20" i="46"/>
  <c r="D20" i="46"/>
  <c r="E20" i="46"/>
  <c r="BE39" i="46"/>
  <c r="E14" i="46"/>
  <c r="F14" i="46"/>
  <c r="D14" i="46"/>
  <c r="F38" i="44"/>
  <c r="E38" i="44"/>
  <c r="D38" i="44"/>
  <c r="BE38" i="44" s="1"/>
  <c r="D21" i="44"/>
  <c r="E21" i="44"/>
  <c r="F21" i="44"/>
  <c r="F11" i="46"/>
  <c r="E11" i="46"/>
  <c r="D11" i="46"/>
  <c r="D18" i="44"/>
  <c r="F18" i="44"/>
  <c r="E18" i="44"/>
  <c r="D19" i="44"/>
  <c r="F19" i="44"/>
  <c r="E19" i="44"/>
  <c r="D14" i="44"/>
  <c r="F14" i="44"/>
  <c r="E14" i="44"/>
  <c r="D23" i="44"/>
  <c r="F23" i="44"/>
  <c r="E23" i="44"/>
  <c r="D15" i="44"/>
  <c r="F15" i="44"/>
  <c r="E15" i="44"/>
  <c r="E19" i="46"/>
  <c r="D19" i="46"/>
  <c r="F19" i="46"/>
  <c r="D35" i="44"/>
  <c r="BE35" i="44" s="1"/>
  <c r="E35" i="44"/>
  <c r="F35" i="44"/>
  <c r="D23" i="46"/>
  <c r="F23" i="46"/>
  <c r="E23" i="46"/>
  <c r="B9" i="44"/>
  <c r="B29" i="44"/>
  <c r="B10" i="44"/>
  <c r="B30" i="44"/>
  <c r="B32" i="44"/>
  <c r="B13" i="44"/>
  <c r="B33" i="44"/>
  <c r="B34" i="44"/>
  <c r="B15" i="44"/>
  <c r="B35" i="44"/>
  <c r="B19" i="44"/>
  <c r="B39" i="44"/>
  <c r="B21" i="44"/>
  <c r="B31" i="44"/>
  <c r="B14" i="44"/>
  <c r="B12" i="44"/>
  <c r="B16" i="44"/>
  <c r="B36" i="44"/>
  <c r="B17" i="44"/>
  <c r="B37" i="44"/>
  <c r="B18" i="44"/>
  <c r="B38" i="44"/>
  <c r="B20" i="44"/>
  <c r="B27" i="44"/>
  <c r="B22" i="44"/>
  <c r="B23" i="44"/>
  <c r="B24" i="44"/>
  <c r="B25" i="44"/>
  <c r="B26" i="44"/>
  <c r="B28" i="44"/>
  <c r="B11" i="44"/>
  <c r="D8" i="44"/>
  <c r="F8" i="44"/>
  <c r="E8" i="44"/>
  <c r="F15" i="46"/>
  <c r="E15" i="46"/>
  <c r="D15" i="46"/>
  <c r="D37" i="44"/>
  <c r="BE37" i="44" s="1"/>
  <c r="F37" i="44"/>
  <c r="E37" i="44"/>
  <c r="D30" i="44"/>
  <c r="BE30" i="44" s="1"/>
  <c r="E30" i="44"/>
  <c r="F30" i="44"/>
  <c r="D34" i="44"/>
  <c r="BE34" i="44" s="1"/>
  <c r="E34" i="44"/>
  <c r="F34" i="44"/>
  <c r="B18" i="46"/>
  <c r="B38" i="46"/>
  <c r="B39" i="46"/>
  <c r="B22" i="46"/>
  <c r="B23" i="46"/>
  <c r="B24" i="46"/>
  <c r="B9" i="46"/>
  <c r="B36" i="46"/>
  <c r="B37" i="46"/>
  <c r="B29" i="46"/>
  <c r="B10" i="46"/>
  <c r="B16" i="46"/>
  <c r="B19" i="46"/>
  <c r="B25" i="46"/>
  <c r="B26" i="46"/>
  <c r="B27" i="46"/>
  <c r="B28" i="46"/>
  <c r="B30" i="46"/>
  <c r="B17" i="46"/>
  <c r="B20" i="46"/>
  <c r="B21" i="46"/>
  <c r="B11" i="46"/>
  <c r="B31" i="46"/>
  <c r="B12" i="46"/>
  <c r="B32" i="46"/>
  <c r="B13" i="46"/>
  <c r="B33" i="46"/>
  <c r="B14" i="46"/>
  <c r="B34" i="46"/>
  <c r="B15" i="46"/>
  <c r="B35" i="46"/>
  <c r="E8" i="46"/>
  <c r="D8" i="46"/>
  <c r="F8" i="46"/>
  <c r="F13" i="46"/>
  <c r="E13" i="46"/>
  <c r="D13" i="46"/>
  <c r="F10" i="46"/>
  <c r="E10" i="46"/>
  <c r="D10" i="46"/>
  <c r="F25" i="44"/>
  <c r="E25" i="44"/>
  <c r="D25" i="44"/>
  <c r="D24" i="44"/>
  <c r="F24" i="44"/>
  <c r="E24" i="44"/>
  <c r="F28" i="44"/>
  <c r="E28" i="44"/>
  <c r="D28" i="44"/>
  <c r="BE28" i="44" s="1"/>
  <c r="D9" i="44"/>
  <c r="F9" i="44"/>
  <c r="E9" i="44"/>
  <c r="F18" i="46"/>
  <c r="D18" i="46"/>
  <c r="E18" i="46"/>
  <c r="D12" i="44"/>
  <c r="F12" i="44"/>
  <c r="E12" i="44"/>
  <c r="F17" i="46"/>
  <c r="E17" i="46"/>
  <c r="D17" i="46"/>
  <c r="D36" i="44"/>
  <c r="BE36" i="44" s="1"/>
  <c r="E36" i="44"/>
  <c r="F36" i="44"/>
  <c r="D20" i="44"/>
  <c r="E20" i="44"/>
  <c r="F20" i="44"/>
  <c r="F9" i="46"/>
  <c r="E9" i="46"/>
  <c r="D9" i="46"/>
  <c r="D13" i="44"/>
  <c r="F13" i="44"/>
  <c r="E13" i="44"/>
  <c r="D12" i="46"/>
  <c r="F12" i="46"/>
  <c r="E12" i="46"/>
  <c r="GS33" i="46" l="1"/>
  <c r="GQ33" i="46"/>
  <c r="X33" i="46"/>
  <c r="Y33" i="46"/>
  <c r="EY33" i="46"/>
  <c r="FB33" i="46"/>
  <c r="FC33" i="46"/>
  <c r="EF33" i="46"/>
  <c r="CN33" i="46"/>
  <c r="CO33" i="46"/>
  <c r="DY33" i="46"/>
  <c r="FZ33" i="46"/>
  <c r="GD33" i="46"/>
  <c r="FR33" i="46"/>
  <c r="CR33" i="46"/>
  <c r="BY33" i="46"/>
  <c r="CG33" i="46"/>
  <c r="P33" i="46"/>
  <c r="Z33" i="46"/>
  <c r="BZ33" i="46"/>
  <c r="DC33" i="46"/>
  <c r="CL33" i="46"/>
  <c r="FD33" i="46"/>
  <c r="FG33" i="46"/>
  <c r="EI33" i="46"/>
  <c r="EM33" i="46"/>
  <c r="FX33" i="46"/>
  <c r="AH33" i="46"/>
  <c r="AF33" i="46"/>
  <c r="GG33" i="46"/>
  <c r="FK33" i="46"/>
  <c r="FO33" i="46"/>
  <c r="DJ33" i="46"/>
  <c r="CK33" i="46"/>
  <c r="EZ33" i="46"/>
  <c r="CU33" i="46"/>
  <c r="FM33" i="46"/>
  <c r="DL33" i="46"/>
  <c r="DM33" i="46"/>
  <c r="GA33" i="46"/>
  <c r="DV33" i="46"/>
  <c r="GE33" i="46"/>
  <c r="GN33" i="46"/>
  <c r="GH33" i="46"/>
  <c r="EK33" i="46"/>
  <c r="GP33" i="46"/>
  <c r="EP33" i="46"/>
  <c r="AD33" i="46"/>
  <c r="FA33" i="46"/>
  <c r="FS33" i="46"/>
  <c r="CS33" i="46"/>
  <c r="EN33" i="46"/>
  <c r="AA33" i="46"/>
  <c r="GB33" i="46"/>
  <c r="CX33" i="46"/>
  <c r="I33" i="46"/>
  <c r="ER33" i="46"/>
  <c r="GC33" i="46"/>
  <c r="U33" i="46"/>
  <c r="DN33" i="46"/>
  <c r="DR33" i="46"/>
  <c r="DZ33" i="46"/>
  <c r="CA33" i="46"/>
  <c r="DT33" i="46"/>
  <c r="GR33" i="46"/>
  <c r="DP33" i="46"/>
  <c r="R33" i="46"/>
  <c r="DK33" i="46"/>
  <c r="FI33" i="46"/>
  <c r="CE33" i="46"/>
  <c r="W33" i="46"/>
  <c r="EO33" i="46"/>
  <c r="FV33" i="46"/>
  <c r="EB33" i="46"/>
  <c r="GM33" i="46"/>
  <c r="L33" i="46"/>
  <c r="EE33" i="46"/>
  <c r="CB33" i="46"/>
  <c r="DD33" i="46"/>
  <c r="FP33" i="46"/>
  <c r="GJ33" i="46"/>
  <c r="GK33" i="46"/>
  <c r="CC33" i="46"/>
  <c r="EQ33" i="46"/>
  <c r="FU33" i="46"/>
  <c r="DO33" i="46"/>
  <c r="FE33" i="46"/>
  <c r="ES33" i="46"/>
  <c r="DS33" i="46"/>
  <c r="BW33" i="46"/>
  <c r="DQ33" i="46"/>
  <c r="CV33" i="46"/>
  <c r="S33" i="46"/>
  <c r="V33" i="46"/>
  <c r="EX33" i="46"/>
  <c r="DW33" i="46"/>
  <c r="J33" i="46"/>
  <c r="EH33" i="46"/>
  <c r="FN33" i="46"/>
  <c r="CD33" i="46"/>
  <c r="CT33" i="46"/>
  <c r="FF33" i="46"/>
  <c r="FY33" i="46"/>
  <c r="GL33" i="46"/>
  <c r="GF33" i="46"/>
  <c r="O33" i="46"/>
  <c r="FH33" i="46"/>
  <c r="CP33" i="46"/>
  <c r="DA33" i="46"/>
  <c r="GO33" i="46"/>
  <c r="DU33" i="46"/>
  <c r="CW33" i="46"/>
  <c r="DF33" i="46"/>
  <c r="H33" i="46"/>
  <c r="DE33" i="46"/>
  <c r="FL33" i="46"/>
  <c r="EW33" i="46"/>
  <c r="AC33" i="46"/>
  <c r="DG33" i="46"/>
  <c r="M33" i="46"/>
  <c r="EL33" i="46"/>
  <c r="CQ33" i="46"/>
  <c r="G33" i="46"/>
  <c r="EJ33" i="46"/>
  <c r="CJ33" i="46"/>
  <c r="DB33" i="46"/>
  <c r="FT33" i="46"/>
  <c r="EC33" i="46"/>
  <c r="CF33" i="46"/>
  <c r="CI33" i="46"/>
  <c r="BX33" i="46"/>
  <c r="FQ33" i="46"/>
  <c r="AB33" i="46"/>
  <c r="GT33" i="46"/>
  <c r="GI33" i="46"/>
  <c r="FW33" i="46"/>
  <c r="FJ33" i="46"/>
  <c r="CH33" i="46"/>
  <c r="CZ33" i="46"/>
  <c r="DI33" i="46"/>
  <c r="CY33" i="46"/>
  <c r="CM33" i="46"/>
  <c r="ET33" i="46"/>
  <c r="DH33" i="46"/>
  <c r="AE33" i="46"/>
  <c r="GD36" i="46"/>
  <c r="GK36" i="46"/>
  <c r="FD36" i="46"/>
  <c r="DS36" i="46"/>
  <c r="CP36" i="46"/>
  <c r="S36" i="46"/>
  <c r="GJ36" i="46"/>
  <c r="FC36" i="46"/>
  <c r="DR36" i="46"/>
  <c r="CJ36" i="46"/>
  <c r="P36" i="46"/>
  <c r="GH36" i="46"/>
  <c r="FA36" i="46"/>
  <c r="DO36" i="46"/>
  <c r="CH36" i="46"/>
  <c r="J36" i="46"/>
  <c r="DL36" i="46"/>
  <c r="FY36" i="46"/>
  <c r="ER36" i="46"/>
  <c r="DG36" i="46"/>
  <c r="CD36" i="46"/>
  <c r="GG36" i="46"/>
  <c r="EZ36" i="46"/>
  <c r="DN36" i="46"/>
  <c r="CG36" i="46"/>
  <c r="I36" i="46"/>
  <c r="GA36" i="46"/>
  <c r="EX36" i="46"/>
  <c r="DM36" i="46"/>
  <c r="CF36" i="46"/>
  <c r="H36" i="46"/>
  <c r="FZ36" i="46"/>
  <c r="ES36" i="46"/>
  <c r="CE36" i="46"/>
  <c r="G36" i="46"/>
  <c r="FV36" i="46"/>
  <c r="EO36" i="46"/>
  <c r="DC36" i="46"/>
  <c r="BX36" i="46"/>
  <c r="FU36" i="46"/>
  <c r="EM36" i="46"/>
  <c r="DB36" i="46"/>
  <c r="BW36" i="46"/>
  <c r="FQ36" i="46"/>
  <c r="EL36" i="46"/>
  <c r="DA36" i="46"/>
  <c r="AH36" i="46"/>
  <c r="FP36" i="46"/>
  <c r="EF36" i="46"/>
  <c r="CZ36" i="46"/>
  <c r="AF36" i="46"/>
  <c r="FO36" i="46"/>
  <c r="CT36" i="46"/>
  <c r="DW36" i="46"/>
  <c r="DV36" i="46"/>
  <c r="DQ36" i="46"/>
  <c r="DF36" i="46"/>
  <c r="DD36" i="46"/>
  <c r="FX36" i="46"/>
  <c r="FW36" i="46"/>
  <c r="FN36" i="46"/>
  <c r="CS36" i="46"/>
  <c r="FM36" i="46"/>
  <c r="CR36" i="46"/>
  <c r="EB36" i="46"/>
  <c r="U36" i="46"/>
  <c r="FL36" i="46"/>
  <c r="CQ36" i="46"/>
  <c r="FB36" i="46"/>
  <c r="Y36" i="46"/>
  <c r="X36" i="46"/>
  <c r="W36" i="46"/>
  <c r="FK36" i="46"/>
  <c r="CI36" i="46"/>
  <c r="FE36" i="46"/>
  <c r="BZ36" i="46"/>
  <c r="BY36" i="46"/>
  <c r="EP36" i="46"/>
  <c r="GT36" i="46"/>
  <c r="GS36" i="46"/>
  <c r="DY36" i="46"/>
  <c r="GR36" i="46"/>
  <c r="GQ36" i="46"/>
  <c r="GN36" i="46"/>
  <c r="GL36" i="46"/>
  <c r="GI36" i="46"/>
  <c r="CW36" i="46"/>
  <c r="CU36" i="46"/>
  <c r="EQ36" i="46"/>
  <c r="AE36" i="46"/>
  <c r="EE36" i="46"/>
  <c r="EC36" i="46"/>
  <c r="V36" i="46"/>
  <c r="L36" i="46"/>
  <c r="O36" i="46"/>
  <c r="Z36" i="46"/>
  <c r="CC36" i="46"/>
  <c r="FF36" i="46"/>
  <c r="FT36" i="46"/>
  <c r="EH36" i="46"/>
  <c r="GF36" i="46"/>
  <c r="CA36" i="46"/>
  <c r="CM36" i="46"/>
  <c r="ET36" i="46"/>
  <c r="EW36" i="46"/>
  <c r="DI36" i="46"/>
  <c r="FR36" i="46"/>
  <c r="GP36" i="46"/>
  <c r="CX36" i="46"/>
  <c r="R36" i="46"/>
  <c r="DT36" i="46"/>
  <c r="GO36" i="46"/>
  <c r="DP36" i="46"/>
  <c r="EN36" i="46"/>
  <c r="AC36" i="46"/>
  <c r="FG36" i="46"/>
  <c r="GC36" i="46"/>
  <c r="CY36" i="46"/>
  <c r="AB36" i="46"/>
  <c r="AD36" i="46"/>
  <c r="DU36" i="46"/>
  <c r="DK36" i="46"/>
  <c r="CK36" i="46"/>
  <c r="EK36" i="46"/>
  <c r="DE36" i="46"/>
  <c r="CO36" i="46"/>
  <c r="GM36" i="46"/>
  <c r="CB36" i="46"/>
  <c r="CV36" i="46"/>
  <c r="CN36" i="46"/>
  <c r="FI36" i="46"/>
  <c r="DJ36" i="46"/>
  <c r="DH36" i="46"/>
  <c r="EJ36" i="46"/>
  <c r="GE36" i="46"/>
  <c r="EI36" i="46"/>
  <c r="M36" i="46"/>
  <c r="CL36" i="46"/>
  <c r="FH36" i="46"/>
  <c r="AA36" i="46"/>
  <c r="DZ36" i="46"/>
  <c r="FJ36" i="46"/>
  <c r="GB36" i="46"/>
  <c r="EY36" i="46"/>
  <c r="FS36" i="46"/>
  <c r="FZ31" i="46"/>
  <c r="EQ31" i="46"/>
  <c r="BW31" i="46"/>
  <c r="CW31" i="46"/>
  <c r="GN31" i="46"/>
  <c r="O31" i="46"/>
  <c r="CV31" i="46"/>
  <c r="AF31" i="46"/>
  <c r="CE31" i="46"/>
  <c r="AB31" i="46"/>
  <c r="FE31" i="46"/>
  <c r="FU31" i="46"/>
  <c r="CD31" i="46"/>
  <c r="DC31" i="46"/>
  <c r="DE31" i="46"/>
  <c r="AA31" i="46"/>
  <c r="FM31" i="46"/>
  <c r="EJ31" i="46"/>
  <c r="H31" i="46"/>
  <c r="GR31" i="46"/>
  <c r="DW31" i="46"/>
  <c r="U31" i="46"/>
  <c r="FS31" i="46"/>
  <c r="EL31" i="46"/>
  <c r="DM31" i="46"/>
  <c r="FW31" i="46"/>
  <c r="GS31" i="46"/>
  <c r="DY31" i="46"/>
  <c r="FB31" i="46"/>
  <c r="GD31" i="46"/>
  <c r="FQ31" i="46"/>
  <c r="FF31" i="46"/>
  <c r="GL31" i="46"/>
  <c r="DG31" i="46"/>
  <c r="FO31" i="46"/>
  <c r="GB31" i="46"/>
  <c r="CO31" i="46"/>
  <c r="GK31" i="46"/>
  <c r="BY31" i="46"/>
  <c r="DP31" i="46"/>
  <c r="DA31" i="46"/>
  <c r="GC31" i="46"/>
  <c r="CS31" i="46"/>
  <c r="EI31" i="46"/>
  <c r="DQ31" i="46"/>
  <c r="DL31" i="46"/>
  <c r="EK31" i="46"/>
  <c r="EX31" i="46"/>
  <c r="DF31" i="46"/>
  <c r="CR31" i="46"/>
  <c r="ET31" i="46"/>
  <c r="CA31" i="46"/>
  <c r="EN31" i="46"/>
  <c r="CF31" i="46"/>
  <c r="EH31" i="46"/>
  <c r="G31" i="46"/>
  <c r="FT31" i="46"/>
  <c r="DO31" i="46"/>
  <c r="CY31" i="46"/>
  <c r="CB31" i="46"/>
  <c r="FG31" i="46"/>
  <c r="EB31" i="46"/>
  <c r="GQ31" i="46"/>
  <c r="EZ31" i="46"/>
  <c r="DD31" i="46"/>
  <c r="GE31" i="46"/>
  <c r="S31" i="46"/>
  <c r="GO31" i="46"/>
  <c r="CT31" i="46"/>
  <c r="AC31" i="46"/>
  <c r="FR31" i="46"/>
  <c r="ES31" i="46"/>
  <c r="CM31" i="46"/>
  <c r="GM31" i="46"/>
  <c r="I31" i="46"/>
  <c r="DZ31" i="46"/>
  <c r="FD31" i="46"/>
  <c r="X31" i="46"/>
  <c r="Z31" i="46"/>
  <c r="EM31" i="46"/>
  <c r="CX31" i="46"/>
  <c r="CJ31" i="46"/>
  <c r="GJ31" i="46"/>
  <c r="FH31" i="46"/>
  <c r="V31" i="46"/>
  <c r="FV31" i="46"/>
  <c r="EW31" i="46"/>
  <c r="DS31" i="46"/>
  <c r="FJ31" i="46"/>
  <c r="GF31" i="46"/>
  <c r="FP31" i="46"/>
  <c r="J31" i="46"/>
  <c r="DV31" i="46"/>
  <c r="BX31" i="46"/>
  <c r="CI31" i="46"/>
  <c r="CN31" i="46"/>
  <c r="EC31" i="46"/>
  <c r="CU31" i="46"/>
  <c r="CK31" i="46"/>
  <c r="DK31" i="46"/>
  <c r="W31" i="46"/>
  <c r="CH31" i="46"/>
  <c r="FK31" i="46"/>
  <c r="CL31" i="46"/>
  <c r="ER31" i="46"/>
  <c r="DN31" i="46"/>
  <c r="CZ31" i="46"/>
  <c r="FY31" i="46"/>
  <c r="EE31" i="46"/>
  <c r="DJ31" i="46"/>
  <c r="DT31" i="46"/>
  <c r="FA31" i="46"/>
  <c r="GT31" i="46"/>
  <c r="GH31" i="46"/>
  <c r="FX31" i="46"/>
  <c r="DB31" i="46"/>
  <c r="CC31" i="46"/>
  <c r="BZ31" i="46"/>
  <c r="P31" i="46"/>
  <c r="CQ31" i="46"/>
  <c r="DU31" i="46"/>
  <c r="GA31" i="46"/>
  <c r="L31" i="46"/>
  <c r="DR31" i="46"/>
  <c r="CG31" i="46"/>
  <c r="EO31" i="46"/>
  <c r="FN31" i="46"/>
  <c r="M31" i="46"/>
  <c r="FI31" i="46"/>
  <c r="GG31" i="46"/>
  <c r="AE31" i="46"/>
  <c r="R31" i="46"/>
  <c r="DH31" i="46"/>
  <c r="CP31" i="46"/>
  <c r="EY31" i="46"/>
  <c r="DI31" i="46"/>
  <c r="AH31" i="46"/>
  <c r="Y31" i="46"/>
  <c r="GP31" i="46"/>
  <c r="FL31" i="46"/>
  <c r="GI31" i="46"/>
  <c r="EF31" i="46"/>
  <c r="FC31" i="46"/>
  <c r="AD31" i="46"/>
  <c r="EP31" i="46"/>
  <c r="GS34" i="46"/>
  <c r="GN34" i="46"/>
  <c r="ER34" i="46"/>
  <c r="CQ34" i="46"/>
  <c r="GI34" i="46"/>
  <c r="EQ34" i="46"/>
  <c r="CO34" i="46"/>
  <c r="GG34" i="46"/>
  <c r="EL34" i="46"/>
  <c r="CJ34" i="46"/>
  <c r="CG34" i="46"/>
  <c r="DV34" i="46"/>
  <c r="GD34" i="46"/>
  <c r="EI34" i="46"/>
  <c r="CI34" i="46"/>
  <c r="GB34" i="46"/>
  <c r="DY34" i="46"/>
  <c r="CH34" i="46"/>
  <c r="GA34" i="46"/>
  <c r="DW34" i="46"/>
  <c r="FV34" i="46"/>
  <c r="CB34" i="46"/>
  <c r="FS34" i="46"/>
  <c r="DP34" i="46"/>
  <c r="AE34" i="46"/>
  <c r="FN34" i="46"/>
  <c r="DO34" i="46"/>
  <c r="AD34" i="46"/>
  <c r="FM34" i="46"/>
  <c r="DN34" i="46"/>
  <c r="X34" i="46"/>
  <c r="FI34" i="46"/>
  <c r="DM34" i="46"/>
  <c r="W34" i="46"/>
  <c r="DQ34" i="46"/>
  <c r="O34" i="46"/>
  <c r="H34" i="46"/>
  <c r="DR34" i="46"/>
  <c r="DJ34" i="46"/>
  <c r="DC34" i="46"/>
  <c r="V34" i="46"/>
  <c r="FE34" i="46"/>
  <c r="DB34" i="46"/>
  <c r="ET34" i="46"/>
  <c r="EP34" i="46"/>
  <c r="CW34" i="46"/>
  <c r="CV34" i="46"/>
  <c r="CU34" i="46"/>
  <c r="CA34" i="46"/>
  <c r="GH34" i="46"/>
  <c r="AH34" i="46"/>
  <c r="FU34" i="46"/>
  <c r="FT34" i="46"/>
  <c r="U34" i="46"/>
  <c r="FG34" i="46"/>
  <c r="P34" i="46"/>
  <c r="EX34" i="46"/>
  <c r="CN34" i="46"/>
  <c r="GO34" i="46"/>
  <c r="R34" i="46"/>
  <c r="EY34" i="46"/>
  <c r="EW34" i="46"/>
  <c r="DE34" i="46"/>
  <c r="DI34" i="46"/>
  <c r="CS34" i="46"/>
  <c r="DL34" i="46"/>
  <c r="DK34" i="46"/>
  <c r="EN34" i="46"/>
  <c r="EO34" i="46"/>
  <c r="DS34" i="46"/>
  <c r="BY34" i="46"/>
  <c r="BZ34" i="46"/>
  <c r="EM34" i="46"/>
  <c r="FQ34" i="46"/>
  <c r="L34" i="46"/>
  <c r="AB34" i="46"/>
  <c r="DH34" i="46"/>
  <c r="CK34" i="46"/>
  <c r="CD34" i="46"/>
  <c r="DF34" i="46"/>
  <c r="GT34" i="46"/>
  <c r="J34" i="46"/>
  <c r="Z34" i="46"/>
  <c r="CE34" i="46"/>
  <c r="CT34" i="46"/>
  <c r="FB34" i="46"/>
  <c r="FF34" i="46"/>
  <c r="ES34" i="46"/>
  <c r="GQ34" i="46"/>
  <c r="M34" i="46"/>
  <c r="DU34" i="46"/>
  <c r="FW34" i="46"/>
  <c r="EJ34" i="46"/>
  <c r="G34" i="46"/>
  <c r="FP34" i="46"/>
  <c r="DZ34" i="46"/>
  <c r="CZ34" i="46"/>
  <c r="DD34" i="46"/>
  <c r="AC34" i="46"/>
  <c r="EK34" i="46"/>
  <c r="FJ34" i="46"/>
  <c r="EB34" i="46"/>
  <c r="FO34" i="46"/>
  <c r="FR34" i="46"/>
  <c r="CL34" i="46"/>
  <c r="CP34" i="46"/>
  <c r="DT34" i="46"/>
  <c r="Y34" i="46"/>
  <c r="AA34" i="46"/>
  <c r="DG34" i="46"/>
  <c r="FH34" i="46"/>
  <c r="GK34" i="46"/>
  <c r="EZ34" i="46"/>
  <c r="EC34" i="46"/>
  <c r="EE34" i="46"/>
  <c r="FZ34" i="46"/>
  <c r="GC34" i="46"/>
  <c r="FX34" i="46"/>
  <c r="BX34" i="46"/>
  <c r="EF34" i="46"/>
  <c r="GE34" i="46"/>
  <c r="GR34" i="46"/>
  <c r="FC34" i="46"/>
  <c r="CR34" i="46"/>
  <c r="CM34" i="46"/>
  <c r="GM34" i="46"/>
  <c r="I34" i="46"/>
  <c r="CC34" i="46"/>
  <c r="BW34" i="46"/>
  <c r="FL34" i="46"/>
  <c r="CF34" i="46"/>
  <c r="DA34" i="46"/>
  <c r="GP34" i="46"/>
  <c r="EH34" i="46"/>
  <c r="FA34" i="46"/>
  <c r="AF34" i="46"/>
  <c r="FD34" i="46"/>
  <c r="CY34" i="46"/>
  <c r="CX34" i="46"/>
  <c r="S34" i="46"/>
  <c r="GJ34" i="46"/>
  <c r="GF34" i="46"/>
  <c r="FY34" i="46"/>
  <c r="FK34" i="46"/>
  <c r="GL34" i="46"/>
  <c r="GS35" i="46"/>
  <c r="FT35" i="46"/>
  <c r="DT35" i="46"/>
  <c r="CD35" i="46"/>
  <c r="FS35" i="46"/>
  <c r="DR35" i="46"/>
  <c r="CB35" i="46"/>
  <c r="FK35" i="46"/>
  <c r="DN35" i="46"/>
  <c r="BZ35" i="46"/>
  <c r="FE35" i="46"/>
  <c r="FA35" i="46"/>
  <c r="W35" i="46"/>
  <c r="FI35" i="46"/>
  <c r="DM35" i="46"/>
  <c r="AH35" i="46"/>
  <c r="FH35" i="46"/>
  <c r="DL35" i="46"/>
  <c r="AD35" i="46"/>
  <c r="DI35" i="46"/>
  <c r="X35" i="46"/>
  <c r="DE35" i="46"/>
  <c r="GN35" i="46"/>
  <c r="ES35" i="46"/>
  <c r="CW35" i="46"/>
  <c r="S35" i="46"/>
  <c r="GK35" i="46"/>
  <c r="EQ35" i="46"/>
  <c r="CV35" i="46"/>
  <c r="M35" i="46"/>
  <c r="GI35" i="46"/>
  <c r="EP35" i="46"/>
  <c r="CT35" i="46"/>
  <c r="L35" i="46"/>
  <c r="GH35" i="46"/>
  <c r="EO35" i="46"/>
  <c r="CS35" i="46"/>
  <c r="J35" i="46"/>
  <c r="FV35" i="46"/>
  <c r="CA35" i="46"/>
  <c r="FU35" i="46"/>
  <c r="V35" i="46"/>
  <c r="FQ35" i="46"/>
  <c r="U35" i="46"/>
  <c r="CG35" i="46"/>
  <c r="FZ35" i="46"/>
  <c r="EZ35" i="46"/>
  <c r="I35" i="46"/>
  <c r="DQ35" i="46"/>
  <c r="DC35" i="46"/>
  <c r="DB35" i="46"/>
  <c r="GG35" i="46"/>
  <c r="CE35" i="46"/>
  <c r="ET35" i="46"/>
  <c r="H35" i="46"/>
  <c r="EN35" i="46"/>
  <c r="EM35" i="46"/>
  <c r="DZ35" i="46"/>
  <c r="DV35" i="46"/>
  <c r="DU35" i="46"/>
  <c r="CR35" i="46"/>
  <c r="CN35" i="46"/>
  <c r="CF35" i="46"/>
  <c r="EB35" i="46"/>
  <c r="CQ35" i="46"/>
  <c r="GF35" i="46"/>
  <c r="GC35" i="46"/>
  <c r="GO35" i="46"/>
  <c r="EF35" i="46"/>
  <c r="DJ35" i="46"/>
  <c r="CZ35" i="46"/>
  <c r="EL35" i="46"/>
  <c r="CH35" i="46"/>
  <c r="FM35" i="46"/>
  <c r="GE35" i="46"/>
  <c r="FG35" i="46"/>
  <c r="EK35" i="46"/>
  <c r="FN35" i="46"/>
  <c r="CU35" i="46"/>
  <c r="DG35" i="46"/>
  <c r="CM35" i="46"/>
  <c r="DW35" i="46"/>
  <c r="EE35" i="46"/>
  <c r="DH35" i="46"/>
  <c r="FJ35" i="46"/>
  <c r="GM35" i="46"/>
  <c r="FX35" i="46"/>
  <c r="FY35" i="46"/>
  <c r="GT35" i="46"/>
  <c r="BY35" i="46"/>
  <c r="P35" i="46"/>
  <c r="CK35" i="46"/>
  <c r="CC35" i="46"/>
  <c r="DP35" i="46"/>
  <c r="DA35" i="46"/>
  <c r="EY35" i="46"/>
  <c r="FO35" i="46"/>
  <c r="FP35" i="46"/>
  <c r="R35" i="46"/>
  <c r="DF35" i="46"/>
  <c r="AB35" i="46"/>
  <c r="CP35" i="46"/>
  <c r="ER35" i="46"/>
  <c r="DK35" i="46"/>
  <c r="G35" i="46"/>
  <c r="CX35" i="46"/>
  <c r="AF35" i="46"/>
  <c r="DS35" i="46"/>
  <c r="DO35" i="46"/>
  <c r="EC35" i="46"/>
  <c r="CL35" i="46"/>
  <c r="O35" i="46"/>
  <c r="Z35" i="46"/>
  <c r="EW35" i="46"/>
  <c r="FR35" i="46"/>
  <c r="Y35" i="46"/>
  <c r="BX35" i="46"/>
  <c r="EX35" i="46"/>
  <c r="GQ35" i="46"/>
  <c r="DY35" i="46"/>
  <c r="GR35" i="46"/>
  <c r="FW35" i="46"/>
  <c r="BW35" i="46"/>
  <c r="GD35" i="46"/>
  <c r="GB35" i="46"/>
  <c r="CO35" i="46"/>
  <c r="FD35" i="46"/>
  <c r="CY35" i="46"/>
  <c r="AC35" i="46"/>
  <c r="GA35" i="46"/>
  <c r="EH35" i="46"/>
  <c r="GP35" i="46"/>
  <c r="CI35" i="46"/>
  <c r="EJ35" i="46"/>
  <c r="CJ35" i="46"/>
  <c r="EI35" i="46"/>
  <c r="FB35" i="46"/>
  <c r="GL35" i="46"/>
  <c r="DD35" i="46"/>
  <c r="FL35" i="46"/>
  <c r="AE35" i="46"/>
  <c r="AA35" i="46"/>
  <c r="FF35" i="46"/>
  <c r="FC35" i="46"/>
  <c r="GJ35" i="46"/>
  <c r="GE38" i="46"/>
  <c r="L38" i="46"/>
  <c r="BY38" i="46"/>
  <c r="FO38" i="46"/>
  <c r="DF38" i="46"/>
  <c r="DP38" i="46"/>
  <c r="CT38" i="46"/>
  <c r="FP38" i="46"/>
  <c r="DT38" i="46"/>
  <c r="DR38" i="46"/>
  <c r="DB38" i="46"/>
  <c r="W38" i="46"/>
  <c r="CR38" i="46"/>
  <c r="CV38" i="46"/>
  <c r="EP38" i="46"/>
  <c r="GK38" i="46"/>
  <c r="GN38" i="46"/>
  <c r="DW38" i="46"/>
  <c r="FF38" i="46"/>
  <c r="GF38" i="46"/>
  <c r="BW38" i="46"/>
  <c r="EY38" i="46"/>
  <c r="X38" i="46"/>
  <c r="GB38" i="46"/>
  <c r="EQ38" i="46"/>
  <c r="GR38" i="46"/>
  <c r="DE38" i="46"/>
  <c r="CJ38" i="46"/>
  <c r="FN38" i="46"/>
  <c r="DN38" i="46"/>
  <c r="EO38" i="46"/>
  <c r="GL38" i="46"/>
  <c r="EC38" i="46"/>
  <c r="EE38" i="46"/>
  <c r="ER38" i="46"/>
  <c r="EN38" i="46"/>
  <c r="FM38" i="46"/>
  <c r="ES38" i="46"/>
  <c r="CC38" i="46"/>
  <c r="DD38" i="46"/>
  <c r="GQ38" i="46"/>
  <c r="DQ38" i="46"/>
  <c r="EI38" i="46"/>
  <c r="FC38" i="46"/>
  <c r="EM38" i="46"/>
  <c r="EW38" i="46"/>
  <c r="BX38" i="46"/>
  <c r="CU38" i="46"/>
  <c r="FG38" i="46"/>
  <c r="EF38" i="46"/>
  <c r="FK38" i="46"/>
  <c r="FA38" i="46"/>
  <c r="CN38" i="46"/>
  <c r="O38" i="46"/>
  <c r="U38" i="46"/>
  <c r="GC38" i="46"/>
  <c r="DI38" i="46"/>
  <c r="GG38" i="46"/>
  <c r="FD38" i="46"/>
  <c r="Z38" i="46"/>
  <c r="AF38" i="46"/>
  <c r="DU38" i="46"/>
  <c r="DZ38" i="46"/>
  <c r="CK38" i="46"/>
  <c r="AC38" i="46"/>
  <c r="H38" i="46"/>
  <c r="CB38" i="46"/>
  <c r="CG38" i="46"/>
  <c r="CI38" i="46"/>
  <c r="CO38" i="46"/>
  <c r="CX38" i="46"/>
  <c r="DC38" i="46"/>
  <c r="GM38" i="46"/>
  <c r="FZ38" i="46"/>
  <c r="AD38" i="46"/>
  <c r="I38" i="46"/>
  <c r="BZ38" i="46"/>
  <c r="FJ38" i="46"/>
  <c r="GI38" i="46"/>
  <c r="M38" i="46"/>
  <c r="S38" i="46"/>
  <c r="AB38" i="46"/>
  <c r="CA38" i="46"/>
  <c r="CE38" i="46"/>
  <c r="CM38" i="46"/>
  <c r="EK38" i="46"/>
  <c r="AH38" i="46"/>
  <c r="FI38" i="46"/>
  <c r="GD38" i="46"/>
  <c r="CQ38" i="46"/>
  <c r="DY38" i="46"/>
  <c r="FL38" i="46"/>
  <c r="FH38" i="46"/>
  <c r="DG38" i="46"/>
  <c r="P38" i="46"/>
  <c r="R38" i="46"/>
  <c r="EZ38" i="46"/>
  <c r="V38" i="46"/>
  <c r="DV38" i="46"/>
  <c r="EB38" i="46"/>
  <c r="EX38" i="46"/>
  <c r="FW38" i="46"/>
  <c r="DJ38" i="46"/>
  <c r="ET38" i="46"/>
  <c r="FS38" i="46"/>
  <c r="GO38" i="46"/>
  <c r="DK38" i="46"/>
  <c r="CY38" i="46"/>
  <c r="CD38" i="46"/>
  <c r="FV38" i="46"/>
  <c r="CH38" i="46"/>
  <c r="G38" i="46"/>
  <c r="GS38" i="46"/>
  <c r="CS38" i="46"/>
  <c r="FU38" i="46"/>
  <c r="FB38" i="46"/>
  <c r="GH38" i="46"/>
  <c r="DO38" i="46"/>
  <c r="AA38" i="46"/>
  <c r="GJ38" i="46"/>
  <c r="CF38" i="46"/>
  <c r="CP38" i="46"/>
  <c r="DS38" i="46"/>
  <c r="FE38" i="46"/>
  <c r="EJ38" i="46"/>
  <c r="FX38" i="46"/>
  <c r="EH38" i="46"/>
  <c r="DA38" i="46"/>
  <c r="FT38" i="46"/>
  <c r="FY38" i="46"/>
  <c r="CZ38" i="46"/>
  <c r="GP38" i="46"/>
  <c r="CL38" i="46"/>
  <c r="DH38" i="46"/>
  <c r="GA38" i="46"/>
  <c r="J38" i="46"/>
  <c r="FR38" i="46"/>
  <c r="DL38" i="46"/>
  <c r="CW38" i="46"/>
  <c r="Y38" i="46"/>
  <c r="EL38" i="46"/>
  <c r="FQ38" i="46"/>
  <c r="AE38" i="46"/>
  <c r="DM38" i="46"/>
  <c r="GT38" i="46"/>
  <c r="CO37" i="46"/>
  <c r="DK37" i="46"/>
  <c r="DJ37" i="46"/>
  <c r="DD37" i="46"/>
  <c r="CH37" i="46"/>
  <c r="CD37" i="46"/>
  <c r="CL37" i="46"/>
  <c r="CI37" i="46"/>
  <c r="AA37" i="46"/>
  <c r="GF37" i="46"/>
  <c r="GD37" i="46"/>
  <c r="GC37" i="46"/>
  <c r="FY37" i="46"/>
  <c r="FI37" i="46"/>
  <c r="AC37" i="46"/>
  <c r="AB37" i="46"/>
  <c r="EJ37" i="46"/>
  <c r="DI37" i="46"/>
  <c r="FC37" i="46"/>
  <c r="CP37" i="46"/>
  <c r="DM37" i="46"/>
  <c r="EN37" i="46"/>
  <c r="EP37" i="46"/>
  <c r="EQ37" i="46"/>
  <c r="EB37" i="46"/>
  <c r="FK37" i="46"/>
  <c r="CS37" i="46"/>
  <c r="GK37" i="46"/>
  <c r="J37" i="46"/>
  <c r="DS37" i="46"/>
  <c r="DT37" i="46"/>
  <c r="CZ37" i="46"/>
  <c r="DA37" i="46"/>
  <c r="DB37" i="46"/>
  <c r="DC37" i="46"/>
  <c r="GA37" i="46"/>
  <c r="EK37" i="46"/>
  <c r="CW37" i="46"/>
  <c r="CR37" i="46"/>
  <c r="GJ37" i="46"/>
  <c r="DR37" i="46"/>
  <c r="GM37" i="46"/>
  <c r="GN37" i="46"/>
  <c r="CB37" i="46"/>
  <c r="FT37" i="46"/>
  <c r="FU37" i="46"/>
  <c r="FW37" i="46"/>
  <c r="FX37" i="46"/>
  <c r="L37" i="46"/>
  <c r="DH37" i="46"/>
  <c r="FR37" i="46"/>
  <c r="FS37" i="46"/>
  <c r="CN37" i="46"/>
  <c r="BZ37" i="46"/>
  <c r="GO37" i="46"/>
  <c r="CM37" i="46"/>
  <c r="G37" i="46"/>
  <c r="DN37" i="46"/>
  <c r="ES37" i="46"/>
  <c r="EI37" i="46"/>
  <c r="GE37" i="46"/>
  <c r="FM37" i="46"/>
  <c r="I37" i="46"/>
  <c r="CC37" i="46"/>
  <c r="EM37" i="46"/>
  <c r="DP37" i="46"/>
  <c r="ER37" i="46"/>
  <c r="U37" i="46"/>
  <c r="DZ37" i="46"/>
  <c r="EC37" i="46"/>
  <c r="FB37" i="46"/>
  <c r="FL37" i="46"/>
  <c r="FP37" i="46"/>
  <c r="CA37" i="46"/>
  <c r="EF37" i="46"/>
  <c r="EE37" i="46"/>
  <c r="GH37" i="46"/>
  <c r="GL37" i="46"/>
  <c r="CX37" i="46"/>
  <c r="DV37" i="46"/>
  <c r="V37" i="46"/>
  <c r="FE37" i="46"/>
  <c r="AD37" i="46"/>
  <c r="P37" i="46"/>
  <c r="AE37" i="46"/>
  <c r="ET37" i="46"/>
  <c r="EX37" i="46"/>
  <c r="CG37" i="46"/>
  <c r="S37" i="46"/>
  <c r="EO37" i="46"/>
  <c r="GQ37" i="46"/>
  <c r="FA37" i="46"/>
  <c r="DQ37" i="46"/>
  <c r="GT37" i="46"/>
  <c r="GG37" i="46"/>
  <c r="H37" i="46"/>
  <c r="FO37" i="46"/>
  <c r="CY37" i="46"/>
  <c r="GS37" i="46"/>
  <c r="DG37" i="46"/>
  <c r="BW37" i="46"/>
  <c r="DU37" i="46"/>
  <c r="EH37" i="46"/>
  <c r="AH37" i="46"/>
  <c r="DO37" i="46"/>
  <c r="CV37" i="46"/>
  <c r="EW37" i="46"/>
  <c r="R37" i="46"/>
  <c r="FF37" i="46"/>
  <c r="FH37" i="46"/>
  <c r="CT37" i="46"/>
  <c r="Z37" i="46"/>
  <c r="FQ37" i="46"/>
  <c r="CK37" i="46"/>
  <c r="BY37" i="46"/>
  <c r="CQ37" i="46"/>
  <c r="CU37" i="46"/>
  <c r="GI37" i="46"/>
  <c r="FN37" i="46"/>
  <c r="BX37" i="46"/>
  <c r="CE37" i="46"/>
  <c r="GB37" i="46"/>
  <c r="EY37" i="46"/>
  <c r="GR37" i="46"/>
  <c r="Y37" i="46"/>
  <c r="CJ37" i="46"/>
  <c r="DL37" i="46"/>
  <c r="M37" i="46"/>
  <c r="DW37" i="46"/>
  <c r="GP37" i="46"/>
  <c r="FG37" i="46"/>
  <c r="FV37" i="46"/>
  <c r="DF37" i="46"/>
  <c r="X37" i="46"/>
  <c r="W37" i="46"/>
  <c r="EL37" i="46"/>
  <c r="CF37" i="46"/>
  <c r="FD37" i="46"/>
  <c r="FJ37" i="46"/>
  <c r="O37" i="46"/>
  <c r="DY37" i="46"/>
  <c r="EZ37" i="46"/>
  <c r="DE37" i="46"/>
  <c r="FZ37" i="46"/>
  <c r="AF37" i="46"/>
  <c r="GT32" i="46"/>
  <c r="FU32" i="46"/>
  <c r="EM32" i="46"/>
  <c r="DB32" i="46"/>
  <c r="AF32" i="46"/>
  <c r="FT32" i="46"/>
  <c r="EK32" i="46"/>
  <c r="DA32" i="46"/>
  <c r="AD32" i="46"/>
  <c r="FO32" i="46"/>
  <c r="EI32" i="46"/>
  <c r="CV32" i="46"/>
  <c r="Z32" i="46"/>
  <c r="W32" i="46"/>
  <c r="GO32" i="46"/>
  <c r="FN32" i="46"/>
  <c r="EC32" i="46"/>
  <c r="CU32" i="46"/>
  <c r="Y32" i="46"/>
  <c r="FM32" i="46"/>
  <c r="EB32" i="46"/>
  <c r="CT32" i="46"/>
  <c r="X32" i="46"/>
  <c r="GS32" i="46"/>
  <c r="FL32" i="46"/>
  <c r="DZ32" i="46"/>
  <c r="CS32" i="46"/>
  <c r="GK32" i="46"/>
  <c r="FG32" i="46"/>
  <c r="DR32" i="46"/>
  <c r="CK32" i="46"/>
  <c r="M32" i="46"/>
  <c r="GJ32" i="46"/>
  <c r="FA32" i="46"/>
  <c r="DQ32" i="46"/>
  <c r="CH32" i="46"/>
  <c r="L32" i="46"/>
  <c r="GI32" i="46"/>
  <c r="EZ32" i="46"/>
  <c r="DP32" i="46"/>
  <c r="CG32" i="46"/>
  <c r="J32" i="46"/>
  <c r="GH32" i="46"/>
  <c r="EY32" i="46"/>
  <c r="DO32" i="46"/>
  <c r="CF32" i="46"/>
  <c r="GC32" i="46"/>
  <c r="DJ32" i="46"/>
  <c r="BZ32" i="46"/>
  <c r="GN32" i="46"/>
  <c r="P32" i="46"/>
  <c r="GM32" i="46"/>
  <c r="DN32" i="46"/>
  <c r="GB32" i="46"/>
  <c r="DF32" i="46"/>
  <c r="GA32" i="46"/>
  <c r="DE32" i="46"/>
  <c r="EN32" i="46"/>
  <c r="R32" i="46"/>
  <c r="O32" i="46"/>
  <c r="FX32" i="46"/>
  <c r="DD32" i="46"/>
  <c r="CQ32" i="46"/>
  <c r="EQ32" i="46"/>
  <c r="EJ32" i="46"/>
  <c r="FW32" i="46"/>
  <c r="DC32" i="46"/>
  <c r="FS32" i="46"/>
  <c r="CY32" i="46"/>
  <c r="FK32" i="46"/>
  <c r="FH32" i="46"/>
  <c r="CO32" i="46"/>
  <c r="CD32" i="46"/>
  <c r="EW32" i="46"/>
  <c r="ES32" i="46"/>
  <c r="CB32" i="46"/>
  <c r="ER32" i="46"/>
  <c r="CA32" i="46"/>
  <c r="AH32" i="46"/>
  <c r="AA32" i="46"/>
  <c r="DV32" i="46"/>
  <c r="DT32" i="46"/>
  <c r="DS32" i="46"/>
  <c r="GG32" i="46"/>
  <c r="H32" i="46"/>
  <c r="FJ32" i="46"/>
  <c r="CP32" i="46"/>
  <c r="EX32" i="46"/>
  <c r="CC32" i="46"/>
  <c r="CX32" i="46"/>
  <c r="DH32" i="46"/>
  <c r="DY32" i="46"/>
  <c r="EE32" i="46"/>
  <c r="FI32" i="46"/>
  <c r="S32" i="46"/>
  <c r="DW32" i="46"/>
  <c r="BY32" i="46"/>
  <c r="G32" i="46"/>
  <c r="CI32" i="46"/>
  <c r="FC32" i="46"/>
  <c r="FF32" i="46"/>
  <c r="FP32" i="46"/>
  <c r="FZ32" i="46"/>
  <c r="GQ32" i="46"/>
  <c r="BX32" i="46"/>
  <c r="CW32" i="46"/>
  <c r="CZ32" i="46"/>
  <c r="CE32" i="46"/>
  <c r="V32" i="46"/>
  <c r="GP32" i="46"/>
  <c r="U32" i="46"/>
  <c r="AE32" i="46"/>
  <c r="CJ32" i="46"/>
  <c r="FV32" i="46"/>
  <c r="FB32" i="46"/>
  <c r="EP32" i="46"/>
  <c r="CN32" i="46"/>
  <c r="FR32" i="46"/>
  <c r="DL32" i="46"/>
  <c r="EO32" i="46"/>
  <c r="EH32" i="46"/>
  <c r="I32" i="46"/>
  <c r="GL32" i="46"/>
  <c r="FE32" i="46"/>
  <c r="BW32" i="46"/>
  <c r="AB32" i="46"/>
  <c r="CR32" i="46"/>
  <c r="DK32" i="46"/>
  <c r="GF32" i="46"/>
  <c r="DM32" i="46"/>
  <c r="FD32" i="46"/>
  <c r="EL32" i="46"/>
  <c r="CM32" i="46"/>
  <c r="DU32" i="46"/>
  <c r="GE32" i="46"/>
  <c r="GD32" i="46"/>
  <c r="AC32" i="46"/>
  <c r="EF32" i="46"/>
  <c r="FY32" i="46"/>
  <c r="DI32" i="46"/>
  <c r="ET32" i="46"/>
  <c r="CL32" i="46"/>
  <c r="FQ32" i="46"/>
  <c r="DG32" i="46"/>
  <c r="GR32" i="46"/>
  <c r="GE27" i="46"/>
  <c r="FC27" i="46"/>
  <c r="FB27" i="46"/>
  <c r="ES27" i="46"/>
  <c r="EC27" i="46"/>
  <c r="EB27" i="46"/>
  <c r="DW27" i="46"/>
  <c r="CH27" i="46"/>
  <c r="CC27" i="46"/>
  <c r="CB27" i="46"/>
  <c r="DV27" i="46"/>
  <c r="FQ27" i="46"/>
  <c r="CX27" i="46"/>
  <c r="CW27" i="46"/>
  <c r="GR27" i="46"/>
  <c r="CA27" i="46"/>
  <c r="W27" i="46"/>
  <c r="V27" i="46"/>
  <c r="S27" i="46"/>
  <c r="ET27" i="46"/>
  <c r="EH27" i="46"/>
  <c r="EI27" i="46"/>
  <c r="AA27" i="46"/>
  <c r="AD27" i="46"/>
  <c r="H27" i="46"/>
  <c r="CG27" i="46"/>
  <c r="FG27" i="46"/>
  <c r="FD27" i="46"/>
  <c r="FH27" i="46"/>
  <c r="CZ27" i="46"/>
  <c r="CD27" i="46"/>
  <c r="EW27" i="46"/>
  <c r="DI27" i="46"/>
  <c r="AE27" i="46"/>
  <c r="CQ27" i="46"/>
  <c r="BW27" i="46"/>
  <c r="GP27" i="46"/>
  <c r="CF27" i="46"/>
  <c r="DE27" i="46"/>
  <c r="CK27" i="46"/>
  <c r="CL27" i="46"/>
  <c r="DJ27" i="46"/>
  <c r="FF27" i="46"/>
  <c r="EM27" i="46"/>
  <c r="FL27" i="46"/>
  <c r="EP27" i="46"/>
  <c r="FA27" i="46"/>
  <c r="DG27" i="46"/>
  <c r="DH27" i="46"/>
  <c r="EK27" i="46"/>
  <c r="EJ27" i="46"/>
  <c r="FK27" i="46"/>
  <c r="GH27" i="46"/>
  <c r="DF27" i="46"/>
  <c r="FN27" i="46"/>
  <c r="J27" i="46"/>
  <c r="DT27" i="46"/>
  <c r="CE27" i="46"/>
  <c r="DL27" i="46"/>
  <c r="CU27" i="46"/>
  <c r="GO27" i="46"/>
  <c r="M27" i="46"/>
  <c r="EZ27" i="46"/>
  <c r="AC27" i="46"/>
  <c r="DQ27" i="46"/>
  <c r="CR27" i="46"/>
  <c r="CN27" i="46"/>
  <c r="Y27" i="46"/>
  <c r="FI27" i="46"/>
  <c r="L27" i="46"/>
  <c r="DN27" i="46"/>
  <c r="FO27" i="46"/>
  <c r="DS27" i="46"/>
  <c r="EF27" i="46"/>
  <c r="GL27" i="46"/>
  <c r="EN27" i="46"/>
  <c r="GK27" i="46"/>
  <c r="CY27" i="46"/>
  <c r="DU27" i="46"/>
  <c r="DY27" i="46"/>
  <c r="FJ27" i="46"/>
  <c r="CV27" i="46"/>
  <c r="DB27" i="46"/>
  <c r="FS27" i="46"/>
  <c r="FY27" i="46"/>
  <c r="DC27" i="46"/>
  <c r="O27" i="46"/>
  <c r="GB27" i="46"/>
  <c r="DD27" i="46"/>
  <c r="DO27" i="46"/>
  <c r="CJ27" i="46"/>
  <c r="EO27" i="46"/>
  <c r="EE27" i="46"/>
  <c r="CO27" i="46"/>
  <c r="FM27" i="46"/>
  <c r="GD27" i="46"/>
  <c r="CT27" i="46"/>
  <c r="DR27" i="46"/>
  <c r="BY27" i="46"/>
  <c r="ER27" i="46"/>
  <c r="FX27" i="46"/>
  <c r="AB27" i="46"/>
  <c r="EL27" i="46"/>
  <c r="GI27" i="46"/>
  <c r="Z27" i="46"/>
  <c r="GA27" i="46"/>
  <c r="GF27" i="46"/>
  <c r="BZ27" i="46"/>
  <c r="GC27" i="46"/>
  <c r="I27" i="46"/>
  <c r="R27" i="46"/>
  <c r="EY27" i="46"/>
  <c r="AF27" i="46"/>
  <c r="DP27" i="46"/>
  <c r="CM27" i="46"/>
  <c r="DZ27" i="46"/>
  <c r="CP27" i="46"/>
  <c r="X27" i="46"/>
  <c r="FW27" i="46"/>
  <c r="DM27" i="46"/>
  <c r="GS27" i="46"/>
  <c r="U27" i="46"/>
  <c r="CI27" i="46"/>
  <c r="DA27" i="46"/>
  <c r="DK27" i="46"/>
  <c r="FE27" i="46"/>
  <c r="CS27" i="46"/>
  <c r="FP27" i="46"/>
  <c r="BX27" i="46"/>
  <c r="FR27" i="46"/>
  <c r="G27" i="46"/>
  <c r="AH27" i="46"/>
  <c r="GQ27" i="46"/>
  <c r="FZ27" i="46"/>
  <c r="FT27" i="46"/>
  <c r="GJ27" i="46"/>
  <c r="GM27" i="46"/>
  <c r="GT27" i="46"/>
  <c r="P27" i="46"/>
  <c r="GN27" i="46"/>
  <c r="GG27" i="46"/>
  <c r="FU27" i="46"/>
  <c r="FV27" i="46"/>
  <c r="EX27" i="46"/>
  <c r="EQ27" i="46"/>
  <c r="GQ28" i="46"/>
  <c r="AH28" i="46"/>
  <c r="FK28" i="46"/>
  <c r="GT28" i="46"/>
  <c r="FW28" i="46"/>
  <c r="FO28" i="46"/>
  <c r="U28" i="46"/>
  <c r="GB28" i="46"/>
  <c r="DJ28" i="46"/>
  <c r="CR28" i="46"/>
  <c r="AE28" i="46"/>
  <c r="GL28" i="46"/>
  <c r="DP28" i="46"/>
  <c r="GS28" i="46"/>
  <c r="FX28" i="46"/>
  <c r="DZ28" i="46"/>
  <c r="DH28" i="46"/>
  <c r="CQ28" i="46"/>
  <c r="BX28" i="46"/>
  <c r="R28" i="46"/>
  <c r="DM28" i="46"/>
  <c r="CO28" i="46"/>
  <c r="CI28" i="46"/>
  <c r="DG28" i="46"/>
  <c r="GG28" i="46"/>
  <c r="CT28" i="46"/>
  <c r="GA28" i="46"/>
  <c r="FL28" i="46"/>
  <c r="BW28" i="46"/>
  <c r="EY28" i="46"/>
  <c r="DV28" i="46"/>
  <c r="DK28" i="46"/>
  <c r="FA28" i="46"/>
  <c r="EE28" i="46"/>
  <c r="CS28" i="46"/>
  <c r="DY28" i="46"/>
  <c r="EZ28" i="46"/>
  <c r="FY28" i="46"/>
  <c r="W28" i="46"/>
  <c r="FE28" i="46"/>
  <c r="DO28" i="46"/>
  <c r="DD28" i="46"/>
  <c r="EP28" i="46"/>
  <c r="CJ28" i="46"/>
  <c r="DE28" i="46"/>
  <c r="FQ28" i="46"/>
  <c r="AA28" i="46"/>
  <c r="J28" i="46"/>
  <c r="EC28" i="46"/>
  <c r="G28" i="46"/>
  <c r="CV28" i="46"/>
  <c r="DR28" i="46"/>
  <c r="CY28" i="46"/>
  <c r="AF28" i="46"/>
  <c r="FB28" i="46"/>
  <c r="GI28" i="46"/>
  <c r="DU28" i="46"/>
  <c r="FG28" i="46"/>
  <c r="DN28" i="46"/>
  <c r="EX28" i="46"/>
  <c r="GE28" i="46"/>
  <c r="EO28" i="46"/>
  <c r="FM28" i="46"/>
  <c r="P28" i="46"/>
  <c r="ES28" i="46"/>
  <c r="CD28" i="46"/>
  <c r="CM28" i="46"/>
  <c r="H28" i="46"/>
  <c r="FU28" i="46"/>
  <c r="CZ28" i="46"/>
  <c r="DF28" i="46"/>
  <c r="FP28" i="46"/>
  <c r="BY28" i="46"/>
  <c r="CU28" i="46"/>
  <c r="CW28" i="46"/>
  <c r="X28" i="46"/>
  <c r="I28" i="46"/>
  <c r="FS28" i="46"/>
  <c r="EI28" i="46"/>
  <c r="GN28" i="46"/>
  <c r="GH28" i="46"/>
  <c r="GM28" i="46"/>
  <c r="DA28" i="46"/>
  <c r="FZ28" i="46"/>
  <c r="CG28" i="46"/>
  <c r="EH28" i="46"/>
  <c r="FN28" i="46"/>
  <c r="DW28" i="46"/>
  <c r="GK28" i="46"/>
  <c r="DC28" i="46"/>
  <c r="FH28" i="46"/>
  <c r="ER28" i="46"/>
  <c r="EM28" i="46"/>
  <c r="DL28" i="46"/>
  <c r="EB28" i="46"/>
  <c r="CH28" i="46"/>
  <c r="AD28" i="46"/>
  <c r="DB28" i="46"/>
  <c r="CL28" i="46"/>
  <c r="Z28" i="46"/>
  <c r="FD28" i="46"/>
  <c r="AC28" i="46"/>
  <c r="FF28" i="46"/>
  <c r="FV28" i="46"/>
  <c r="GC28" i="46"/>
  <c r="CN28" i="46"/>
  <c r="DS28" i="46"/>
  <c r="ET28" i="46"/>
  <c r="DQ28" i="46"/>
  <c r="DI28" i="46"/>
  <c r="EN28" i="46"/>
  <c r="EK28" i="46"/>
  <c r="GP28" i="46"/>
  <c r="L28" i="46"/>
  <c r="EJ28" i="46"/>
  <c r="FJ28" i="46"/>
  <c r="GJ28" i="46"/>
  <c r="CC28" i="46"/>
  <c r="GR28" i="46"/>
  <c r="GD28" i="46"/>
  <c r="S28" i="46"/>
  <c r="M28" i="46"/>
  <c r="DT28" i="46"/>
  <c r="Y28" i="46"/>
  <c r="EW28" i="46"/>
  <c r="CK28" i="46"/>
  <c r="CP28" i="46"/>
  <c r="BZ28" i="46"/>
  <c r="O28" i="46"/>
  <c r="FI28" i="46"/>
  <c r="EQ28" i="46"/>
  <c r="EL28" i="46"/>
  <c r="CF28" i="46"/>
  <c r="FR28" i="46"/>
  <c r="CE28" i="46"/>
  <c r="V28" i="46"/>
  <c r="GO28" i="46"/>
  <c r="FC28" i="46"/>
  <c r="AB28" i="46"/>
  <c r="FT28" i="46"/>
  <c r="GF28" i="46"/>
  <c r="CA28" i="46"/>
  <c r="CX28" i="46"/>
  <c r="CB28" i="46"/>
  <c r="EF28" i="46"/>
  <c r="GE26" i="46"/>
  <c r="ES26" i="46"/>
  <c r="BZ26" i="46"/>
  <c r="J26" i="46"/>
  <c r="DU26" i="46"/>
  <c r="DC26" i="46"/>
  <c r="CB26" i="46"/>
  <c r="CJ26" i="46"/>
  <c r="CK26" i="46"/>
  <c r="DR26" i="46"/>
  <c r="DL26" i="46"/>
  <c r="ET26" i="46"/>
  <c r="FT26" i="46"/>
  <c r="FU26" i="46"/>
  <c r="EZ26" i="46"/>
  <c r="GS26" i="46"/>
  <c r="CW26" i="46"/>
  <c r="CN26" i="46"/>
  <c r="DK26" i="46"/>
  <c r="FK26" i="46"/>
  <c r="H26" i="46"/>
  <c r="CX26" i="46"/>
  <c r="Z26" i="46"/>
  <c r="FI26" i="46"/>
  <c r="GF26" i="46"/>
  <c r="GK26" i="46"/>
  <c r="Y26" i="46"/>
  <c r="DG26" i="46"/>
  <c r="DV26" i="46"/>
  <c r="FW26" i="46"/>
  <c r="FJ26" i="46"/>
  <c r="DO26" i="46"/>
  <c r="BY26" i="46"/>
  <c r="EX26" i="46"/>
  <c r="CV26" i="46"/>
  <c r="EB26" i="46"/>
  <c r="DS26" i="46"/>
  <c r="FM26" i="46"/>
  <c r="CU26" i="46"/>
  <c r="GP26" i="46"/>
  <c r="GM26" i="46"/>
  <c r="S26" i="46"/>
  <c r="CE26" i="46"/>
  <c r="CH26" i="46"/>
  <c r="X26" i="46"/>
  <c r="AC26" i="46"/>
  <c r="GH26" i="46"/>
  <c r="DP26" i="46"/>
  <c r="EQ26" i="46"/>
  <c r="DB26" i="46"/>
  <c r="DD26" i="46"/>
  <c r="CI26" i="46"/>
  <c r="DJ26" i="46"/>
  <c r="FN26" i="46"/>
  <c r="FO26" i="46"/>
  <c r="FP26" i="46"/>
  <c r="GR26" i="46"/>
  <c r="FC26" i="46"/>
  <c r="EF26" i="46"/>
  <c r="AA26" i="46"/>
  <c r="CZ26" i="46"/>
  <c r="DA26" i="46"/>
  <c r="CG26" i="46"/>
  <c r="CL26" i="46"/>
  <c r="CM26" i="46"/>
  <c r="CF26" i="46"/>
  <c r="AE26" i="46"/>
  <c r="DW26" i="46"/>
  <c r="DY26" i="46"/>
  <c r="DZ26" i="46"/>
  <c r="DH26" i="46"/>
  <c r="DI26" i="46"/>
  <c r="W26" i="46"/>
  <c r="CP26" i="46"/>
  <c r="EY26" i="46"/>
  <c r="FV26" i="46"/>
  <c r="FA26" i="46"/>
  <c r="DF26" i="46"/>
  <c r="EH26" i="46"/>
  <c r="EI26" i="46"/>
  <c r="GT26" i="46"/>
  <c r="DM26" i="46"/>
  <c r="FF26" i="46"/>
  <c r="FS26" i="46"/>
  <c r="EJ26" i="46"/>
  <c r="AH26" i="46"/>
  <c r="M26" i="46"/>
  <c r="EO26" i="46"/>
  <c r="I26" i="46"/>
  <c r="GQ26" i="46"/>
  <c r="EW26" i="46"/>
  <c r="EE26" i="46"/>
  <c r="FG26" i="46"/>
  <c r="FH26" i="46"/>
  <c r="EK26" i="46"/>
  <c r="FZ26" i="46"/>
  <c r="EM26" i="46"/>
  <c r="CT26" i="46"/>
  <c r="FD26" i="46"/>
  <c r="GO26" i="46"/>
  <c r="GD26" i="46"/>
  <c r="GG26" i="46"/>
  <c r="EP26" i="46"/>
  <c r="GA26" i="46"/>
  <c r="CR26" i="46"/>
  <c r="GC26" i="46"/>
  <c r="FY26" i="46"/>
  <c r="CO26" i="46"/>
  <c r="AF26" i="46"/>
  <c r="FR26" i="46"/>
  <c r="EL26" i="46"/>
  <c r="CQ26" i="46"/>
  <c r="DN26" i="46"/>
  <c r="BW26" i="46"/>
  <c r="AD26" i="46"/>
  <c r="CD26" i="46"/>
  <c r="FQ26" i="46"/>
  <c r="CA26" i="46"/>
  <c r="FB26" i="46"/>
  <c r="GN26" i="46"/>
  <c r="DQ26" i="46"/>
  <c r="CS26" i="46"/>
  <c r="FX26" i="46"/>
  <c r="DT26" i="46"/>
  <c r="FE26" i="46"/>
  <c r="G26" i="46"/>
  <c r="CC26" i="46"/>
  <c r="DE26" i="46"/>
  <c r="GI26" i="46"/>
  <c r="AB26" i="46"/>
  <c r="O26" i="46"/>
  <c r="BX26" i="46"/>
  <c r="GL26" i="46"/>
  <c r="P26" i="46"/>
  <c r="GB26" i="46"/>
  <c r="CY26" i="46"/>
  <c r="U26" i="46"/>
  <c r="FL26" i="46"/>
  <c r="R26" i="46"/>
  <c r="ER26" i="46"/>
  <c r="GJ26" i="46"/>
  <c r="EC26" i="46"/>
  <c r="EN26" i="46"/>
  <c r="V26" i="46"/>
  <c r="L26" i="46"/>
  <c r="GS30" i="46"/>
  <c r="GG30" i="46"/>
  <c r="DH30" i="46"/>
  <c r="H30" i="46"/>
  <c r="GA30" i="46"/>
  <c r="DG30" i="46"/>
  <c r="FX30" i="46"/>
  <c r="CQ30" i="46"/>
  <c r="FT30" i="46"/>
  <c r="CP30" i="46"/>
  <c r="FQ30" i="46"/>
  <c r="CO30" i="46"/>
  <c r="FP30" i="46"/>
  <c r="CI30" i="46"/>
  <c r="EQ30" i="46"/>
  <c r="CD30" i="46"/>
  <c r="EP30" i="46"/>
  <c r="CC30" i="46"/>
  <c r="EO30" i="46"/>
  <c r="Y30" i="46"/>
  <c r="CE30" i="46"/>
  <c r="DL30" i="46"/>
  <c r="DK30" i="46"/>
  <c r="DJ30" i="46"/>
  <c r="CG30" i="46"/>
  <c r="X30" i="46"/>
  <c r="W30" i="46"/>
  <c r="DW30" i="46"/>
  <c r="P30" i="46"/>
  <c r="ER30" i="46"/>
  <c r="EL30" i="46"/>
  <c r="O30" i="46"/>
  <c r="M30" i="46"/>
  <c r="FY30" i="46"/>
  <c r="L30" i="46"/>
  <c r="EN30" i="46"/>
  <c r="DU30" i="46"/>
  <c r="DF30" i="46"/>
  <c r="CH30" i="46"/>
  <c r="FF30" i="46"/>
  <c r="I30" i="46"/>
  <c r="FD30" i="46"/>
  <c r="DZ30" i="46"/>
  <c r="BZ30" i="46"/>
  <c r="EF30" i="46"/>
  <c r="GQ30" i="46"/>
  <c r="FA30" i="46"/>
  <c r="AA30" i="46"/>
  <c r="AD30" i="46"/>
  <c r="FG30" i="46"/>
  <c r="AB30" i="46"/>
  <c r="DB30" i="46"/>
  <c r="FL30" i="46"/>
  <c r="G30" i="46"/>
  <c r="GC30" i="46"/>
  <c r="FO30" i="46"/>
  <c r="GK30" i="46"/>
  <c r="BW30" i="46"/>
  <c r="DC30" i="46"/>
  <c r="ES30" i="46"/>
  <c r="BX30" i="46"/>
  <c r="CW30" i="46"/>
  <c r="BY30" i="46"/>
  <c r="CK30" i="46"/>
  <c r="FR30" i="46"/>
  <c r="FE30" i="46"/>
  <c r="EB30" i="46"/>
  <c r="GB30" i="46"/>
  <c r="EX30" i="46"/>
  <c r="EH30" i="46"/>
  <c r="GM30" i="46"/>
  <c r="DD30" i="46"/>
  <c r="DR30" i="46"/>
  <c r="CJ30" i="46"/>
  <c r="ET30" i="46"/>
  <c r="DT30" i="46"/>
  <c r="AE30" i="46"/>
  <c r="FS30" i="46"/>
  <c r="GT30" i="46"/>
  <c r="CR30" i="46"/>
  <c r="EW30" i="46"/>
  <c r="AH30" i="46"/>
  <c r="AC30" i="46"/>
  <c r="FC30" i="46"/>
  <c r="FI30" i="46"/>
  <c r="EJ30" i="46"/>
  <c r="CM30" i="46"/>
  <c r="CF30" i="46"/>
  <c r="EY30" i="46"/>
  <c r="EC30" i="46"/>
  <c r="AF30" i="46"/>
  <c r="FB30" i="46"/>
  <c r="CT30" i="46"/>
  <c r="FH30" i="46"/>
  <c r="EI30" i="46"/>
  <c r="FV30" i="46"/>
  <c r="GL30" i="46"/>
  <c r="DY30" i="46"/>
  <c r="GJ30" i="46"/>
  <c r="FM30" i="46"/>
  <c r="DQ30" i="46"/>
  <c r="FU30" i="46"/>
  <c r="EE30" i="46"/>
  <c r="DP30" i="46"/>
  <c r="GP30" i="46"/>
  <c r="GH30" i="46"/>
  <c r="U30" i="46"/>
  <c r="V30" i="46"/>
  <c r="FW30" i="46"/>
  <c r="CB30" i="46"/>
  <c r="S30" i="46"/>
  <c r="GF30" i="46"/>
  <c r="GE30" i="46"/>
  <c r="DE30" i="46"/>
  <c r="CL30" i="46"/>
  <c r="FJ30" i="46"/>
  <c r="Z30" i="46"/>
  <c r="DA30" i="46"/>
  <c r="CV30" i="46"/>
  <c r="DO30" i="46"/>
  <c r="EM30" i="46"/>
  <c r="DV30" i="46"/>
  <c r="GI30" i="46"/>
  <c r="CY30" i="46"/>
  <c r="DN30" i="46"/>
  <c r="J30" i="46"/>
  <c r="FZ30" i="46"/>
  <c r="CZ30" i="46"/>
  <c r="CU30" i="46"/>
  <c r="EZ30" i="46"/>
  <c r="GD30" i="46"/>
  <c r="FK30" i="46"/>
  <c r="CS30" i="46"/>
  <c r="DM30" i="46"/>
  <c r="CA30" i="46"/>
  <c r="DI30" i="46"/>
  <c r="CN30" i="46"/>
  <c r="CX30" i="46"/>
  <c r="GN30" i="46"/>
  <c r="GO30" i="46"/>
  <c r="DS30" i="46"/>
  <c r="EK30" i="46"/>
  <c r="GR30" i="46"/>
  <c r="R30" i="46"/>
  <c r="FN30" i="46"/>
  <c r="AD24" i="46"/>
  <c r="BX24" i="46"/>
  <c r="CZ24" i="46"/>
  <c r="GA24" i="46"/>
  <c r="G24" i="46"/>
  <c r="FI24" i="46"/>
  <c r="EF24" i="46"/>
  <c r="EO24" i="46"/>
  <c r="BW24" i="46"/>
  <c r="AH24" i="46"/>
  <c r="EQ24" i="46"/>
  <c r="CY24" i="46"/>
  <c r="DA24" i="46"/>
  <c r="CS24" i="46"/>
  <c r="DD24" i="46"/>
  <c r="CM24" i="46"/>
  <c r="EK24" i="46"/>
  <c r="M24" i="46"/>
  <c r="GI24" i="46"/>
  <c r="DT24" i="46"/>
  <c r="CW24" i="46"/>
  <c r="DV24" i="46"/>
  <c r="DN24" i="46"/>
  <c r="DZ24" i="46"/>
  <c r="CR24" i="46"/>
  <c r="ER24" i="46"/>
  <c r="CG24" i="46"/>
  <c r="FT24" i="46"/>
  <c r="GP24" i="46"/>
  <c r="AE24" i="46"/>
  <c r="J24" i="46"/>
  <c r="GJ24" i="46"/>
  <c r="DB24" i="46"/>
  <c r="GO24" i="46"/>
  <c r="CO24" i="46"/>
  <c r="DO24" i="46"/>
  <c r="O24" i="46"/>
  <c r="FS24" i="46"/>
  <c r="L24" i="46"/>
  <c r="CJ24" i="46"/>
  <c r="FC24" i="46"/>
  <c r="EI24" i="46"/>
  <c r="CP24" i="46"/>
  <c r="FN24" i="46"/>
  <c r="S24" i="46"/>
  <c r="DG24" i="46"/>
  <c r="GN24" i="46"/>
  <c r="FL24" i="46"/>
  <c r="DE24" i="46"/>
  <c r="DI24" i="46"/>
  <c r="FF24" i="46"/>
  <c r="DK24" i="46"/>
  <c r="BZ24" i="46"/>
  <c r="AC24" i="46"/>
  <c r="FP24" i="46"/>
  <c r="GE24" i="46"/>
  <c r="DM24" i="46"/>
  <c r="FV24" i="46"/>
  <c r="FY24" i="46"/>
  <c r="GB24" i="46"/>
  <c r="EN24" i="46"/>
  <c r="FK24" i="46"/>
  <c r="CF24" i="46"/>
  <c r="DP24" i="46"/>
  <c r="EW24" i="46"/>
  <c r="CV24" i="46"/>
  <c r="FR24" i="46"/>
  <c r="DJ24" i="46"/>
  <c r="EM24" i="46"/>
  <c r="GT24" i="46"/>
  <c r="CB24" i="46"/>
  <c r="GM24" i="46"/>
  <c r="FD24" i="46"/>
  <c r="EH24" i="46"/>
  <c r="DR24" i="46"/>
  <c r="R24" i="46"/>
  <c r="FM24" i="46"/>
  <c r="EL24" i="46"/>
  <c r="ES24" i="46"/>
  <c r="DU24" i="46"/>
  <c r="DY24" i="46"/>
  <c r="GH24" i="46"/>
  <c r="CL24" i="46"/>
  <c r="GK24" i="46"/>
  <c r="GL24" i="46"/>
  <c r="FQ24" i="46"/>
  <c r="EY24" i="46"/>
  <c r="FZ24" i="46"/>
  <c r="GF24" i="46"/>
  <c r="Z24" i="46"/>
  <c r="AA24" i="46"/>
  <c r="EP24" i="46"/>
  <c r="CN24" i="46"/>
  <c r="CD24" i="46"/>
  <c r="U24" i="46"/>
  <c r="BY24" i="46"/>
  <c r="DC24" i="46"/>
  <c r="DL24" i="46"/>
  <c r="DQ24" i="46"/>
  <c r="CA24" i="46"/>
  <c r="Y24" i="46"/>
  <c r="CK24" i="46"/>
  <c r="GC24" i="46"/>
  <c r="CT24" i="46"/>
  <c r="CE24" i="46"/>
  <c r="CI24" i="46"/>
  <c r="DF24" i="46"/>
  <c r="FU24" i="46"/>
  <c r="DS24" i="46"/>
  <c r="EJ24" i="46"/>
  <c r="V24" i="46"/>
  <c r="GS24" i="46"/>
  <c r="W24" i="46"/>
  <c r="CQ24" i="46"/>
  <c r="FH24" i="46"/>
  <c r="X24" i="46"/>
  <c r="AB24" i="46"/>
  <c r="CH24" i="46"/>
  <c r="ET24" i="46"/>
  <c r="EZ24" i="46"/>
  <c r="EC24" i="46"/>
  <c r="DW24" i="46"/>
  <c r="FW24" i="46"/>
  <c r="DH24" i="46"/>
  <c r="FJ24" i="46"/>
  <c r="CC24" i="46"/>
  <c r="FB24" i="46"/>
  <c r="AF24" i="46"/>
  <c r="FO24" i="46"/>
  <c r="GR24" i="46"/>
  <c r="FG24" i="46"/>
  <c r="GQ24" i="46"/>
  <c r="CU24" i="46"/>
  <c r="GG24" i="46"/>
  <c r="FE24" i="46"/>
  <c r="EE24" i="46"/>
  <c r="EB24" i="46"/>
  <c r="I24" i="46"/>
  <c r="FA24" i="46"/>
  <c r="FX24" i="46"/>
  <c r="H24" i="46"/>
  <c r="EX24" i="46"/>
  <c r="GD24" i="46"/>
  <c r="P24" i="46"/>
  <c r="CX24" i="46"/>
  <c r="GS29" i="46"/>
  <c r="EL29" i="46"/>
  <c r="FX29" i="46"/>
  <c r="FT29" i="46"/>
  <c r="BW29" i="46"/>
  <c r="AC29" i="46"/>
  <c r="DC29" i="46"/>
  <c r="EK29" i="46"/>
  <c r="DA29" i="46"/>
  <c r="DY29" i="46"/>
  <c r="CI29" i="46"/>
  <c r="O29" i="46"/>
  <c r="FQ29" i="46"/>
  <c r="CE29" i="46"/>
  <c r="ER29" i="46"/>
  <c r="CT29" i="46"/>
  <c r="DT29" i="46"/>
  <c r="CB29" i="46"/>
  <c r="CC29" i="46"/>
  <c r="EM29" i="46"/>
  <c r="CO29" i="46"/>
  <c r="EB29" i="46"/>
  <c r="GJ29" i="46"/>
  <c r="DM29" i="46"/>
  <c r="EP29" i="46"/>
  <c r="CM29" i="46"/>
  <c r="EX29" i="46"/>
  <c r="EW29" i="46"/>
  <c r="CG29" i="46"/>
  <c r="EY29" i="46"/>
  <c r="DQ29" i="46"/>
  <c r="U29" i="46"/>
  <c r="V29" i="46"/>
  <c r="W29" i="46"/>
  <c r="FW29" i="46"/>
  <c r="S29" i="46"/>
  <c r="FY29" i="46"/>
  <c r="DN29" i="46"/>
  <c r="DR29" i="46"/>
  <c r="DW29" i="46"/>
  <c r="BZ29" i="46"/>
  <c r="DZ29" i="46"/>
  <c r="CA29" i="46"/>
  <c r="FC29" i="46"/>
  <c r="ET29" i="46"/>
  <c r="DB29" i="46"/>
  <c r="FJ29" i="46"/>
  <c r="FG29" i="46"/>
  <c r="DD29" i="46"/>
  <c r="Z29" i="46"/>
  <c r="CW29" i="46"/>
  <c r="GB29" i="46"/>
  <c r="H29" i="46"/>
  <c r="GI29" i="46"/>
  <c r="GP29" i="46"/>
  <c r="CY29" i="46"/>
  <c r="CF29" i="46"/>
  <c r="FK29" i="46"/>
  <c r="CV29" i="46"/>
  <c r="FL29" i="46"/>
  <c r="DU29" i="46"/>
  <c r="ES29" i="46"/>
  <c r="FB29" i="46"/>
  <c r="EN29" i="46"/>
  <c r="EF29" i="46"/>
  <c r="M29" i="46"/>
  <c r="DH29" i="46"/>
  <c r="J29" i="46"/>
  <c r="CJ29" i="46"/>
  <c r="FI29" i="46"/>
  <c r="AE29" i="46"/>
  <c r="AD29" i="46"/>
  <c r="GO29" i="46"/>
  <c r="X29" i="46"/>
  <c r="DF29" i="46"/>
  <c r="CS29" i="46"/>
  <c r="AF29" i="46"/>
  <c r="P29" i="46"/>
  <c r="EQ29" i="46"/>
  <c r="FU29" i="46"/>
  <c r="GT29" i="46"/>
  <c r="CU29" i="46"/>
  <c r="FH29" i="46"/>
  <c r="EJ29" i="46"/>
  <c r="GL29" i="46"/>
  <c r="CK29" i="46"/>
  <c r="GC29" i="46"/>
  <c r="GH29" i="46"/>
  <c r="FZ29" i="46"/>
  <c r="DS29" i="46"/>
  <c r="FF29" i="46"/>
  <c r="FV29" i="46"/>
  <c r="EE29" i="46"/>
  <c r="Y29" i="46"/>
  <c r="CQ29" i="46"/>
  <c r="CL29" i="46"/>
  <c r="DL29" i="46"/>
  <c r="DV29" i="46"/>
  <c r="GR29" i="46"/>
  <c r="EI29" i="46"/>
  <c r="GG29" i="46"/>
  <c r="CH29" i="46"/>
  <c r="GM29" i="46"/>
  <c r="DP29" i="46"/>
  <c r="GN29" i="46"/>
  <c r="GD29" i="46"/>
  <c r="FR29" i="46"/>
  <c r="FS29" i="46"/>
  <c r="DE29" i="46"/>
  <c r="GQ29" i="46"/>
  <c r="GF29" i="46"/>
  <c r="FD29" i="46"/>
  <c r="FA29" i="46"/>
  <c r="EH29" i="46"/>
  <c r="DJ29" i="46"/>
  <c r="GK29" i="46"/>
  <c r="R29" i="46"/>
  <c r="CR29" i="46"/>
  <c r="EO29" i="46"/>
  <c r="BX29" i="46"/>
  <c r="BY29" i="46"/>
  <c r="FN29" i="46"/>
  <c r="EC29" i="46"/>
  <c r="GA29" i="46"/>
  <c r="FP29" i="46"/>
  <c r="CN29" i="46"/>
  <c r="G29" i="46"/>
  <c r="DK29" i="46"/>
  <c r="AH29" i="46"/>
  <c r="AA29" i="46"/>
  <c r="AB29" i="46"/>
  <c r="FE29" i="46"/>
  <c r="GE29" i="46"/>
  <c r="FM29" i="46"/>
  <c r="CZ29" i="46"/>
  <c r="I29" i="46"/>
  <c r="FO29" i="46"/>
  <c r="CP29" i="46"/>
  <c r="L29" i="46"/>
  <c r="CD29" i="46"/>
  <c r="DO29" i="46"/>
  <c r="CX29" i="46"/>
  <c r="EZ29" i="46"/>
  <c r="DG29" i="46"/>
  <c r="DI29" i="46"/>
  <c r="GE39" i="46"/>
  <c r="FB39" i="46"/>
  <c r="FA39" i="46"/>
  <c r="EZ39" i="46"/>
  <c r="EB39" i="46"/>
  <c r="DZ39" i="46"/>
  <c r="DY39" i="46"/>
  <c r="DD39" i="46"/>
  <c r="DJ39" i="46"/>
  <c r="CR39" i="46"/>
  <c r="EM39" i="46"/>
  <c r="S39" i="46"/>
  <c r="DE39" i="46"/>
  <c r="FD39" i="46"/>
  <c r="DU39" i="46"/>
  <c r="CW39" i="46"/>
  <c r="FS39" i="46"/>
  <c r="FY39" i="46"/>
  <c r="X39" i="46"/>
  <c r="FR39" i="46"/>
  <c r="DC39" i="46"/>
  <c r="EE39" i="46"/>
  <c r="GD39" i="46"/>
  <c r="FI39" i="46"/>
  <c r="ES39" i="46"/>
  <c r="H39" i="46"/>
  <c r="CU39" i="46"/>
  <c r="FQ39" i="46"/>
  <c r="EW39" i="46"/>
  <c r="CF39" i="46"/>
  <c r="W39" i="46"/>
  <c r="GA39" i="46"/>
  <c r="DA39" i="46"/>
  <c r="EC39" i="46"/>
  <c r="GH39" i="46"/>
  <c r="AH39" i="46"/>
  <c r="DP39" i="46"/>
  <c r="FP39" i="46"/>
  <c r="DS39" i="46"/>
  <c r="FC39" i="46"/>
  <c r="AA39" i="46"/>
  <c r="GG39" i="46"/>
  <c r="CS39" i="46"/>
  <c r="EP39" i="46"/>
  <c r="GN39" i="46"/>
  <c r="ET39" i="46"/>
  <c r="EH39" i="46"/>
  <c r="DK39" i="46"/>
  <c r="AE39" i="46"/>
  <c r="AF39" i="46"/>
  <c r="FM39" i="46"/>
  <c r="P39" i="46"/>
  <c r="CD39" i="46"/>
  <c r="Z39" i="46"/>
  <c r="FG39" i="46"/>
  <c r="EI39" i="46"/>
  <c r="FZ39" i="46"/>
  <c r="GK39" i="46"/>
  <c r="EQ39" i="46"/>
  <c r="DW39" i="46"/>
  <c r="EY39" i="46"/>
  <c r="CP39" i="46"/>
  <c r="DB39" i="46"/>
  <c r="CK39" i="46"/>
  <c r="GC39" i="46"/>
  <c r="FH39" i="46"/>
  <c r="FF39" i="46"/>
  <c r="CE39" i="46"/>
  <c r="DG39" i="46"/>
  <c r="EJ39" i="46"/>
  <c r="FU39" i="46"/>
  <c r="FE39" i="46"/>
  <c r="BX39" i="46"/>
  <c r="CT39" i="46"/>
  <c r="CB39" i="46"/>
  <c r="GB39" i="46"/>
  <c r="L39" i="46"/>
  <c r="DT39" i="46"/>
  <c r="CH39" i="46"/>
  <c r="EF39" i="46"/>
  <c r="DL39" i="46"/>
  <c r="BW39" i="46"/>
  <c r="O39" i="46"/>
  <c r="GS39" i="46"/>
  <c r="FN39" i="46"/>
  <c r="CX39" i="46"/>
  <c r="FW39" i="46"/>
  <c r="GI39" i="46"/>
  <c r="GM39" i="46"/>
  <c r="CJ39" i="46"/>
  <c r="CN39" i="46"/>
  <c r="CO39" i="46"/>
  <c r="EO39" i="46"/>
  <c r="J39" i="46"/>
  <c r="U39" i="46"/>
  <c r="DF39" i="46"/>
  <c r="EK39" i="46"/>
  <c r="EL39" i="46"/>
  <c r="GL39" i="46"/>
  <c r="BZ39" i="46"/>
  <c r="M39" i="46"/>
  <c r="CC39" i="46"/>
  <c r="V39" i="46"/>
  <c r="FJ39" i="46"/>
  <c r="CV39" i="46"/>
  <c r="CA39" i="46"/>
  <c r="CY39" i="46"/>
  <c r="Y39" i="46"/>
  <c r="AC39" i="46"/>
  <c r="GJ39" i="46"/>
  <c r="G39" i="46"/>
  <c r="DO39" i="46"/>
  <c r="DM39" i="46"/>
  <c r="GQ39" i="46"/>
  <c r="CI39" i="46"/>
  <c r="BY39" i="46"/>
  <c r="DR39" i="46"/>
  <c r="DV39" i="46"/>
  <c r="FT39" i="46"/>
  <c r="AB39" i="46"/>
  <c r="GR39" i="46"/>
  <c r="CL39" i="46"/>
  <c r="DH39" i="46"/>
  <c r="CQ39" i="46"/>
  <c r="I39" i="46"/>
  <c r="ER39" i="46"/>
  <c r="EX39" i="46"/>
  <c r="GO39" i="46"/>
  <c r="CM39" i="46"/>
  <c r="DI39" i="46"/>
  <c r="FO39" i="46"/>
  <c r="CG39" i="46"/>
  <c r="DN39" i="46"/>
  <c r="GT39" i="46"/>
  <c r="R39" i="46"/>
  <c r="CZ39" i="46"/>
  <c r="GP39" i="46"/>
  <c r="EN39" i="46"/>
  <c r="DQ39" i="46"/>
  <c r="FK39" i="46"/>
  <c r="FV39" i="46"/>
  <c r="AD39" i="46"/>
  <c r="GF39" i="46"/>
  <c r="FX39" i="46"/>
  <c r="FL39" i="46"/>
  <c r="GQ25" i="46"/>
  <c r="BZ25" i="46"/>
  <c r="CB25" i="46"/>
  <c r="FR25" i="46"/>
  <c r="Y25" i="46"/>
  <c r="FA25" i="46"/>
  <c r="EF25" i="46"/>
  <c r="GA25" i="46"/>
  <c r="FE25" i="46"/>
  <c r="DL25" i="46"/>
  <c r="CU25" i="46"/>
  <c r="GI25" i="46"/>
  <c r="GG25" i="46"/>
  <c r="FJ25" i="46"/>
  <c r="DV25" i="46"/>
  <c r="DW25" i="46"/>
  <c r="FK25" i="46"/>
  <c r="DD25" i="46"/>
  <c r="DF25" i="46"/>
  <c r="I25" i="46"/>
  <c r="GO25" i="46"/>
  <c r="FW25" i="46"/>
  <c r="FY25" i="46"/>
  <c r="EL25" i="46"/>
  <c r="CS25" i="46"/>
  <c r="GS25" i="46"/>
  <c r="CR25" i="46"/>
  <c r="EQ25" i="46"/>
  <c r="CY25" i="46"/>
  <c r="DU25" i="46"/>
  <c r="DT25" i="46"/>
  <c r="EB25" i="46"/>
  <c r="CK25" i="46"/>
  <c r="EJ25" i="46"/>
  <c r="FO25" i="46"/>
  <c r="ES25" i="46"/>
  <c r="ET25" i="46"/>
  <c r="X25" i="46"/>
  <c r="FX25" i="46"/>
  <c r="EC25" i="46"/>
  <c r="GC25" i="46"/>
  <c r="DN25" i="46"/>
  <c r="DR25" i="46"/>
  <c r="GK25" i="46"/>
  <c r="CG25" i="46"/>
  <c r="DY25" i="46"/>
  <c r="DO25" i="46"/>
  <c r="EY25" i="46"/>
  <c r="DB25" i="46"/>
  <c r="DQ25" i="46"/>
  <c r="DA25" i="46"/>
  <c r="EH25" i="46"/>
  <c r="FF25" i="46"/>
  <c r="CW25" i="46"/>
  <c r="EW25" i="46"/>
  <c r="FN25" i="46"/>
  <c r="CJ25" i="46"/>
  <c r="AF25" i="46"/>
  <c r="H25" i="46"/>
  <c r="GF25" i="46"/>
  <c r="FS25" i="46"/>
  <c r="BW25" i="46"/>
  <c r="DE25" i="46"/>
  <c r="DK25" i="46"/>
  <c r="AH25" i="46"/>
  <c r="BY25" i="46"/>
  <c r="GT25" i="46"/>
  <c r="FG25" i="46"/>
  <c r="CQ25" i="46"/>
  <c r="FH25" i="46"/>
  <c r="CE25" i="46"/>
  <c r="GE25" i="46"/>
  <c r="O25" i="46"/>
  <c r="EN25" i="46"/>
  <c r="AD25" i="46"/>
  <c r="EK25" i="46"/>
  <c r="DJ25" i="46"/>
  <c r="BX25" i="46"/>
  <c r="CH25" i="46"/>
  <c r="GD25" i="46"/>
  <c r="CZ25" i="46"/>
  <c r="U25" i="46"/>
  <c r="L25" i="46"/>
  <c r="J25" i="46"/>
  <c r="CM25" i="46"/>
  <c r="FI25" i="46"/>
  <c r="GP25" i="46"/>
  <c r="CP25" i="46"/>
  <c r="M25" i="46"/>
  <c r="R25" i="46"/>
  <c r="GM25" i="46"/>
  <c r="CD25" i="46"/>
  <c r="W25" i="46"/>
  <c r="FV25" i="46"/>
  <c r="CO25" i="46"/>
  <c r="FM25" i="46"/>
  <c r="G25" i="46"/>
  <c r="GH25" i="46"/>
  <c r="DM25" i="46"/>
  <c r="DP25" i="46"/>
  <c r="CC25" i="46"/>
  <c r="EX25" i="46"/>
  <c r="EI25" i="46"/>
  <c r="EZ25" i="46"/>
  <c r="EO25" i="46"/>
  <c r="CX25" i="46"/>
  <c r="FT25" i="46"/>
  <c r="GB25" i="46"/>
  <c r="DC25" i="46"/>
  <c r="DG25" i="46"/>
  <c r="FU25" i="46"/>
  <c r="FZ25" i="46"/>
  <c r="AC25" i="46"/>
  <c r="DZ25" i="46"/>
  <c r="FL25" i="46"/>
  <c r="CT25" i="46"/>
  <c r="DS25" i="46"/>
  <c r="AB25" i="46"/>
  <c r="S25" i="46"/>
  <c r="CL25" i="46"/>
  <c r="FP25" i="46"/>
  <c r="GL25" i="46"/>
  <c r="P25" i="46"/>
  <c r="GR25" i="46"/>
  <c r="EM25" i="46"/>
  <c r="EP25" i="46"/>
  <c r="CN25" i="46"/>
  <c r="ER25" i="46"/>
  <c r="FD25" i="46"/>
  <c r="Z25" i="46"/>
  <c r="GN25" i="46"/>
  <c r="EE25" i="46"/>
  <c r="CI25" i="46"/>
  <c r="GJ25" i="46"/>
  <c r="AE25" i="46"/>
  <c r="V25" i="46"/>
  <c r="CF25" i="46"/>
  <c r="DI25" i="46"/>
  <c r="CA25" i="46"/>
  <c r="FQ25" i="46"/>
  <c r="FB25" i="46"/>
  <c r="CV25" i="46"/>
  <c r="DH25" i="46"/>
  <c r="AA25" i="46"/>
  <c r="FC25" i="46"/>
  <c r="X62" i="47"/>
  <c r="D62" i="47"/>
  <c r="O62" i="47"/>
  <c r="AG62" i="47"/>
  <c r="M62" i="47"/>
  <c r="AF62" i="47"/>
  <c r="AD62" i="47"/>
  <c r="J62" i="47"/>
  <c r="I62" i="47"/>
  <c r="H62" i="47"/>
  <c r="AB62" i="47"/>
  <c r="AA62" i="47"/>
  <c r="Z62" i="47"/>
  <c r="T62" i="47"/>
  <c r="F62" i="47"/>
  <c r="E62" i="47"/>
  <c r="Q62" i="47"/>
  <c r="P62" i="47"/>
  <c r="N62" i="47"/>
  <c r="K62" i="47"/>
  <c r="R62" i="47"/>
  <c r="L62" i="47"/>
  <c r="C62" i="47"/>
  <c r="AH62" i="47"/>
  <c r="AE62" i="47"/>
  <c r="AC62" i="47"/>
  <c r="W62" i="47"/>
  <c r="Y62" i="47"/>
  <c r="V62" i="47"/>
  <c r="G62" i="47"/>
  <c r="S62" i="47"/>
  <c r="U62" i="47"/>
  <c r="U55" i="47"/>
  <c r="AF55" i="47"/>
  <c r="L55" i="47"/>
  <c r="AD55" i="47"/>
  <c r="J55" i="47"/>
  <c r="AE55" i="47"/>
  <c r="G55" i="47"/>
  <c r="AC55" i="47"/>
  <c r="F55" i="47"/>
  <c r="Y55" i="47"/>
  <c r="X55" i="47"/>
  <c r="W55" i="47"/>
  <c r="Q55" i="47"/>
  <c r="N55" i="47"/>
  <c r="M55" i="47"/>
  <c r="H55" i="47"/>
  <c r="AA55" i="47"/>
  <c r="Z55" i="47"/>
  <c r="V55" i="47"/>
  <c r="S55" i="47"/>
  <c r="O55" i="47"/>
  <c r="K55" i="47"/>
  <c r="I55" i="47"/>
  <c r="AG55" i="47"/>
  <c r="AB55" i="47"/>
  <c r="E55" i="47"/>
  <c r="D55" i="47"/>
  <c r="T55" i="47"/>
  <c r="R55" i="47"/>
  <c r="AH55" i="47"/>
  <c r="P55" i="47"/>
  <c r="C55" i="47"/>
  <c r="W73" i="47"/>
  <c r="S73" i="47"/>
  <c r="AH73" i="47"/>
  <c r="N73" i="47"/>
  <c r="AF73" i="47"/>
  <c r="L73" i="47"/>
  <c r="AE73" i="47"/>
  <c r="K73" i="47"/>
  <c r="AC73" i="47"/>
  <c r="I73" i="47"/>
  <c r="AA73" i="47"/>
  <c r="C73" i="47"/>
  <c r="Z73" i="47"/>
  <c r="U73" i="47"/>
  <c r="T73" i="47"/>
  <c r="R73" i="47"/>
  <c r="J73" i="47"/>
  <c r="Q73" i="47"/>
  <c r="P73" i="47"/>
  <c r="H73" i="47"/>
  <c r="AG73" i="47"/>
  <c r="AD73" i="47"/>
  <c r="AB73" i="47"/>
  <c r="Y73" i="47"/>
  <c r="V73" i="47"/>
  <c r="G73" i="47"/>
  <c r="F73" i="47"/>
  <c r="E73" i="47"/>
  <c r="D73" i="47"/>
  <c r="X73" i="47"/>
  <c r="O73" i="47"/>
  <c r="M73" i="47"/>
  <c r="W53" i="47"/>
  <c r="AH53" i="47"/>
  <c r="N53" i="47"/>
  <c r="AF53" i="47"/>
  <c r="L53" i="47"/>
  <c r="V53" i="47"/>
  <c r="U53" i="47"/>
  <c r="C53" i="47"/>
  <c r="Q53" i="47"/>
  <c r="P53" i="47"/>
  <c r="O53" i="47"/>
  <c r="AE53" i="47"/>
  <c r="H53" i="47"/>
  <c r="G53" i="47"/>
  <c r="F53" i="47"/>
  <c r="J53" i="47"/>
  <c r="I53" i="47"/>
  <c r="E53" i="47"/>
  <c r="AG53" i="47"/>
  <c r="AD53" i="47"/>
  <c r="AC53" i="47"/>
  <c r="Z53" i="47"/>
  <c r="Y53" i="47"/>
  <c r="R53" i="47"/>
  <c r="M53" i="47"/>
  <c r="K53" i="47"/>
  <c r="D53" i="47"/>
  <c r="AB53" i="47"/>
  <c r="AA53" i="47"/>
  <c r="X53" i="47"/>
  <c r="T53" i="47"/>
  <c r="S53" i="47"/>
  <c r="AG63" i="47"/>
  <c r="M63" i="47"/>
  <c r="X63" i="47"/>
  <c r="D63" i="47"/>
  <c r="V63" i="47"/>
  <c r="U63" i="47"/>
  <c r="S63" i="47"/>
  <c r="AE63" i="47"/>
  <c r="F63" i="47"/>
  <c r="AD63" i="47"/>
  <c r="E63" i="47"/>
  <c r="Z63" i="47"/>
  <c r="Y63" i="47"/>
  <c r="W63" i="47"/>
  <c r="O63" i="47"/>
  <c r="K63" i="47"/>
  <c r="J63" i="47"/>
  <c r="G63" i="47"/>
  <c r="AC63" i="47"/>
  <c r="AB63" i="47"/>
  <c r="AA63" i="47"/>
  <c r="R63" i="47"/>
  <c r="N63" i="47"/>
  <c r="L63" i="47"/>
  <c r="I63" i="47"/>
  <c r="Q63" i="47"/>
  <c r="P63" i="47"/>
  <c r="H63" i="47"/>
  <c r="AH63" i="47"/>
  <c r="AF63" i="47"/>
  <c r="T63" i="47"/>
  <c r="C63" i="47"/>
  <c r="AH52" i="47"/>
  <c r="N52" i="47"/>
  <c r="Y52" i="47"/>
  <c r="E52" i="47"/>
  <c r="W52" i="47"/>
  <c r="AD52" i="47"/>
  <c r="G52" i="47"/>
  <c r="C52" i="47"/>
  <c r="AC52" i="47"/>
  <c r="F52" i="47"/>
  <c r="X52" i="47"/>
  <c r="V52" i="47"/>
  <c r="U52" i="47"/>
  <c r="P52" i="47"/>
  <c r="H52" i="47"/>
  <c r="D52" i="47"/>
  <c r="AG52" i="47"/>
  <c r="AF52" i="47"/>
  <c r="AA52" i="47"/>
  <c r="Z52" i="47"/>
  <c r="T52" i="47"/>
  <c r="L52" i="47"/>
  <c r="K52" i="47"/>
  <c r="AE52" i="47"/>
  <c r="AB52" i="47"/>
  <c r="M52" i="47"/>
  <c r="J52" i="47"/>
  <c r="I52" i="47"/>
  <c r="S52" i="47"/>
  <c r="R52" i="47"/>
  <c r="Q52" i="47"/>
  <c r="O52" i="47"/>
  <c r="P50" i="47"/>
  <c r="AA50" i="47"/>
  <c r="G50" i="47"/>
  <c r="Y50" i="47"/>
  <c r="E50" i="47"/>
  <c r="U50" i="47"/>
  <c r="T50" i="47"/>
  <c r="O50" i="47"/>
  <c r="N50" i="47"/>
  <c r="M50" i="47"/>
  <c r="AE50" i="47"/>
  <c r="H50" i="47"/>
  <c r="AG50" i="47"/>
  <c r="AF50" i="47"/>
  <c r="C50" i="47"/>
  <c r="AB50" i="47"/>
  <c r="W50" i="47"/>
  <c r="V50" i="47"/>
  <c r="S50" i="47"/>
  <c r="Q50" i="47"/>
  <c r="J50" i="47"/>
  <c r="I50" i="47"/>
  <c r="F50" i="47"/>
  <c r="K50" i="47"/>
  <c r="D50" i="47"/>
  <c r="AH50" i="47"/>
  <c r="AD50" i="47"/>
  <c r="Z50" i="47"/>
  <c r="AC50" i="47"/>
  <c r="X50" i="47"/>
  <c r="L50" i="47"/>
  <c r="R50" i="47"/>
  <c r="AE45" i="47"/>
  <c r="K45" i="47"/>
  <c r="Q45" i="47"/>
  <c r="P45" i="47"/>
  <c r="AG45" i="47"/>
  <c r="L45" i="47"/>
  <c r="AF45" i="47"/>
  <c r="J45" i="47"/>
  <c r="AD45" i="47"/>
  <c r="I45" i="47"/>
  <c r="Y45" i="47"/>
  <c r="D45" i="47"/>
  <c r="X45" i="47"/>
  <c r="W45" i="47"/>
  <c r="T45" i="47"/>
  <c r="Z45" i="47"/>
  <c r="V45" i="47"/>
  <c r="U45" i="47"/>
  <c r="R45" i="47"/>
  <c r="M45" i="47"/>
  <c r="H45" i="47"/>
  <c r="C45" i="47"/>
  <c r="G45" i="47"/>
  <c r="AA45" i="47"/>
  <c r="S45" i="47"/>
  <c r="O45" i="47"/>
  <c r="N45" i="47"/>
  <c r="F45" i="47"/>
  <c r="E45" i="47"/>
  <c r="AC45" i="47"/>
  <c r="AH45" i="47"/>
  <c r="AB45" i="47"/>
  <c r="R48" i="47"/>
  <c r="AC48" i="47"/>
  <c r="I48" i="47"/>
  <c r="AA48" i="47"/>
  <c r="G48" i="47"/>
  <c r="M48" i="47"/>
  <c r="L48" i="47"/>
  <c r="AE48" i="47"/>
  <c r="F48" i="47"/>
  <c r="AD48" i="47"/>
  <c r="E48" i="47"/>
  <c r="AB48" i="47"/>
  <c r="D48" i="47"/>
  <c r="V48" i="47"/>
  <c r="Z48" i="47"/>
  <c r="Y48" i="47"/>
  <c r="U48" i="47"/>
  <c r="H48" i="47"/>
  <c r="AH48" i="47"/>
  <c r="AG48" i="47"/>
  <c r="AF48" i="47"/>
  <c r="O48" i="47"/>
  <c r="C48" i="47"/>
  <c r="N48" i="47"/>
  <c r="X48" i="47"/>
  <c r="K48" i="47"/>
  <c r="J48" i="47"/>
  <c r="W48" i="47"/>
  <c r="T48" i="47"/>
  <c r="S48" i="47"/>
  <c r="Q48" i="47"/>
  <c r="P48" i="47"/>
  <c r="P70" i="47"/>
  <c r="AF70" i="47"/>
  <c r="L70" i="47"/>
  <c r="AA70" i="47"/>
  <c r="G70" i="47"/>
  <c r="Y70" i="47"/>
  <c r="E70" i="47"/>
  <c r="X70" i="47"/>
  <c r="D70" i="47"/>
  <c r="V70" i="47"/>
  <c r="H70" i="47"/>
  <c r="AH70" i="47"/>
  <c r="F70" i="47"/>
  <c r="AC70" i="47"/>
  <c r="AB70" i="47"/>
  <c r="Z70" i="47"/>
  <c r="R70" i="47"/>
  <c r="AE70" i="47"/>
  <c r="AD70" i="47"/>
  <c r="T70" i="47"/>
  <c r="W70" i="47"/>
  <c r="U70" i="47"/>
  <c r="S70" i="47"/>
  <c r="Q70" i="47"/>
  <c r="N70" i="47"/>
  <c r="M70" i="47"/>
  <c r="C70" i="47"/>
  <c r="K70" i="47"/>
  <c r="J70" i="47"/>
  <c r="I70" i="47"/>
  <c r="AG70" i="47"/>
  <c r="O70" i="47"/>
  <c r="Y51" i="47"/>
  <c r="E51" i="47"/>
  <c r="P51" i="47"/>
  <c r="AH51" i="47"/>
  <c r="N51" i="47"/>
  <c r="M51" i="47"/>
  <c r="L51" i="47"/>
  <c r="AE51" i="47"/>
  <c r="H51" i="47"/>
  <c r="AD51" i="47"/>
  <c r="G51" i="47"/>
  <c r="AC51" i="47"/>
  <c r="F51" i="47"/>
  <c r="W51" i="47"/>
  <c r="AB51" i="47"/>
  <c r="AF51" i="47"/>
  <c r="AA51" i="47"/>
  <c r="Z51" i="47"/>
  <c r="V51" i="47"/>
  <c r="S51" i="47"/>
  <c r="R51" i="47"/>
  <c r="Q51" i="47"/>
  <c r="C51" i="47"/>
  <c r="AG51" i="47"/>
  <c r="X51" i="47"/>
  <c r="K51" i="47"/>
  <c r="J51" i="47"/>
  <c r="I51" i="47"/>
  <c r="D51" i="47"/>
  <c r="U51" i="47"/>
  <c r="T51" i="47"/>
  <c r="O51" i="47"/>
  <c r="R68" i="47"/>
  <c r="AH68" i="47"/>
  <c r="N68" i="47"/>
  <c r="AC68" i="47"/>
  <c r="I68" i="47"/>
  <c r="AA68" i="47"/>
  <c r="G68" i="47"/>
  <c r="Z68" i="47"/>
  <c r="F68" i="47"/>
  <c r="X68" i="47"/>
  <c r="D68" i="47"/>
  <c r="L68" i="47"/>
  <c r="K68" i="47"/>
  <c r="AG68" i="47"/>
  <c r="AF68" i="47"/>
  <c r="AE68" i="47"/>
  <c r="V68" i="47"/>
  <c r="M68" i="47"/>
  <c r="J68" i="47"/>
  <c r="O68" i="47"/>
  <c r="H68" i="47"/>
  <c r="C68" i="47"/>
  <c r="E68" i="47"/>
  <c r="AD68" i="47"/>
  <c r="AB68" i="47"/>
  <c r="U68" i="47"/>
  <c r="T68" i="47"/>
  <c r="Y68" i="47"/>
  <c r="Q68" i="47"/>
  <c r="W68" i="47"/>
  <c r="S68" i="47"/>
  <c r="P68" i="47"/>
  <c r="T46" i="47"/>
  <c r="AE46" i="47"/>
  <c r="K46" i="47"/>
  <c r="AC46" i="47"/>
  <c r="G46" i="47"/>
  <c r="AB46" i="47"/>
  <c r="F46" i="47"/>
  <c r="X46" i="47"/>
  <c r="W46" i="47"/>
  <c r="V46" i="47"/>
  <c r="P46" i="47"/>
  <c r="Z46" i="47"/>
  <c r="Y46" i="47"/>
  <c r="R46" i="47"/>
  <c r="AG46" i="47"/>
  <c r="AF46" i="47"/>
  <c r="AD46" i="47"/>
  <c r="U46" i="47"/>
  <c r="O46" i="47"/>
  <c r="N46" i="47"/>
  <c r="M46" i="47"/>
  <c r="C46" i="47"/>
  <c r="L46" i="47"/>
  <c r="J46" i="47"/>
  <c r="E46" i="47"/>
  <c r="D46" i="47"/>
  <c r="AH46" i="47"/>
  <c r="AA46" i="47"/>
  <c r="I46" i="47"/>
  <c r="H46" i="47"/>
  <c r="Q46" i="47"/>
  <c r="S46" i="47"/>
  <c r="T66" i="47"/>
  <c r="AE66" i="47"/>
  <c r="K66" i="47"/>
  <c r="AC66" i="47"/>
  <c r="I66" i="47"/>
  <c r="AB66" i="47"/>
  <c r="H66" i="47"/>
  <c r="Z66" i="47"/>
  <c r="F66" i="47"/>
  <c r="R66" i="47"/>
  <c r="Q66" i="47"/>
  <c r="M66" i="47"/>
  <c r="L66" i="47"/>
  <c r="J66" i="47"/>
  <c r="AD66" i="47"/>
  <c r="AG66" i="47"/>
  <c r="AF66" i="47"/>
  <c r="X66" i="47"/>
  <c r="W66" i="47"/>
  <c r="V66" i="47"/>
  <c r="U66" i="47"/>
  <c r="P66" i="47"/>
  <c r="G66" i="47"/>
  <c r="E66" i="47"/>
  <c r="D66" i="47"/>
  <c r="AA66" i="47"/>
  <c r="Y66" i="47"/>
  <c r="N66" i="47"/>
  <c r="S66" i="47"/>
  <c r="O66" i="47"/>
  <c r="C66" i="47"/>
  <c r="AH66" i="47"/>
  <c r="Q59" i="47"/>
  <c r="AB59" i="47"/>
  <c r="H59" i="47"/>
  <c r="Z59" i="47"/>
  <c r="F59" i="47"/>
  <c r="W59" i="47"/>
  <c r="AC59" i="47"/>
  <c r="AA59" i="47"/>
  <c r="U59" i="47"/>
  <c r="T59" i="47"/>
  <c r="C59" i="47"/>
  <c r="S59" i="47"/>
  <c r="M59" i="47"/>
  <c r="AD59" i="47"/>
  <c r="Y59" i="47"/>
  <c r="R59" i="47"/>
  <c r="X59" i="47"/>
  <c r="V59" i="47"/>
  <c r="P59" i="47"/>
  <c r="N59" i="47"/>
  <c r="J59" i="47"/>
  <c r="I59" i="47"/>
  <c r="G59" i="47"/>
  <c r="AG59" i="47"/>
  <c r="AF59" i="47"/>
  <c r="K59" i="47"/>
  <c r="E59" i="47"/>
  <c r="D59" i="47"/>
  <c r="AE59" i="47"/>
  <c r="O59" i="47"/>
  <c r="AH59" i="47"/>
  <c r="L59" i="47"/>
  <c r="AC67" i="47"/>
  <c r="I67" i="47"/>
  <c r="Y67" i="47"/>
  <c r="T67" i="47"/>
  <c r="R67" i="47"/>
  <c r="Q67" i="47"/>
  <c r="O67" i="47"/>
  <c r="M67" i="47"/>
  <c r="L67" i="47"/>
  <c r="AH67" i="47"/>
  <c r="G67" i="47"/>
  <c r="AG67" i="47"/>
  <c r="F67" i="47"/>
  <c r="AF67" i="47"/>
  <c r="E67" i="47"/>
  <c r="Z67" i="47"/>
  <c r="AE67" i="47"/>
  <c r="C67" i="47"/>
  <c r="AB67" i="47"/>
  <c r="W67" i="47"/>
  <c r="V67" i="47"/>
  <c r="U67" i="47"/>
  <c r="AD67" i="47"/>
  <c r="AA67" i="47"/>
  <c r="X67" i="47"/>
  <c r="S67" i="47"/>
  <c r="P67" i="47"/>
  <c r="N67" i="47"/>
  <c r="K67" i="47"/>
  <c r="J67" i="47"/>
  <c r="H67" i="47"/>
  <c r="D67" i="47"/>
  <c r="AC47" i="47"/>
  <c r="I47" i="47"/>
  <c r="T47" i="47"/>
  <c r="U47" i="47"/>
  <c r="S47" i="47"/>
  <c r="O47" i="47"/>
  <c r="N47" i="47"/>
  <c r="M47" i="47"/>
  <c r="AD47" i="47"/>
  <c r="G47" i="47"/>
  <c r="Z47" i="47"/>
  <c r="Y47" i="47"/>
  <c r="V47" i="47"/>
  <c r="AH47" i="47"/>
  <c r="AG47" i="47"/>
  <c r="AE47" i="47"/>
  <c r="X47" i="47"/>
  <c r="W47" i="47"/>
  <c r="R47" i="47"/>
  <c r="AF47" i="47"/>
  <c r="AB47" i="47"/>
  <c r="L47" i="47"/>
  <c r="K47" i="47"/>
  <c r="J47" i="47"/>
  <c r="H47" i="47"/>
  <c r="F47" i="47"/>
  <c r="E47" i="47"/>
  <c r="AA47" i="47"/>
  <c r="Q47" i="47"/>
  <c r="P47" i="47"/>
  <c r="D47" i="47"/>
  <c r="C47" i="47"/>
  <c r="V44" i="47"/>
  <c r="AA44" i="47"/>
  <c r="F44" i="47"/>
  <c r="Z44" i="47"/>
  <c r="E44" i="47"/>
  <c r="U44" i="47"/>
  <c r="T44" i="47"/>
  <c r="S44" i="47"/>
  <c r="N44" i="47"/>
  <c r="C44" i="47"/>
  <c r="AB44" i="47"/>
  <c r="Y44" i="47"/>
  <c r="R44" i="47"/>
  <c r="Q44" i="47"/>
  <c r="P44" i="47"/>
  <c r="O44" i="47"/>
  <c r="L44" i="47"/>
  <c r="I44" i="47"/>
  <c r="H44" i="47"/>
  <c r="G44" i="47"/>
  <c r="AC44" i="47"/>
  <c r="X44" i="47"/>
  <c r="K44" i="47"/>
  <c r="J44" i="47"/>
  <c r="W44" i="47"/>
  <c r="M44" i="47"/>
  <c r="D44" i="47"/>
  <c r="AH44" i="47"/>
  <c r="AG44" i="47"/>
  <c r="AF44" i="47"/>
  <c r="AD44" i="47"/>
  <c r="AE44" i="47"/>
  <c r="AH72" i="47"/>
  <c r="N72" i="47"/>
  <c r="AD72" i="47"/>
  <c r="J72" i="47"/>
  <c r="Y72" i="47"/>
  <c r="E72" i="47"/>
  <c r="W72" i="47"/>
  <c r="V72" i="47"/>
  <c r="T72" i="47"/>
  <c r="AE72" i="47"/>
  <c r="AC72" i="47"/>
  <c r="X72" i="47"/>
  <c r="U72" i="47"/>
  <c r="S72" i="47"/>
  <c r="M72" i="47"/>
  <c r="I72" i="47"/>
  <c r="H72" i="47"/>
  <c r="D72" i="47"/>
  <c r="AF72" i="47"/>
  <c r="AB72" i="47"/>
  <c r="AA72" i="47"/>
  <c r="R72" i="47"/>
  <c r="O72" i="47"/>
  <c r="L72" i="47"/>
  <c r="K72" i="47"/>
  <c r="G72" i="47"/>
  <c r="C72" i="47"/>
  <c r="AG72" i="47"/>
  <c r="Z72" i="47"/>
  <c r="P72" i="47"/>
  <c r="Q72" i="47"/>
  <c r="F72" i="47"/>
  <c r="AF54" i="47"/>
  <c r="L54" i="47"/>
  <c r="C54" i="47"/>
  <c r="W54" i="47"/>
  <c r="U54" i="47"/>
  <c r="O54" i="47"/>
  <c r="N54" i="47"/>
  <c r="AG54" i="47"/>
  <c r="I54" i="47"/>
  <c r="AE54" i="47"/>
  <c r="H54" i="47"/>
  <c r="AD54" i="47"/>
  <c r="G54" i="47"/>
  <c r="Y54" i="47"/>
  <c r="K54" i="47"/>
  <c r="J54" i="47"/>
  <c r="D54" i="47"/>
  <c r="S54" i="47"/>
  <c r="R54" i="47"/>
  <c r="Q54" i="47"/>
  <c r="M54" i="47"/>
  <c r="F54" i="47"/>
  <c r="E54" i="47"/>
  <c r="AH54" i="47"/>
  <c r="AC54" i="47"/>
  <c r="AB54" i="47"/>
  <c r="AA54" i="47"/>
  <c r="X54" i="47"/>
  <c r="Z54" i="47"/>
  <c r="V54" i="47"/>
  <c r="T54" i="47"/>
  <c r="P54" i="47"/>
  <c r="Y71" i="47"/>
  <c r="E71" i="47"/>
  <c r="U71" i="47"/>
  <c r="P71" i="47"/>
  <c r="AH71" i="47"/>
  <c r="N71" i="47"/>
  <c r="AG71" i="47"/>
  <c r="M71" i="47"/>
  <c r="AE71" i="47"/>
  <c r="K71" i="47"/>
  <c r="AF71" i="47"/>
  <c r="D71" i="47"/>
  <c r="AD71" i="47"/>
  <c r="Z71" i="47"/>
  <c r="X71" i="47"/>
  <c r="W71" i="47"/>
  <c r="Q71" i="47"/>
  <c r="L71" i="47"/>
  <c r="J71" i="47"/>
  <c r="I71" i="47"/>
  <c r="G71" i="47"/>
  <c r="C71" i="47"/>
  <c r="AC71" i="47"/>
  <c r="V71" i="47"/>
  <c r="T71" i="47"/>
  <c r="O71" i="47"/>
  <c r="H71" i="47"/>
  <c r="AB71" i="47"/>
  <c r="S71" i="47"/>
  <c r="R71" i="47"/>
  <c r="F71" i="47"/>
  <c r="AA71" i="47"/>
  <c r="AA69" i="47"/>
  <c r="G69" i="47"/>
  <c r="W69" i="47"/>
  <c r="R69" i="47"/>
  <c r="P69" i="47"/>
  <c r="O69" i="47"/>
  <c r="AG69" i="47"/>
  <c r="M69" i="47"/>
  <c r="I69" i="47"/>
  <c r="H69" i="47"/>
  <c r="AD69" i="47"/>
  <c r="AC69" i="47"/>
  <c r="AB69" i="47"/>
  <c r="U69" i="47"/>
  <c r="T69" i="47"/>
  <c r="S69" i="47"/>
  <c r="L69" i="47"/>
  <c r="Z69" i="47"/>
  <c r="Y69" i="47"/>
  <c r="X69" i="47"/>
  <c r="C69" i="47"/>
  <c r="Q69" i="47"/>
  <c r="J69" i="47"/>
  <c r="F69" i="47"/>
  <c r="E69" i="47"/>
  <c r="AH69" i="47"/>
  <c r="AF69" i="47"/>
  <c r="D69" i="47"/>
  <c r="AE69" i="47"/>
  <c r="V69" i="47"/>
  <c r="N69" i="47"/>
  <c r="K69" i="47"/>
  <c r="S57" i="47"/>
  <c r="AD57" i="47"/>
  <c r="J57" i="47"/>
  <c r="AB57" i="47"/>
  <c r="H57" i="47"/>
  <c r="P57" i="47"/>
  <c r="O57" i="47"/>
  <c r="AH57" i="47"/>
  <c r="K57" i="47"/>
  <c r="AG57" i="47"/>
  <c r="I57" i="47"/>
  <c r="AF57" i="47"/>
  <c r="G57" i="47"/>
  <c r="Y57" i="47"/>
  <c r="T57" i="47"/>
  <c r="R57" i="47"/>
  <c r="M57" i="47"/>
  <c r="AC57" i="47"/>
  <c r="AA57" i="47"/>
  <c r="Z57" i="47"/>
  <c r="W57" i="47"/>
  <c r="V57" i="47"/>
  <c r="L57" i="47"/>
  <c r="F57" i="47"/>
  <c r="E57" i="47"/>
  <c r="D57" i="47"/>
  <c r="AE57" i="47"/>
  <c r="X57" i="47"/>
  <c r="C57" i="47"/>
  <c r="U57" i="47"/>
  <c r="Q57" i="47"/>
  <c r="N57" i="47"/>
  <c r="AG43" i="47"/>
  <c r="M43" i="47"/>
  <c r="P43" i="47"/>
  <c r="O43" i="47"/>
  <c r="C43" i="47"/>
  <c r="AE43" i="47"/>
  <c r="J43" i="47"/>
  <c r="AD43" i="47"/>
  <c r="I43" i="47"/>
  <c r="AC43" i="47"/>
  <c r="H43" i="47"/>
  <c r="X43" i="47"/>
  <c r="Z43" i="47"/>
  <c r="Y43" i="47"/>
  <c r="U43" i="47"/>
  <c r="Q43" i="47"/>
  <c r="N43" i="47"/>
  <c r="L43" i="47"/>
  <c r="G43" i="47"/>
  <c r="D43" i="47"/>
  <c r="AB43" i="47"/>
  <c r="AA43" i="47"/>
  <c r="W43" i="47"/>
  <c r="V43" i="47"/>
  <c r="T43" i="47"/>
  <c r="S43" i="47"/>
  <c r="AH43" i="47"/>
  <c r="AF43" i="47"/>
  <c r="K43" i="47"/>
  <c r="R43" i="47"/>
  <c r="F43" i="47"/>
  <c r="E43" i="47"/>
  <c r="V64" i="47"/>
  <c r="AG64" i="47"/>
  <c r="M64" i="47"/>
  <c r="AE64" i="47"/>
  <c r="K64" i="47"/>
  <c r="AD64" i="47"/>
  <c r="J64" i="47"/>
  <c r="AB64" i="47"/>
  <c r="H64" i="47"/>
  <c r="Z64" i="47"/>
  <c r="Y64" i="47"/>
  <c r="T64" i="47"/>
  <c r="S64" i="47"/>
  <c r="R64" i="47"/>
  <c r="L64" i="47"/>
  <c r="Q64" i="47"/>
  <c r="P64" i="47"/>
  <c r="I64" i="47"/>
  <c r="AC64" i="47"/>
  <c r="AA64" i="47"/>
  <c r="X64" i="47"/>
  <c r="O64" i="47"/>
  <c r="N64" i="47"/>
  <c r="E64" i="47"/>
  <c r="D64" i="47"/>
  <c r="U64" i="47"/>
  <c r="G64" i="47"/>
  <c r="F64" i="47"/>
  <c r="C64" i="47"/>
  <c r="AH64" i="47"/>
  <c r="AF64" i="47"/>
  <c r="W64" i="47"/>
  <c r="AH74" i="47"/>
  <c r="AF74" i="47"/>
  <c r="L74" i="47"/>
  <c r="C74" i="47"/>
  <c r="AB74" i="47"/>
  <c r="H74" i="47"/>
  <c r="W74" i="47"/>
  <c r="U74" i="47"/>
  <c r="T74" i="47"/>
  <c r="R74" i="47"/>
  <c r="AE74" i="47"/>
  <c r="Z74" i="47"/>
  <c r="Y74" i="47"/>
  <c r="Q74" i="47"/>
  <c r="P74" i="47"/>
  <c r="O74" i="47"/>
  <c r="M74" i="47"/>
  <c r="I74" i="47"/>
  <c r="AG74" i="47"/>
  <c r="AD74" i="47"/>
  <c r="X74" i="47"/>
  <c r="N74" i="47"/>
  <c r="K74" i="47"/>
  <c r="J74" i="47"/>
  <c r="F74" i="47"/>
  <c r="AA74" i="47"/>
  <c r="V74" i="47"/>
  <c r="E74" i="47"/>
  <c r="D74" i="47"/>
  <c r="AC74" i="47"/>
  <c r="S74" i="47"/>
  <c r="G74" i="47"/>
  <c r="H8" i="44"/>
  <c r="Z60" i="47"/>
  <c r="F60" i="47"/>
  <c r="Q60" i="47"/>
  <c r="O60" i="47"/>
  <c r="AF60" i="47"/>
  <c r="L60" i="47"/>
  <c r="V60" i="47"/>
  <c r="U60" i="47"/>
  <c r="P60" i="47"/>
  <c r="N60" i="47"/>
  <c r="M60" i="47"/>
  <c r="C60" i="47"/>
  <c r="AE60" i="47"/>
  <c r="G60" i="47"/>
  <c r="AD60" i="47"/>
  <c r="AC60" i="47"/>
  <c r="Y60" i="47"/>
  <c r="AH60" i="47"/>
  <c r="AG60" i="47"/>
  <c r="AA60" i="47"/>
  <c r="T60" i="47"/>
  <c r="S60" i="47"/>
  <c r="R60" i="47"/>
  <c r="H60" i="47"/>
  <c r="E60" i="47"/>
  <c r="AB60" i="47"/>
  <c r="I60" i="47"/>
  <c r="D60" i="47"/>
  <c r="X60" i="47"/>
  <c r="W60" i="47"/>
  <c r="K60" i="47"/>
  <c r="J60" i="47"/>
  <c r="AB58" i="47"/>
  <c r="H58" i="47"/>
  <c r="S58" i="47"/>
  <c r="Q58" i="47"/>
  <c r="AH58" i="47"/>
  <c r="N58" i="47"/>
  <c r="AG58" i="47"/>
  <c r="I58" i="47"/>
  <c r="AF58" i="47"/>
  <c r="G58" i="47"/>
  <c r="AA58" i="47"/>
  <c r="C58" i="47"/>
  <c r="Z58" i="47"/>
  <c r="Y58" i="47"/>
  <c r="T58" i="47"/>
  <c r="V58" i="47"/>
  <c r="U58" i="47"/>
  <c r="O58" i="47"/>
  <c r="L58" i="47"/>
  <c r="K58" i="47"/>
  <c r="J58" i="47"/>
  <c r="E58" i="47"/>
  <c r="F58" i="47"/>
  <c r="D58" i="47"/>
  <c r="AE58" i="47"/>
  <c r="AD58" i="47"/>
  <c r="AC58" i="47"/>
  <c r="W58" i="47"/>
  <c r="X58" i="47"/>
  <c r="R58" i="47"/>
  <c r="M58" i="47"/>
  <c r="P58" i="47"/>
  <c r="O61" i="47"/>
  <c r="Z61" i="47"/>
  <c r="F61" i="47"/>
  <c r="X61" i="47"/>
  <c r="D61" i="47"/>
  <c r="U61" i="47"/>
  <c r="P61" i="47"/>
  <c r="N61" i="47"/>
  <c r="AH61" i="47"/>
  <c r="J61" i="47"/>
  <c r="AG61" i="47"/>
  <c r="I61" i="47"/>
  <c r="AF61" i="47"/>
  <c r="H61" i="47"/>
  <c r="AA61" i="47"/>
  <c r="AC61" i="47"/>
  <c r="E61" i="47"/>
  <c r="AD61" i="47"/>
  <c r="AB61" i="47"/>
  <c r="Y61" i="47"/>
  <c r="W61" i="47"/>
  <c r="C61" i="47"/>
  <c r="V61" i="47"/>
  <c r="Q61" i="47"/>
  <c r="M61" i="47"/>
  <c r="L61" i="47"/>
  <c r="K61" i="47"/>
  <c r="G61" i="47"/>
  <c r="AE61" i="47"/>
  <c r="S61" i="47"/>
  <c r="T61" i="47"/>
  <c r="R61" i="47"/>
  <c r="AA49" i="47"/>
  <c r="G49" i="47"/>
  <c r="R49" i="47"/>
  <c r="P49" i="47"/>
  <c r="AC49" i="47"/>
  <c r="E49" i="47"/>
  <c r="AB49" i="47"/>
  <c r="D49" i="47"/>
  <c r="W49" i="47"/>
  <c r="V49" i="47"/>
  <c r="U49" i="47"/>
  <c r="N49" i="47"/>
  <c r="AF49" i="47"/>
  <c r="C49" i="47"/>
  <c r="AE49" i="47"/>
  <c r="Y49" i="47"/>
  <c r="M49" i="47"/>
  <c r="L49" i="47"/>
  <c r="K49" i="47"/>
  <c r="I49" i="47"/>
  <c r="AD49" i="47"/>
  <c r="Z49" i="47"/>
  <c r="Q49" i="47"/>
  <c r="O49" i="47"/>
  <c r="J49" i="47"/>
  <c r="H49" i="47"/>
  <c r="F49" i="47"/>
  <c r="AH49" i="47"/>
  <c r="AG49" i="47"/>
  <c r="X49" i="47"/>
  <c r="T49" i="47"/>
  <c r="S49" i="47"/>
  <c r="AE65" i="47"/>
  <c r="K65" i="47"/>
  <c r="V65" i="47"/>
  <c r="T65" i="47"/>
  <c r="S65" i="47"/>
  <c r="Q65" i="47"/>
  <c r="X65" i="47"/>
  <c r="W65" i="47"/>
  <c r="O65" i="47"/>
  <c r="N65" i="47"/>
  <c r="M65" i="47"/>
  <c r="AG65" i="47"/>
  <c r="G65" i="47"/>
  <c r="C65" i="47"/>
  <c r="AA65" i="47"/>
  <c r="Z65" i="47"/>
  <c r="R65" i="47"/>
  <c r="I65" i="47"/>
  <c r="H65" i="47"/>
  <c r="F65" i="47"/>
  <c r="D65" i="47"/>
  <c r="AH65" i="47"/>
  <c r="AB65" i="47"/>
  <c r="Y65" i="47"/>
  <c r="U65" i="47"/>
  <c r="P65" i="47"/>
  <c r="L65" i="47"/>
  <c r="J65" i="47"/>
  <c r="AD65" i="47"/>
  <c r="AF65" i="47"/>
  <c r="AC65" i="47"/>
  <c r="E65" i="47"/>
  <c r="AD56" i="47"/>
  <c r="J56" i="47"/>
  <c r="U56" i="47"/>
  <c r="S56" i="47"/>
  <c r="X56" i="47"/>
  <c r="W56" i="47"/>
  <c r="Q56" i="47"/>
  <c r="P56" i="47"/>
  <c r="O56" i="47"/>
  <c r="AG56" i="47"/>
  <c r="I56" i="47"/>
  <c r="N56" i="47"/>
  <c r="M56" i="47"/>
  <c r="H56" i="47"/>
  <c r="C56" i="47"/>
  <c r="AH56" i="47"/>
  <c r="AF56" i="47"/>
  <c r="AE56" i="47"/>
  <c r="AB56" i="47"/>
  <c r="Y56" i="47"/>
  <c r="V56" i="47"/>
  <c r="T56" i="47"/>
  <c r="F56" i="47"/>
  <c r="E56" i="47"/>
  <c r="AC56" i="47"/>
  <c r="AA56" i="47"/>
  <c r="G56" i="47"/>
  <c r="D56" i="47"/>
  <c r="Z56" i="47"/>
  <c r="R56" i="47"/>
  <c r="L56" i="47"/>
  <c r="K56" i="47"/>
  <c r="B98" i="47"/>
  <c r="B97" i="47"/>
  <c r="B96" i="47"/>
  <c r="B103" i="47"/>
  <c r="B104" i="47"/>
  <c r="B86" i="47"/>
  <c r="F86" i="47" s="1"/>
  <c r="B108" i="47"/>
  <c r="B81" i="47"/>
  <c r="R81" i="47" s="1"/>
  <c r="B87" i="47"/>
  <c r="J87" i="47" s="1"/>
  <c r="B90" i="47"/>
  <c r="B91" i="47"/>
  <c r="R91" i="47" s="1"/>
  <c r="B92" i="47"/>
  <c r="J92" i="47" s="1"/>
  <c r="B99" i="47"/>
  <c r="B100" i="47"/>
  <c r="B94" i="47"/>
  <c r="B107" i="47"/>
  <c r="B102" i="47"/>
  <c r="B82" i="47"/>
  <c r="R82" i="47" s="1"/>
  <c r="B83" i="47"/>
  <c r="I83" i="47" s="1"/>
  <c r="B80" i="47"/>
  <c r="B78" i="47"/>
  <c r="B85" i="47"/>
  <c r="H85" i="47" s="1"/>
  <c r="B106" i="47"/>
  <c r="B79" i="47"/>
  <c r="F79" i="47" s="1"/>
  <c r="B93" i="47"/>
  <c r="B95" i="47"/>
  <c r="B84" i="47"/>
  <c r="H84" i="47" s="1"/>
  <c r="B101" i="47"/>
  <c r="B89" i="47"/>
  <c r="J89" i="47" s="1"/>
  <c r="B109" i="47"/>
  <c r="B105" i="47"/>
  <c r="B88" i="47"/>
  <c r="CP36" i="44"/>
  <c r="DW36" i="44"/>
  <c r="DF36" i="44"/>
  <c r="FM36" i="44"/>
  <c r="GH36" i="44"/>
  <c r="DQ36" i="44"/>
  <c r="DO36" i="44"/>
  <c r="FS36" i="44"/>
  <c r="CZ36" i="44"/>
  <c r="G36" i="44"/>
  <c r="EL36" i="44"/>
  <c r="EW36" i="44"/>
  <c r="CK36" i="44"/>
  <c r="GD36" i="44"/>
  <c r="GJ36" i="44"/>
  <c r="GN36" i="44"/>
  <c r="U36" i="44"/>
  <c r="AF36" i="44"/>
  <c r="V36" i="44"/>
  <c r="GP36" i="44"/>
  <c r="FI36" i="44"/>
  <c r="CW36" i="44"/>
  <c r="X36" i="44"/>
  <c r="H36" i="44"/>
  <c r="FN36" i="44"/>
  <c r="ET36" i="44"/>
  <c r="EY36" i="44"/>
  <c r="BW36" i="44"/>
  <c r="FX36" i="44"/>
  <c r="FZ36" i="44"/>
  <c r="AH36" i="44"/>
  <c r="BX36" i="44"/>
  <c r="R36" i="44"/>
  <c r="L36" i="44"/>
  <c r="GM36" i="44"/>
  <c r="DM36" i="44"/>
  <c r="FO36" i="44"/>
  <c r="GK36" i="44"/>
  <c r="I36" i="44"/>
  <c r="CJ36" i="44"/>
  <c r="DS36" i="44"/>
  <c r="FD36" i="44"/>
  <c r="EJ36" i="44"/>
  <c r="GQ36" i="44"/>
  <c r="EP36" i="44"/>
  <c r="DL36" i="44"/>
  <c r="J36" i="44"/>
  <c r="GG36" i="44"/>
  <c r="CT36" i="44"/>
  <c r="DP36" i="44"/>
  <c r="FV36" i="44"/>
  <c r="ES36" i="44"/>
  <c r="CG36" i="44"/>
  <c r="EF36" i="44"/>
  <c r="DE36" i="44"/>
  <c r="FU36" i="44"/>
  <c r="Y36" i="44"/>
  <c r="ER36" i="44"/>
  <c r="FY36" i="44"/>
  <c r="CA36" i="44"/>
  <c r="DY36" i="44"/>
  <c r="CM36" i="44"/>
  <c r="BY36" i="44"/>
  <c r="EC36" i="44"/>
  <c r="CR36" i="44"/>
  <c r="M36" i="44"/>
  <c r="CF36" i="44"/>
  <c r="AD36" i="44"/>
  <c r="EU36" i="44"/>
  <c r="W36" i="44"/>
  <c r="EO36" i="44"/>
  <c r="DJ36" i="44"/>
  <c r="AI36" i="44"/>
  <c r="FE36" i="44"/>
  <c r="EV36" i="44"/>
  <c r="AA36" i="44"/>
  <c r="DB36" i="44"/>
  <c r="CV36" i="44"/>
  <c r="Z36" i="44"/>
  <c r="CH36" i="44"/>
  <c r="CX36" i="44"/>
  <c r="CU36" i="44"/>
  <c r="GB36" i="44"/>
  <c r="CQ36" i="44"/>
  <c r="FK36" i="44"/>
  <c r="CY36" i="44"/>
  <c r="EK36" i="44"/>
  <c r="EM36" i="44"/>
  <c r="EI36" i="44"/>
  <c r="EN36" i="44"/>
  <c r="FB36" i="44"/>
  <c r="DH36" i="44"/>
  <c r="DN36" i="44"/>
  <c r="FR36" i="44"/>
  <c r="DR36" i="44"/>
  <c r="CS36" i="44"/>
  <c r="GC36" i="44"/>
  <c r="CO36" i="44"/>
  <c r="FW36" i="44"/>
  <c r="FT36" i="44"/>
  <c r="GO36" i="44"/>
  <c r="CL36" i="44"/>
  <c r="DI36" i="44"/>
  <c r="CC36" i="44"/>
  <c r="CN36" i="44"/>
  <c r="AB36" i="44"/>
  <c r="GE36" i="44"/>
  <c r="BZ36" i="44"/>
  <c r="FJ36" i="44"/>
  <c r="FF36" i="44"/>
  <c r="EE36" i="44"/>
  <c r="P36" i="44"/>
  <c r="EQ36" i="44"/>
  <c r="GL36" i="44"/>
  <c r="AE36" i="44"/>
  <c r="DK36" i="44"/>
  <c r="GI36" i="44"/>
  <c r="GF36" i="44"/>
  <c r="DA36" i="44"/>
  <c r="DC36" i="44"/>
  <c r="CB36" i="44"/>
  <c r="GS36" i="44"/>
  <c r="EX36" i="44"/>
  <c r="DD36" i="44"/>
  <c r="CE36" i="44"/>
  <c r="DT36" i="44"/>
  <c r="S36" i="44"/>
  <c r="FP36" i="44"/>
  <c r="EB36" i="44"/>
  <c r="GA36" i="44"/>
  <c r="FG36" i="44"/>
  <c r="AC36" i="44"/>
  <c r="GR36" i="44"/>
  <c r="BT36" i="44"/>
  <c r="O36" i="44"/>
  <c r="DV36" i="44"/>
  <c r="FH36" i="44"/>
  <c r="DZ36" i="44"/>
  <c r="DU36" i="44"/>
  <c r="FA36" i="44"/>
  <c r="DG36" i="44"/>
  <c r="CD36" i="44"/>
  <c r="EZ36" i="44"/>
  <c r="FC36" i="44"/>
  <c r="EH36" i="44"/>
  <c r="CI36" i="44"/>
  <c r="GT36" i="44"/>
  <c r="FQ36" i="44"/>
  <c r="FL36" i="44"/>
  <c r="DJ37" i="44"/>
  <c r="CM37" i="44"/>
  <c r="CS37" i="44"/>
  <c r="AA37" i="44"/>
  <c r="GF37" i="44"/>
  <c r="GC37" i="44"/>
  <c r="GQ37" i="44"/>
  <c r="FC37" i="44"/>
  <c r="J37" i="44"/>
  <c r="DW37" i="44"/>
  <c r="EK37" i="44"/>
  <c r="GP37" i="44"/>
  <c r="DQ37" i="44"/>
  <c r="GT37" i="44"/>
  <c r="CR37" i="44"/>
  <c r="CV37" i="44"/>
  <c r="CC37" i="44"/>
  <c r="ER37" i="44"/>
  <c r="W37" i="44"/>
  <c r="FK37" i="44"/>
  <c r="DG37" i="44"/>
  <c r="DU37" i="44"/>
  <c r="BY37" i="44"/>
  <c r="FN37" i="44"/>
  <c r="CX37" i="44"/>
  <c r="CN37" i="44"/>
  <c r="ET37" i="44"/>
  <c r="GO37" i="44"/>
  <c r="GR37" i="44"/>
  <c r="CO37" i="44"/>
  <c r="EI37" i="44"/>
  <c r="H37" i="44"/>
  <c r="EY37" i="44"/>
  <c r="FL37" i="44"/>
  <c r="AH37" i="44"/>
  <c r="BZ37" i="44"/>
  <c r="V37" i="44"/>
  <c r="EW37" i="44"/>
  <c r="EJ37" i="44"/>
  <c r="L37" i="44"/>
  <c r="FA37" i="44"/>
  <c r="DP37" i="44"/>
  <c r="Y37" i="44"/>
  <c r="DR37" i="44"/>
  <c r="FB37" i="44"/>
  <c r="FF37" i="44"/>
  <c r="GL37" i="44"/>
  <c r="EH37" i="44"/>
  <c r="EB37" i="44"/>
  <c r="CD37" i="44"/>
  <c r="CY37" i="44"/>
  <c r="EC37" i="44"/>
  <c r="EX37" i="44"/>
  <c r="AE37" i="44"/>
  <c r="CA37" i="44"/>
  <c r="EF37" i="44"/>
  <c r="GH37" i="44"/>
  <c r="BX37" i="44"/>
  <c r="DK37" i="44"/>
  <c r="EU37" i="44"/>
  <c r="FT37" i="44"/>
  <c r="FO37" i="44"/>
  <c r="FG37" i="44"/>
  <c r="P37" i="44"/>
  <c r="FD37" i="44"/>
  <c r="GD37" i="44"/>
  <c r="FU37" i="44"/>
  <c r="DE37" i="44"/>
  <c r="FS37" i="44"/>
  <c r="DC37" i="44"/>
  <c r="CW37" i="44"/>
  <c r="CQ37" i="44"/>
  <c r="DZ37" i="44"/>
  <c r="GM37" i="44"/>
  <c r="FX37" i="44"/>
  <c r="CZ37" i="44"/>
  <c r="DV37" i="44"/>
  <c r="DN37" i="44"/>
  <c r="DI37" i="44"/>
  <c r="GJ37" i="44"/>
  <c r="DO37" i="44"/>
  <c r="EM37" i="44"/>
  <c r="FP37" i="44"/>
  <c r="M37" i="44"/>
  <c r="CB37" i="44"/>
  <c r="EO37" i="44"/>
  <c r="FW37" i="44"/>
  <c r="CG37" i="44"/>
  <c r="FZ37" i="44"/>
  <c r="AD37" i="44"/>
  <c r="AI37" i="44"/>
  <c r="DD37" i="44"/>
  <c r="CE37" i="44"/>
  <c r="S37" i="44"/>
  <c r="BW37" i="44"/>
  <c r="DA37" i="44"/>
  <c r="CH37" i="44"/>
  <c r="CT37" i="44"/>
  <c r="U37" i="44"/>
  <c r="DB37" i="44"/>
  <c r="FJ37" i="44"/>
  <c r="EQ37" i="44"/>
  <c r="FM37" i="44"/>
  <c r="GI37" i="44"/>
  <c r="Z37" i="44"/>
  <c r="DL37" i="44"/>
  <c r="X37" i="44"/>
  <c r="AF37" i="44"/>
  <c r="FY37" i="44"/>
  <c r="BT37" i="44"/>
  <c r="EL37" i="44"/>
  <c r="GS37" i="44"/>
  <c r="CF37" i="44"/>
  <c r="DH37" i="44"/>
  <c r="CP37" i="44"/>
  <c r="CK37" i="44"/>
  <c r="DT37" i="44"/>
  <c r="AB37" i="44"/>
  <c r="EP37" i="44"/>
  <c r="FI37" i="44"/>
  <c r="CL37" i="44"/>
  <c r="GA37" i="44"/>
  <c r="FR37" i="44"/>
  <c r="DF37" i="44"/>
  <c r="GK37" i="44"/>
  <c r="DM37" i="44"/>
  <c r="DS37" i="44"/>
  <c r="FH37" i="44"/>
  <c r="GN37" i="44"/>
  <c r="DY37" i="44"/>
  <c r="GG37" i="44"/>
  <c r="EE37" i="44"/>
  <c r="EZ37" i="44"/>
  <c r="R37" i="44"/>
  <c r="EN37" i="44"/>
  <c r="CU37" i="44"/>
  <c r="FV37" i="44"/>
  <c r="G37" i="44"/>
  <c r="O37" i="44"/>
  <c r="I37" i="44"/>
  <c r="FE37" i="44"/>
  <c r="CI37" i="44"/>
  <c r="FQ37" i="44"/>
  <c r="AC37" i="44"/>
  <c r="GB37" i="44"/>
  <c r="CJ37" i="44"/>
  <c r="EV37" i="44"/>
  <c r="GE37" i="44"/>
  <c r="ES37" i="44"/>
  <c r="GB16" i="46"/>
  <c r="DA16" i="46"/>
  <c r="AD16" i="46"/>
  <c r="EL16" i="46"/>
  <c r="S16" i="46"/>
  <c r="GS16" i="46"/>
  <c r="GT16" i="46"/>
  <c r="GI16" i="46"/>
  <c r="GM16" i="46"/>
  <c r="FK16" i="46"/>
  <c r="DR16" i="46"/>
  <c r="GK16" i="46"/>
  <c r="GP16" i="46"/>
  <c r="M16" i="46"/>
  <c r="DJ16" i="46"/>
  <c r="CE16" i="46"/>
  <c r="GD16" i="46"/>
  <c r="FB16" i="46"/>
  <c r="DH16" i="46"/>
  <c r="FZ16" i="46"/>
  <c r="EK16" i="46"/>
  <c r="FJ16" i="46"/>
  <c r="EJ16" i="46"/>
  <c r="ER16" i="46"/>
  <c r="DN16" i="46"/>
  <c r="Z16" i="46"/>
  <c r="DZ16" i="46"/>
  <c r="BT16" i="46"/>
  <c r="EV16" i="46"/>
  <c r="G16" i="46"/>
  <c r="DL16" i="46"/>
  <c r="CZ16" i="46"/>
  <c r="GG16" i="46"/>
  <c r="FH16" i="46"/>
  <c r="EQ16" i="46"/>
  <c r="O16" i="46"/>
  <c r="CG16" i="46"/>
  <c r="CF16" i="46"/>
  <c r="FE16" i="46"/>
  <c r="DQ16" i="46"/>
  <c r="EZ16" i="46"/>
  <c r="EH16" i="46"/>
  <c r="GO16" i="46"/>
  <c r="BW16" i="46"/>
  <c r="GJ16" i="46"/>
  <c r="AF16" i="46"/>
  <c r="EU16" i="46"/>
  <c r="EC16" i="46"/>
  <c r="AI16" i="46"/>
  <c r="GR16" i="46"/>
  <c r="FI16" i="46"/>
  <c r="BY16" i="46"/>
  <c r="DG16" i="46"/>
  <c r="U16" i="46"/>
  <c r="CT16" i="46"/>
  <c r="EY16" i="46"/>
  <c r="CM16" i="46"/>
  <c r="R16" i="46"/>
  <c r="EX16" i="46"/>
  <c r="FX16" i="46"/>
  <c r="DF16" i="46"/>
  <c r="EB16" i="46"/>
  <c r="FV16" i="46"/>
  <c r="FS16" i="46"/>
  <c r="DP16" i="46"/>
  <c r="FY16" i="46"/>
  <c r="GC16" i="46"/>
  <c r="CK16" i="46"/>
  <c r="CO16" i="46"/>
  <c r="FP16" i="46"/>
  <c r="CX16" i="46"/>
  <c r="DE16" i="46"/>
  <c r="CI16" i="46"/>
  <c r="FW16" i="46"/>
  <c r="Y16" i="46"/>
  <c r="DI16" i="46"/>
  <c r="EP16" i="46"/>
  <c r="CP16" i="46"/>
  <c r="DD16" i="46"/>
  <c r="CC16" i="46"/>
  <c r="FO16" i="46"/>
  <c r="CR16" i="46"/>
  <c r="AE16" i="46"/>
  <c r="DY16" i="46"/>
  <c r="FU16" i="46"/>
  <c r="CH16" i="46"/>
  <c r="CJ16" i="46"/>
  <c r="EE16" i="46"/>
  <c r="DS16" i="46"/>
  <c r="CW16" i="46"/>
  <c r="EW16" i="46"/>
  <c r="FL16" i="46"/>
  <c r="BZ16" i="46"/>
  <c r="BX16" i="46"/>
  <c r="FQ16" i="46"/>
  <c r="AA16" i="46"/>
  <c r="DB16" i="46"/>
  <c r="I16" i="46"/>
  <c r="L16" i="46"/>
  <c r="DW16" i="46"/>
  <c r="FN16" i="46"/>
  <c r="CQ16" i="46"/>
  <c r="DM16" i="46"/>
  <c r="DK16" i="46"/>
  <c r="FG16" i="46"/>
  <c r="DT16" i="46"/>
  <c r="FC16" i="46"/>
  <c r="AC16" i="46"/>
  <c r="EI16" i="46"/>
  <c r="P16" i="46"/>
  <c r="GQ16" i="46"/>
  <c r="CA16" i="46"/>
  <c r="GN16" i="46"/>
  <c r="FF16" i="46"/>
  <c r="DU16" i="46"/>
  <c r="DC16" i="46"/>
  <c r="CU16" i="46"/>
  <c r="CS16" i="46"/>
  <c r="AH16" i="46"/>
  <c r="DO16" i="46"/>
  <c r="GE16" i="46"/>
  <c r="FA16" i="46"/>
  <c r="EO16" i="46"/>
  <c r="CN16" i="46"/>
  <c r="CY16" i="46"/>
  <c r="FR16" i="46"/>
  <c r="EM16" i="46"/>
  <c r="ES16" i="46"/>
  <c r="ET16" i="46"/>
  <c r="FD16" i="46"/>
  <c r="FM16" i="46"/>
  <c r="AB16" i="46"/>
  <c r="CV16" i="46"/>
  <c r="X16" i="46"/>
  <c r="GH16" i="46"/>
  <c r="V16" i="46"/>
  <c r="CL16" i="46"/>
  <c r="H16" i="46"/>
  <c r="J16" i="46"/>
  <c r="CB16" i="46"/>
  <c r="W16" i="46"/>
  <c r="GL16" i="46"/>
  <c r="GA16" i="46"/>
  <c r="CD16" i="46"/>
  <c r="FT16" i="46"/>
  <c r="EF16" i="46"/>
  <c r="GF16" i="46"/>
  <c r="DV16" i="46"/>
  <c r="EN16" i="46"/>
  <c r="CE12" i="44"/>
  <c r="DL12" i="44"/>
  <c r="CQ12" i="44"/>
  <c r="FJ12" i="44"/>
  <c r="FP12" i="44"/>
  <c r="CL12" i="44"/>
  <c r="G12" i="44"/>
  <c r="CM12" i="44"/>
  <c r="DT12" i="44"/>
  <c r="CY12" i="44"/>
  <c r="FR12" i="44"/>
  <c r="GE12" i="44"/>
  <c r="DR12" i="44"/>
  <c r="S12" i="44"/>
  <c r="CU12" i="44"/>
  <c r="EC12" i="44"/>
  <c r="DG12" i="44"/>
  <c r="FY12" i="44"/>
  <c r="BZ12" i="44"/>
  <c r="EO12" i="44"/>
  <c r="AE12" i="44"/>
  <c r="DC12" i="44"/>
  <c r="EM12" i="44"/>
  <c r="DO12" i="44"/>
  <c r="GG12" i="44"/>
  <c r="DF12" i="44"/>
  <c r="FH12" i="44"/>
  <c r="H12" i="44"/>
  <c r="DK12" i="44"/>
  <c r="EX12" i="44"/>
  <c r="DW12" i="44"/>
  <c r="GO12" i="44"/>
  <c r="EJ12" i="44"/>
  <c r="FX12" i="44"/>
  <c r="V12" i="44"/>
  <c r="EU12" i="44"/>
  <c r="AI12" i="44"/>
  <c r="DS12" i="44"/>
  <c r="FF12" i="44"/>
  <c r="EH12" i="44"/>
  <c r="CT12" i="44"/>
  <c r="FC12" i="44"/>
  <c r="GM12" i="44"/>
  <c r="AF12" i="44"/>
  <c r="EB12" i="44"/>
  <c r="FN12" i="44"/>
  <c r="EP12" i="44"/>
  <c r="DZ12" i="44"/>
  <c r="FS12" i="44"/>
  <c r="FK12" i="44"/>
  <c r="I12" i="44"/>
  <c r="EW12" i="44"/>
  <c r="GC12" i="44"/>
  <c r="FI12" i="44"/>
  <c r="FL12" i="44"/>
  <c r="CD12" i="44"/>
  <c r="CP12" i="44"/>
  <c r="L12" i="44"/>
  <c r="FM12" i="44"/>
  <c r="GS12" i="44"/>
  <c r="GF12" i="44"/>
  <c r="GQ12" i="44"/>
  <c r="EK12" i="44"/>
  <c r="U12" i="44"/>
  <c r="M12" i="44"/>
  <c r="FU12" i="44"/>
  <c r="BY12" i="44"/>
  <c r="GN12" i="44"/>
  <c r="CX12" i="44"/>
  <c r="FD12" i="44"/>
  <c r="AA12" i="44"/>
  <c r="AD12" i="44"/>
  <c r="CF12" i="44"/>
  <c r="DH12" i="44"/>
  <c r="EN12" i="44"/>
  <c r="CN12" i="44"/>
  <c r="DP12" i="44"/>
  <c r="FG12" i="44"/>
  <c r="AC12" i="44"/>
  <c r="DI12" i="44"/>
  <c r="Z12" i="44"/>
  <c r="GR12" i="44"/>
  <c r="DB12" i="44"/>
  <c r="ER12" i="44"/>
  <c r="EF12" i="44"/>
  <c r="CB12" i="44"/>
  <c r="CV12" i="44"/>
  <c r="EI12" i="44"/>
  <c r="FW12" i="44"/>
  <c r="FV12" i="44"/>
  <c r="GD12" i="44"/>
  <c r="DM12" i="44"/>
  <c r="R12" i="44"/>
  <c r="FT12" i="44"/>
  <c r="BT12" i="44"/>
  <c r="CR12" i="44"/>
  <c r="DD12" i="44"/>
  <c r="FB12" i="44"/>
  <c r="GL12" i="44"/>
  <c r="ET12" i="44"/>
  <c r="FZ12" i="44"/>
  <c r="DY12" i="44"/>
  <c r="Y12" i="44"/>
  <c r="DU12" i="44"/>
  <c r="CA12" i="44"/>
  <c r="GK12" i="44"/>
  <c r="GA12" i="44"/>
  <c r="J12" i="44"/>
  <c r="DA12" i="44"/>
  <c r="DQ12" i="44"/>
  <c r="GJ12" i="44"/>
  <c r="CC12" i="44"/>
  <c r="CG12" i="44"/>
  <c r="EE12" i="44"/>
  <c r="DV12" i="44"/>
  <c r="CW12" i="44"/>
  <c r="DE12" i="44"/>
  <c r="AH12" i="44"/>
  <c r="CK12" i="44"/>
  <c r="CO12" i="44"/>
  <c r="EY12" i="44"/>
  <c r="ES12" i="44"/>
  <c r="CS12" i="44"/>
  <c r="FO12" i="44"/>
  <c r="P12" i="44"/>
  <c r="GT12" i="44"/>
  <c r="GP12" i="44"/>
  <c r="GI12" i="44"/>
  <c r="O12" i="44"/>
  <c r="CJ12" i="44"/>
  <c r="CH12" i="44"/>
  <c r="EQ12" i="44"/>
  <c r="BW12" i="44"/>
  <c r="CI12" i="44"/>
  <c r="EZ12" i="44"/>
  <c r="AB12" i="44"/>
  <c r="EL12" i="44"/>
  <c r="FA12" i="44"/>
  <c r="GH12" i="44"/>
  <c r="W12" i="44"/>
  <c r="FE12" i="44"/>
  <c r="FQ12" i="44"/>
  <c r="DJ12" i="44"/>
  <c r="X12" i="44"/>
  <c r="GB12" i="44"/>
  <c r="BX12" i="44"/>
  <c r="CZ12" i="44"/>
  <c r="DN12" i="44"/>
  <c r="EV12" i="44"/>
  <c r="CS15" i="46"/>
  <c r="DL15" i="46"/>
  <c r="CU15" i="46"/>
  <c r="CD15" i="46"/>
  <c r="FV15" i="46"/>
  <c r="DA15" i="46"/>
  <c r="CN15" i="46"/>
  <c r="G15" i="46"/>
  <c r="U15" i="46"/>
  <c r="CM15" i="46"/>
  <c r="AH15" i="46"/>
  <c r="FJ15" i="46"/>
  <c r="CQ15" i="46"/>
  <c r="AE15" i="46"/>
  <c r="GL15" i="46"/>
  <c r="DH15" i="46"/>
  <c r="CB15" i="46"/>
  <c r="P15" i="46"/>
  <c r="GH15" i="46"/>
  <c r="DN15" i="46"/>
  <c r="H15" i="46"/>
  <c r="FG15" i="46"/>
  <c r="DO15" i="46"/>
  <c r="FU15" i="46"/>
  <c r="EB15" i="46"/>
  <c r="L15" i="46"/>
  <c r="CG15" i="46"/>
  <c r="EO15" i="46"/>
  <c r="CC15" i="46"/>
  <c r="CW15" i="46"/>
  <c r="ES15" i="46"/>
  <c r="EM15" i="46"/>
  <c r="CT15" i="46"/>
  <c r="EN15" i="46"/>
  <c r="FK15" i="46"/>
  <c r="AB15" i="46"/>
  <c r="DS15" i="46"/>
  <c r="DD15" i="46"/>
  <c r="GM15" i="46"/>
  <c r="GI15" i="46"/>
  <c r="EC15" i="46"/>
  <c r="CL15" i="46"/>
  <c r="DY15" i="46"/>
  <c r="ER15" i="46"/>
  <c r="J15" i="46"/>
  <c r="EX15" i="46"/>
  <c r="AC15" i="46"/>
  <c r="DV15" i="46"/>
  <c r="DC15" i="46"/>
  <c r="GT15" i="46"/>
  <c r="CH15" i="46"/>
  <c r="CO15" i="46"/>
  <c r="FF15" i="46"/>
  <c r="BT15" i="46"/>
  <c r="FQ15" i="46"/>
  <c r="GJ15" i="46"/>
  <c r="EE15" i="46"/>
  <c r="GE15" i="46"/>
  <c r="FH15" i="46"/>
  <c r="AA15" i="46"/>
  <c r="EU15" i="46"/>
  <c r="FM15" i="46"/>
  <c r="FB15" i="46"/>
  <c r="DW15" i="46"/>
  <c r="EJ15" i="46"/>
  <c r="X15" i="46"/>
  <c r="FI15" i="46"/>
  <c r="EH15" i="46"/>
  <c r="FE15" i="46"/>
  <c r="EP15" i="46"/>
  <c r="DM15" i="46"/>
  <c r="DQ15" i="46"/>
  <c r="DI15" i="46"/>
  <c r="BX15" i="46"/>
  <c r="EW15" i="46"/>
  <c r="DP15" i="46"/>
  <c r="AF15" i="46"/>
  <c r="CY15" i="46"/>
  <c r="FA15" i="46"/>
  <c r="FO15" i="46"/>
  <c r="FL15" i="46"/>
  <c r="GD15" i="46"/>
  <c r="CK15" i="46"/>
  <c r="DZ15" i="46"/>
  <c r="DK15" i="46"/>
  <c r="DF15" i="46"/>
  <c r="V15" i="46"/>
  <c r="CI15" i="46"/>
  <c r="FP15" i="46"/>
  <c r="O15" i="46"/>
  <c r="CE15" i="46"/>
  <c r="CV15" i="46"/>
  <c r="GA15" i="46"/>
  <c r="FR15" i="46"/>
  <c r="BW15" i="46"/>
  <c r="AD15" i="46"/>
  <c r="BZ15" i="46"/>
  <c r="BY15" i="46"/>
  <c r="EI15" i="46"/>
  <c r="GR15" i="46"/>
  <c r="EV15" i="46"/>
  <c r="EZ15" i="46"/>
  <c r="EF15" i="46"/>
  <c r="ET15" i="46"/>
  <c r="FX15" i="46"/>
  <c r="CJ15" i="46"/>
  <c r="DG15" i="46"/>
  <c r="FC15" i="46"/>
  <c r="CX15" i="46"/>
  <c r="CR15" i="46"/>
  <c r="CA15" i="46"/>
  <c r="R15" i="46"/>
  <c r="EQ15" i="46"/>
  <c r="FD15" i="46"/>
  <c r="DE15" i="46"/>
  <c r="CZ15" i="46"/>
  <c r="Z15" i="46"/>
  <c r="GG15" i="46"/>
  <c r="S15" i="46"/>
  <c r="GB15" i="46"/>
  <c r="GP15" i="46"/>
  <c r="GQ15" i="46"/>
  <c r="CF15" i="46"/>
  <c r="DU15" i="46"/>
  <c r="EY15" i="46"/>
  <c r="FT15" i="46"/>
  <c r="GF15" i="46"/>
  <c r="FZ15" i="46"/>
  <c r="Y15" i="46"/>
  <c r="GS15" i="46"/>
  <c r="AI15" i="46"/>
  <c r="EL15" i="46"/>
  <c r="W15" i="46"/>
  <c r="M15" i="46"/>
  <c r="DR15" i="46"/>
  <c r="I15" i="46"/>
  <c r="GN15" i="46"/>
  <c r="DJ15" i="46"/>
  <c r="GO15" i="46"/>
  <c r="FY15" i="46"/>
  <c r="DB15" i="46"/>
  <c r="FS15" i="46"/>
  <c r="DT15" i="46"/>
  <c r="CP15" i="46"/>
  <c r="GK15" i="46"/>
  <c r="EK15" i="46"/>
  <c r="GC15" i="46"/>
  <c r="FW15" i="46"/>
  <c r="FN15" i="46"/>
  <c r="BT30" i="46"/>
  <c r="EU30" i="46"/>
  <c r="EV30" i="46"/>
  <c r="AI30" i="46"/>
  <c r="FY23" i="44"/>
  <c r="CT23" i="44"/>
  <c r="GS23" i="44"/>
  <c r="CI23" i="44"/>
  <c r="EH23" i="44"/>
  <c r="CA23" i="44"/>
  <c r="R23" i="44"/>
  <c r="BY23" i="44"/>
  <c r="GG23" i="44"/>
  <c r="DB23" i="44"/>
  <c r="CE23" i="44"/>
  <c r="DF23" i="44"/>
  <c r="EZ23" i="44"/>
  <c r="AB23" i="44"/>
  <c r="GQ23" i="44"/>
  <c r="CG23" i="44"/>
  <c r="GO23" i="44"/>
  <c r="DJ23" i="44"/>
  <c r="CY23" i="44"/>
  <c r="EC23" i="44"/>
  <c r="FM23" i="44"/>
  <c r="CX23" i="44"/>
  <c r="S23" i="44"/>
  <c r="AI23" i="44"/>
  <c r="CO23" i="44"/>
  <c r="CC23" i="44"/>
  <c r="DR23" i="44"/>
  <c r="DV23" i="44"/>
  <c r="EW23" i="44"/>
  <c r="GL23" i="44"/>
  <c r="H23" i="44"/>
  <c r="AA23" i="44"/>
  <c r="CW23" i="44"/>
  <c r="CK23" i="44"/>
  <c r="EB23" i="44"/>
  <c r="EP23" i="44"/>
  <c r="FI23" i="44"/>
  <c r="BW23" i="44"/>
  <c r="U23" i="44"/>
  <c r="DE23" i="44"/>
  <c r="CS23" i="44"/>
  <c r="EK23" i="44"/>
  <c r="FG23" i="44"/>
  <c r="FW23" i="44"/>
  <c r="CQ23" i="44"/>
  <c r="AF23" i="44"/>
  <c r="DM23" i="44"/>
  <c r="DA23" i="44"/>
  <c r="BX23" i="44"/>
  <c r="FT23" i="44"/>
  <c r="GI23" i="44"/>
  <c r="DN23" i="44"/>
  <c r="Y23" i="44"/>
  <c r="EE23" i="44"/>
  <c r="DQ23" i="44"/>
  <c r="CN23" i="44"/>
  <c r="GR23" i="44"/>
  <c r="CM23" i="44"/>
  <c r="FA23" i="44"/>
  <c r="I23" i="44"/>
  <c r="BT23" i="44"/>
  <c r="CJ23" i="44"/>
  <c r="EJ23" i="44"/>
  <c r="DD23" i="44"/>
  <c r="DC23" i="44"/>
  <c r="EF23" i="44"/>
  <c r="GA23" i="44"/>
  <c r="AD23" i="44"/>
  <c r="EV23" i="44"/>
  <c r="CR23" i="44"/>
  <c r="ES23" i="44"/>
  <c r="DL23" i="44"/>
  <c r="DW23" i="44"/>
  <c r="EY23" i="44"/>
  <c r="GM23" i="44"/>
  <c r="EO23" i="44"/>
  <c r="GH23" i="44"/>
  <c r="GT23" i="44"/>
  <c r="FD23" i="44"/>
  <c r="GP23" i="44"/>
  <c r="O23" i="44"/>
  <c r="FP23" i="44"/>
  <c r="DY23" i="44"/>
  <c r="FQ23" i="44"/>
  <c r="FC23" i="44"/>
  <c r="DO23" i="44"/>
  <c r="FN23" i="44"/>
  <c r="FH23" i="44"/>
  <c r="FS23" i="44"/>
  <c r="CD23" i="44"/>
  <c r="W23" i="44"/>
  <c r="GB23" i="44"/>
  <c r="CF23" i="44"/>
  <c r="DS23" i="44"/>
  <c r="FF23" i="44"/>
  <c r="CP23" i="44"/>
  <c r="ET23" i="44"/>
  <c r="CL23" i="44"/>
  <c r="AE23" i="44"/>
  <c r="GN23" i="44"/>
  <c r="DU23" i="44"/>
  <c r="P23" i="44"/>
  <c r="EU23" i="44"/>
  <c r="AH23" i="44"/>
  <c r="GC23" i="44"/>
  <c r="CB23" i="44"/>
  <c r="CV23" i="44"/>
  <c r="DG23" i="44"/>
  <c r="V23" i="44"/>
  <c r="L23" i="44"/>
  <c r="M23" i="44"/>
  <c r="ER23" i="44"/>
  <c r="CZ23" i="44"/>
  <c r="DT23" i="44"/>
  <c r="FL23" i="44"/>
  <c r="J23" i="44"/>
  <c r="EX23" i="44"/>
  <c r="FE23" i="44"/>
  <c r="EI23" i="44"/>
  <c r="FV23" i="44"/>
  <c r="Z23" i="44"/>
  <c r="FU23" i="44"/>
  <c r="EQ23" i="44"/>
  <c r="DH23" i="44"/>
  <c r="EM23" i="44"/>
  <c r="FX23" i="44"/>
  <c r="X23" i="44"/>
  <c r="DP23" i="44"/>
  <c r="GJ23" i="44"/>
  <c r="G23" i="44"/>
  <c r="FB23" i="44"/>
  <c r="FJ23" i="44"/>
  <c r="CU23" i="44"/>
  <c r="AC23" i="44"/>
  <c r="FK23" i="44"/>
  <c r="FR23" i="44"/>
  <c r="GK23" i="44"/>
  <c r="DK23" i="44"/>
  <c r="GD23" i="44"/>
  <c r="DI23" i="44"/>
  <c r="GE23" i="44"/>
  <c r="EL23" i="44"/>
  <c r="DZ23" i="44"/>
  <c r="CH23" i="44"/>
  <c r="FO23" i="44"/>
  <c r="BZ23" i="44"/>
  <c r="EN23" i="44"/>
  <c r="GF23" i="44"/>
  <c r="FZ23" i="44"/>
  <c r="EU10" i="44"/>
  <c r="DJ10" i="44"/>
  <c r="FD10" i="44"/>
  <c r="GJ10" i="44"/>
  <c r="CQ10" i="44"/>
  <c r="GK10" i="44"/>
  <c r="GC10" i="44"/>
  <c r="AE10" i="44"/>
  <c r="DR10" i="44"/>
  <c r="FL10" i="44"/>
  <c r="GR10" i="44"/>
  <c r="CY10" i="44"/>
  <c r="CS10" i="44"/>
  <c r="DM10" i="44"/>
  <c r="H10" i="44"/>
  <c r="DZ10" i="44"/>
  <c r="FT10" i="44"/>
  <c r="BZ10" i="44"/>
  <c r="DG10" i="44"/>
  <c r="DY10" i="44"/>
  <c r="EX10" i="44"/>
  <c r="V10" i="44"/>
  <c r="CB10" i="44"/>
  <c r="EJ10" i="44"/>
  <c r="GA10" i="44"/>
  <c r="CH10" i="44"/>
  <c r="DO10" i="44"/>
  <c r="FJ10" i="44"/>
  <c r="J10" i="44"/>
  <c r="AF10" i="44"/>
  <c r="AI10" i="44"/>
  <c r="CJ10" i="44"/>
  <c r="ES10" i="44"/>
  <c r="GI10" i="44"/>
  <c r="CP10" i="44"/>
  <c r="DW10" i="44"/>
  <c r="GO10" i="44"/>
  <c r="U10" i="44"/>
  <c r="I10" i="44"/>
  <c r="CR10" i="44"/>
  <c r="FC10" i="44"/>
  <c r="GQ10" i="44"/>
  <c r="CX10" i="44"/>
  <c r="EF10" i="44"/>
  <c r="CW10" i="44"/>
  <c r="AA10" i="44"/>
  <c r="W10" i="44"/>
  <c r="CZ10" i="44"/>
  <c r="FK10" i="44"/>
  <c r="BX10" i="44"/>
  <c r="DF10" i="44"/>
  <c r="EO10" i="44"/>
  <c r="EC10" i="44"/>
  <c r="O10" i="44"/>
  <c r="DP10" i="44"/>
  <c r="FZ10" i="44"/>
  <c r="CN10" i="44"/>
  <c r="DV10" i="44"/>
  <c r="FH10" i="44"/>
  <c r="GS10" i="44"/>
  <c r="AH10" i="44"/>
  <c r="EP10" i="44"/>
  <c r="GP10" i="44"/>
  <c r="DD10" i="44"/>
  <c r="EN10" i="44"/>
  <c r="FX10" i="44"/>
  <c r="EI10" i="44"/>
  <c r="L10" i="44"/>
  <c r="FA10" i="44"/>
  <c r="BW10" i="44"/>
  <c r="DL10" i="44"/>
  <c r="EY10" i="44"/>
  <c r="GE10" i="44"/>
  <c r="FR10" i="44"/>
  <c r="AD10" i="44"/>
  <c r="CD10" i="44"/>
  <c r="FE10" i="44"/>
  <c r="GG10" i="44"/>
  <c r="R10" i="44"/>
  <c r="CL10" i="44"/>
  <c r="FM10" i="44"/>
  <c r="CO10" i="44"/>
  <c r="AB10" i="44"/>
  <c r="GL10" i="44"/>
  <c r="FY10" i="44"/>
  <c r="M10" i="44"/>
  <c r="CT10" i="44"/>
  <c r="FU10" i="44"/>
  <c r="DU10" i="44"/>
  <c r="G10" i="44"/>
  <c r="FS10" i="44"/>
  <c r="FN10" i="44"/>
  <c r="CA10" i="44"/>
  <c r="DB10" i="44"/>
  <c r="GB10" i="44"/>
  <c r="FF10" i="44"/>
  <c r="S10" i="44"/>
  <c r="DN10" i="44"/>
  <c r="ER10" i="44"/>
  <c r="GF10" i="44"/>
  <c r="EK10" i="44"/>
  <c r="GH10" i="44"/>
  <c r="EE10" i="44"/>
  <c r="DA10" i="44"/>
  <c r="FV10" i="44"/>
  <c r="DI10" i="44"/>
  <c r="DT10" i="44"/>
  <c r="CK10" i="44"/>
  <c r="P10" i="44"/>
  <c r="CE10" i="44"/>
  <c r="FG10" i="44"/>
  <c r="BY10" i="44"/>
  <c r="CU10" i="44"/>
  <c r="EM10" i="44"/>
  <c r="DC10" i="44"/>
  <c r="CC10" i="44"/>
  <c r="DS10" i="44"/>
  <c r="GT10" i="44"/>
  <c r="FQ10" i="44"/>
  <c r="CM10" i="44"/>
  <c r="FO10" i="44"/>
  <c r="DE10" i="44"/>
  <c r="FW10" i="44"/>
  <c r="GD10" i="44"/>
  <c r="EQ10" i="44"/>
  <c r="EB10" i="44"/>
  <c r="Z10" i="44"/>
  <c r="DK10" i="44"/>
  <c r="BT10" i="44"/>
  <c r="DQ10" i="44"/>
  <c r="FI10" i="44"/>
  <c r="EL10" i="44"/>
  <c r="ET10" i="44"/>
  <c r="CI10" i="44"/>
  <c r="CG10" i="44"/>
  <c r="DH10" i="44"/>
  <c r="CF10" i="44"/>
  <c r="EZ10" i="44"/>
  <c r="AC10" i="44"/>
  <c r="EH10" i="44"/>
  <c r="CV10" i="44"/>
  <c r="FP10" i="44"/>
  <c r="X10" i="44"/>
  <c r="GM10" i="44"/>
  <c r="EV10" i="44"/>
  <c r="EW10" i="44"/>
  <c r="Y10" i="44"/>
  <c r="GN10" i="44"/>
  <c r="FB10" i="44"/>
  <c r="EO21" i="46"/>
  <c r="V21" i="46"/>
  <c r="EV21" i="46"/>
  <c r="BT21" i="46"/>
  <c r="FR21" i="46"/>
  <c r="BZ21" i="46"/>
  <c r="FQ21" i="46"/>
  <c r="AC21" i="46"/>
  <c r="DB21" i="46"/>
  <c r="FU21" i="46"/>
  <c r="CC21" i="46"/>
  <c r="FJ21" i="46"/>
  <c r="AA21" i="46"/>
  <c r="FD21" i="46"/>
  <c r="L21" i="46"/>
  <c r="CR21" i="46"/>
  <c r="CB21" i="46"/>
  <c r="DI21" i="46"/>
  <c r="CF21" i="46"/>
  <c r="DZ21" i="46"/>
  <c r="CY21" i="46"/>
  <c r="DY21" i="46"/>
  <c r="GE21" i="46"/>
  <c r="CV21" i="46"/>
  <c r="EZ21" i="46"/>
  <c r="H21" i="46"/>
  <c r="R21" i="46"/>
  <c r="Y21" i="46"/>
  <c r="AI21" i="46"/>
  <c r="EU21" i="46"/>
  <c r="EN21" i="46"/>
  <c r="DF21" i="46"/>
  <c r="GF21" i="46"/>
  <c r="FO21" i="46"/>
  <c r="FH21" i="46"/>
  <c r="CX21" i="46"/>
  <c r="EI21" i="46"/>
  <c r="ES21" i="46"/>
  <c r="EE21" i="46"/>
  <c r="EM21" i="46"/>
  <c r="EJ21" i="46"/>
  <c r="EY21" i="46"/>
  <c r="GC21" i="46"/>
  <c r="GN21" i="46"/>
  <c r="AB21" i="46"/>
  <c r="FG21" i="46"/>
  <c r="DH21" i="46"/>
  <c r="CU21" i="46"/>
  <c r="BY21" i="46"/>
  <c r="EB21" i="46"/>
  <c r="GS21" i="46"/>
  <c r="GQ21" i="46"/>
  <c r="GA21" i="46"/>
  <c r="FL21" i="46"/>
  <c r="FK21" i="46"/>
  <c r="O21" i="46"/>
  <c r="ET21" i="46"/>
  <c r="CM21" i="46"/>
  <c r="DK21" i="46"/>
  <c r="CT21" i="46"/>
  <c r="GI21" i="46"/>
  <c r="CE21" i="46"/>
  <c r="GB21" i="46"/>
  <c r="CZ21" i="46"/>
  <c r="CH21" i="46"/>
  <c r="M21" i="46"/>
  <c r="W21" i="46"/>
  <c r="FX21" i="46"/>
  <c r="BW21" i="46"/>
  <c r="DR21" i="46"/>
  <c r="CO21" i="46"/>
  <c r="GG21" i="46"/>
  <c r="GR21" i="46"/>
  <c r="FB21" i="46"/>
  <c r="FM21" i="46"/>
  <c r="AD21" i="46"/>
  <c r="DD21" i="46"/>
  <c r="CD21" i="46"/>
  <c r="GT21" i="46"/>
  <c r="P21" i="46"/>
  <c r="CS21" i="46"/>
  <c r="AE21" i="46"/>
  <c r="FY21" i="46"/>
  <c r="EP21" i="46"/>
  <c r="CI21" i="46"/>
  <c r="GD21" i="46"/>
  <c r="BX21" i="46"/>
  <c r="EF21" i="46"/>
  <c r="CP21" i="46"/>
  <c r="FS21" i="46"/>
  <c r="Z21" i="46"/>
  <c r="DW21" i="46"/>
  <c r="CN21" i="46"/>
  <c r="FC21" i="46"/>
  <c r="GL21" i="46"/>
  <c r="DU21" i="46"/>
  <c r="S21" i="46"/>
  <c r="DG21" i="46"/>
  <c r="EC21" i="46"/>
  <c r="FN21" i="46"/>
  <c r="DA21" i="46"/>
  <c r="EQ21" i="46"/>
  <c r="AF21" i="46"/>
  <c r="U21" i="46"/>
  <c r="I21" i="46"/>
  <c r="DN21" i="46"/>
  <c r="GK21" i="46"/>
  <c r="CW21" i="46"/>
  <c r="FF21" i="46"/>
  <c r="EX21" i="46"/>
  <c r="EW21" i="46"/>
  <c r="FV21" i="46"/>
  <c r="DQ21" i="46"/>
  <c r="CK21" i="46"/>
  <c r="X21" i="46"/>
  <c r="J21" i="46"/>
  <c r="DT21" i="46"/>
  <c r="DM21" i="46"/>
  <c r="CQ21" i="46"/>
  <c r="CA21" i="46"/>
  <c r="DE21" i="46"/>
  <c r="ER21" i="46"/>
  <c r="DL21" i="46"/>
  <c r="GO21" i="46"/>
  <c r="FP21" i="46"/>
  <c r="EH21" i="46"/>
  <c r="DJ21" i="46"/>
  <c r="GP21" i="46"/>
  <c r="FT21" i="46"/>
  <c r="FA21" i="46"/>
  <c r="DO21" i="46"/>
  <c r="FE21" i="46"/>
  <c r="GH21" i="46"/>
  <c r="FI21" i="46"/>
  <c r="EK21" i="46"/>
  <c r="CG21" i="46"/>
  <c r="GM21" i="46"/>
  <c r="DV21" i="46"/>
  <c r="FZ21" i="46"/>
  <c r="EL21" i="46"/>
  <c r="DS21" i="46"/>
  <c r="AH21" i="46"/>
  <c r="CL21" i="46"/>
  <c r="G21" i="46"/>
  <c r="DC21" i="46"/>
  <c r="FW21" i="46"/>
  <c r="DP21" i="46"/>
  <c r="CJ21" i="46"/>
  <c r="GJ21" i="46"/>
  <c r="DU14" i="44"/>
  <c r="BZ14" i="44"/>
  <c r="EW14" i="44"/>
  <c r="CX14" i="44"/>
  <c r="EP14" i="44"/>
  <c r="FT14" i="44"/>
  <c r="G14" i="44"/>
  <c r="EC14" i="44"/>
  <c r="CP14" i="44"/>
  <c r="FE14" i="44"/>
  <c r="DH14" i="44"/>
  <c r="FP14" i="44"/>
  <c r="CY14" i="44"/>
  <c r="S14" i="44"/>
  <c r="AI14" i="44"/>
  <c r="CB14" i="44"/>
  <c r="DB14" i="44"/>
  <c r="FM14" i="44"/>
  <c r="DR14" i="44"/>
  <c r="GI14" i="44"/>
  <c r="ET14" i="44"/>
  <c r="Y14" i="44"/>
  <c r="CJ14" i="44"/>
  <c r="DN14" i="44"/>
  <c r="FU14" i="44"/>
  <c r="EE14" i="44"/>
  <c r="DI14" i="44"/>
  <c r="GE14" i="44"/>
  <c r="H14" i="44"/>
  <c r="CR14" i="44"/>
  <c r="EJ14" i="44"/>
  <c r="GB14" i="44"/>
  <c r="EN14" i="44"/>
  <c r="EZ14" i="44"/>
  <c r="O14" i="44"/>
  <c r="U14" i="44"/>
  <c r="CC14" i="44"/>
  <c r="ES14" i="44"/>
  <c r="GJ14" i="44"/>
  <c r="EY14" i="44"/>
  <c r="GF14" i="44"/>
  <c r="W14" i="44"/>
  <c r="AA14" i="44"/>
  <c r="BX14" i="44"/>
  <c r="CK14" i="44"/>
  <c r="FC14" i="44"/>
  <c r="GR14" i="44"/>
  <c r="FG14" i="44"/>
  <c r="DJ14" i="44"/>
  <c r="AE14" i="44"/>
  <c r="I14" i="44"/>
  <c r="BT14" i="44"/>
  <c r="CN14" i="44"/>
  <c r="BW14" i="44"/>
  <c r="FS14" i="44"/>
  <c r="CU14" i="44"/>
  <c r="FW14" i="44"/>
  <c r="GM14" i="44"/>
  <c r="L14" i="44"/>
  <c r="AB14" i="44"/>
  <c r="EQ14" i="44"/>
  <c r="DD14" i="44"/>
  <c r="DA14" i="44"/>
  <c r="GH14" i="44"/>
  <c r="DQ14" i="44"/>
  <c r="GL14" i="44"/>
  <c r="FI14" i="44"/>
  <c r="AF14" i="44"/>
  <c r="ER14" i="44"/>
  <c r="DL14" i="44"/>
  <c r="DK14" i="44"/>
  <c r="GP14" i="44"/>
  <c r="EM14" i="44"/>
  <c r="GT14" i="44"/>
  <c r="GN14" i="44"/>
  <c r="EO14" i="44"/>
  <c r="FR14" i="44"/>
  <c r="GC14" i="44"/>
  <c r="DY14" i="44"/>
  <c r="FY14" i="44"/>
  <c r="GK14" i="44"/>
  <c r="FQ14" i="44"/>
  <c r="CT14" i="44"/>
  <c r="DV14" i="44"/>
  <c r="EU14" i="44"/>
  <c r="GQ14" i="44"/>
  <c r="GG14" i="44"/>
  <c r="GS14" i="44"/>
  <c r="CI14" i="44"/>
  <c r="FO14" i="44"/>
  <c r="DC14" i="44"/>
  <c r="CO14" i="44"/>
  <c r="GA14" i="44"/>
  <c r="GO14" i="44"/>
  <c r="CH14" i="44"/>
  <c r="EK14" i="44"/>
  <c r="CF14" i="44"/>
  <c r="FK14" i="44"/>
  <c r="CL14" i="44"/>
  <c r="DF14" i="44"/>
  <c r="DE14" i="44"/>
  <c r="R14" i="44"/>
  <c r="DW14" i="44"/>
  <c r="FL14" i="44"/>
  <c r="FB14" i="44"/>
  <c r="CV14" i="44"/>
  <c r="FZ14" i="44"/>
  <c r="GD14" i="44"/>
  <c r="X14" i="44"/>
  <c r="EH14" i="44"/>
  <c r="AD14" i="44"/>
  <c r="DT14" i="44"/>
  <c r="CA14" i="44"/>
  <c r="CZ14" i="44"/>
  <c r="M14" i="44"/>
  <c r="CD14" i="44"/>
  <c r="FD14" i="44"/>
  <c r="CG14" i="44"/>
  <c r="P14" i="44"/>
  <c r="DP14" i="44"/>
  <c r="FH14" i="44"/>
  <c r="EB14" i="44"/>
  <c r="CQ14" i="44"/>
  <c r="EF14" i="44"/>
  <c r="AC14" i="44"/>
  <c r="BY14" i="44"/>
  <c r="AH14" i="44"/>
  <c r="FX14" i="44"/>
  <c r="CW14" i="44"/>
  <c r="FN14" i="44"/>
  <c r="DZ14" i="44"/>
  <c r="EX14" i="44"/>
  <c r="FF14" i="44"/>
  <c r="DM14" i="44"/>
  <c r="EL14" i="44"/>
  <c r="DO14" i="44"/>
  <c r="Z14" i="44"/>
  <c r="CS14" i="44"/>
  <c r="CE14" i="44"/>
  <c r="FA14" i="44"/>
  <c r="V14" i="44"/>
  <c r="EV14" i="44"/>
  <c r="CM14" i="44"/>
  <c r="DG14" i="44"/>
  <c r="DS14" i="44"/>
  <c r="EI14" i="44"/>
  <c r="FV14" i="44"/>
  <c r="FJ14" i="44"/>
  <c r="J14" i="44"/>
  <c r="BT17" i="44"/>
  <c r="AI17" i="44"/>
  <c r="FO17" i="44"/>
  <c r="DP17" i="44"/>
  <c r="CE17" i="44"/>
  <c r="DH17" i="44"/>
  <c r="CW17" i="44"/>
  <c r="FV17" i="44"/>
  <c r="G17" i="44"/>
  <c r="EV17" i="44"/>
  <c r="FW17" i="44"/>
  <c r="EB17" i="44"/>
  <c r="CO17" i="44"/>
  <c r="DY17" i="44"/>
  <c r="DM17" i="44"/>
  <c r="GI17" i="44"/>
  <c r="O17" i="44"/>
  <c r="ER17" i="44"/>
  <c r="GD17" i="44"/>
  <c r="EL17" i="44"/>
  <c r="CZ17" i="44"/>
  <c r="FJ17" i="44"/>
  <c r="EE17" i="44"/>
  <c r="EJ17" i="44"/>
  <c r="X17" i="44"/>
  <c r="EQ17" i="44"/>
  <c r="GL17" i="44"/>
  <c r="EZ17" i="44"/>
  <c r="DK17" i="44"/>
  <c r="FY17" i="44"/>
  <c r="EX17" i="44"/>
  <c r="I17" i="44"/>
  <c r="AF17" i="44"/>
  <c r="GT17" i="44"/>
  <c r="FK17" i="44"/>
  <c r="DU17" i="44"/>
  <c r="GN17" i="44"/>
  <c r="FQ17" i="44"/>
  <c r="AD17" i="44"/>
  <c r="H17" i="44"/>
  <c r="CC17" i="44"/>
  <c r="FT17" i="44"/>
  <c r="ES17" i="44"/>
  <c r="CB17" i="44"/>
  <c r="GE17" i="44"/>
  <c r="FD17" i="44"/>
  <c r="DS17" i="44"/>
  <c r="CK17" i="44"/>
  <c r="GB17" i="44"/>
  <c r="FE17" i="44"/>
  <c r="CR17" i="44"/>
  <c r="GR17" i="44"/>
  <c r="J17" i="44"/>
  <c r="M17" i="44"/>
  <c r="DA17" i="44"/>
  <c r="BZ17" i="44"/>
  <c r="GG17" i="44"/>
  <c r="ET17" i="44"/>
  <c r="CX17" i="44"/>
  <c r="Z17" i="44"/>
  <c r="P17" i="44"/>
  <c r="CI17" i="44"/>
  <c r="DQ17" i="44"/>
  <c r="CV17" i="44"/>
  <c r="BW17" i="44"/>
  <c r="FZ17" i="44"/>
  <c r="EI17" i="44"/>
  <c r="S17" i="44"/>
  <c r="AC17" i="44"/>
  <c r="CQ17" i="44"/>
  <c r="DZ17" i="44"/>
  <c r="DF17" i="44"/>
  <c r="CN17" i="44"/>
  <c r="GO17" i="44"/>
  <c r="FC17" i="44"/>
  <c r="Y17" i="44"/>
  <c r="AB17" i="44"/>
  <c r="EF17" i="44"/>
  <c r="FL17" i="44"/>
  <c r="FN17" i="44"/>
  <c r="CH17" i="44"/>
  <c r="EN17" i="44"/>
  <c r="FU17" i="44"/>
  <c r="GA17" i="44"/>
  <c r="W17" i="44"/>
  <c r="GH17" i="44"/>
  <c r="BY17" i="44"/>
  <c r="CU17" i="44"/>
  <c r="CT17" i="44"/>
  <c r="U17" i="44"/>
  <c r="EY17" i="44"/>
  <c r="GC17" i="44"/>
  <c r="GQ17" i="44"/>
  <c r="AE17" i="44"/>
  <c r="FP17" i="44"/>
  <c r="EK17" i="44"/>
  <c r="CY17" i="44"/>
  <c r="FG17" i="44"/>
  <c r="GM17" i="44"/>
  <c r="CF17" i="44"/>
  <c r="DB17" i="44"/>
  <c r="CS17" i="44"/>
  <c r="CG17" i="44"/>
  <c r="AH17" i="44"/>
  <c r="FX17" i="44"/>
  <c r="DT17" i="44"/>
  <c r="DI17" i="44"/>
  <c r="GP17" i="44"/>
  <c r="DN17" i="44"/>
  <c r="V17" i="44"/>
  <c r="FH17" i="44"/>
  <c r="CD17" i="44"/>
  <c r="DG17" i="44"/>
  <c r="EH17" i="44"/>
  <c r="DD17" i="44"/>
  <c r="FR17" i="44"/>
  <c r="FA17" i="44"/>
  <c r="GS17" i="44"/>
  <c r="FI17" i="44"/>
  <c r="GJ17" i="44"/>
  <c r="BX17" i="44"/>
  <c r="DL17" i="44"/>
  <c r="EU17" i="44"/>
  <c r="EP17" i="44"/>
  <c r="DV17" i="44"/>
  <c r="GF17" i="44"/>
  <c r="EO17" i="44"/>
  <c r="CM17" i="44"/>
  <c r="CJ17" i="44"/>
  <c r="EC17" i="44"/>
  <c r="DC17" i="44"/>
  <c r="L17" i="44"/>
  <c r="EM17" i="44"/>
  <c r="DE17" i="44"/>
  <c r="CP17" i="44"/>
  <c r="FF17" i="44"/>
  <c r="GK17" i="44"/>
  <c r="DJ17" i="44"/>
  <c r="R17" i="44"/>
  <c r="CA17" i="44"/>
  <c r="CL17" i="44"/>
  <c r="FM17" i="44"/>
  <c r="FS17" i="44"/>
  <c r="DR17" i="44"/>
  <c r="DO17" i="44"/>
  <c r="AA17" i="44"/>
  <c r="FB17" i="44"/>
  <c r="DW17" i="44"/>
  <c r="EW17" i="44"/>
  <c r="EV33" i="46"/>
  <c r="EU33" i="46"/>
  <c r="BT33" i="46"/>
  <c r="AI33" i="46"/>
  <c r="EV27" i="46"/>
  <c r="BT27" i="46"/>
  <c r="AI27" i="46"/>
  <c r="EU27" i="46"/>
  <c r="CM9" i="44"/>
  <c r="DT9" i="44"/>
  <c r="GD9" i="44"/>
  <c r="CY9" i="44"/>
  <c r="FJ9" i="44"/>
  <c r="CT9" i="44"/>
  <c r="O9" i="44"/>
  <c r="CU9" i="44"/>
  <c r="EE9" i="44"/>
  <c r="GL9" i="44"/>
  <c r="DG9" i="44"/>
  <c r="FR9" i="44"/>
  <c r="DB9" i="44"/>
  <c r="AC9" i="44"/>
  <c r="DK9" i="44"/>
  <c r="EX9" i="44"/>
  <c r="BZ9" i="44"/>
  <c r="DW9" i="44"/>
  <c r="CC9" i="44"/>
  <c r="DR9" i="44"/>
  <c r="Z9" i="44"/>
  <c r="DS9" i="44"/>
  <c r="FF9" i="44"/>
  <c r="CH9" i="44"/>
  <c r="EH9" i="44"/>
  <c r="CK9" i="44"/>
  <c r="EB9" i="44"/>
  <c r="P9" i="44"/>
  <c r="EC9" i="44"/>
  <c r="FN9" i="44"/>
  <c r="CP9" i="44"/>
  <c r="EP9" i="44"/>
  <c r="CS9" i="44"/>
  <c r="EK9" i="44"/>
  <c r="Y9" i="44"/>
  <c r="EL9" i="44"/>
  <c r="FV9" i="44"/>
  <c r="CX9" i="44"/>
  <c r="FA9" i="44"/>
  <c r="DA9" i="44"/>
  <c r="ET9" i="44"/>
  <c r="R9" i="44"/>
  <c r="FE9" i="44"/>
  <c r="CG9" i="44"/>
  <c r="DN9" i="44"/>
  <c r="FQ9" i="44"/>
  <c r="DQ9" i="44"/>
  <c r="FL9" i="44"/>
  <c r="H9" i="44"/>
  <c r="DE9" i="44"/>
  <c r="CI9" i="44"/>
  <c r="FC9" i="44"/>
  <c r="AA9" i="44"/>
  <c r="BW9" i="44"/>
  <c r="DM9" i="44"/>
  <c r="CQ9" i="44"/>
  <c r="FK9" i="44"/>
  <c r="AH9" i="44"/>
  <c r="GK9" i="44"/>
  <c r="DF9" i="44"/>
  <c r="CN9" i="44"/>
  <c r="DI9" i="44"/>
  <c r="GM9" i="44"/>
  <c r="G9" i="44"/>
  <c r="CE9" i="44"/>
  <c r="DU9" i="44"/>
  <c r="DO9" i="44"/>
  <c r="FS9" i="44"/>
  <c r="AB9" i="44"/>
  <c r="DC9" i="44"/>
  <c r="FI9" i="44"/>
  <c r="S9" i="44"/>
  <c r="EN9" i="44"/>
  <c r="GH9" i="44"/>
  <c r="L9" i="44"/>
  <c r="EV9" i="44"/>
  <c r="AD9" i="44"/>
  <c r="FY9" i="44"/>
  <c r="EF9" i="44"/>
  <c r="FZ9" i="44"/>
  <c r="EW9" i="44"/>
  <c r="GF9" i="44"/>
  <c r="AE9" i="44"/>
  <c r="FD9" i="44"/>
  <c r="BX9" i="44"/>
  <c r="X9" i="44"/>
  <c r="EO9" i="44"/>
  <c r="GS9" i="44"/>
  <c r="EM9" i="44"/>
  <c r="DZ9" i="44"/>
  <c r="CO9" i="44"/>
  <c r="FM9" i="44"/>
  <c r="EY9" i="44"/>
  <c r="GN9" i="44"/>
  <c r="GP9" i="44"/>
  <c r="I9" i="44"/>
  <c r="GJ9" i="44"/>
  <c r="DJ9" i="44"/>
  <c r="GT9" i="44"/>
  <c r="CF9" i="44"/>
  <c r="DP9" i="44"/>
  <c r="BY9" i="44"/>
  <c r="FU9" i="44"/>
  <c r="FG9" i="44"/>
  <c r="CB9" i="44"/>
  <c r="CD9" i="44"/>
  <c r="V9" i="44"/>
  <c r="ER9" i="44"/>
  <c r="FW9" i="44"/>
  <c r="W9" i="44"/>
  <c r="DY9" i="44"/>
  <c r="GB9" i="44"/>
  <c r="FO9" i="44"/>
  <c r="CJ9" i="44"/>
  <c r="CL9" i="44"/>
  <c r="AF9" i="44"/>
  <c r="CR9" i="44"/>
  <c r="J9" i="44"/>
  <c r="CZ9" i="44"/>
  <c r="FT9" i="44"/>
  <c r="DV9" i="44"/>
  <c r="GA9" i="44"/>
  <c r="GO9" i="44"/>
  <c r="EQ9" i="44"/>
  <c r="BT9" i="44"/>
  <c r="GI9" i="44"/>
  <c r="EJ9" i="44"/>
  <c r="GR9" i="44"/>
  <c r="DH9" i="44"/>
  <c r="CV9" i="44"/>
  <c r="EZ9" i="44"/>
  <c r="EI9" i="44"/>
  <c r="GQ9" i="44"/>
  <c r="M9" i="44"/>
  <c r="EU9" i="44"/>
  <c r="DD9" i="44"/>
  <c r="FH9" i="44"/>
  <c r="FB9" i="44"/>
  <c r="GC9" i="44"/>
  <c r="DL9" i="44"/>
  <c r="FP9" i="44"/>
  <c r="GG9" i="44"/>
  <c r="FX9" i="44"/>
  <c r="GE9" i="44"/>
  <c r="U9" i="44"/>
  <c r="AI9" i="44"/>
  <c r="ES9" i="44"/>
  <c r="CW9" i="44"/>
  <c r="CA9" i="44"/>
  <c r="CE39" i="44"/>
  <c r="CK39" i="44"/>
  <c r="R39" i="44"/>
  <c r="FB39" i="44"/>
  <c r="EV39" i="44"/>
  <c r="GS39" i="44"/>
  <c r="CC39" i="44"/>
  <c r="CT39" i="44"/>
  <c r="CQ39" i="44"/>
  <c r="FO39" i="44"/>
  <c r="FV39" i="44"/>
  <c r="AD39" i="44"/>
  <c r="FX39" i="44"/>
  <c r="CB39" i="44"/>
  <c r="FM39" i="44"/>
  <c r="EL39" i="44"/>
  <c r="EJ39" i="44"/>
  <c r="CO39" i="44"/>
  <c r="Z39" i="44"/>
  <c r="W39" i="44"/>
  <c r="EU39" i="44"/>
  <c r="GK39" i="44"/>
  <c r="DL39" i="44"/>
  <c r="BT39" i="44"/>
  <c r="FI39" i="44"/>
  <c r="GR39" i="44"/>
  <c r="EX39" i="44"/>
  <c r="L39" i="44"/>
  <c r="CY39" i="44"/>
  <c r="BW39" i="44"/>
  <c r="FL39" i="44"/>
  <c r="U39" i="44"/>
  <c r="I39" i="44"/>
  <c r="EB39" i="44"/>
  <c r="CH39" i="44"/>
  <c r="GB39" i="44"/>
  <c r="EY39" i="44"/>
  <c r="GI39" i="44"/>
  <c r="FR39" i="44"/>
  <c r="DD39" i="44"/>
  <c r="DR39" i="44"/>
  <c r="CS39" i="44"/>
  <c r="EE39" i="44"/>
  <c r="DN39" i="44"/>
  <c r="M39" i="44"/>
  <c r="DC39" i="44"/>
  <c r="DY39" i="44"/>
  <c r="X39" i="44"/>
  <c r="EP39" i="44"/>
  <c r="FD39" i="44"/>
  <c r="CL39" i="44"/>
  <c r="FK39" i="44"/>
  <c r="FN39" i="44"/>
  <c r="FJ39" i="44"/>
  <c r="ET39" i="44"/>
  <c r="DE39" i="44"/>
  <c r="G39" i="44"/>
  <c r="EH39" i="44"/>
  <c r="GA39" i="44"/>
  <c r="ES39" i="44"/>
  <c r="FZ39" i="44"/>
  <c r="EK39" i="44"/>
  <c r="FQ39" i="44"/>
  <c r="GT39" i="44"/>
  <c r="GJ39" i="44"/>
  <c r="GL39" i="44"/>
  <c r="Y39" i="44"/>
  <c r="FT39" i="44"/>
  <c r="CF39" i="44"/>
  <c r="CZ39" i="44"/>
  <c r="BY39" i="44"/>
  <c r="V39" i="44"/>
  <c r="GD39" i="44"/>
  <c r="DO39" i="44"/>
  <c r="DI39" i="44"/>
  <c r="EQ39" i="44"/>
  <c r="S39" i="44"/>
  <c r="O39" i="44"/>
  <c r="DP39" i="44"/>
  <c r="FA39" i="44"/>
  <c r="CV39" i="44"/>
  <c r="FU39" i="44"/>
  <c r="FC39" i="44"/>
  <c r="GE39" i="44"/>
  <c r="DF39" i="44"/>
  <c r="FE39" i="44"/>
  <c r="FF39" i="44"/>
  <c r="EI39" i="44"/>
  <c r="J39" i="44"/>
  <c r="EZ39" i="44"/>
  <c r="BX39" i="44"/>
  <c r="EF39" i="44"/>
  <c r="GG39" i="44"/>
  <c r="CJ39" i="44"/>
  <c r="CP39" i="44"/>
  <c r="GF39" i="44"/>
  <c r="DS39" i="44"/>
  <c r="BZ39" i="44"/>
  <c r="GN39" i="44"/>
  <c r="DW39" i="44"/>
  <c r="AB39" i="44"/>
  <c r="AC39" i="44"/>
  <c r="GM39" i="44"/>
  <c r="CD39" i="44"/>
  <c r="AH39" i="44"/>
  <c r="DA39" i="44"/>
  <c r="EO39" i="44"/>
  <c r="CG39" i="44"/>
  <c r="EW39" i="44"/>
  <c r="EC39" i="44"/>
  <c r="AF39" i="44"/>
  <c r="FH39" i="44"/>
  <c r="AA39" i="44"/>
  <c r="DH39" i="44"/>
  <c r="DZ39" i="44"/>
  <c r="DB39" i="44"/>
  <c r="CX39" i="44"/>
  <c r="FS39" i="44"/>
  <c r="DT39" i="44"/>
  <c r="GQ39" i="44"/>
  <c r="GH39" i="44"/>
  <c r="H39" i="44"/>
  <c r="ER39" i="44"/>
  <c r="AE39" i="44"/>
  <c r="DK39" i="44"/>
  <c r="GC39" i="44"/>
  <c r="EM39" i="44"/>
  <c r="DJ39" i="44"/>
  <c r="CM39" i="44"/>
  <c r="CN39" i="44"/>
  <c r="CW39" i="44"/>
  <c r="DU39" i="44"/>
  <c r="DM39" i="44"/>
  <c r="DV39" i="44"/>
  <c r="P39" i="44"/>
  <c r="FG39" i="44"/>
  <c r="FP39" i="44"/>
  <c r="EN39" i="44"/>
  <c r="FW39" i="44"/>
  <c r="GP39" i="44"/>
  <c r="GO39" i="44"/>
  <c r="FY39" i="44"/>
  <c r="CR39" i="44"/>
  <c r="DG39" i="44"/>
  <c r="AI39" i="44"/>
  <c r="DQ39" i="44"/>
  <c r="CI39" i="44"/>
  <c r="CA39" i="44"/>
  <c r="CU39" i="44"/>
  <c r="AI14" i="46"/>
  <c r="BT14" i="46"/>
  <c r="FJ14" i="46"/>
  <c r="EM14" i="46"/>
  <c r="DJ14" i="46"/>
  <c r="GA14" i="46"/>
  <c r="J14" i="46"/>
  <c r="BZ14" i="46"/>
  <c r="EV14" i="46"/>
  <c r="EU14" i="46"/>
  <c r="GK14" i="46"/>
  <c r="FG14" i="46"/>
  <c r="DR14" i="46"/>
  <c r="FL14" i="46"/>
  <c r="FV14" i="46"/>
  <c r="BX14" i="46"/>
  <c r="FR14" i="46"/>
  <c r="GB14" i="46"/>
  <c r="EX14" i="46"/>
  <c r="DB14" i="46"/>
  <c r="ET14" i="46"/>
  <c r="FH14" i="46"/>
  <c r="DH14" i="46"/>
  <c r="CH14" i="46"/>
  <c r="EF14" i="46"/>
  <c r="DC14" i="46"/>
  <c r="AH14" i="46"/>
  <c r="CQ14" i="46"/>
  <c r="CZ14" i="46"/>
  <c r="CI14" i="46"/>
  <c r="EQ14" i="46"/>
  <c r="DS14" i="46"/>
  <c r="O14" i="46"/>
  <c r="FW14" i="46"/>
  <c r="EP14" i="46"/>
  <c r="EO14" i="46"/>
  <c r="CE14" i="46"/>
  <c r="EY14" i="46"/>
  <c r="DO14" i="46"/>
  <c r="CK14" i="46"/>
  <c r="CV14" i="46"/>
  <c r="AD14" i="46"/>
  <c r="CP14" i="46"/>
  <c r="FT14" i="46"/>
  <c r="DU14" i="46"/>
  <c r="BW14" i="46"/>
  <c r="EI14" i="46"/>
  <c r="DA14" i="46"/>
  <c r="W14" i="46"/>
  <c r="EJ14" i="46"/>
  <c r="AE14" i="46"/>
  <c r="DM14" i="46"/>
  <c r="DQ14" i="46"/>
  <c r="G14" i="46"/>
  <c r="R14" i="46"/>
  <c r="CW14" i="46"/>
  <c r="GQ14" i="46"/>
  <c r="CR14" i="46"/>
  <c r="Z14" i="46"/>
  <c r="GF14" i="46"/>
  <c r="S14" i="46"/>
  <c r="EW14" i="46"/>
  <c r="EH14" i="46"/>
  <c r="CN14" i="46"/>
  <c r="FC14" i="46"/>
  <c r="U14" i="46"/>
  <c r="BY14" i="46"/>
  <c r="CD14" i="46"/>
  <c r="GL14" i="46"/>
  <c r="DW14" i="46"/>
  <c r="EK14" i="46"/>
  <c r="DE14" i="46"/>
  <c r="CT14" i="46"/>
  <c r="EN14" i="46"/>
  <c r="Y14" i="46"/>
  <c r="AC14" i="46"/>
  <c r="ER14" i="46"/>
  <c r="GD14" i="46"/>
  <c r="H14" i="46"/>
  <c r="GP14" i="46"/>
  <c r="DZ14" i="46"/>
  <c r="GR14" i="46"/>
  <c r="GC14" i="46"/>
  <c r="DN14" i="46"/>
  <c r="DY14" i="46"/>
  <c r="DD14" i="46"/>
  <c r="CC14" i="46"/>
  <c r="GI14" i="46"/>
  <c r="FM14" i="46"/>
  <c r="CA14" i="46"/>
  <c r="FP14" i="46"/>
  <c r="CF14" i="46"/>
  <c r="I14" i="46"/>
  <c r="V14" i="46"/>
  <c r="FY14" i="46"/>
  <c r="CM14" i="46"/>
  <c r="FI14" i="46"/>
  <c r="FZ14" i="46"/>
  <c r="DF14" i="46"/>
  <c r="X14" i="46"/>
  <c r="AB14" i="46"/>
  <c r="DP14" i="46"/>
  <c r="P14" i="46"/>
  <c r="EB14" i="46"/>
  <c r="CO14" i="46"/>
  <c r="EC14" i="46"/>
  <c r="GJ14" i="46"/>
  <c r="DL14" i="46"/>
  <c r="CY14" i="46"/>
  <c r="EE14" i="46"/>
  <c r="GO14" i="46"/>
  <c r="DK14" i="46"/>
  <c r="M14" i="46"/>
  <c r="FU14" i="46"/>
  <c r="FQ14" i="46"/>
  <c r="GH14" i="46"/>
  <c r="GG14" i="46"/>
  <c r="CU14" i="46"/>
  <c r="GN14" i="46"/>
  <c r="FE14" i="46"/>
  <c r="DG14" i="46"/>
  <c r="FA14" i="46"/>
  <c r="FX14" i="46"/>
  <c r="AA14" i="46"/>
  <c r="FB14" i="46"/>
  <c r="DI14" i="46"/>
  <c r="CJ14" i="46"/>
  <c r="GT14" i="46"/>
  <c r="FO14" i="46"/>
  <c r="L14" i="46"/>
  <c r="GS14" i="46"/>
  <c r="DV14" i="46"/>
  <c r="FS14" i="46"/>
  <c r="FF14" i="46"/>
  <c r="GM14" i="46"/>
  <c r="DT14" i="46"/>
  <c r="FN14" i="46"/>
  <c r="EZ14" i="46"/>
  <c r="EL14" i="46"/>
  <c r="FK14" i="46"/>
  <c r="FD14" i="46"/>
  <c r="AF14" i="46"/>
  <c r="ES14" i="46"/>
  <c r="CG14" i="46"/>
  <c r="CS14" i="46"/>
  <c r="CB14" i="46"/>
  <c r="CX14" i="46"/>
  <c r="CL14" i="46"/>
  <c r="GE14" i="46"/>
  <c r="EO13" i="46"/>
  <c r="CE13" i="46"/>
  <c r="Y13" i="46"/>
  <c r="EC13" i="46"/>
  <c r="FW13" i="46"/>
  <c r="FJ13" i="46"/>
  <c r="DU13" i="46"/>
  <c r="CN13" i="46"/>
  <c r="FB13" i="46"/>
  <c r="AI13" i="46"/>
  <c r="CD13" i="46"/>
  <c r="DM13" i="46"/>
  <c r="FT13" i="46"/>
  <c r="EF13" i="46"/>
  <c r="CB13" i="46"/>
  <c r="CJ13" i="46"/>
  <c r="CT13" i="46"/>
  <c r="CG13" i="46"/>
  <c r="DB13" i="46"/>
  <c r="GS13" i="46"/>
  <c r="FD13" i="46"/>
  <c r="EQ13" i="46"/>
  <c r="AF13" i="46"/>
  <c r="FR13" i="46"/>
  <c r="FO13" i="46"/>
  <c r="I13" i="46"/>
  <c r="FA13" i="46"/>
  <c r="CC13" i="46"/>
  <c r="GQ13" i="46"/>
  <c r="ER13" i="46"/>
  <c r="CR13" i="46"/>
  <c r="GJ13" i="46"/>
  <c r="Z13" i="46"/>
  <c r="CH13" i="46"/>
  <c r="GG13" i="46"/>
  <c r="DI13" i="46"/>
  <c r="FN13" i="46"/>
  <c r="G13" i="46"/>
  <c r="R13" i="46"/>
  <c r="EU13" i="46"/>
  <c r="L13" i="46"/>
  <c r="S13" i="46"/>
  <c r="DR13" i="46"/>
  <c r="BY13" i="46"/>
  <c r="O13" i="46"/>
  <c r="EE13" i="46"/>
  <c r="CU13" i="46"/>
  <c r="FG13" i="46"/>
  <c r="DP13" i="46"/>
  <c r="FV13" i="46"/>
  <c r="BW13" i="46"/>
  <c r="DT13" i="46"/>
  <c r="CW13" i="46"/>
  <c r="EP13" i="46"/>
  <c r="CY13" i="46"/>
  <c r="FC13" i="46"/>
  <c r="DG13" i="46"/>
  <c r="FK13" i="46"/>
  <c r="GD13" i="46"/>
  <c r="GE13" i="46"/>
  <c r="CM13" i="46"/>
  <c r="CO13" i="46"/>
  <c r="EL13" i="46"/>
  <c r="DK13" i="46"/>
  <c r="EZ13" i="46"/>
  <c r="DD13" i="46"/>
  <c r="DL13" i="46"/>
  <c r="EY13" i="46"/>
  <c r="DY13" i="46"/>
  <c r="GH13" i="46"/>
  <c r="GR13" i="46"/>
  <c r="GB13" i="46"/>
  <c r="AE13" i="46"/>
  <c r="FZ13" i="46"/>
  <c r="GC13" i="46"/>
  <c r="CZ13" i="46"/>
  <c r="ET13" i="46"/>
  <c r="EX13" i="46"/>
  <c r="CV13" i="46"/>
  <c r="EB13" i="46"/>
  <c r="FL13" i="46"/>
  <c r="DH13" i="46"/>
  <c r="FY13" i="46"/>
  <c r="EW13" i="46"/>
  <c r="GK13" i="46"/>
  <c r="FM13" i="46"/>
  <c r="U13" i="46"/>
  <c r="J13" i="46"/>
  <c r="GM13" i="46"/>
  <c r="GL13" i="46"/>
  <c r="AA13" i="46"/>
  <c r="V13" i="46"/>
  <c r="FX13" i="46"/>
  <c r="BZ13" i="46"/>
  <c r="AB13" i="46"/>
  <c r="FQ13" i="46"/>
  <c r="H13" i="46"/>
  <c r="CP13" i="46"/>
  <c r="CA13" i="46"/>
  <c r="CX13" i="46"/>
  <c r="GT13" i="46"/>
  <c r="W13" i="46"/>
  <c r="CQ13" i="46"/>
  <c r="M13" i="46"/>
  <c r="BX13" i="46"/>
  <c r="GP13" i="46"/>
  <c r="FP13" i="46"/>
  <c r="FU13" i="46"/>
  <c r="DZ13" i="46"/>
  <c r="DE13" i="46"/>
  <c r="FF13" i="46"/>
  <c r="CI13" i="46"/>
  <c r="DF13" i="46"/>
  <c r="DO13" i="46"/>
  <c r="X13" i="46"/>
  <c r="FH13" i="46"/>
  <c r="FE13" i="46"/>
  <c r="DS13" i="46"/>
  <c r="DN13" i="46"/>
  <c r="CS13" i="46"/>
  <c r="BT13" i="46"/>
  <c r="CL13" i="46"/>
  <c r="DV13" i="46"/>
  <c r="DW13" i="46"/>
  <c r="CK13" i="46"/>
  <c r="DA13" i="46"/>
  <c r="DQ13" i="46"/>
  <c r="GI13" i="46"/>
  <c r="EV13" i="46"/>
  <c r="EM13" i="46"/>
  <c r="EN13" i="46"/>
  <c r="EH13" i="46"/>
  <c r="EI13" i="46"/>
  <c r="FI13" i="46"/>
  <c r="AC13" i="46"/>
  <c r="AD13" i="46"/>
  <c r="GF13" i="46"/>
  <c r="GO13" i="46"/>
  <c r="EK13" i="46"/>
  <c r="GN13" i="46"/>
  <c r="ES13" i="46"/>
  <c r="P13" i="46"/>
  <c r="FS13" i="46"/>
  <c r="CF13" i="46"/>
  <c r="GA13" i="46"/>
  <c r="DJ13" i="46"/>
  <c r="EJ13" i="46"/>
  <c r="DC13" i="46"/>
  <c r="AH13" i="46"/>
  <c r="EU38" i="46"/>
  <c r="AI38" i="46"/>
  <c r="EV38" i="46"/>
  <c r="BD38" i="46"/>
  <c r="BT38" i="46"/>
  <c r="GD15" i="44"/>
  <c r="CR15" i="44"/>
  <c r="ES15" i="44"/>
  <c r="GI15" i="44"/>
  <c r="CN15" i="44"/>
  <c r="DT15" i="44"/>
  <c r="S15" i="44"/>
  <c r="GL15" i="44"/>
  <c r="CZ15" i="44"/>
  <c r="FC15" i="44"/>
  <c r="GQ15" i="44"/>
  <c r="EC15" i="44"/>
  <c r="FF15" i="44"/>
  <c r="Z15" i="44"/>
  <c r="GT15" i="44"/>
  <c r="DH15" i="44"/>
  <c r="FK15" i="44"/>
  <c r="BW15" i="44"/>
  <c r="FN15" i="44"/>
  <c r="GR15" i="44"/>
  <c r="FE15" i="44"/>
  <c r="BZ15" i="44"/>
  <c r="DP15" i="44"/>
  <c r="FS15" i="44"/>
  <c r="CQ15" i="44"/>
  <c r="GS15" i="44"/>
  <c r="M15" i="44"/>
  <c r="J15" i="44"/>
  <c r="CH15" i="44"/>
  <c r="DY15" i="44"/>
  <c r="FZ15" i="44"/>
  <c r="DL15" i="44"/>
  <c r="CV15" i="44"/>
  <c r="V15" i="44"/>
  <c r="Y15" i="44"/>
  <c r="CP15" i="44"/>
  <c r="EI15" i="44"/>
  <c r="GH15" i="44"/>
  <c r="EL15" i="44"/>
  <c r="FQ15" i="44"/>
  <c r="AB15" i="44"/>
  <c r="GK15" i="44"/>
  <c r="EU15" i="44"/>
  <c r="CX15" i="44"/>
  <c r="FB15" i="44"/>
  <c r="GP15" i="44"/>
  <c r="FI15" i="44"/>
  <c r="CY15" i="44"/>
  <c r="O15" i="44"/>
  <c r="AA15" i="44"/>
  <c r="CG15" i="44"/>
  <c r="DN15" i="44"/>
  <c r="FR15" i="44"/>
  <c r="CL15" i="44"/>
  <c r="BX15" i="44"/>
  <c r="FV15" i="44"/>
  <c r="AE15" i="44"/>
  <c r="L15" i="44"/>
  <c r="CW15" i="44"/>
  <c r="EF15" i="44"/>
  <c r="GG15" i="44"/>
  <c r="DB15" i="44"/>
  <c r="DO15" i="44"/>
  <c r="EP15" i="44"/>
  <c r="X15" i="44"/>
  <c r="DE15" i="44"/>
  <c r="EO15" i="44"/>
  <c r="GO15" i="44"/>
  <c r="DJ15" i="44"/>
  <c r="EM15" i="44"/>
  <c r="CA15" i="44"/>
  <c r="AF15" i="44"/>
  <c r="GE15" i="44"/>
  <c r="FD15" i="44"/>
  <c r="DK15" i="44"/>
  <c r="GM15" i="44"/>
  <c r="FL15" i="44"/>
  <c r="FA15" i="44"/>
  <c r="DC15" i="44"/>
  <c r="FH15" i="44"/>
  <c r="AI15" i="44"/>
  <c r="DW15" i="44"/>
  <c r="DZ15" i="44"/>
  <c r="FP15" i="44"/>
  <c r="CB15" i="44"/>
  <c r="FT15" i="44"/>
  <c r="GJ15" i="44"/>
  <c r="FJ15" i="44"/>
  <c r="W15" i="44"/>
  <c r="EV15" i="44"/>
  <c r="FO15" i="44"/>
  <c r="CJ15" i="44"/>
  <c r="GA15" i="44"/>
  <c r="CM15" i="44"/>
  <c r="BY15" i="44"/>
  <c r="GC15" i="44"/>
  <c r="CI15" i="44"/>
  <c r="FG15" i="44"/>
  <c r="FU15" i="44"/>
  <c r="EQ15" i="44"/>
  <c r="EK15" i="44"/>
  <c r="DG15" i="44"/>
  <c r="GB15" i="44"/>
  <c r="CO15" i="44"/>
  <c r="FY15" i="44"/>
  <c r="CU15" i="44"/>
  <c r="P15" i="44"/>
  <c r="EN15" i="44"/>
  <c r="EY15" i="44"/>
  <c r="DQ15" i="44"/>
  <c r="EB15" i="44"/>
  <c r="DM15" i="44"/>
  <c r="CC15" i="44"/>
  <c r="FM15" i="44"/>
  <c r="G15" i="44"/>
  <c r="BT15" i="44"/>
  <c r="EE15" i="44"/>
  <c r="CS15" i="44"/>
  <c r="AH15" i="44"/>
  <c r="DI15" i="44"/>
  <c r="AD15" i="44"/>
  <c r="DS15" i="44"/>
  <c r="DU15" i="44"/>
  <c r="CK15" i="44"/>
  <c r="GF15" i="44"/>
  <c r="AC15" i="44"/>
  <c r="CF15" i="44"/>
  <c r="DA15" i="44"/>
  <c r="EX15" i="44"/>
  <c r="DR15" i="44"/>
  <c r="H15" i="44"/>
  <c r="EZ15" i="44"/>
  <c r="ER15" i="44"/>
  <c r="FW15" i="44"/>
  <c r="EJ15" i="44"/>
  <c r="GN15" i="44"/>
  <c r="I15" i="44"/>
  <c r="DF15" i="44"/>
  <c r="CD15" i="44"/>
  <c r="EH15" i="44"/>
  <c r="R15" i="44"/>
  <c r="DV15" i="44"/>
  <c r="CT15" i="44"/>
  <c r="DD15" i="44"/>
  <c r="U15" i="44"/>
  <c r="EW15" i="44"/>
  <c r="ET15" i="44"/>
  <c r="CE15" i="44"/>
  <c r="FX15" i="44"/>
  <c r="GI8" i="46"/>
  <c r="FI8" i="46"/>
  <c r="CB8" i="46"/>
  <c r="CA8" i="46"/>
  <c r="CT8" i="46"/>
  <c r="DH8" i="46"/>
  <c r="G8" i="46"/>
  <c r="AI8" i="46"/>
  <c r="DA8" i="46"/>
  <c r="EB8" i="46"/>
  <c r="DW8" i="46"/>
  <c r="DO8" i="46"/>
  <c r="FZ8" i="46"/>
  <c r="AB8" i="46"/>
  <c r="CD8" i="46"/>
  <c r="ER8" i="46"/>
  <c r="GR8" i="46"/>
  <c r="L8" i="46"/>
  <c r="GA8" i="46"/>
  <c r="GP8" i="46"/>
  <c r="CL8" i="46"/>
  <c r="DV8" i="46"/>
  <c r="DE8" i="46"/>
  <c r="Z8" i="46"/>
  <c r="S8" i="46"/>
  <c r="FJ8" i="46"/>
  <c r="AE8" i="46"/>
  <c r="DG8" i="46"/>
  <c r="DN8" i="46"/>
  <c r="CW8" i="46"/>
  <c r="R8" i="46"/>
  <c r="AF8" i="46"/>
  <c r="CY8" i="46"/>
  <c r="FK8" i="46"/>
  <c r="DJ8" i="46"/>
  <c r="GG8" i="46"/>
  <c r="CH8" i="46"/>
  <c r="GL8" i="46"/>
  <c r="FU8" i="46"/>
  <c r="EJ8" i="46"/>
  <c r="BT8" i="46"/>
  <c r="DI8" i="46"/>
  <c r="AH8" i="46"/>
  <c r="BY8" i="46"/>
  <c r="EV8" i="46"/>
  <c r="FS8" i="46"/>
  <c r="ES8" i="46"/>
  <c r="DZ8" i="46"/>
  <c r="M8" i="46"/>
  <c r="EQ8" i="46"/>
  <c r="EI8" i="46"/>
  <c r="FQ8" i="46"/>
  <c r="EP8" i="46"/>
  <c r="CG8" i="46"/>
  <c r="FE8" i="46"/>
  <c r="DF8" i="46"/>
  <c r="GQ8" i="46"/>
  <c r="GJ8" i="46"/>
  <c r="EH8" i="46"/>
  <c r="GT8" i="46"/>
  <c r="EW8" i="46"/>
  <c r="AC8" i="46"/>
  <c r="CR8" i="46"/>
  <c r="GM8" i="46"/>
  <c r="DT8" i="46"/>
  <c r="CE8" i="46"/>
  <c r="DQ8" i="46"/>
  <c r="EK8" i="46"/>
  <c r="U8" i="46"/>
  <c r="DD8" i="46"/>
  <c r="CZ8" i="46"/>
  <c r="GF8" i="46"/>
  <c r="FA8" i="46"/>
  <c r="FD8" i="46"/>
  <c r="I8" i="46"/>
  <c r="CV8" i="46"/>
  <c r="DP8" i="46"/>
  <c r="H8" i="46"/>
  <c r="BZ8" i="46"/>
  <c r="FT8" i="46"/>
  <c r="Y8" i="46"/>
  <c r="FY8" i="46"/>
  <c r="GE8" i="46"/>
  <c r="CN8" i="46"/>
  <c r="FB8" i="46"/>
  <c r="AD8" i="46"/>
  <c r="DR8" i="46"/>
  <c r="FW8" i="46"/>
  <c r="CF8" i="46"/>
  <c r="FR8" i="46"/>
  <c r="GD8" i="46"/>
  <c r="EN8" i="46"/>
  <c r="X8" i="46"/>
  <c r="P8" i="46"/>
  <c r="FC8" i="46"/>
  <c r="FO8" i="46"/>
  <c r="BX8" i="46"/>
  <c r="GH8" i="46"/>
  <c r="GS8" i="46"/>
  <c r="EY8" i="46"/>
  <c r="GK8" i="46"/>
  <c r="EO8" i="46"/>
  <c r="GN8" i="46"/>
  <c r="GB8" i="46"/>
  <c r="FG8" i="46"/>
  <c r="GC8" i="46"/>
  <c r="EC8" i="46"/>
  <c r="CO8" i="46"/>
  <c r="DM8" i="46"/>
  <c r="FX8" i="46"/>
  <c r="GO8" i="46"/>
  <c r="CP8" i="46"/>
  <c r="EE8" i="46"/>
  <c r="W8" i="46"/>
  <c r="O8" i="46"/>
  <c r="DK8" i="46"/>
  <c r="CI8" i="46"/>
  <c r="DY8" i="46"/>
  <c r="EF8" i="46"/>
  <c r="FM8" i="46"/>
  <c r="DS8" i="46"/>
  <c r="FL8" i="46"/>
  <c r="DU8" i="46"/>
  <c r="EM8" i="46"/>
  <c r="DB8" i="46"/>
  <c r="V8" i="46"/>
  <c r="FP8" i="46"/>
  <c r="FV8" i="46"/>
  <c r="DC8" i="46"/>
  <c r="J8" i="46"/>
  <c r="CQ8" i="46"/>
  <c r="FH8" i="46"/>
  <c r="FN8" i="46"/>
  <c r="CU8" i="46"/>
  <c r="CS8" i="46"/>
  <c r="ET8" i="46"/>
  <c r="EZ8" i="46"/>
  <c r="FF8" i="46"/>
  <c r="CM8" i="46"/>
  <c r="EL8" i="46"/>
  <c r="CX8" i="46"/>
  <c r="EX8" i="46"/>
  <c r="BW8" i="46"/>
  <c r="EU8" i="46"/>
  <c r="DL8" i="46"/>
  <c r="CJ8" i="46"/>
  <c r="CK8" i="46"/>
  <c r="CC8" i="46"/>
  <c r="AA8" i="46"/>
  <c r="FW12" i="46"/>
  <c r="CQ12" i="46"/>
  <c r="CJ12" i="46"/>
  <c r="AE12" i="46"/>
  <c r="FE12" i="46"/>
  <c r="EN12" i="46"/>
  <c r="CY12" i="46"/>
  <c r="DS12" i="46"/>
  <c r="CP12" i="46"/>
  <c r="S12" i="46"/>
  <c r="FQ12" i="46"/>
  <c r="GT12" i="46"/>
  <c r="CL12" i="46"/>
  <c r="EO12" i="46"/>
  <c r="DK12" i="46"/>
  <c r="CH12" i="46"/>
  <c r="H12" i="46"/>
  <c r="FG12" i="46"/>
  <c r="DB12" i="46"/>
  <c r="BT12" i="46"/>
  <c r="EP12" i="46"/>
  <c r="FT12" i="46"/>
  <c r="I12" i="46"/>
  <c r="FH12" i="46"/>
  <c r="DL12" i="46"/>
  <c r="CT12" i="46"/>
  <c r="GL12" i="46"/>
  <c r="FK12" i="46"/>
  <c r="FY12" i="46"/>
  <c r="EF12" i="46"/>
  <c r="FM12" i="46"/>
  <c r="CX12" i="46"/>
  <c r="FR12" i="46"/>
  <c r="CM12" i="46"/>
  <c r="AC12" i="46"/>
  <c r="AB12" i="46"/>
  <c r="CZ12" i="46"/>
  <c r="GR12" i="46"/>
  <c r="GO12" i="46"/>
  <c r="DM12" i="46"/>
  <c r="P12" i="46"/>
  <c r="FF12" i="46"/>
  <c r="GI12" i="46"/>
  <c r="GB12" i="46"/>
  <c r="CB12" i="46"/>
  <c r="AI12" i="46"/>
  <c r="GQ12" i="46"/>
  <c r="GJ12" i="46"/>
  <c r="GE12" i="46"/>
  <c r="DD12" i="46"/>
  <c r="W12" i="46"/>
  <c r="FZ12" i="46"/>
  <c r="FS12" i="46"/>
  <c r="EU12" i="46"/>
  <c r="CA12" i="46"/>
  <c r="FA12" i="46"/>
  <c r="CV12" i="46"/>
  <c r="EV12" i="46"/>
  <c r="FC12" i="46"/>
  <c r="FD12" i="46"/>
  <c r="EY12" i="46"/>
  <c r="CF12" i="46"/>
  <c r="DH12" i="46"/>
  <c r="FN12" i="46"/>
  <c r="GF12" i="46"/>
  <c r="CW12" i="46"/>
  <c r="GM12" i="46"/>
  <c r="AH12" i="46"/>
  <c r="CC12" i="46"/>
  <c r="DZ12" i="46"/>
  <c r="GS12" i="46"/>
  <c r="U12" i="46"/>
  <c r="GA12" i="46"/>
  <c r="DG12" i="46"/>
  <c r="FB12" i="46"/>
  <c r="DI12" i="46"/>
  <c r="GK12" i="46"/>
  <c r="FI12" i="46"/>
  <c r="ES12" i="46"/>
  <c r="GP12" i="46"/>
  <c r="EQ12" i="46"/>
  <c r="R12" i="46"/>
  <c r="GC12" i="46"/>
  <c r="EK12" i="46"/>
  <c r="EI12" i="46"/>
  <c r="EX12" i="46"/>
  <c r="O12" i="46"/>
  <c r="FU12" i="46"/>
  <c r="DW12" i="46"/>
  <c r="DU12" i="46"/>
  <c r="EW12" i="46"/>
  <c r="DN12" i="46"/>
  <c r="DC12" i="46"/>
  <c r="DQ12" i="46"/>
  <c r="CI12" i="46"/>
  <c r="EC12" i="46"/>
  <c r="CO12" i="46"/>
  <c r="FL12" i="46"/>
  <c r="EB12" i="46"/>
  <c r="CD12" i="46"/>
  <c r="L12" i="46"/>
  <c r="J12" i="46"/>
  <c r="X12" i="46"/>
  <c r="EM12" i="46"/>
  <c r="DE12" i="46"/>
  <c r="CU12" i="46"/>
  <c r="CS12" i="46"/>
  <c r="CE12" i="46"/>
  <c r="BW12" i="46"/>
  <c r="FV12" i="46"/>
  <c r="DF12" i="46"/>
  <c r="BZ12" i="46"/>
  <c r="DJ12" i="46"/>
  <c r="DP12" i="46"/>
  <c r="GG12" i="46"/>
  <c r="CG12" i="46"/>
  <c r="EE12" i="46"/>
  <c r="EH12" i="46"/>
  <c r="ET12" i="46"/>
  <c r="BY12" i="46"/>
  <c r="AD12" i="46"/>
  <c r="GN12" i="46"/>
  <c r="M12" i="46"/>
  <c r="Z12" i="46"/>
  <c r="EL12" i="46"/>
  <c r="Y12" i="46"/>
  <c r="CR12" i="46"/>
  <c r="GD12" i="46"/>
  <c r="FX12" i="46"/>
  <c r="FO12" i="46"/>
  <c r="FJ12" i="46"/>
  <c r="EJ12" i="46"/>
  <c r="AF12" i="46"/>
  <c r="DT12" i="46"/>
  <c r="GH12" i="46"/>
  <c r="EZ12" i="46"/>
  <c r="DV12" i="46"/>
  <c r="CK12" i="46"/>
  <c r="ER12" i="46"/>
  <c r="DY12" i="46"/>
  <c r="CN12" i="46"/>
  <c r="DA12" i="46"/>
  <c r="FP12" i="46"/>
  <c r="DO12" i="46"/>
  <c r="BX12" i="46"/>
  <c r="DR12" i="46"/>
  <c r="V12" i="46"/>
  <c r="AA12" i="46"/>
  <c r="G12" i="46"/>
  <c r="CB13" i="44"/>
  <c r="DZ13" i="44"/>
  <c r="GB13" i="44"/>
  <c r="CY13" i="44"/>
  <c r="BZ13" i="44"/>
  <c r="ES13" i="44"/>
  <c r="AA13" i="44"/>
  <c r="X13" i="44"/>
  <c r="AI13" i="44"/>
  <c r="CJ13" i="44"/>
  <c r="EI13" i="44"/>
  <c r="GJ13" i="44"/>
  <c r="DO13" i="44"/>
  <c r="CP13" i="44"/>
  <c r="FK13" i="44"/>
  <c r="GQ13" i="44"/>
  <c r="M13" i="44"/>
  <c r="CR13" i="44"/>
  <c r="FB13" i="44"/>
  <c r="GR13" i="44"/>
  <c r="EZ13" i="44"/>
  <c r="DF13" i="44"/>
  <c r="FZ13" i="44"/>
  <c r="CH13" i="44"/>
  <c r="AD13" i="44"/>
  <c r="CZ13" i="44"/>
  <c r="FJ13" i="44"/>
  <c r="BY13" i="44"/>
  <c r="FP13" i="44"/>
  <c r="DV13" i="44"/>
  <c r="GP13" i="44"/>
  <c r="O13" i="44"/>
  <c r="DH13" i="44"/>
  <c r="FR13" i="44"/>
  <c r="CG13" i="44"/>
  <c r="GE13" i="44"/>
  <c r="EN13" i="44"/>
  <c r="CE13" i="44"/>
  <c r="AC13" i="44"/>
  <c r="DP13" i="44"/>
  <c r="FY13" i="44"/>
  <c r="CO13" i="44"/>
  <c r="CL13" i="44"/>
  <c r="FG13" i="44"/>
  <c r="CU13" i="44"/>
  <c r="AH13" i="44"/>
  <c r="BT13" i="44"/>
  <c r="DY13" i="44"/>
  <c r="GG13" i="44"/>
  <c r="CW13" i="44"/>
  <c r="DB13" i="44"/>
  <c r="FW13" i="44"/>
  <c r="DK13" i="44"/>
  <c r="Z13" i="44"/>
  <c r="ER13" i="44"/>
  <c r="EP13" i="44"/>
  <c r="BX13" i="44"/>
  <c r="DM13" i="44"/>
  <c r="EJ13" i="44"/>
  <c r="CA13" i="44"/>
  <c r="ET13" i="44"/>
  <c r="Y13" i="44"/>
  <c r="FI13" i="44"/>
  <c r="CN13" i="44"/>
  <c r="EE13" i="44"/>
  <c r="FS13" i="44"/>
  <c r="DG13" i="44"/>
  <c r="FO13" i="44"/>
  <c r="AB13" i="44"/>
  <c r="FQ13" i="44"/>
  <c r="CV13" i="44"/>
  <c r="EM13" i="44"/>
  <c r="GH13" i="44"/>
  <c r="DW13" i="44"/>
  <c r="GA13" i="44"/>
  <c r="G13" i="44"/>
  <c r="EW13" i="44"/>
  <c r="EK13" i="44"/>
  <c r="EY13" i="44"/>
  <c r="FE13" i="44"/>
  <c r="FD13" i="44"/>
  <c r="GD13" i="44"/>
  <c r="BW13" i="44"/>
  <c r="CK13" i="44"/>
  <c r="AF13" i="44"/>
  <c r="GS13" i="44"/>
  <c r="DJ13" i="44"/>
  <c r="W13" i="44"/>
  <c r="DC13" i="44"/>
  <c r="FM13" i="44"/>
  <c r="FT13" i="44"/>
  <c r="J13" i="44"/>
  <c r="EH13" i="44"/>
  <c r="DI13" i="44"/>
  <c r="DD13" i="44"/>
  <c r="FU13" i="44"/>
  <c r="GI13" i="44"/>
  <c r="U13" i="44"/>
  <c r="DE13" i="44"/>
  <c r="GL13" i="44"/>
  <c r="P13" i="44"/>
  <c r="CD13" i="44"/>
  <c r="GK13" i="44"/>
  <c r="EU13" i="44"/>
  <c r="CM13" i="44"/>
  <c r="EQ13" i="44"/>
  <c r="FA13" i="44"/>
  <c r="DU13" i="44"/>
  <c r="CQ13" i="44"/>
  <c r="R13" i="44"/>
  <c r="V13" i="44"/>
  <c r="DA13" i="44"/>
  <c r="DL13" i="44"/>
  <c r="GF13" i="44"/>
  <c r="EX13" i="44"/>
  <c r="EO13" i="44"/>
  <c r="S13" i="44"/>
  <c r="CC13" i="44"/>
  <c r="FX13" i="44"/>
  <c r="H13" i="44"/>
  <c r="FV13" i="44"/>
  <c r="CS13" i="44"/>
  <c r="GC13" i="44"/>
  <c r="CT13" i="44"/>
  <c r="I13" i="44"/>
  <c r="GN13" i="44"/>
  <c r="FF13" i="44"/>
  <c r="FH13" i="44"/>
  <c r="AE13" i="44"/>
  <c r="FN13" i="44"/>
  <c r="GM13" i="44"/>
  <c r="GT13" i="44"/>
  <c r="DN13" i="44"/>
  <c r="DQ13" i="44"/>
  <c r="CI13" i="44"/>
  <c r="EB13" i="44"/>
  <c r="L13" i="44"/>
  <c r="EV13" i="44"/>
  <c r="GO13" i="44"/>
  <c r="DR13" i="44"/>
  <c r="EC13" i="44"/>
  <c r="CF13" i="44"/>
  <c r="FC13" i="44"/>
  <c r="FL13" i="44"/>
  <c r="CX13" i="44"/>
  <c r="DT13" i="44"/>
  <c r="EL13" i="44"/>
  <c r="DS13" i="44"/>
  <c r="EF13" i="44"/>
  <c r="EV24" i="46"/>
  <c r="EU24" i="46"/>
  <c r="BT24" i="46"/>
  <c r="AI24" i="46"/>
  <c r="EK8" i="44"/>
  <c r="CX8" i="44"/>
  <c r="EC8" i="44"/>
  <c r="DK8" i="44"/>
  <c r="DU8" i="44"/>
  <c r="DW8" i="44"/>
  <c r="EW8" i="44"/>
  <c r="ET8" i="44"/>
  <c r="DF8" i="44"/>
  <c r="EP8" i="44"/>
  <c r="BW8" i="44"/>
  <c r="CG8" i="44"/>
  <c r="EL8" i="44"/>
  <c r="CK8" i="44"/>
  <c r="G8" i="44"/>
  <c r="CD8" i="44"/>
  <c r="DN8" i="44"/>
  <c r="CC8" i="44"/>
  <c r="FB8" i="44"/>
  <c r="CR8" i="44"/>
  <c r="BY8" i="44"/>
  <c r="DQ8" i="44"/>
  <c r="CL8" i="44"/>
  <c r="EX8" i="44"/>
  <c r="CN8" i="44"/>
  <c r="FM8" i="44"/>
  <c r="DC8" i="44"/>
  <c r="CJ8" i="44"/>
  <c r="FH8" i="44"/>
  <c r="BT8" i="44"/>
  <c r="CT8" i="44"/>
  <c r="FI8" i="44"/>
  <c r="CY8" i="44"/>
  <c r="FX8" i="44"/>
  <c r="DM8" i="44"/>
  <c r="CU8" i="44"/>
  <c r="CV8" i="44"/>
  <c r="EV8" i="44"/>
  <c r="DB8" i="44"/>
  <c r="FT8" i="44"/>
  <c r="DI8" i="44"/>
  <c r="GG8" i="44"/>
  <c r="FE8" i="44"/>
  <c r="DE8" i="44"/>
  <c r="L8" i="44"/>
  <c r="DJ8" i="44"/>
  <c r="GC8" i="44"/>
  <c r="DT8" i="44"/>
  <c r="GR8" i="44"/>
  <c r="FP8" i="44"/>
  <c r="DP8" i="44"/>
  <c r="O8" i="44"/>
  <c r="EY8" i="44"/>
  <c r="EB8" i="44"/>
  <c r="Y8" i="44"/>
  <c r="ES8" i="44"/>
  <c r="GJ8" i="44"/>
  <c r="R8" i="44"/>
  <c r="DG8" i="44"/>
  <c r="FO8" i="44"/>
  <c r="CB8" i="44"/>
  <c r="FA8" i="44"/>
  <c r="CQ8" i="44"/>
  <c r="EJ8" i="44"/>
  <c r="EM8" i="44"/>
  <c r="AD8" i="44"/>
  <c r="GD8" i="44"/>
  <c r="EI8" i="44"/>
  <c r="W8" i="44"/>
  <c r="GL8" i="44"/>
  <c r="FL8" i="44"/>
  <c r="J8" i="44"/>
  <c r="X8" i="44"/>
  <c r="GI8" i="44"/>
  <c r="FY8" i="44"/>
  <c r="GA8" i="44"/>
  <c r="DY8" i="44"/>
  <c r="DZ8" i="44"/>
  <c r="I8" i="44"/>
  <c r="EQ8" i="44"/>
  <c r="GT8" i="44"/>
  <c r="FV8" i="44"/>
  <c r="DV8" i="44"/>
  <c r="AC8" i="44"/>
  <c r="GQ8" i="44"/>
  <c r="M8" i="44"/>
  <c r="FS8" i="44"/>
  <c r="FD8" i="44"/>
  <c r="GB8" i="44"/>
  <c r="AI8" i="44"/>
  <c r="AH8" i="44"/>
  <c r="EF8" i="44"/>
  <c r="GF8" i="44"/>
  <c r="BX8" i="44"/>
  <c r="FR8" i="44"/>
  <c r="EO8" i="44"/>
  <c r="CI8" i="44"/>
  <c r="EU8" i="44"/>
  <c r="FC8" i="44"/>
  <c r="CF8" i="44"/>
  <c r="DA8" i="44"/>
  <c r="GK8" i="44"/>
  <c r="DR8" i="44"/>
  <c r="BZ8" i="44"/>
  <c r="EE8" i="44"/>
  <c r="CS8" i="44"/>
  <c r="Z8" i="44"/>
  <c r="FF8" i="44"/>
  <c r="EN8" i="44"/>
  <c r="EH8" i="44"/>
  <c r="FK8" i="44"/>
  <c r="DH8" i="44"/>
  <c r="CH8" i="44"/>
  <c r="ER8" i="44"/>
  <c r="DD8" i="44"/>
  <c r="GM8" i="44"/>
  <c r="GN8" i="44"/>
  <c r="AA8" i="44"/>
  <c r="CP8" i="44"/>
  <c r="CE8" i="44"/>
  <c r="DO8" i="44"/>
  <c r="P8" i="44"/>
  <c r="CO8" i="44"/>
  <c r="CZ8" i="44"/>
  <c r="CM8" i="44"/>
  <c r="CW8" i="44"/>
  <c r="GE8" i="44"/>
  <c r="FG8" i="44"/>
  <c r="FQ8" i="44"/>
  <c r="FU8" i="44"/>
  <c r="FN8" i="44"/>
  <c r="GO8" i="44"/>
  <c r="FZ8" i="44"/>
  <c r="DS8" i="44"/>
  <c r="DL8" i="44"/>
  <c r="AE8" i="44"/>
  <c r="GH8" i="44"/>
  <c r="EZ8" i="44"/>
  <c r="V8" i="44"/>
  <c r="U8" i="44"/>
  <c r="GP8" i="44"/>
  <c r="FJ8" i="44"/>
  <c r="AB8" i="44"/>
  <c r="AF8" i="44"/>
  <c r="S8" i="44"/>
  <c r="CA8" i="44"/>
  <c r="GS8" i="44"/>
  <c r="FW8" i="44"/>
  <c r="EU37" i="46"/>
  <c r="BT37" i="46"/>
  <c r="AI37" i="46"/>
  <c r="EV37" i="46"/>
  <c r="EQ16" i="44"/>
  <c r="CD16" i="44"/>
  <c r="EK16" i="44"/>
  <c r="FV16" i="44"/>
  <c r="CB16" i="44"/>
  <c r="FX16" i="44"/>
  <c r="FU16" i="44"/>
  <c r="U16" i="44"/>
  <c r="X16" i="44"/>
  <c r="ER16" i="44"/>
  <c r="CL16" i="44"/>
  <c r="ET16" i="44"/>
  <c r="GC16" i="44"/>
  <c r="CV16" i="44"/>
  <c r="GG16" i="44"/>
  <c r="GJ16" i="44"/>
  <c r="AA16" i="44"/>
  <c r="Z16" i="44"/>
  <c r="BT16" i="44"/>
  <c r="EV16" i="44"/>
  <c r="DB16" i="44"/>
  <c r="FL16" i="44"/>
  <c r="GS16" i="44"/>
  <c r="EI16" i="44"/>
  <c r="DD16" i="44"/>
  <c r="DV16" i="44"/>
  <c r="V16" i="44"/>
  <c r="DJ16" i="44"/>
  <c r="FT16" i="44"/>
  <c r="BZ16" i="44"/>
  <c r="FB16" i="44"/>
  <c r="EH16" i="44"/>
  <c r="EY16" i="44"/>
  <c r="AB16" i="44"/>
  <c r="DR16" i="44"/>
  <c r="GA16" i="44"/>
  <c r="CH16" i="44"/>
  <c r="FQ16" i="44"/>
  <c r="FM16" i="44"/>
  <c r="FW16" i="44"/>
  <c r="FY16" i="44"/>
  <c r="DZ16" i="44"/>
  <c r="GI16" i="44"/>
  <c r="CP16" i="44"/>
  <c r="GB16" i="44"/>
  <c r="GE16" i="44"/>
  <c r="GL16" i="44"/>
  <c r="O16" i="44"/>
  <c r="ES16" i="44"/>
  <c r="BY16" i="44"/>
  <c r="DF16" i="44"/>
  <c r="CC16" i="44"/>
  <c r="DI16" i="44"/>
  <c r="FA16" i="44"/>
  <c r="AE16" i="44"/>
  <c r="CE16" i="44"/>
  <c r="GK16" i="44"/>
  <c r="GD16" i="44"/>
  <c r="CR16" i="44"/>
  <c r="AD16" i="44"/>
  <c r="AI16" i="44"/>
  <c r="CM16" i="44"/>
  <c r="CX16" i="44"/>
  <c r="GN16" i="44"/>
  <c r="GO16" i="44"/>
  <c r="G16" i="44"/>
  <c r="FI16" i="44"/>
  <c r="EO16" i="44"/>
  <c r="EJ16" i="44"/>
  <c r="GH16" i="44"/>
  <c r="CJ16" i="44"/>
  <c r="Y16" i="44"/>
  <c r="FG16" i="44"/>
  <c r="FF16" i="44"/>
  <c r="CU16" i="44"/>
  <c r="DN16" i="44"/>
  <c r="CK16" i="44"/>
  <c r="DA16" i="44"/>
  <c r="J16" i="44"/>
  <c r="CA16" i="44"/>
  <c r="EF16" i="44"/>
  <c r="DK16" i="44"/>
  <c r="DY16" i="44"/>
  <c r="S16" i="44"/>
  <c r="DL16" i="44"/>
  <c r="H16" i="44"/>
  <c r="FC16" i="44"/>
  <c r="AC16" i="44"/>
  <c r="FK16" i="44"/>
  <c r="DC16" i="44"/>
  <c r="DH16" i="44"/>
  <c r="P16" i="44"/>
  <c r="CI16" i="44"/>
  <c r="EL16" i="44"/>
  <c r="EC16" i="44"/>
  <c r="DE16" i="44"/>
  <c r="DS16" i="44"/>
  <c r="CQ16" i="44"/>
  <c r="FJ16" i="44"/>
  <c r="FZ16" i="44"/>
  <c r="AF16" i="44"/>
  <c r="DO16" i="44"/>
  <c r="L16" i="44"/>
  <c r="CG16" i="44"/>
  <c r="CO16" i="44"/>
  <c r="EZ16" i="44"/>
  <c r="FH16" i="44"/>
  <c r="DT16" i="44"/>
  <c r="DP16" i="44"/>
  <c r="EW16" i="44"/>
  <c r="EB16" i="44"/>
  <c r="CY16" i="44"/>
  <c r="GR16" i="44"/>
  <c r="GT16" i="44"/>
  <c r="EU16" i="44"/>
  <c r="GQ16" i="44"/>
  <c r="M16" i="44"/>
  <c r="FD16" i="44"/>
  <c r="DG16" i="44"/>
  <c r="BX16" i="44"/>
  <c r="CS16" i="44"/>
  <c r="EN16" i="44"/>
  <c r="DW16" i="44"/>
  <c r="CF16" i="44"/>
  <c r="AH16" i="44"/>
  <c r="FO16" i="44"/>
  <c r="GF16" i="44"/>
  <c r="EM16" i="44"/>
  <c r="FE16" i="44"/>
  <c r="CW16" i="44"/>
  <c r="EX16" i="44"/>
  <c r="DM16" i="44"/>
  <c r="DQ16" i="44"/>
  <c r="EP16" i="44"/>
  <c r="W16" i="44"/>
  <c r="CT16" i="44"/>
  <c r="DU16" i="44"/>
  <c r="GM16" i="44"/>
  <c r="FP16" i="44"/>
  <c r="GP16" i="44"/>
  <c r="EE16" i="44"/>
  <c r="CZ16" i="44"/>
  <c r="FS16" i="44"/>
  <c r="FN16" i="44"/>
  <c r="FR16" i="44"/>
  <c r="CN16" i="44"/>
  <c r="I16" i="44"/>
  <c r="BW16" i="44"/>
  <c r="R16" i="44"/>
  <c r="AB32" i="44"/>
  <c r="CA32" i="44"/>
  <c r="CF32" i="44"/>
  <c r="CU32" i="44"/>
  <c r="CJ32" i="44"/>
  <c r="FH32" i="44"/>
  <c r="CD32" i="44"/>
  <c r="DB32" i="44"/>
  <c r="CE32" i="44"/>
  <c r="DQ32" i="44"/>
  <c r="FK32" i="44"/>
  <c r="CM32" i="44"/>
  <c r="EE32" i="44"/>
  <c r="GP32" i="44"/>
  <c r="W32" i="44"/>
  <c r="CQ32" i="44"/>
  <c r="DS32" i="44"/>
  <c r="ES32" i="44"/>
  <c r="FE32" i="44"/>
  <c r="FU32" i="44"/>
  <c r="GT32" i="44"/>
  <c r="X32" i="44"/>
  <c r="CC32" i="44"/>
  <c r="AF32" i="44"/>
  <c r="CY32" i="44"/>
  <c r="DW32" i="44"/>
  <c r="EM32" i="44"/>
  <c r="CT32" i="44"/>
  <c r="DN32" i="44"/>
  <c r="DJ32" i="44"/>
  <c r="DG32" i="44"/>
  <c r="AH32" i="44"/>
  <c r="FN32" i="44"/>
  <c r="EX32" i="44"/>
  <c r="CX32" i="44"/>
  <c r="EJ32" i="44"/>
  <c r="FM32" i="44"/>
  <c r="CW32" i="44"/>
  <c r="CZ32" i="44"/>
  <c r="GB32" i="44"/>
  <c r="DR32" i="44"/>
  <c r="CN32" i="44"/>
  <c r="EI32" i="44"/>
  <c r="EB32" i="44"/>
  <c r="P32" i="44"/>
  <c r="GO32" i="44"/>
  <c r="DV32" i="44"/>
  <c r="Z32" i="44"/>
  <c r="J32" i="44"/>
  <c r="FO32" i="44"/>
  <c r="FX32" i="44"/>
  <c r="FQ32" i="44"/>
  <c r="EL32" i="44"/>
  <c r="CI32" i="44"/>
  <c r="FY32" i="44"/>
  <c r="CL32" i="44"/>
  <c r="CP32" i="44"/>
  <c r="FG32" i="44"/>
  <c r="GA32" i="44"/>
  <c r="GI32" i="44"/>
  <c r="CV32" i="44"/>
  <c r="DE32" i="44"/>
  <c r="FJ32" i="44"/>
  <c r="GQ32" i="44"/>
  <c r="CH32" i="44"/>
  <c r="BX32" i="44"/>
  <c r="FV32" i="44"/>
  <c r="GF32" i="44"/>
  <c r="EK32" i="44"/>
  <c r="R32" i="44"/>
  <c r="I32" i="44"/>
  <c r="FB32" i="44"/>
  <c r="FA32" i="44"/>
  <c r="L32" i="44"/>
  <c r="EH32" i="44"/>
  <c r="FT32" i="44"/>
  <c r="FZ32" i="44"/>
  <c r="CS32" i="44"/>
  <c r="G32" i="44"/>
  <c r="GE32" i="44"/>
  <c r="BZ32" i="44"/>
  <c r="DI32" i="44"/>
  <c r="CO32" i="44"/>
  <c r="AI32" i="44"/>
  <c r="DA32" i="44"/>
  <c r="U32" i="44"/>
  <c r="EN32" i="44"/>
  <c r="EP32" i="44"/>
  <c r="GD32" i="44"/>
  <c r="ER32" i="44"/>
  <c r="FC32" i="44"/>
  <c r="EU32" i="44"/>
  <c r="FW32" i="44"/>
  <c r="EF32" i="44"/>
  <c r="FF32" i="44"/>
  <c r="GG32" i="44"/>
  <c r="DF32" i="44"/>
  <c r="DK32" i="44"/>
  <c r="DZ32" i="44"/>
  <c r="DP32" i="44"/>
  <c r="EY32" i="44"/>
  <c r="GJ32" i="44"/>
  <c r="Y32" i="44"/>
  <c r="GC32" i="44"/>
  <c r="GR32" i="44"/>
  <c r="DM32" i="44"/>
  <c r="O32" i="44"/>
  <c r="CG32" i="44"/>
  <c r="M32" i="44"/>
  <c r="GL32" i="44"/>
  <c r="DC32" i="44"/>
  <c r="EO32" i="44"/>
  <c r="BW32" i="44"/>
  <c r="H32" i="44"/>
  <c r="FP32" i="44"/>
  <c r="CR32" i="44"/>
  <c r="ET32" i="44"/>
  <c r="FS32" i="44"/>
  <c r="GM32" i="44"/>
  <c r="BY32" i="44"/>
  <c r="AA32" i="44"/>
  <c r="DU32" i="44"/>
  <c r="DO32" i="44"/>
  <c r="V32" i="44"/>
  <c r="EC32" i="44"/>
  <c r="EQ32" i="44"/>
  <c r="FI32" i="44"/>
  <c r="CK32" i="44"/>
  <c r="DY32" i="44"/>
  <c r="GH32" i="44"/>
  <c r="DT32" i="44"/>
  <c r="FR32" i="44"/>
  <c r="DH32" i="44"/>
  <c r="GN32" i="44"/>
  <c r="AE32" i="44"/>
  <c r="AD32" i="44"/>
  <c r="EW32" i="44"/>
  <c r="GS32" i="44"/>
  <c r="EV32" i="44"/>
  <c r="S32" i="44"/>
  <c r="CB32" i="44"/>
  <c r="GK32" i="44"/>
  <c r="DL32" i="44"/>
  <c r="AC32" i="44"/>
  <c r="EZ32" i="44"/>
  <c r="BT32" i="44"/>
  <c r="DD32" i="44"/>
  <c r="FD32" i="44"/>
  <c r="FL32" i="44"/>
  <c r="BT29" i="46"/>
  <c r="AI29" i="46"/>
  <c r="EU29" i="46"/>
  <c r="EV29" i="46"/>
  <c r="CS30" i="44"/>
  <c r="DB30" i="44"/>
  <c r="DZ30" i="44"/>
  <c r="FX30" i="44"/>
  <c r="GT30" i="44"/>
  <c r="FY30" i="44"/>
  <c r="AI30" i="44"/>
  <c r="DE30" i="44"/>
  <c r="DD30" i="44"/>
  <c r="FI30" i="44"/>
  <c r="S30" i="44"/>
  <c r="CF30" i="44"/>
  <c r="DF30" i="44"/>
  <c r="V30" i="44"/>
  <c r="BX30" i="44"/>
  <c r="CK30" i="44"/>
  <c r="EH30" i="44"/>
  <c r="AH30" i="44"/>
  <c r="FB30" i="44"/>
  <c r="EP30" i="44"/>
  <c r="AE30" i="44"/>
  <c r="CY30" i="44"/>
  <c r="FG30" i="44"/>
  <c r="DC30" i="44"/>
  <c r="GC30" i="44"/>
  <c r="GQ30" i="44"/>
  <c r="U30" i="44"/>
  <c r="DI30" i="44"/>
  <c r="EM30" i="44"/>
  <c r="CX30" i="44"/>
  <c r="FJ30" i="44"/>
  <c r="EI30" i="44"/>
  <c r="GL30" i="44"/>
  <c r="FF30" i="44"/>
  <c r="CI30" i="44"/>
  <c r="EB30" i="44"/>
  <c r="EV30" i="44"/>
  <c r="CC30" i="44"/>
  <c r="AF30" i="44"/>
  <c r="GS30" i="44"/>
  <c r="AC30" i="44"/>
  <c r="DH30" i="44"/>
  <c r="J30" i="44"/>
  <c r="ES30" i="44"/>
  <c r="DK30" i="44"/>
  <c r="M30" i="44"/>
  <c r="AB30" i="44"/>
  <c r="FV30" i="44"/>
  <c r="FK30" i="44"/>
  <c r="CM30" i="44"/>
  <c r="EK30" i="44"/>
  <c r="FO30" i="44"/>
  <c r="O30" i="44"/>
  <c r="CT30" i="44"/>
  <c r="GA30" i="44"/>
  <c r="EZ30" i="44"/>
  <c r="FW30" i="44"/>
  <c r="DQ30" i="44"/>
  <c r="DP30" i="44"/>
  <c r="EE30" i="44"/>
  <c r="GM30" i="44"/>
  <c r="DU30" i="44"/>
  <c r="EJ30" i="44"/>
  <c r="FT30" i="44"/>
  <c r="GN30" i="44"/>
  <c r="EC30" i="44"/>
  <c r="L30" i="44"/>
  <c r="DN30" i="44"/>
  <c r="I30" i="44"/>
  <c r="EX30" i="44"/>
  <c r="P30" i="44"/>
  <c r="CZ30" i="44"/>
  <c r="ER30" i="44"/>
  <c r="FU30" i="44"/>
  <c r="H30" i="44"/>
  <c r="BT30" i="44"/>
  <c r="AA30" i="44"/>
  <c r="EY30" i="44"/>
  <c r="CH30" i="44"/>
  <c r="FQ30" i="44"/>
  <c r="R30" i="44"/>
  <c r="FM30" i="44"/>
  <c r="Y30" i="44"/>
  <c r="CJ30" i="44"/>
  <c r="GF30" i="44"/>
  <c r="CG30" i="44"/>
  <c r="GK30" i="44"/>
  <c r="DW30" i="44"/>
  <c r="DM30" i="44"/>
  <c r="AD30" i="44"/>
  <c r="CE30" i="44"/>
  <c r="EN30" i="44"/>
  <c r="FN30" i="44"/>
  <c r="DS30" i="44"/>
  <c r="ET30" i="44"/>
  <c r="FA30" i="44"/>
  <c r="FL30" i="44"/>
  <c r="GD30" i="44"/>
  <c r="DO30" i="44"/>
  <c r="CV30" i="44"/>
  <c r="GP30" i="44"/>
  <c r="DY30" i="44"/>
  <c r="EU30" i="44"/>
  <c r="CN30" i="44"/>
  <c r="GE30" i="44"/>
  <c r="W30" i="44"/>
  <c r="EO30" i="44"/>
  <c r="CR30" i="44"/>
  <c r="CO30" i="44"/>
  <c r="FP30" i="44"/>
  <c r="FE30" i="44"/>
  <c r="CD30" i="44"/>
  <c r="FS30" i="44"/>
  <c r="GG30" i="44"/>
  <c r="CB30" i="44"/>
  <c r="GI30" i="44"/>
  <c r="FD30" i="44"/>
  <c r="CW30" i="44"/>
  <c r="DG30" i="44"/>
  <c r="FC30" i="44"/>
  <c r="DL30" i="44"/>
  <c r="FZ30" i="44"/>
  <c r="BY30" i="44"/>
  <c r="CQ30" i="44"/>
  <c r="GB30" i="44"/>
  <c r="CA30" i="44"/>
  <c r="EL30" i="44"/>
  <c r="CU30" i="44"/>
  <c r="DR30" i="44"/>
  <c r="Z30" i="44"/>
  <c r="DT30" i="44"/>
  <c r="DJ30" i="44"/>
  <c r="G30" i="44"/>
  <c r="GJ30" i="44"/>
  <c r="BZ30" i="44"/>
  <c r="DA30" i="44"/>
  <c r="GR30" i="44"/>
  <c r="X30" i="44"/>
  <c r="FH30" i="44"/>
  <c r="GH30" i="44"/>
  <c r="CP30" i="44"/>
  <c r="EW30" i="44"/>
  <c r="DV30" i="44"/>
  <c r="EQ30" i="44"/>
  <c r="EF30" i="44"/>
  <c r="FR30" i="44"/>
  <c r="GO30" i="44"/>
  <c r="CL30" i="44"/>
  <c r="BW30" i="44"/>
  <c r="EV34" i="46"/>
  <c r="BT34" i="46"/>
  <c r="AI34" i="46"/>
  <c r="EU34" i="46"/>
  <c r="AI35" i="46"/>
  <c r="EU35" i="46"/>
  <c r="BT35" i="46"/>
  <c r="EV35" i="46"/>
  <c r="BT22" i="44"/>
  <c r="GO22" i="44"/>
  <c r="DM22" i="44"/>
  <c r="EY22" i="44"/>
  <c r="BX22" i="44"/>
  <c r="DW22" i="44"/>
  <c r="GQ22" i="44"/>
  <c r="Z22" i="44"/>
  <c r="EV22" i="44"/>
  <c r="CD22" i="44"/>
  <c r="DU22" i="44"/>
  <c r="FG22" i="44"/>
  <c r="CU22" i="44"/>
  <c r="ET22" i="44"/>
  <c r="CL22" i="44"/>
  <c r="EK22" i="44"/>
  <c r="EU22" i="44"/>
  <c r="CM22" i="44"/>
  <c r="EC22" i="44"/>
  <c r="FO22" i="44"/>
  <c r="DR22" i="44"/>
  <c r="FS22" i="44"/>
  <c r="DJ22" i="44"/>
  <c r="I22" i="44"/>
  <c r="CV22" i="44"/>
  <c r="EM22" i="44"/>
  <c r="FW22" i="44"/>
  <c r="EO22" i="44"/>
  <c r="GM22" i="44"/>
  <c r="EF22" i="44"/>
  <c r="Y22" i="44"/>
  <c r="BZ22" i="44"/>
  <c r="DD22" i="44"/>
  <c r="EX22" i="44"/>
  <c r="GD22" i="44"/>
  <c r="FL22" i="44"/>
  <c r="G22" i="44"/>
  <c r="FD22" i="44"/>
  <c r="GE22" i="44"/>
  <c r="CH22" i="44"/>
  <c r="DL22" i="44"/>
  <c r="FF22" i="44"/>
  <c r="GL22" i="44"/>
  <c r="GH22" i="44"/>
  <c r="P22" i="44"/>
  <c r="FZ22" i="44"/>
  <c r="L22" i="44"/>
  <c r="CP22" i="44"/>
  <c r="DT22" i="44"/>
  <c r="FN22" i="44"/>
  <c r="GT22" i="44"/>
  <c r="M22" i="44"/>
  <c r="AH22" i="44"/>
  <c r="J22" i="44"/>
  <c r="AB22" i="44"/>
  <c r="EQ22" i="44"/>
  <c r="CJ22" i="44"/>
  <c r="EL22" i="44"/>
  <c r="GC22" i="44"/>
  <c r="CI22" i="44"/>
  <c r="CB22" i="44"/>
  <c r="DC22" i="44"/>
  <c r="DK22" i="44"/>
  <c r="DA22" i="44"/>
  <c r="FE22" i="44"/>
  <c r="GS22" i="44"/>
  <c r="CZ22" i="44"/>
  <c r="DS22" i="44"/>
  <c r="EZ22" i="44"/>
  <c r="FH22" i="44"/>
  <c r="AI22" i="44"/>
  <c r="DI22" i="44"/>
  <c r="FM22" i="44"/>
  <c r="BW22" i="44"/>
  <c r="DH22" i="44"/>
  <c r="ES22" i="44"/>
  <c r="FT22" i="44"/>
  <c r="GA22" i="44"/>
  <c r="FJ22" i="44"/>
  <c r="DN22" i="44"/>
  <c r="AF22" i="44"/>
  <c r="CT22" i="44"/>
  <c r="FR22" i="44"/>
  <c r="DV22" i="44"/>
  <c r="AC22" i="44"/>
  <c r="V22" i="44"/>
  <c r="S22" i="44"/>
  <c r="FA22" i="44"/>
  <c r="FQ22" i="44"/>
  <c r="CW22" i="44"/>
  <c r="DQ22" i="44"/>
  <c r="FY22" i="44"/>
  <c r="EE22" i="44"/>
  <c r="CC22" i="44"/>
  <c r="AA22" i="44"/>
  <c r="BY22" i="44"/>
  <c r="CG22" i="44"/>
  <c r="CE22" i="44"/>
  <c r="DG22" i="44"/>
  <c r="FP22" i="44"/>
  <c r="EI22" i="44"/>
  <c r="GG22" i="44"/>
  <c r="EN22" i="44"/>
  <c r="DB22" i="44"/>
  <c r="DO22" i="44"/>
  <c r="EB22" i="44"/>
  <c r="CK22" i="44"/>
  <c r="GF22" i="44"/>
  <c r="GI22" i="44"/>
  <c r="FC22" i="44"/>
  <c r="CO22" i="44"/>
  <c r="EW22" i="44"/>
  <c r="CR22" i="44"/>
  <c r="DZ22" i="44"/>
  <c r="DY22" i="44"/>
  <c r="FU22" i="44"/>
  <c r="DP22" i="44"/>
  <c r="GP22" i="44"/>
  <c r="GJ22" i="44"/>
  <c r="GR22" i="44"/>
  <c r="AE22" i="44"/>
  <c r="GB22" i="44"/>
  <c r="EH22" i="44"/>
  <c r="H22" i="44"/>
  <c r="R22" i="44"/>
  <c r="FI22" i="44"/>
  <c r="CN22" i="44"/>
  <c r="EP22" i="44"/>
  <c r="AD22" i="44"/>
  <c r="CF22" i="44"/>
  <c r="CX22" i="44"/>
  <c r="O22" i="44"/>
  <c r="DE22" i="44"/>
  <c r="GN22" i="44"/>
  <c r="FX22" i="44"/>
  <c r="CA22" i="44"/>
  <c r="FV22" i="44"/>
  <c r="W22" i="44"/>
  <c r="CQ22" i="44"/>
  <c r="ER22" i="44"/>
  <c r="CS22" i="44"/>
  <c r="GK22" i="44"/>
  <c r="CY22" i="44"/>
  <c r="EJ22" i="44"/>
  <c r="U22" i="44"/>
  <c r="DF22" i="44"/>
  <c r="FB22" i="44"/>
  <c r="FK22" i="44"/>
  <c r="X22" i="44"/>
  <c r="CD29" i="44"/>
  <c r="CU29" i="44"/>
  <c r="BW29" i="44"/>
  <c r="DG29" i="44"/>
  <c r="W29" i="44"/>
  <c r="EN29" i="44"/>
  <c r="CN29" i="44"/>
  <c r="Z29" i="44"/>
  <c r="DS29" i="44"/>
  <c r="EE29" i="44"/>
  <c r="GE29" i="44"/>
  <c r="GN29" i="44"/>
  <c r="GD29" i="44"/>
  <c r="CH29" i="44"/>
  <c r="DO29" i="44"/>
  <c r="BT29" i="44"/>
  <c r="CO29" i="44"/>
  <c r="ET29" i="44"/>
  <c r="DQ29" i="44"/>
  <c r="FI29" i="44"/>
  <c r="EZ29" i="44"/>
  <c r="EK29" i="44"/>
  <c r="FW29" i="44"/>
  <c r="CI29" i="44"/>
  <c r="EH29" i="44"/>
  <c r="FK29" i="44"/>
  <c r="FN29" i="44"/>
  <c r="FO29" i="44"/>
  <c r="GP29" i="44"/>
  <c r="DT29" i="44"/>
  <c r="CT29" i="44"/>
  <c r="FR29" i="44"/>
  <c r="FX29" i="44"/>
  <c r="GT29" i="44"/>
  <c r="GS29" i="44"/>
  <c r="AF29" i="44"/>
  <c r="AB29" i="44"/>
  <c r="FF29" i="44"/>
  <c r="EJ29" i="44"/>
  <c r="GR29" i="44"/>
  <c r="GQ29" i="44"/>
  <c r="DY29" i="44"/>
  <c r="DH29" i="44"/>
  <c r="DC29" i="44"/>
  <c r="AH29" i="44"/>
  <c r="GI29" i="44"/>
  <c r="Y29" i="44"/>
  <c r="AE29" i="44"/>
  <c r="EB29" i="44"/>
  <c r="P29" i="44"/>
  <c r="J29" i="44"/>
  <c r="GM29" i="44"/>
  <c r="EL29" i="44"/>
  <c r="GL29" i="44"/>
  <c r="CB29" i="44"/>
  <c r="M29" i="44"/>
  <c r="H29" i="44"/>
  <c r="FJ29" i="44"/>
  <c r="GA29" i="44"/>
  <c r="GG29" i="44"/>
  <c r="EI29" i="44"/>
  <c r="AI29" i="44"/>
  <c r="DD29" i="44"/>
  <c r="FM29" i="44"/>
  <c r="FC29" i="44"/>
  <c r="DV29" i="44"/>
  <c r="DE29" i="44"/>
  <c r="CA29" i="44"/>
  <c r="CE29" i="44"/>
  <c r="EX29" i="44"/>
  <c r="AD29" i="44"/>
  <c r="DJ29" i="44"/>
  <c r="CM29" i="44"/>
  <c r="DU29" i="44"/>
  <c r="GJ29" i="44"/>
  <c r="DN29" i="44"/>
  <c r="DB29" i="44"/>
  <c r="CK29" i="44"/>
  <c r="CQ29" i="44"/>
  <c r="FT29" i="44"/>
  <c r="CS29" i="44"/>
  <c r="V29" i="44"/>
  <c r="BZ29" i="44"/>
  <c r="DW29" i="44"/>
  <c r="EW29" i="44"/>
  <c r="DA29" i="44"/>
  <c r="CF29" i="44"/>
  <c r="EV29" i="44"/>
  <c r="CC29" i="44"/>
  <c r="DK29" i="44"/>
  <c r="FA29" i="44"/>
  <c r="EP29" i="44"/>
  <c r="GB29" i="44"/>
  <c r="CX29" i="44"/>
  <c r="CZ29" i="44"/>
  <c r="S29" i="44"/>
  <c r="EU29" i="44"/>
  <c r="EF29" i="44"/>
  <c r="CL29" i="44"/>
  <c r="X29" i="44"/>
  <c r="AC29" i="44"/>
  <c r="CW29" i="44"/>
  <c r="DI29" i="44"/>
  <c r="BY29" i="44"/>
  <c r="ES29" i="44"/>
  <c r="EC29" i="44"/>
  <c r="FZ29" i="44"/>
  <c r="CP29" i="44"/>
  <c r="DP29" i="44"/>
  <c r="FS29" i="44"/>
  <c r="DZ29" i="44"/>
  <c r="FH29" i="44"/>
  <c r="FP29" i="44"/>
  <c r="GO29" i="44"/>
  <c r="GH29" i="44"/>
  <c r="I29" i="44"/>
  <c r="CG29" i="44"/>
  <c r="DF29" i="44"/>
  <c r="EO29" i="44"/>
  <c r="BX29" i="44"/>
  <c r="FB29" i="44"/>
  <c r="CR29" i="44"/>
  <c r="CV29" i="44"/>
  <c r="DM29" i="44"/>
  <c r="DL29" i="44"/>
  <c r="EY29" i="44"/>
  <c r="ER29" i="44"/>
  <c r="DR29" i="44"/>
  <c r="FG29" i="44"/>
  <c r="G29" i="44"/>
  <c r="O29" i="44"/>
  <c r="FV29" i="44"/>
  <c r="FU29" i="44"/>
  <c r="GC29" i="44"/>
  <c r="CJ29" i="44"/>
  <c r="AA29" i="44"/>
  <c r="L29" i="44"/>
  <c r="FD29" i="44"/>
  <c r="GF29" i="44"/>
  <c r="CY29" i="44"/>
  <c r="FY29" i="44"/>
  <c r="FE29" i="44"/>
  <c r="EQ29" i="44"/>
  <c r="FL29" i="44"/>
  <c r="EM29" i="44"/>
  <c r="GK29" i="44"/>
  <c r="U29" i="44"/>
  <c r="FQ29" i="44"/>
  <c r="R29" i="44"/>
  <c r="CR28" i="44"/>
  <c r="L28" i="44"/>
  <c r="CB28" i="44"/>
  <c r="GI28" i="44"/>
  <c r="DZ28" i="44"/>
  <c r="FV28" i="44"/>
  <c r="GN28" i="44"/>
  <c r="EE28" i="44"/>
  <c r="FR28" i="44"/>
  <c r="DB28" i="44"/>
  <c r="CG28" i="44"/>
  <c r="H28" i="44"/>
  <c r="EY28" i="44"/>
  <c r="M28" i="44"/>
  <c r="DO28" i="44"/>
  <c r="GP28" i="44"/>
  <c r="O28" i="44"/>
  <c r="DC28" i="44"/>
  <c r="EO28" i="44"/>
  <c r="EL28" i="44"/>
  <c r="CL28" i="44"/>
  <c r="FG28" i="44"/>
  <c r="FC28" i="44"/>
  <c r="J28" i="44"/>
  <c r="CU28" i="44"/>
  <c r="CF28" i="44"/>
  <c r="DQ28" i="44"/>
  <c r="GJ28" i="44"/>
  <c r="EM28" i="44"/>
  <c r="CD28" i="44"/>
  <c r="FW28" i="44"/>
  <c r="CZ28" i="44"/>
  <c r="DG28" i="44"/>
  <c r="CN28" i="44"/>
  <c r="EJ28" i="44"/>
  <c r="GR28" i="44"/>
  <c r="EU28" i="44"/>
  <c r="DA28" i="44"/>
  <c r="FO28" i="44"/>
  <c r="CH28" i="44"/>
  <c r="R28" i="44"/>
  <c r="DF28" i="44"/>
  <c r="CC28" i="44"/>
  <c r="GE28" i="44"/>
  <c r="EC28" i="44"/>
  <c r="CJ28" i="44"/>
  <c r="DI28" i="44"/>
  <c r="CI28" i="44"/>
  <c r="FZ28" i="44"/>
  <c r="EB28" i="44"/>
  <c r="AC28" i="44"/>
  <c r="EP28" i="44"/>
  <c r="AA28" i="44"/>
  <c r="EQ28" i="44"/>
  <c r="EI28" i="44"/>
  <c r="EZ28" i="44"/>
  <c r="AF28" i="44"/>
  <c r="FP28" i="44"/>
  <c r="GA28" i="44"/>
  <c r="DJ28" i="44"/>
  <c r="AI28" i="44"/>
  <c r="DN28" i="44"/>
  <c r="BW28" i="44"/>
  <c r="FN28" i="44"/>
  <c r="DR28" i="44"/>
  <c r="FJ28" i="44"/>
  <c r="AB28" i="44"/>
  <c r="I28" i="44"/>
  <c r="FS28" i="44"/>
  <c r="DM28" i="44"/>
  <c r="FX28" i="44"/>
  <c r="FQ28" i="44"/>
  <c r="CO28" i="44"/>
  <c r="DS28" i="44"/>
  <c r="GO28" i="44"/>
  <c r="GG28" i="44"/>
  <c r="AE28" i="44"/>
  <c r="DV28" i="44"/>
  <c r="S28" i="44"/>
  <c r="FK28" i="44"/>
  <c r="EK28" i="44"/>
  <c r="V28" i="44"/>
  <c r="FL28" i="44"/>
  <c r="EN28" i="44"/>
  <c r="CP28" i="44"/>
  <c r="CV28" i="44"/>
  <c r="AH28" i="44"/>
  <c r="X28" i="44"/>
  <c r="FH28" i="44"/>
  <c r="Y28" i="44"/>
  <c r="GH28" i="44"/>
  <c r="FI28" i="44"/>
  <c r="GS28" i="44"/>
  <c r="CW28" i="44"/>
  <c r="Z28" i="44"/>
  <c r="P28" i="44"/>
  <c r="CS28" i="44"/>
  <c r="DT28" i="44"/>
  <c r="ES28" i="44"/>
  <c r="FM28" i="44"/>
  <c r="AD28" i="44"/>
  <c r="CM28" i="44"/>
  <c r="FB28" i="44"/>
  <c r="GM28" i="44"/>
  <c r="EF28" i="44"/>
  <c r="FT28" i="44"/>
  <c r="FF28" i="44"/>
  <c r="GL28" i="44"/>
  <c r="GD28" i="44"/>
  <c r="W28" i="44"/>
  <c r="CX28" i="44"/>
  <c r="CT28" i="44"/>
  <c r="DH28" i="44"/>
  <c r="DK28" i="44"/>
  <c r="BX28" i="44"/>
  <c r="U28" i="44"/>
  <c r="GC28" i="44"/>
  <c r="DL28" i="44"/>
  <c r="CE28" i="44"/>
  <c r="DD28" i="44"/>
  <c r="ER28" i="44"/>
  <c r="BY28" i="44"/>
  <c r="EH28" i="44"/>
  <c r="EW28" i="44"/>
  <c r="DE28" i="44"/>
  <c r="DU28" i="44"/>
  <c r="FE28" i="44"/>
  <c r="BT28" i="44"/>
  <c r="CQ28" i="44"/>
  <c r="DP28" i="44"/>
  <c r="CY28" i="44"/>
  <c r="GB28" i="44"/>
  <c r="DW28" i="44"/>
  <c r="EV28" i="44"/>
  <c r="FY28" i="44"/>
  <c r="FA28" i="44"/>
  <c r="FD28" i="44"/>
  <c r="EX28" i="44"/>
  <c r="G28" i="44"/>
  <c r="DY28" i="44"/>
  <c r="GT28" i="44"/>
  <c r="BZ28" i="44"/>
  <c r="ET28" i="44"/>
  <c r="GQ28" i="44"/>
  <c r="CK28" i="44"/>
  <c r="FU28" i="44"/>
  <c r="GK28" i="44"/>
  <c r="GF28" i="44"/>
  <c r="CA28" i="44"/>
  <c r="G24" i="44"/>
  <c r="EF24" i="44"/>
  <c r="DJ24" i="44"/>
  <c r="FR24" i="44"/>
  <c r="ER24" i="44"/>
  <c r="CZ24" i="44"/>
  <c r="AE24" i="44"/>
  <c r="ES24" i="44"/>
  <c r="FL24" i="44"/>
  <c r="BT24" i="44"/>
  <c r="CQ24" i="44"/>
  <c r="U24" i="44"/>
  <c r="DU24" i="44"/>
  <c r="AB24" i="44"/>
  <c r="CX24" i="44"/>
  <c r="EO24" i="44"/>
  <c r="DD24" i="44"/>
  <c r="EQ24" i="44"/>
  <c r="GC24" i="44"/>
  <c r="FN24" i="44"/>
  <c r="GS24" i="44"/>
  <c r="FG24" i="44"/>
  <c r="GH24" i="44"/>
  <c r="FJ24" i="44"/>
  <c r="P24" i="44"/>
  <c r="EV24" i="44"/>
  <c r="ET24" i="44"/>
  <c r="EJ24" i="44"/>
  <c r="CO24" i="44"/>
  <c r="FW24" i="44"/>
  <c r="EY24" i="44"/>
  <c r="GD24" i="44"/>
  <c r="EK24" i="44"/>
  <c r="FE24" i="44"/>
  <c r="GK24" i="44"/>
  <c r="BX24" i="44"/>
  <c r="CH24" i="44"/>
  <c r="EN24" i="44"/>
  <c r="Y24" i="44"/>
  <c r="FS24" i="44"/>
  <c r="DL24" i="44"/>
  <c r="GO24" i="44"/>
  <c r="FZ24" i="44"/>
  <c r="GT24" i="44"/>
  <c r="BW24" i="44"/>
  <c r="DO24" i="44"/>
  <c r="DR24" i="44"/>
  <c r="FT24" i="44"/>
  <c r="FH24" i="44"/>
  <c r="DA24" i="44"/>
  <c r="FD24" i="44"/>
  <c r="FM24" i="44"/>
  <c r="CV24" i="44"/>
  <c r="EX24" i="44"/>
  <c r="CE24" i="44"/>
  <c r="AF24" i="44"/>
  <c r="FU24" i="44"/>
  <c r="CY24" i="44"/>
  <c r="GM24" i="44"/>
  <c r="EH24" i="44"/>
  <c r="EE24" i="44"/>
  <c r="CK24" i="44"/>
  <c r="GP24" i="44"/>
  <c r="I24" i="44"/>
  <c r="FK24" i="44"/>
  <c r="DT24" i="44"/>
  <c r="EZ24" i="44"/>
  <c r="BZ24" i="44"/>
  <c r="DZ24" i="44"/>
  <c r="EW24" i="44"/>
  <c r="FA24" i="44"/>
  <c r="DV24" i="44"/>
  <c r="FC24" i="44"/>
  <c r="AA24" i="44"/>
  <c r="X24" i="44"/>
  <c r="DN24" i="44"/>
  <c r="EL24" i="44"/>
  <c r="DW24" i="44"/>
  <c r="DB24" i="44"/>
  <c r="R24" i="44"/>
  <c r="GQ24" i="44"/>
  <c r="DM24" i="44"/>
  <c r="EB24" i="44"/>
  <c r="GI24" i="44"/>
  <c r="FQ24" i="44"/>
  <c r="FY24" i="44"/>
  <c r="EI24" i="44"/>
  <c r="DP24" i="44"/>
  <c r="GB24" i="44"/>
  <c r="FP24" i="44"/>
  <c r="CM24" i="44"/>
  <c r="EC24" i="44"/>
  <c r="AC24" i="44"/>
  <c r="CR24" i="44"/>
  <c r="V24" i="44"/>
  <c r="CI24" i="44"/>
  <c r="CN24" i="44"/>
  <c r="CB24" i="44"/>
  <c r="DQ24" i="44"/>
  <c r="L24" i="44"/>
  <c r="CG24" i="44"/>
  <c r="J24" i="44"/>
  <c r="BY24" i="44"/>
  <c r="GJ24" i="44"/>
  <c r="DS24" i="44"/>
  <c r="DF24" i="44"/>
  <c r="GR24" i="44"/>
  <c r="AI24" i="44"/>
  <c r="Z24" i="44"/>
  <c r="DK24" i="44"/>
  <c r="DH24" i="44"/>
  <c r="CU24" i="44"/>
  <c r="GG24" i="44"/>
  <c r="W24" i="44"/>
  <c r="DC24" i="44"/>
  <c r="AD24" i="44"/>
  <c r="DG24" i="44"/>
  <c r="M24" i="44"/>
  <c r="GF24" i="44"/>
  <c r="GA24" i="44"/>
  <c r="FX24" i="44"/>
  <c r="EM24" i="44"/>
  <c r="CC24" i="44"/>
  <c r="DE24" i="44"/>
  <c r="O24" i="44"/>
  <c r="CT24" i="44"/>
  <c r="CP24" i="44"/>
  <c r="GN24" i="44"/>
  <c r="FV24" i="44"/>
  <c r="H24" i="44"/>
  <c r="FI24" i="44"/>
  <c r="CL24" i="44"/>
  <c r="AH24" i="44"/>
  <c r="CD24" i="44"/>
  <c r="FB24" i="44"/>
  <c r="EP24" i="44"/>
  <c r="DY24" i="44"/>
  <c r="CJ24" i="44"/>
  <c r="FF24" i="44"/>
  <c r="FO24" i="44"/>
  <c r="GL24" i="44"/>
  <c r="DI24" i="44"/>
  <c r="CW24" i="44"/>
  <c r="CF24" i="44"/>
  <c r="EU24" i="44"/>
  <c r="CA24" i="44"/>
  <c r="GE24" i="44"/>
  <c r="S24" i="44"/>
  <c r="CS24" i="44"/>
  <c r="EV39" i="46"/>
  <c r="BT39" i="46"/>
  <c r="AI39" i="46"/>
  <c r="EU39" i="46"/>
  <c r="BW33" i="44"/>
  <c r="CI33" i="44"/>
  <c r="EF33" i="44"/>
  <c r="FK33" i="44"/>
  <c r="GN33" i="44"/>
  <c r="GD33" i="44"/>
  <c r="DH33" i="44"/>
  <c r="AI33" i="44"/>
  <c r="EY33" i="44"/>
  <c r="CC33" i="44"/>
  <c r="FR33" i="44"/>
  <c r="GE33" i="44"/>
  <c r="FH33" i="44"/>
  <c r="FN33" i="44"/>
  <c r="M33" i="44"/>
  <c r="DR33" i="44"/>
  <c r="CK33" i="44"/>
  <c r="EO33" i="44"/>
  <c r="DC33" i="44"/>
  <c r="CZ33" i="44"/>
  <c r="FO33" i="44"/>
  <c r="CW33" i="44"/>
  <c r="EX33" i="44"/>
  <c r="DB33" i="44"/>
  <c r="FB33" i="44"/>
  <c r="EL33" i="44"/>
  <c r="CG33" i="44"/>
  <c r="DO33" i="44"/>
  <c r="FS33" i="44"/>
  <c r="DL33" i="44"/>
  <c r="FW33" i="44"/>
  <c r="CE33" i="44"/>
  <c r="BT33" i="44"/>
  <c r="DQ33" i="44"/>
  <c r="ES33" i="44"/>
  <c r="GI33" i="44"/>
  <c r="CV33" i="44"/>
  <c r="CX33" i="44"/>
  <c r="FJ33" i="44"/>
  <c r="AF33" i="44"/>
  <c r="CT33" i="44"/>
  <c r="GA33" i="44"/>
  <c r="EZ33" i="44"/>
  <c r="CJ33" i="44"/>
  <c r="CR33" i="44"/>
  <c r="CF33" i="44"/>
  <c r="FZ33" i="44"/>
  <c r="DV33" i="44"/>
  <c r="GP33" i="44"/>
  <c r="J33" i="44"/>
  <c r="W33" i="44"/>
  <c r="FT33" i="44"/>
  <c r="AA33" i="44"/>
  <c r="U33" i="44"/>
  <c r="FL33" i="44"/>
  <c r="AB33" i="44"/>
  <c r="DT33" i="44"/>
  <c r="GC33" i="44"/>
  <c r="EW33" i="44"/>
  <c r="FU33" i="44"/>
  <c r="EI33" i="44"/>
  <c r="CU33" i="44"/>
  <c r="GQ33" i="44"/>
  <c r="EP33" i="44"/>
  <c r="EH33" i="44"/>
  <c r="AC33" i="44"/>
  <c r="FM33" i="44"/>
  <c r="FI33" i="44"/>
  <c r="GT33" i="44"/>
  <c r="EQ33" i="44"/>
  <c r="DZ33" i="44"/>
  <c r="DU33" i="44"/>
  <c r="GF33" i="44"/>
  <c r="CN33" i="44"/>
  <c r="EM33" i="44"/>
  <c r="FD33" i="44"/>
  <c r="CQ33" i="44"/>
  <c r="EE33" i="44"/>
  <c r="DP33" i="44"/>
  <c r="CY33" i="44"/>
  <c r="CS33" i="44"/>
  <c r="Z33" i="44"/>
  <c r="EN33" i="44"/>
  <c r="O33" i="44"/>
  <c r="CP33" i="44"/>
  <c r="DY33" i="44"/>
  <c r="EB33" i="44"/>
  <c r="AH33" i="44"/>
  <c r="I33" i="44"/>
  <c r="DN33" i="44"/>
  <c r="GM33" i="44"/>
  <c r="L33" i="44"/>
  <c r="GK33" i="44"/>
  <c r="CB33" i="44"/>
  <c r="H33" i="44"/>
  <c r="EJ33" i="44"/>
  <c r="DG33" i="44"/>
  <c r="DF33" i="44"/>
  <c r="FP33" i="44"/>
  <c r="GR33" i="44"/>
  <c r="FQ33" i="44"/>
  <c r="P33" i="44"/>
  <c r="BY33" i="44"/>
  <c r="GL33" i="44"/>
  <c r="FA33" i="44"/>
  <c r="AD33" i="44"/>
  <c r="DS33" i="44"/>
  <c r="DE33" i="44"/>
  <c r="CD33" i="44"/>
  <c r="GH33" i="44"/>
  <c r="EK33" i="44"/>
  <c r="DK33" i="44"/>
  <c r="CO33" i="44"/>
  <c r="AE33" i="44"/>
  <c r="GO33" i="44"/>
  <c r="GG33" i="44"/>
  <c r="FV33" i="44"/>
  <c r="CL33" i="44"/>
  <c r="G33" i="44"/>
  <c r="CM33" i="44"/>
  <c r="DI33" i="44"/>
  <c r="ER33" i="44"/>
  <c r="GJ33" i="44"/>
  <c r="S33" i="44"/>
  <c r="BX33" i="44"/>
  <c r="ET33" i="44"/>
  <c r="Y33" i="44"/>
  <c r="DW33" i="44"/>
  <c r="DX33" i="44" s="1"/>
  <c r="FE33" i="44"/>
  <c r="DM33" i="44"/>
  <c r="DJ33" i="44"/>
  <c r="DA33" i="44"/>
  <c r="V33" i="44"/>
  <c r="X33" i="44"/>
  <c r="BZ33" i="44"/>
  <c r="EV33" i="44"/>
  <c r="DD33" i="44"/>
  <c r="FG33" i="44"/>
  <c r="CA33" i="44"/>
  <c r="FY33" i="44"/>
  <c r="GS33" i="44"/>
  <c r="EU33" i="44"/>
  <c r="EC33" i="44"/>
  <c r="FX33" i="44"/>
  <c r="GB33" i="44"/>
  <c r="CH33" i="44"/>
  <c r="FF33" i="44"/>
  <c r="R33" i="44"/>
  <c r="FC33" i="44"/>
  <c r="DK21" i="44"/>
  <c r="CY21" i="44"/>
  <c r="EZ21" i="44"/>
  <c r="CL21" i="44"/>
  <c r="GE21" i="44"/>
  <c r="DF21" i="44"/>
  <c r="CH21" i="44"/>
  <c r="DS21" i="44"/>
  <c r="DG21" i="44"/>
  <c r="FI21" i="44"/>
  <c r="CZ21" i="44"/>
  <c r="GN21" i="44"/>
  <c r="EH21" i="44"/>
  <c r="DR21" i="44"/>
  <c r="BT21" i="44"/>
  <c r="EB21" i="44"/>
  <c r="EV21" i="44"/>
  <c r="EU21" i="44"/>
  <c r="EJ21" i="44"/>
  <c r="CD21" i="44"/>
  <c r="GA21" i="44"/>
  <c r="DW21" i="44"/>
  <c r="DY21" i="44"/>
  <c r="GG21" i="44"/>
  <c r="GQ21" i="44"/>
  <c r="ES21" i="44"/>
  <c r="CR21" i="44"/>
  <c r="GJ21" i="44"/>
  <c r="EP21" i="44"/>
  <c r="EY21" i="44"/>
  <c r="H21" i="44"/>
  <c r="EX21" i="44"/>
  <c r="FC21" i="44"/>
  <c r="DE21" i="44"/>
  <c r="GS21" i="44"/>
  <c r="FB21" i="44"/>
  <c r="X21" i="44"/>
  <c r="R21" i="44"/>
  <c r="V21" i="44"/>
  <c r="FK21" i="44"/>
  <c r="DQ21" i="44"/>
  <c r="BY21" i="44"/>
  <c r="FL21" i="44"/>
  <c r="AF21" i="44"/>
  <c r="Z21" i="44"/>
  <c r="FV21" i="44"/>
  <c r="FZ21" i="44"/>
  <c r="EW21" i="44"/>
  <c r="CX21" i="44"/>
  <c r="GC21" i="44"/>
  <c r="EC21" i="44"/>
  <c r="DH21" i="44"/>
  <c r="GR21" i="44"/>
  <c r="ER21" i="44"/>
  <c r="GP21" i="44"/>
  <c r="EQ21" i="44"/>
  <c r="DD21" i="44"/>
  <c r="DJ21" i="44"/>
  <c r="ET21" i="44"/>
  <c r="FM21" i="44"/>
  <c r="S21" i="44"/>
  <c r="DL21" i="44"/>
  <c r="DV21" i="44"/>
  <c r="FE21" i="44"/>
  <c r="GI21" i="44"/>
  <c r="CS21" i="44"/>
  <c r="AC21" i="44"/>
  <c r="CE21" i="44"/>
  <c r="FQ21" i="44"/>
  <c r="AD21" i="44"/>
  <c r="M21" i="44"/>
  <c r="BW21" i="44"/>
  <c r="W21" i="44"/>
  <c r="AI21" i="44"/>
  <c r="FR21" i="44"/>
  <c r="CA21" i="44"/>
  <c r="EF21" i="44"/>
  <c r="FN21" i="44"/>
  <c r="CG21" i="44"/>
  <c r="CI21" i="44"/>
  <c r="FW21" i="44"/>
  <c r="FA21" i="44"/>
  <c r="EM21" i="44"/>
  <c r="AA21" i="44"/>
  <c r="BZ21" i="44"/>
  <c r="DA21" i="44"/>
  <c r="Y21" i="44"/>
  <c r="DB21" i="44"/>
  <c r="EO21" i="44"/>
  <c r="DN21" i="44"/>
  <c r="CQ21" i="44"/>
  <c r="EE21" i="44"/>
  <c r="FG21" i="44"/>
  <c r="DO21" i="44"/>
  <c r="FJ21" i="44"/>
  <c r="CT21" i="44"/>
  <c r="FP21" i="44"/>
  <c r="GK21" i="44"/>
  <c r="FX21" i="44"/>
  <c r="CM21" i="44"/>
  <c r="CF21" i="44"/>
  <c r="EK21" i="44"/>
  <c r="FT21" i="44"/>
  <c r="FD21" i="44"/>
  <c r="GM21" i="44"/>
  <c r="O21" i="44"/>
  <c r="GF21" i="44"/>
  <c r="DM21" i="44"/>
  <c r="CJ21" i="44"/>
  <c r="BX21" i="44"/>
  <c r="FH21" i="44"/>
  <c r="CB21" i="44"/>
  <c r="FF21" i="44"/>
  <c r="GB21" i="44"/>
  <c r="FY21" i="44"/>
  <c r="J21" i="44"/>
  <c r="FO21" i="44"/>
  <c r="U21" i="44"/>
  <c r="GT21" i="44"/>
  <c r="GO21" i="44"/>
  <c r="FU21" i="44"/>
  <c r="DP21" i="44"/>
  <c r="AH21" i="44"/>
  <c r="L21" i="44"/>
  <c r="CU21" i="44"/>
  <c r="AE21" i="44"/>
  <c r="EN21" i="44"/>
  <c r="DZ21" i="44"/>
  <c r="DC21" i="44"/>
  <c r="CW21" i="44"/>
  <c r="GL21" i="44"/>
  <c r="GD21" i="44"/>
  <c r="AB21" i="44"/>
  <c r="FS21" i="44"/>
  <c r="DI21" i="44"/>
  <c r="CC21" i="44"/>
  <c r="G21" i="44"/>
  <c r="CO21" i="44"/>
  <c r="GH21" i="44"/>
  <c r="DU21" i="44"/>
  <c r="CP21" i="44"/>
  <c r="P21" i="44"/>
  <c r="I21" i="44"/>
  <c r="CN21" i="44"/>
  <c r="EL21" i="44"/>
  <c r="CV21" i="44"/>
  <c r="CK21" i="44"/>
  <c r="EI21" i="44"/>
  <c r="DT21" i="44"/>
  <c r="U38" i="44"/>
  <c r="P38" i="44"/>
  <c r="DJ38" i="44"/>
  <c r="DP38" i="44"/>
  <c r="FE38" i="44"/>
  <c r="Z38" i="44"/>
  <c r="DC38" i="44"/>
  <c r="GI38" i="44"/>
  <c r="ES38" i="44"/>
  <c r="AE38" i="44"/>
  <c r="BZ38" i="44"/>
  <c r="CO38" i="44"/>
  <c r="DL38" i="44"/>
  <c r="FH38" i="44"/>
  <c r="CT38" i="44"/>
  <c r="FD38" i="44"/>
  <c r="BW38" i="44"/>
  <c r="CD38" i="44"/>
  <c r="CN38" i="44"/>
  <c r="CV38" i="44"/>
  <c r="CU38" i="44"/>
  <c r="AB38" i="44"/>
  <c r="FK38" i="44"/>
  <c r="CX38" i="44"/>
  <c r="GM38" i="44"/>
  <c r="DM38" i="44"/>
  <c r="CI38" i="44"/>
  <c r="EN38" i="44"/>
  <c r="CC38" i="44"/>
  <c r="AF38" i="44"/>
  <c r="R38" i="44"/>
  <c r="EC38" i="44"/>
  <c r="GB38" i="44"/>
  <c r="DG38" i="44"/>
  <c r="EB38" i="44"/>
  <c r="DN38" i="44"/>
  <c r="FW38" i="44"/>
  <c r="AA38" i="44"/>
  <c r="CR38" i="44"/>
  <c r="DQ38" i="44"/>
  <c r="EE38" i="44"/>
  <c r="BX38" i="44"/>
  <c r="DZ38" i="44"/>
  <c r="J38" i="44"/>
  <c r="AH38" i="44"/>
  <c r="DB38" i="44"/>
  <c r="DR38" i="44"/>
  <c r="I38" i="44"/>
  <c r="FN38" i="44"/>
  <c r="BY38" i="44"/>
  <c r="GP38" i="44"/>
  <c r="GA38" i="44"/>
  <c r="FX38" i="44"/>
  <c r="CK38" i="44"/>
  <c r="S38" i="44"/>
  <c r="FF38" i="44"/>
  <c r="AI38" i="44"/>
  <c r="GG38" i="44"/>
  <c r="DH38" i="44"/>
  <c r="X38" i="44"/>
  <c r="ET38" i="44"/>
  <c r="FI38" i="44"/>
  <c r="GO38" i="44"/>
  <c r="EH38" i="44"/>
  <c r="CG38" i="44"/>
  <c r="BT38" i="44"/>
  <c r="EY38" i="44"/>
  <c r="FR38" i="44"/>
  <c r="DV38" i="44"/>
  <c r="FQ38" i="44"/>
  <c r="DO38" i="44"/>
  <c r="EI38" i="44"/>
  <c r="GR38" i="44"/>
  <c r="FZ38" i="44"/>
  <c r="DF38" i="44"/>
  <c r="G38" i="44"/>
  <c r="GD38" i="44"/>
  <c r="GS38" i="44"/>
  <c r="FC38" i="44"/>
  <c r="EO38" i="44"/>
  <c r="CF38" i="44"/>
  <c r="GQ38" i="44"/>
  <c r="DK38" i="44"/>
  <c r="ER38" i="44"/>
  <c r="DW38" i="44"/>
  <c r="DD38" i="44"/>
  <c r="GT38" i="44"/>
  <c r="GH38" i="44"/>
  <c r="H38" i="44"/>
  <c r="CL38" i="44"/>
  <c r="GK38" i="44"/>
  <c r="GJ38" i="44"/>
  <c r="GN38" i="44"/>
  <c r="FO38" i="44"/>
  <c r="FP38" i="44"/>
  <c r="CE38" i="44"/>
  <c r="FU38" i="44"/>
  <c r="FG38" i="44"/>
  <c r="EP38" i="44"/>
  <c r="EU38" i="44"/>
  <c r="CB38" i="44"/>
  <c r="EF38" i="44"/>
  <c r="GF38" i="44"/>
  <c r="FL38" i="44"/>
  <c r="EZ38" i="44"/>
  <c r="W38" i="44"/>
  <c r="GL38" i="44"/>
  <c r="CM38" i="44"/>
  <c r="FT38" i="44"/>
  <c r="CA38" i="44"/>
  <c r="CW38" i="44"/>
  <c r="AC38" i="44"/>
  <c r="CP38" i="44"/>
  <c r="GE38" i="44"/>
  <c r="FY38" i="44"/>
  <c r="CJ38" i="44"/>
  <c r="CH38" i="44"/>
  <c r="AD38" i="44"/>
  <c r="DA38" i="44"/>
  <c r="L38" i="44"/>
  <c r="M38" i="44"/>
  <c r="EW38" i="44"/>
  <c r="DT38" i="44"/>
  <c r="Y38" i="44"/>
  <c r="CZ38" i="44"/>
  <c r="CQ38" i="44"/>
  <c r="EM38" i="44"/>
  <c r="EJ38" i="44"/>
  <c r="V38" i="44"/>
  <c r="FM38" i="44"/>
  <c r="CY38" i="44"/>
  <c r="EL38" i="44"/>
  <c r="GC38" i="44"/>
  <c r="FV38" i="44"/>
  <c r="CS38" i="44"/>
  <c r="FS38" i="44"/>
  <c r="EK38" i="44"/>
  <c r="DS38" i="44"/>
  <c r="DY38" i="44"/>
  <c r="FJ38" i="44"/>
  <c r="EX38" i="44"/>
  <c r="FA38" i="44"/>
  <c r="DI38" i="44"/>
  <c r="DU38" i="44"/>
  <c r="FB38" i="44"/>
  <c r="O38" i="44"/>
  <c r="EQ38" i="44"/>
  <c r="EV38" i="44"/>
  <c r="DE38" i="44"/>
  <c r="AI28" i="46"/>
  <c r="EV28" i="46"/>
  <c r="BT28" i="46"/>
  <c r="EU28" i="46"/>
  <c r="EE9" i="46"/>
  <c r="EX9" i="46"/>
  <c r="CG9" i="46"/>
  <c r="GD9" i="46"/>
  <c r="CN9" i="46"/>
  <c r="GK9" i="46"/>
  <c r="GL9" i="46"/>
  <c r="CX9" i="46"/>
  <c r="U9" i="46"/>
  <c r="BY9" i="46"/>
  <c r="EW9" i="46"/>
  <c r="R9" i="46"/>
  <c r="EF9" i="46"/>
  <c r="EN9" i="46"/>
  <c r="I9" i="46"/>
  <c r="CE9" i="46"/>
  <c r="GE9" i="46"/>
  <c r="CF9" i="46"/>
  <c r="S9" i="46"/>
  <c r="CO9" i="46"/>
  <c r="DG9" i="46"/>
  <c r="CB9" i="46"/>
  <c r="AC9" i="46"/>
  <c r="BT9" i="46"/>
  <c r="BX9" i="46"/>
  <c r="AA9" i="46"/>
  <c r="DE9" i="46"/>
  <c r="DU9" i="46"/>
  <c r="DO9" i="46"/>
  <c r="CJ9" i="46"/>
  <c r="X9" i="46"/>
  <c r="AH9" i="46"/>
  <c r="AI9" i="46"/>
  <c r="FE9" i="46"/>
  <c r="EZ9" i="46"/>
  <c r="FA9" i="46"/>
  <c r="DP9" i="46"/>
  <c r="AF9" i="46"/>
  <c r="DB9" i="46"/>
  <c r="FV9" i="46"/>
  <c r="CM9" i="46"/>
  <c r="Z9" i="46"/>
  <c r="FN9" i="46"/>
  <c r="FO9" i="46"/>
  <c r="BZ9" i="46"/>
  <c r="J9" i="46"/>
  <c r="AE9" i="46"/>
  <c r="EK9" i="46"/>
  <c r="GB9" i="46"/>
  <c r="DF9" i="46"/>
  <c r="CP9" i="46"/>
  <c r="AD9" i="46"/>
  <c r="V9" i="46"/>
  <c r="CR9" i="46"/>
  <c r="ES9" i="46"/>
  <c r="GJ9" i="46"/>
  <c r="EV9" i="46"/>
  <c r="EY9" i="46"/>
  <c r="P9" i="46"/>
  <c r="CU9" i="46"/>
  <c r="DS9" i="46"/>
  <c r="GT9" i="46"/>
  <c r="Y9" i="46"/>
  <c r="EP9" i="46"/>
  <c r="EC9" i="46"/>
  <c r="CV9" i="46"/>
  <c r="EM9" i="46"/>
  <c r="CH9" i="46"/>
  <c r="EQ9" i="46"/>
  <c r="FR9" i="46"/>
  <c r="CD9" i="46"/>
  <c r="EJ9" i="46"/>
  <c r="EL9" i="46"/>
  <c r="FY9" i="46"/>
  <c r="ER9" i="46"/>
  <c r="ET9" i="46"/>
  <c r="DR9" i="46"/>
  <c r="GR9" i="46"/>
  <c r="DD9" i="46"/>
  <c r="FB9" i="46"/>
  <c r="M9" i="46"/>
  <c r="FD9" i="46"/>
  <c r="EU9" i="46"/>
  <c r="H9" i="46"/>
  <c r="DN9" i="46"/>
  <c r="AB9" i="46"/>
  <c r="FJ9" i="46"/>
  <c r="CC9" i="46"/>
  <c r="FL9" i="46"/>
  <c r="FW9" i="46"/>
  <c r="FQ9" i="46"/>
  <c r="DM9" i="46"/>
  <c r="EH9" i="46"/>
  <c r="GM9" i="46"/>
  <c r="CA9" i="46"/>
  <c r="FZ9" i="46"/>
  <c r="CS9" i="46"/>
  <c r="FT9" i="46"/>
  <c r="G9" i="46"/>
  <c r="GF9" i="46"/>
  <c r="CQ9" i="46"/>
  <c r="GP9" i="46"/>
  <c r="DQ9" i="46"/>
  <c r="DV9" i="46"/>
  <c r="FI9" i="46"/>
  <c r="CZ9" i="46"/>
  <c r="DT9" i="46"/>
  <c r="FP9" i="46"/>
  <c r="CI9" i="46"/>
  <c r="GH9" i="46"/>
  <c r="DA9" i="46"/>
  <c r="CK9" i="46"/>
  <c r="DI9" i="46"/>
  <c r="FG9" i="46"/>
  <c r="FU9" i="46"/>
  <c r="DZ9" i="46"/>
  <c r="CW9" i="46"/>
  <c r="GI9" i="46"/>
  <c r="FX9" i="46"/>
  <c r="DL9" i="46"/>
  <c r="CY9" i="46"/>
  <c r="GA9" i="46"/>
  <c r="DW9" i="46"/>
  <c r="FK9" i="46"/>
  <c r="FC9" i="46"/>
  <c r="DC9" i="46"/>
  <c r="GQ9" i="46"/>
  <c r="FM9" i="46"/>
  <c r="DJ9" i="46"/>
  <c r="BW9" i="46"/>
  <c r="EO9" i="46"/>
  <c r="EI9" i="46"/>
  <c r="FS9" i="46"/>
  <c r="FH9" i="46"/>
  <c r="DH9" i="46"/>
  <c r="GN9" i="46"/>
  <c r="GG9" i="46"/>
  <c r="FF9" i="46"/>
  <c r="GO9" i="46"/>
  <c r="O9" i="46"/>
  <c r="L9" i="46"/>
  <c r="CL9" i="46"/>
  <c r="DK9" i="46"/>
  <c r="W9" i="46"/>
  <c r="CT9" i="46"/>
  <c r="GC9" i="46"/>
  <c r="EB9" i="46"/>
  <c r="GS9" i="46"/>
  <c r="DY9" i="46"/>
  <c r="EF25" i="44"/>
  <c r="CM25" i="44"/>
  <c r="CL25" i="44"/>
  <c r="DJ25" i="44"/>
  <c r="ES25" i="44"/>
  <c r="GS25" i="44"/>
  <c r="FE25" i="44"/>
  <c r="DE25" i="44"/>
  <c r="EB25" i="44"/>
  <c r="DO25" i="44"/>
  <c r="GQ25" i="44"/>
  <c r="AH25" i="44"/>
  <c r="EM25" i="44"/>
  <c r="AB25" i="44"/>
  <c r="FY25" i="44"/>
  <c r="EZ25" i="44"/>
  <c r="GJ25" i="44"/>
  <c r="M25" i="44"/>
  <c r="GL25" i="44"/>
  <c r="EU25" i="44"/>
  <c r="L25" i="44"/>
  <c r="DN25" i="44"/>
  <c r="DM25" i="44"/>
  <c r="EI25" i="44"/>
  <c r="W25" i="44"/>
  <c r="DT25" i="44"/>
  <c r="FX25" i="44"/>
  <c r="AC25" i="44"/>
  <c r="FV25" i="44"/>
  <c r="FC25" i="44"/>
  <c r="EN25" i="44"/>
  <c r="FU25" i="44"/>
  <c r="FM25" i="44"/>
  <c r="ET25" i="44"/>
  <c r="CX25" i="44"/>
  <c r="EK25" i="44"/>
  <c r="GN25" i="44"/>
  <c r="FD25" i="44"/>
  <c r="DL25" i="44"/>
  <c r="DD25" i="44"/>
  <c r="EC25" i="44"/>
  <c r="DW25" i="44"/>
  <c r="CA25" i="44"/>
  <c r="DP25" i="44"/>
  <c r="FW25" i="44"/>
  <c r="CS25" i="44"/>
  <c r="GP25" i="44"/>
  <c r="DS25" i="44"/>
  <c r="DV25" i="44"/>
  <c r="DC25" i="44"/>
  <c r="O25" i="44"/>
  <c r="CU25" i="44"/>
  <c r="CP25" i="44"/>
  <c r="AE25" i="44"/>
  <c r="GE25" i="44"/>
  <c r="DI25" i="44"/>
  <c r="DA25" i="44"/>
  <c r="CD25" i="44"/>
  <c r="FF25" i="44"/>
  <c r="BX25" i="44"/>
  <c r="EJ25" i="44"/>
  <c r="AF25" i="44"/>
  <c r="G25" i="44"/>
  <c r="CY25" i="44"/>
  <c r="S25" i="44"/>
  <c r="FI25" i="44"/>
  <c r="DR25" i="44"/>
  <c r="BW25" i="44"/>
  <c r="CG25" i="44"/>
  <c r="CE25" i="44"/>
  <c r="GB25" i="44"/>
  <c r="CW25" i="44"/>
  <c r="H25" i="44"/>
  <c r="BT25" i="44"/>
  <c r="EL25" i="44"/>
  <c r="FL25" i="44"/>
  <c r="CB25" i="44"/>
  <c r="BZ25" i="44"/>
  <c r="FS25" i="44"/>
  <c r="AI25" i="44"/>
  <c r="GR25" i="44"/>
  <c r="P25" i="44"/>
  <c r="DB25" i="44"/>
  <c r="CZ25" i="44"/>
  <c r="GG25" i="44"/>
  <c r="GI25" i="44"/>
  <c r="EH25" i="44"/>
  <c r="DF25" i="44"/>
  <c r="DQ25" i="44"/>
  <c r="EE25" i="44"/>
  <c r="V25" i="44"/>
  <c r="CI25" i="44"/>
  <c r="CV25" i="44"/>
  <c r="DH25" i="44"/>
  <c r="FK25" i="44"/>
  <c r="EV25" i="44"/>
  <c r="AD25" i="44"/>
  <c r="BY25" i="44"/>
  <c r="CK25" i="44"/>
  <c r="ER25" i="44"/>
  <c r="DG25" i="44"/>
  <c r="GT25" i="44"/>
  <c r="J25" i="44"/>
  <c r="Y25" i="44"/>
  <c r="DU25" i="44"/>
  <c r="CJ25" i="44"/>
  <c r="AA25" i="44"/>
  <c r="GD25" i="44"/>
  <c r="CT25" i="44"/>
  <c r="GK25" i="44"/>
  <c r="GC25" i="44"/>
  <c r="GA25" i="44"/>
  <c r="FQ25" i="44"/>
  <c r="FO25" i="44"/>
  <c r="FG25" i="44"/>
  <c r="DZ25" i="44"/>
  <c r="R25" i="44"/>
  <c r="EW25" i="44"/>
  <c r="FZ25" i="44"/>
  <c r="CO25" i="44"/>
  <c r="FH25" i="44"/>
  <c r="FJ25" i="44"/>
  <c r="FR25" i="44"/>
  <c r="DK25" i="44"/>
  <c r="GF25" i="44"/>
  <c r="I25" i="44"/>
  <c r="U25" i="44"/>
  <c r="FN25" i="44"/>
  <c r="DY25" i="44"/>
  <c r="CH25" i="44"/>
  <c r="EQ25" i="44"/>
  <c r="EY25" i="44"/>
  <c r="CQ25" i="44"/>
  <c r="EP25" i="44"/>
  <c r="GH25" i="44"/>
  <c r="X25" i="44"/>
  <c r="CF25" i="44"/>
  <c r="Z25" i="44"/>
  <c r="EO25" i="44"/>
  <c r="GM25" i="44"/>
  <c r="FB25" i="44"/>
  <c r="FT25" i="44"/>
  <c r="FA25" i="44"/>
  <c r="GO25" i="44"/>
  <c r="CN25" i="44"/>
  <c r="CR25" i="44"/>
  <c r="FP25" i="44"/>
  <c r="EX25" i="44"/>
  <c r="CC25" i="44"/>
  <c r="EC23" i="46"/>
  <c r="I23" i="46"/>
  <c r="DA23" i="46"/>
  <c r="DV23" i="46"/>
  <c r="FU23" i="46"/>
  <c r="FX23" i="46"/>
  <c r="GE23" i="46"/>
  <c r="AI23" i="46"/>
  <c r="DB23" i="46"/>
  <c r="BW23" i="46"/>
  <c r="U23" i="46"/>
  <c r="H23" i="46"/>
  <c r="EY23" i="46"/>
  <c r="CP23" i="46"/>
  <c r="BZ23" i="46"/>
  <c r="DE23" i="46"/>
  <c r="DD23" i="46"/>
  <c r="CR23" i="46"/>
  <c r="CH23" i="46"/>
  <c r="M23" i="46"/>
  <c r="DF23" i="46"/>
  <c r="GC23" i="46"/>
  <c r="FI23" i="46"/>
  <c r="X23" i="46"/>
  <c r="FA23" i="46"/>
  <c r="BX23" i="46"/>
  <c r="W23" i="46"/>
  <c r="FC23" i="46"/>
  <c r="GF23" i="46"/>
  <c r="CK23" i="46"/>
  <c r="GS23" i="46"/>
  <c r="DW23" i="46"/>
  <c r="FT23" i="46"/>
  <c r="GO23" i="46"/>
  <c r="CL23" i="46"/>
  <c r="DC23" i="46"/>
  <c r="FW23" i="46"/>
  <c r="FZ23" i="46"/>
  <c r="DS23" i="46"/>
  <c r="CY23" i="46"/>
  <c r="GG23" i="46"/>
  <c r="FR23" i="46"/>
  <c r="EH23" i="46"/>
  <c r="DJ23" i="46"/>
  <c r="EZ23" i="46"/>
  <c r="GT23" i="46"/>
  <c r="EW23" i="46"/>
  <c r="GQ23" i="46"/>
  <c r="CE23" i="46"/>
  <c r="EL23" i="46"/>
  <c r="GI23" i="46"/>
  <c r="FO23" i="46"/>
  <c r="EE23" i="46"/>
  <c r="CZ23" i="46"/>
  <c r="AD23" i="46"/>
  <c r="GN23" i="46"/>
  <c r="V23" i="46"/>
  <c r="CW23" i="46"/>
  <c r="FF23" i="46"/>
  <c r="CJ23" i="46"/>
  <c r="CO23" i="46"/>
  <c r="EX23" i="46"/>
  <c r="CB23" i="46"/>
  <c r="ES23" i="46"/>
  <c r="GP23" i="46"/>
  <c r="AF23" i="46"/>
  <c r="EK23" i="46"/>
  <c r="EO23" i="46"/>
  <c r="CA23" i="46"/>
  <c r="DG23" i="46"/>
  <c r="DU23" i="46"/>
  <c r="CQ23" i="46"/>
  <c r="DP23" i="46"/>
  <c r="CS23" i="46"/>
  <c r="DR23" i="46"/>
  <c r="EN23" i="46"/>
  <c r="AE23" i="46"/>
  <c r="EI23" i="46"/>
  <c r="L23" i="46"/>
  <c r="G23" i="46"/>
  <c r="DY23" i="46"/>
  <c r="DN23" i="46"/>
  <c r="EF23" i="46"/>
  <c r="DT23" i="46"/>
  <c r="ET23" i="46"/>
  <c r="BT23" i="46"/>
  <c r="FP23" i="46"/>
  <c r="GL23" i="46"/>
  <c r="EM23" i="46"/>
  <c r="CU23" i="46"/>
  <c r="EQ23" i="46"/>
  <c r="DL23" i="46"/>
  <c r="P23" i="46"/>
  <c r="FG23" i="46"/>
  <c r="FD23" i="46"/>
  <c r="CV23" i="46"/>
  <c r="AA23" i="46"/>
  <c r="FQ23" i="46"/>
  <c r="DZ23" i="46"/>
  <c r="EP23" i="46"/>
  <c r="CN23" i="46"/>
  <c r="CC23" i="46"/>
  <c r="GB23" i="46"/>
  <c r="CF23" i="46"/>
  <c r="BY23" i="46"/>
  <c r="FH23" i="46"/>
  <c r="FK23" i="46"/>
  <c r="DQ23" i="46"/>
  <c r="FY23" i="46"/>
  <c r="Z23" i="46"/>
  <c r="DI23" i="46"/>
  <c r="CG23" i="46"/>
  <c r="CM23" i="46"/>
  <c r="GH23" i="46"/>
  <c r="GD23" i="46"/>
  <c r="S23" i="46"/>
  <c r="FM23" i="46"/>
  <c r="GM23" i="46"/>
  <c r="R23" i="46"/>
  <c r="Y23" i="46"/>
  <c r="J23" i="46"/>
  <c r="AC23" i="46"/>
  <c r="EJ23" i="46"/>
  <c r="CX23" i="46"/>
  <c r="FE23" i="46"/>
  <c r="EV23" i="46"/>
  <c r="FS23" i="46"/>
  <c r="FL23" i="46"/>
  <c r="CI23" i="46"/>
  <c r="FJ23" i="46"/>
  <c r="GA23" i="46"/>
  <c r="GJ23" i="46"/>
  <c r="CT23" i="46"/>
  <c r="FB23" i="46"/>
  <c r="GK23" i="46"/>
  <c r="EU23" i="46"/>
  <c r="O23" i="46"/>
  <c r="DO23" i="46"/>
  <c r="ER23" i="46"/>
  <c r="DK23" i="46"/>
  <c r="EB23" i="46"/>
  <c r="FV23" i="46"/>
  <c r="CD23" i="46"/>
  <c r="FN23" i="46"/>
  <c r="DH23" i="46"/>
  <c r="AB23" i="46"/>
  <c r="GR23" i="46"/>
  <c r="DM23" i="46"/>
  <c r="AH23" i="46"/>
  <c r="CK26" i="44"/>
  <c r="CZ26" i="44"/>
  <c r="FL26" i="44"/>
  <c r="EZ26" i="44"/>
  <c r="FP26" i="44"/>
  <c r="AI26" i="44"/>
  <c r="CW26" i="44"/>
  <c r="DL26" i="44"/>
  <c r="EU26" i="44"/>
  <c r="GD26" i="44"/>
  <c r="FR26" i="44"/>
  <c r="CP26" i="44"/>
  <c r="CB26" i="44"/>
  <c r="DA26" i="44"/>
  <c r="EL26" i="44"/>
  <c r="CG26" i="44"/>
  <c r="GN26" i="44"/>
  <c r="GF26" i="44"/>
  <c r="GP26" i="44"/>
  <c r="AA26" i="44"/>
  <c r="AH26" i="44"/>
  <c r="AB26" i="44"/>
  <c r="EC26" i="44"/>
  <c r="FX26" i="44"/>
  <c r="GI26" i="44"/>
  <c r="DV26" i="44"/>
  <c r="CT26" i="44"/>
  <c r="DD26" i="44"/>
  <c r="AD26" i="44"/>
  <c r="DH26" i="44"/>
  <c r="X26" i="44"/>
  <c r="FD26" i="44"/>
  <c r="DS26" i="44"/>
  <c r="J26" i="44"/>
  <c r="EH26" i="44"/>
  <c r="EO26" i="44"/>
  <c r="CM26" i="44"/>
  <c r="EV26" i="44"/>
  <c r="I26" i="44"/>
  <c r="P26" i="44"/>
  <c r="Y26" i="44"/>
  <c r="V26" i="44"/>
  <c r="CR26" i="44"/>
  <c r="ER26" i="44"/>
  <c r="FY26" i="44"/>
  <c r="DO26" i="44"/>
  <c r="CL26" i="44"/>
  <c r="DW26" i="44"/>
  <c r="FV26" i="44"/>
  <c r="EK26" i="44"/>
  <c r="GM26" i="44"/>
  <c r="H26" i="44"/>
  <c r="EM26" i="44"/>
  <c r="FJ26" i="44"/>
  <c r="CX26" i="44"/>
  <c r="CQ26" i="44"/>
  <c r="FE26" i="44"/>
  <c r="FS26" i="44"/>
  <c r="CO26" i="44"/>
  <c r="BT26" i="44"/>
  <c r="W26" i="44"/>
  <c r="EF26" i="44"/>
  <c r="EY26" i="44"/>
  <c r="BY26" i="44"/>
  <c r="FT26" i="44"/>
  <c r="DI26" i="44"/>
  <c r="CF26" i="44"/>
  <c r="DC26" i="44"/>
  <c r="EX26" i="44"/>
  <c r="FG26" i="44"/>
  <c r="GR26" i="44"/>
  <c r="AF26" i="44"/>
  <c r="R26" i="44"/>
  <c r="FF26" i="44"/>
  <c r="GG26" i="44"/>
  <c r="DZ26" i="44"/>
  <c r="FI26" i="44"/>
  <c r="GQ26" i="44"/>
  <c r="GS26" i="44"/>
  <c r="L26" i="44"/>
  <c r="CE26" i="44"/>
  <c r="DJ26" i="44"/>
  <c r="GO26" i="44"/>
  <c r="CJ26" i="44"/>
  <c r="CY26" i="44"/>
  <c r="EI26" i="44"/>
  <c r="GT26" i="44"/>
  <c r="GH26" i="44"/>
  <c r="DR26" i="44"/>
  <c r="DQ26" i="44"/>
  <c r="DT26" i="44"/>
  <c r="GA26" i="44"/>
  <c r="S26" i="44"/>
  <c r="CD26" i="44"/>
  <c r="EQ26" i="44"/>
  <c r="GE26" i="44"/>
  <c r="GK26" i="44"/>
  <c r="EB26" i="44"/>
  <c r="AC26" i="44"/>
  <c r="CS26" i="44"/>
  <c r="FB26" i="44"/>
  <c r="GJ26" i="44"/>
  <c r="CV26" i="44"/>
  <c r="ET26" i="44"/>
  <c r="G26" i="44"/>
  <c r="GL26" i="44"/>
  <c r="DF26" i="44"/>
  <c r="M26" i="44"/>
  <c r="DP26" i="44"/>
  <c r="CN26" i="44"/>
  <c r="BZ26" i="44"/>
  <c r="CA26" i="44"/>
  <c r="EJ26" i="44"/>
  <c r="EW26" i="44"/>
  <c r="FM26" i="44"/>
  <c r="CU26" i="44"/>
  <c r="FA26" i="44"/>
  <c r="FN26" i="44"/>
  <c r="DK26" i="44"/>
  <c r="DE26" i="44"/>
  <c r="DG26" i="44"/>
  <c r="FW26" i="44"/>
  <c r="CH26" i="44"/>
  <c r="DN26" i="44"/>
  <c r="U26" i="44"/>
  <c r="EN26" i="44"/>
  <c r="FH26" i="44"/>
  <c r="GB26" i="44"/>
  <c r="FK26" i="44"/>
  <c r="DY26" i="44"/>
  <c r="Z26" i="44"/>
  <c r="FO26" i="44"/>
  <c r="CC26" i="44"/>
  <c r="CI26" i="44"/>
  <c r="O26" i="44"/>
  <c r="DM26" i="44"/>
  <c r="BW26" i="44"/>
  <c r="BX26" i="44"/>
  <c r="ES26" i="44"/>
  <c r="FC26" i="44"/>
  <c r="AE26" i="44"/>
  <c r="DB26" i="44"/>
  <c r="GC26" i="44"/>
  <c r="EE26" i="44"/>
  <c r="EP26" i="44"/>
  <c r="FQ26" i="44"/>
  <c r="FU26" i="44"/>
  <c r="FZ26" i="44"/>
  <c r="DU26" i="44"/>
  <c r="AK26" i="44" s="1"/>
  <c r="EU32" i="46"/>
  <c r="BT32" i="46"/>
  <c r="AI32" i="46"/>
  <c r="EV32" i="46"/>
  <c r="EU25" i="46"/>
  <c r="EV25" i="46"/>
  <c r="BT25" i="46"/>
  <c r="AI25" i="46"/>
  <c r="FL19" i="44"/>
  <c r="GR19" i="44"/>
  <c r="EJ19" i="44"/>
  <c r="EN19" i="44"/>
  <c r="FS19" i="44"/>
  <c r="GK19" i="44"/>
  <c r="U19" i="44"/>
  <c r="FT19" i="44"/>
  <c r="BZ19" i="44"/>
  <c r="FA19" i="44"/>
  <c r="FC19" i="44"/>
  <c r="GF19" i="44"/>
  <c r="DE19" i="44"/>
  <c r="AA19" i="44"/>
  <c r="GA19" i="44"/>
  <c r="FN19" i="44"/>
  <c r="GS19" i="44"/>
  <c r="O19" i="44"/>
  <c r="CF19" i="44"/>
  <c r="GI19" i="44"/>
  <c r="CP19" i="44"/>
  <c r="FY19" i="44"/>
  <c r="GC19" i="44"/>
  <c r="CC19" i="44"/>
  <c r="X19" i="44"/>
  <c r="GH19" i="44"/>
  <c r="ER19" i="44"/>
  <c r="GQ19" i="44"/>
  <c r="CX19" i="44"/>
  <c r="GL19" i="44"/>
  <c r="GO19" i="44"/>
  <c r="CQ19" i="44"/>
  <c r="AF19" i="44"/>
  <c r="L19" i="44"/>
  <c r="EQ19" i="44"/>
  <c r="BW19" i="44"/>
  <c r="DF19" i="44"/>
  <c r="BX19" i="44"/>
  <c r="CA19" i="44"/>
  <c r="DD19" i="44"/>
  <c r="DQ19" i="44"/>
  <c r="V19" i="44"/>
  <c r="CE19" i="44"/>
  <c r="DN19" i="44"/>
  <c r="CJ19" i="44"/>
  <c r="CN19" i="44"/>
  <c r="DP19" i="44"/>
  <c r="G19" i="44"/>
  <c r="AB19" i="44"/>
  <c r="CU19" i="44"/>
  <c r="EF19" i="44"/>
  <c r="DI19" i="44"/>
  <c r="DM19" i="44"/>
  <c r="ES19" i="44"/>
  <c r="AC19" i="44"/>
  <c r="M19" i="44"/>
  <c r="CD19" i="44"/>
  <c r="DK19" i="44"/>
  <c r="EZ19" i="44"/>
  <c r="EM19" i="44"/>
  <c r="EP19" i="44"/>
  <c r="FV19" i="44"/>
  <c r="EH19" i="44"/>
  <c r="AE19" i="44"/>
  <c r="CL19" i="44"/>
  <c r="DS19" i="44"/>
  <c r="FH19" i="44"/>
  <c r="FB19" i="44"/>
  <c r="FF19" i="44"/>
  <c r="GG19" i="44"/>
  <c r="H19" i="44"/>
  <c r="BT19" i="44"/>
  <c r="EB19" i="44"/>
  <c r="GM19" i="44"/>
  <c r="GP19" i="44"/>
  <c r="EX19" i="44"/>
  <c r="EV19" i="44"/>
  <c r="EK19" i="44"/>
  <c r="CI19" i="44"/>
  <c r="CB19" i="44"/>
  <c r="I19" i="44"/>
  <c r="FM19" i="44"/>
  <c r="EO19" i="44"/>
  <c r="DT19" i="44"/>
  <c r="FR19" i="44"/>
  <c r="ET19" i="44"/>
  <c r="CV19" i="44"/>
  <c r="CO19" i="44"/>
  <c r="S19" i="44"/>
  <c r="DA19" i="44"/>
  <c r="DU19" i="44"/>
  <c r="FJ19" i="44"/>
  <c r="FE19" i="44"/>
  <c r="BY19" i="44"/>
  <c r="CT19" i="44"/>
  <c r="DZ19" i="44"/>
  <c r="FD19" i="44"/>
  <c r="DH19" i="44"/>
  <c r="Z19" i="44"/>
  <c r="CM19" i="44"/>
  <c r="DO19" i="44"/>
  <c r="CS19" i="44"/>
  <c r="CY19" i="44"/>
  <c r="DC19" i="44"/>
  <c r="CW19" i="44"/>
  <c r="FG19" i="44"/>
  <c r="FW19" i="44"/>
  <c r="FZ19" i="44"/>
  <c r="GN19" i="44"/>
  <c r="FU19" i="44"/>
  <c r="P19" i="44"/>
  <c r="AH19" i="44"/>
  <c r="R19" i="44"/>
  <c r="EC19" i="44"/>
  <c r="DW19" i="44"/>
  <c r="EE19" i="44"/>
  <c r="W19" i="44"/>
  <c r="GT19" i="44"/>
  <c r="J19" i="44"/>
  <c r="FX19" i="44"/>
  <c r="EL19" i="44"/>
  <c r="FO19" i="44"/>
  <c r="FI19" i="44"/>
  <c r="Y19" i="44"/>
  <c r="EW19" i="44"/>
  <c r="CR19" i="44"/>
  <c r="CG19" i="44"/>
  <c r="CK19" i="44"/>
  <c r="DB19" i="44"/>
  <c r="GB19" i="44"/>
  <c r="DJ19" i="44"/>
  <c r="DG19" i="44"/>
  <c r="FP19" i="44"/>
  <c r="EU19" i="44"/>
  <c r="GJ19" i="44"/>
  <c r="DL19" i="44"/>
  <c r="EI19" i="44"/>
  <c r="CH19" i="44"/>
  <c r="DY19" i="44"/>
  <c r="EY19" i="44"/>
  <c r="AI19" i="44"/>
  <c r="DV19" i="44"/>
  <c r="FQ19" i="44"/>
  <c r="FK19" i="44"/>
  <c r="CZ19" i="44"/>
  <c r="DR19" i="44"/>
  <c r="AD19" i="44"/>
  <c r="GE19" i="44"/>
  <c r="GD19" i="44"/>
  <c r="BT26" i="46"/>
  <c r="EV26" i="46"/>
  <c r="AI26" i="46"/>
  <c r="EU26" i="46"/>
  <c r="BT22" i="46"/>
  <c r="FX22" i="46"/>
  <c r="FM22" i="46"/>
  <c r="AH22" i="46"/>
  <c r="EV22" i="46"/>
  <c r="GI22" i="46"/>
  <c r="AB22" i="46"/>
  <c r="GN22" i="46"/>
  <c r="DO22" i="46"/>
  <c r="GO22" i="46"/>
  <c r="CI22" i="46"/>
  <c r="CU22" i="46"/>
  <c r="FQ22" i="46"/>
  <c r="CY22" i="46"/>
  <c r="AC22" i="46"/>
  <c r="EI22" i="46"/>
  <c r="CT22" i="46"/>
  <c r="GJ22" i="46"/>
  <c r="CK22" i="46"/>
  <c r="FH22" i="46"/>
  <c r="DK22" i="46"/>
  <c r="CL22" i="46"/>
  <c r="GH22" i="46"/>
  <c r="EU22" i="46"/>
  <c r="CQ22" i="46"/>
  <c r="CH22" i="46"/>
  <c r="EF22" i="46"/>
  <c r="FG22" i="46"/>
  <c r="FC22" i="46"/>
  <c r="FS22" i="46"/>
  <c r="DM22" i="46"/>
  <c r="FT22" i="46"/>
  <c r="H22" i="46"/>
  <c r="CP22" i="46"/>
  <c r="CD22" i="46"/>
  <c r="BW22" i="46"/>
  <c r="FY22" i="46"/>
  <c r="CB22" i="46"/>
  <c r="Z22" i="46"/>
  <c r="CS22" i="46"/>
  <c r="AE22" i="46"/>
  <c r="EY22" i="46"/>
  <c r="CE22" i="46"/>
  <c r="DF22" i="46"/>
  <c r="EC22" i="46"/>
  <c r="R22" i="46"/>
  <c r="DB22" i="46"/>
  <c r="DW22" i="46"/>
  <c r="M22" i="46"/>
  <c r="FL22" i="46"/>
  <c r="AF22" i="46"/>
  <c r="FI22" i="46"/>
  <c r="GF22" i="46"/>
  <c r="FR22" i="46"/>
  <c r="FF22" i="46"/>
  <c r="DS22" i="46"/>
  <c r="I22" i="46"/>
  <c r="EJ22" i="46"/>
  <c r="CV22" i="46"/>
  <c r="X22" i="46"/>
  <c r="CN22" i="46"/>
  <c r="DV22" i="46"/>
  <c r="ES22" i="46"/>
  <c r="EW22" i="46"/>
  <c r="FJ22" i="46"/>
  <c r="AI22" i="46"/>
  <c r="DY22" i="46"/>
  <c r="FW22" i="46"/>
  <c r="V22" i="46"/>
  <c r="DC22" i="46"/>
  <c r="DP22" i="46"/>
  <c r="CF22" i="46"/>
  <c r="BX22" i="46"/>
  <c r="GE22" i="46"/>
  <c r="FZ22" i="46"/>
  <c r="GG22" i="46"/>
  <c r="DN22" i="46"/>
  <c r="DH22" i="46"/>
  <c r="FB22" i="46"/>
  <c r="DZ22" i="46"/>
  <c r="CZ22" i="46"/>
  <c r="G22" i="46"/>
  <c r="CR22" i="46"/>
  <c r="EK22" i="46"/>
  <c r="J22" i="46"/>
  <c r="EZ22" i="46"/>
  <c r="CJ22" i="46"/>
  <c r="CC22" i="46"/>
  <c r="Y22" i="46"/>
  <c r="DU22" i="46"/>
  <c r="CW22" i="46"/>
  <c r="DI22" i="46"/>
  <c r="GD22" i="46"/>
  <c r="EM22" i="46"/>
  <c r="P22" i="46"/>
  <c r="AA22" i="46"/>
  <c r="FK22" i="46"/>
  <c r="W22" i="46"/>
  <c r="EH22" i="46"/>
  <c r="DT22" i="46"/>
  <c r="FU22" i="46"/>
  <c r="L22" i="46"/>
  <c r="GQ22" i="46"/>
  <c r="GT22" i="46"/>
  <c r="GL22" i="46"/>
  <c r="DG22" i="46"/>
  <c r="GS22" i="46"/>
  <c r="AD22" i="46"/>
  <c r="CG22" i="46"/>
  <c r="O22" i="46"/>
  <c r="CM22" i="46"/>
  <c r="EB22" i="46"/>
  <c r="FV22" i="46"/>
  <c r="DQ22" i="46"/>
  <c r="DJ22" i="46"/>
  <c r="CX22" i="46"/>
  <c r="DE22" i="46"/>
  <c r="DR22" i="46"/>
  <c r="EE22" i="46"/>
  <c r="FA22" i="46"/>
  <c r="EL22" i="46"/>
  <c r="CO22" i="46"/>
  <c r="CA22" i="46"/>
  <c r="EP22" i="46"/>
  <c r="GK22" i="46"/>
  <c r="GB22" i="46"/>
  <c r="S22" i="46"/>
  <c r="EQ22" i="46"/>
  <c r="FN22" i="46"/>
  <c r="FE22" i="46"/>
  <c r="BZ22" i="46"/>
  <c r="GR22" i="46"/>
  <c r="BY22" i="46"/>
  <c r="FD22" i="46"/>
  <c r="EX22" i="46"/>
  <c r="FP22" i="46"/>
  <c r="DA22" i="46"/>
  <c r="U22" i="46"/>
  <c r="ET22" i="46"/>
  <c r="FO22" i="46"/>
  <c r="GP22" i="46"/>
  <c r="EN22" i="46"/>
  <c r="GA22" i="46"/>
  <c r="GM22" i="46"/>
  <c r="EO22" i="46"/>
  <c r="GC22" i="46"/>
  <c r="DD22" i="46"/>
  <c r="ER22" i="46"/>
  <c r="DL22" i="46"/>
  <c r="CN11" i="44"/>
  <c r="EF11" i="44"/>
  <c r="GF11" i="44"/>
  <c r="DJ11" i="44"/>
  <c r="EW11" i="44"/>
  <c r="EJ11" i="44"/>
  <c r="AA11" i="44"/>
  <c r="AE11" i="44"/>
  <c r="CV11" i="44"/>
  <c r="EO11" i="44"/>
  <c r="GN11" i="44"/>
  <c r="DR11" i="44"/>
  <c r="FE11" i="44"/>
  <c r="FS11" i="44"/>
  <c r="P11" i="44"/>
  <c r="DD11" i="44"/>
  <c r="EZ11" i="44"/>
  <c r="CB11" i="44"/>
  <c r="EB11" i="44"/>
  <c r="FM11" i="44"/>
  <c r="BY11" i="44"/>
  <c r="AC11" i="44"/>
  <c r="DL11" i="44"/>
  <c r="FH11" i="44"/>
  <c r="CJ11" i="44"/>
  <c r="EK11" i="44"/>
  <c r="FU11" i="44"/>
  <c r="DE11" i="44"/>
  <c r="AH11" i="44"/>
  <c r="DT11" i="44"/>
  <c r="FP11" i="44"/>
  <c r="CR11" i="44"/>
  <c r="ET11" i="44"/>
  <c r="GB11" i="44"/>
  <c r="EN11" i="44"/>
  <c r="H11" i="44"/>
  <c r="EM11" i="44"/>
  <c r="FX11" i="44"/>
  <c r="CZ11" i="44"/>
  <c r="FD11" i="44"/>
  <c r="GJ11" i="44"/>
  <c r="FW11" i="44"/>
  <c r="V11" i="44"/>
  <c r="EX11" i="44"/>
  <c r="GE11" i="44"/>
  <c r="DH11" i="44"/>
  <c r="FL11" i="44"/>
  <c r="GR11" i="44"/>
  <c r="CC11" i="44"/>
  <c r="AF11" i="44"/>
  <c r="EU11" i="44"/>
  <c r="FN11" i="44"/>
  <c r="CA11" i="44"/>
  <c r="DY11" i="44"/>
  <c r="GA11" i="44"/>
  <c r="DU11" i="44"/>
  <c r="ES11" i="44"/>
  <c r="W11" i="44"/>
  <c r="GC11" i="44"/>
  <c r="CQ11" i="44"/>
  <c r="FB11" i="44"/>
  <c r="GQ11" i="44"/>
  <c r="GL11" i="44"/>
  <c r="CG11" i="44"/>
  <c r="X11" i="44"/>
  <c r="GK11" i="44"/>
  <c r="CY11" i="44"/>
  <c r="FJ11" i="44"/>
  <c r="BW11" i="44"/>
  <c r="CS11" i="44"/>
  <c r="DM11" i="44"/>
  <c r="M11" i="44"/>
  <c r="AI11" i="44"/>
  <c r="CX11" i="44"/>
  <c r="CD11" i="44"/>
  <c r="EE11" i="44"/>
  <c r="Y11" i="44"/>
  <c r="DF11" i="44"/>
  <c r="CL11" i="44"/>
  <c r="FO11" i="44"/>
  <c r="S11" i="44"/>
  <c r="GS11" i="44"/>
  <c r="FI11" i="44"/>
  <c r="DN11" i="44"/>
  <c r="CT11" i="44"/>
  <c r="GT11" i="44"/>
  <c r="AB11" i="44"/>
  <c r="FT11" i="44"/>
  <c r="EP11" i="44"/>
  <c r="EC11" i="44"/>
  <c r="FR11" i="44"/>
  <c r="DV11" i="44"/>
  <c r="DB11" i="44"/>
  <c r="DA11" i="44"/>
  <c r="G11" i="44"/>
  <c r="GM11" i="44"/>
  <c r="DI11" i="44"/>
  <c r="GH11" i="44"/>
  <c r="DS11" i="44"/>
  <c r="J11" i="44"/>
  <c r="DZ11" i="44"/>
  <c r="BT11" i="44"/>
  <c r="CH11" i="44"/>
  <c r="CI11" i="44"/>
  <c r="GI11" i="44"/>
  <c r="FZ11" i="44"/>
  <c r="CU11" i="44"/>
  <c r="DQ11" i="44"/>
  <c r="DK11" i="44"/>
  <c r="FC11" i="44"/>
  <c r="BX11" i="44"/>
  <c r="AD11" i="44"/>
  <c r="BZ11" i="44"/>
  <c r="FK11" i="44"/>
  <c r="GG11" i="44"/>
  <c r="DG11" i="44"/>
  <c r="CE11" i="44"/>
  <c r="EY11" i="44"/>
  <c r="CK11" i="44"/>
  <c r="DC11" i="44"/>
  <c r="ER11" i="44"/>
  <c r="DO11" i="44"/>
  <c r="CM11" i="44"/>
  <c r="GD11" i="44"/>
  <c r="DW11" i="44"/>
  <c r="EH11" i="44"/>
  <c r="FY11" i="44"/>
  <c r="GP11" i="44"/>
  <c r="Z11" i="44"/>
  <c r="FA11" i="44"/>
  <c r="O11" i="44"/>
  <c r="EV11" i="44"/>
  <c r="CF11" i="44"/>
  <c r="FQ11" i="44"/>
  <c r="EL11" i="44"/>
  <c r="U11" i="44"/>
  <c r="FF11" i="44"/>
  <c r="DP11" i="44"/>
  <c r="CO11" i="44"/>
  <c r="I11" i="44"/>
  <c r="FV11" i="44"/>
  <c r="EI11" i="44"/>
  <c r="FG11" i="44"/>
  <c r="L11" i="44"/>
  <c r="CP11" i="44"/>
  <c r="CW11" i="44"/>
  <c r="EQ11" i="44"/>
  <c r="GO11" i="44"/>
  <c r="R11" i="44"/>
  <c r="FP18" i="46"/>
  <c r="EQ18" i="46"/>
  <c r="DA18" i="46"/>
  <c r="DB18" i="46"/>
  <c r="DM18" i="46"/>
  <c r="DY18" i="46"/>
  <c r="CQ18" i="46"/>
  <c r="DL18" i="46"/>
  <c r="GA18" i="46"/>
  <c r="CM18" i="46"/>
  <c r="DE18" i="46"/>
  <c r="EU18" i="46"/>
  <c r="Y18" i="46"/>
  <c r="AB18" i="46"/>
  <c r="EH18" i="46"/>
  <c r="CY18" i="46"/>
  <c r="L18" i="46"/>
  <c r="DT18" i="46"/>
  <c r="EO18" i="46"/>
  <c r="CD18" i="46"/>
  <c r="DV18" i="46"/>
  <c r="CO18" i="46"/>
  <c r="R18" i="46"/>
  <c r="EJ18" i="46"/>
  <c r="FE18" i="46"/>
  <c r="CV18" i="46"/>
  <c r="CI18" i="46"/>
  <c r="EE18" i="46"/>
  <c r="CP18" i="46"/>
  <c r="M18" i="46"/>
  <c r="DD18" i="46"/>
  <c r="GP18" i="46"/>
  <c r="EK18" i="46"/>
  <c r="CT18" i="46"/>
  <c r="AF18" i="46"/>
  <c r="GF18" i="46"/>
  <c r="EZ18" i="46"/>
  <c r="BW18" i="46"/>
  <c r="EF18" i="46"/>
  <c r="GE18" i="46"/>
  <c r="G18" i="46"/>
  <c r="EP18" i="46"/>
  <c r="AC18" i="46"/>
  <c r="ES18" i="46"/>
  <c r="FD18" i="46"/>
  <c r="O18" i="46"/>
  <c r="GI18" i="46"/>
  <c r="FB18" i="46"/>
  <c r="W18" i="46"/>
  <c r="FO18" i="46"/>
  <c r="CC18" i="46"/>
  <c r="DC18" i="46"/>
  <c r="GO18" i="46"/>
  <c r="I18" i="46"/>
  <c r="DP18" i="46"/>
  <c r="FX18" i="46"/>
  <c r="DI18" i="46"/>
  <c r="CK18" i="46"/>
  <c r="FV18" i="46"/>
  <c r="GK18" i="46"/>
  <c r="CF18" i="46"/>
  <c r="GJ18" i="46"/>
  <c r="CJ18" i="46"/>
  <c r="GB18" i="46"/>
  <c r="DS18" i="46"/>
  <c r="GN18" i="46"/>
  <c r="FI18" i="46"/>
  <c r="GM18" i="46"/>
  <c r="CU18" i="46"/>
  <c r="BY18" i="46"/>
  <c r="AH18" i="46"/>
  <c r="EB18" i="46"/>
  <c r="ER18" i="46"/>
  <c r="FK18" i="46"/>
  <c r="EC18" i="46"/>
  <c r="AD18" i="46"/>
  <c r="FS18" i="46"/>
  <c r="GC18" i="46"/>
  <c r="EI18" i="46"/>
  <c r="EY18" i="46"/>
  <c r="AI18" i="46"/>
  <c r="CA18" i="46"/>
  <c r="FJ18" i="46"/>
  <c r="FR18" i="46"/>
  <c r="ET18" i="46"/>
  <c r="FM18" i="46"/>
  <c r="DK18" i="46"/>
  <c r="U18" i="46"/>
  <c r="DQ18" i="46"/>
  <c r="GH18" i="46"/>
  <c r="DN18" i="46"/>
  <c r="FG18" i="46"/>
  <c r="FL18" i="46"/>
  <c r="FZ18" i="46"/>
  <c r="DF18" i="46"/>
  <c r="EW18" i="46"/>
  <c r="BT18" i="46"/>
  <c r="CB18" i="46"/>
  <c r="CX18" i="46"/>
  <c r="CH18" i="46"/>
  <c r="CN18" i="46"/>
  <c r="CZ18" i="46"/>
  <c r="FU18" i="46"/>
  <c r="GL18" i="46"/>
  <c r="EL18" i="46"/>
  <c r="EV18" i="46"/>
  <c r="CW18" i="46"/>
  <c r="CE18" i="46"/>
  <c r="DO18" i="46"/>
  <c r="DW18" i="46"/>
  <c r="DR18" i="46"/>
  <c r="S18" i="46"/>
  <c r="FC18" i="46"/>
  <c r="DZ18" i="46"/>
  <c r="V18" i="46"/>
  <c r="BM18" i="46" s="1"/>
  <c r="Z18" i="46"/>
  <c r="GR18" i="46"/>
  <c r="GS18" i="46"/>
  <c r="BZ18" i="46"/>
  <c r="DG18" i="46"/>
  <c r="DU18" i="46"/>
  <c r="J18" i="46"/>
  <c r="EN18" i="46"/>
  <c r="AA18" i="46"/>
  <c r="GD18" i="46"/>
  <c r="FA18" i="46"/>
  <c r="GQ18" i="46"/>
  <c r="FT18" i="46"/>
  <c r="X18" i="46"/>
  <c r="FN18" i="46"/>
  <c r="GG18" i="46"/>
  <c r="FH18" i="46"/>
  <c r="AE18" i="46"/>
  <c r="DJ18" i="46"/>
  <c r="P18" i="46"/>
  <c r="FY18" i="46"/>
  <c r="EX18" i="46"/>
  <c r="CG18" i="46"/>
  <c r="CL18" i="46"/>
  <c r="H18" i="46"/>
  <c r="CR18" i="46"/>
  <c r="FQ18" i="46"/>
  <c r="EM18" i="46"/>
  <c r="CS18" i="46"/>
  <c r="FF18" i="46"/>
  <c r="GT18" i="46"/>
  <c r="FW18" i="46"/>
  <c r="DH18" i="46"/>
  <c r="BX18" i="46"/>
  <c r="CB31" i="44"/>
  <c r="DF31" i="44"/>
  <c r="CR31" i="44"/>
  <c r="CL31" i="44"/>
  <c r="X31" i="44"/>
  <c r="FA31" i="44"/>
  <c r="V31" i="44"/>
  <c r="DG31" i="44"/>
  <c r="EX31" i="44"/>
  <c r="GR31" i="44"/>
  <c r="DK31" i="44"/>
  <c r="CO31" i="44"/>
  <c r="I31" i="44"/>
  <c r="AI31" i="44"/>
  <c r="CQ31" i="44"/>
  <c r="FZ31" i="44"/>
  <c r="GF31" i="44"/>
  <c r="AH31" i="44"/>
  <c r="DM31" i="44"/>
  <c r="CJ31" i="44"/>
  <c r="GT31" i="44"/>
  <c r="S31" i="44"/>
  <c r="CI31" i="44"/>
  <c r="DJ31" i="44"/>
  <c r="GJ31" i="44"/>
  <c r="EH31" i="44"/>
  <c r="CP31" i="44"/>
  <c r="ER31" i="44"/>
  <c r="GK31" i="44"/>
  <c r="GB31" i="44"/>
  <c r="AA31" i="44"/>
  <c r="J31" i="44"/>
  <c r="W31" i="44"/>
  <c r="R31" i="44"/>
  <c r="EJ31" i="44"/>
  <c r="EN31" i="44"/>
  <c r="DD31" i="44"/>
  <c r="GO31" i="44"/>
  <c r="GN31" i="44"/>
  <c r="GI31" i="44"/>
  <c r="CK31" i="44"/>
  <c r="CF31" i="44"/>
  <c r="FG31" i="44"/>
  <c r="FK31" i="44"/>
  <c r="EU31" i="44"/>
  <c r="FH31" i="44"/>
  <c r="CU31" i="44"/>
  <c r="DU31" i="44"/>
  <c r="CM31" i="44"/>
  <c r="FJ31" i="44"/>
  <c r="FR31" i="44"/>
  <c r="FE31" i="44"/>
  <c r="GP31" i="44"/>
  <c r="H31" i="44"/>
  <c r="DY31" i="44"/>
  <c r="EY31" i="44"/>
  <c r="AD31" i="44"/>
  <c r="GQ31" i="44"/>
  <c r="L31" i="44"/>
  <c r="FI31" i="44"/>
  <c r="FU31" i="44"/>
  <c r="CY31" i="44"/>
  <c r="DL31" i="44"/>
  <c r="CG31" i="44"/>
  <c r="BX31" i="44"/>
  <c r="DI31" i="44"/>
  <c r="Y31" i="44"/>
  <c r="DW31" i="44"/>
  <c r="FB31" i="44"/>
  <c r="CW31" i="44"/>
  <c r="DE31" i="44"/>
  <c r="EF31" i="44"/>
  <c r="BZ31" i="44"/>
  <c r="DQ31" i="44"/>
  <c r="DR31" i="44"/>
  <c r="AE31" i="44"/>
  <c r="O31" i="44"/>
  <c r="U31" i="44"/>
  <c r="FN31" i="44"/>
  <c r="GS31" i="44"/>
  <c r="M31" i="44"/>
  <c r="DN31" i="44"/>
  <c r="FF31" i="44"/>
  <c r="EM31" i="44"/>
  <c r="EO31" i="44"/>
  <c r="DT31" i="44"/>
  <c r="FQ31" i="44"/>
  <c r="FP31" i="44"/>
  <c r="DZ31" i="44"/>
  <c r="FY31" i="44"/>
  <c r="FS31" i="44"/>
  <c r="Z31" i="44"/>
  <c r="EZ31" i="44"/>
  <c r="FD31" i="44"/>
  <c r="GL31" i="44"/>
  <c r="CX31" i="44"/>
  <c r="CA31" i="44"/>
  <c r="FC31" i="44"/>
  <c r="FV31" i="44"/>
  <c r="BW31" i="44"/>
  <c r="GD31" i="44"/>
  <c r="EQ31" i="44"/>
  <c r="AB31" i="44"/>
  <c r="FO31" i="44"/>
  <c r="DH31" i="44"/>
  <c r="EI31" i="44"/>
  <c r="ET31" i="44"/>
  <c r="GA31" i="44"/>
  <c r="CE31" i="44"/>
  <c r="CZ31" i="44"/>
  <c r="FT31" i="44"/>
  <c r="DS31" i="44"/>
  <c r="DP31" i="44"/>
  <c r="GE31" i="44"/>
  <c r="DO31" i="44"/>
  <c r="CH31" i="44"/>
  <c r="FX31" i="44"/>
  <c r="CN31" i="44"/>
  <c r="CV31" i="44"/>
  <c r="EP31" i="44"/>
  <c r="DC31" i="44"/>
  <c r="GC31" i="44"/>
  <c r="FL31" i="44"/>
  <c r="EK31" i="44"/>
  <c r="DV31" i="44"/>
  <c r="EE31" i="44"/>
  <c r="CD31" i="44"/>
  <c r="BY31" i="44"/>
  <c r="ES31" i="44"/>
  <c r="AF31" i="44"/>
  <c r="DB31" i="44"/>
  <c r="EB31" i="44"/>
  <c r="DA31" i="44"/>
  <c r="CC31" i="44"/>
  <c r="GM31" i="44"/>
  <c r="EW31" i="44"/>
  <c r="FW31" i="44"/>
  <c r="FM31" i="44"/>
  <c r="AC31" i="44"/>
  <c r="BT31" i="44"/>
  <c r="CT31" i="44"/>
  <c r="EV31" i="44"/>
  <c r="P31" i="44"/>
  <c r="EC31" i="44"/>
  <c r="GH31" i="44"/>
  <c r="G31" i="44"/>
  <c r="EL31" i="44"/>
  <c r="GG31" i="44"/>
  <c r="CS31" i="44"/>
  <c r="GO10" i="46"/>
  <c r="AI10" i="46"/>
  <c r="DB10" i="46"/>
  <c r="DV10" i="46"/>
  <c r="DE10" i="46"/>
  <c r="CV10" i="46"/>
  <c r="CM10" i="46"/>
  <c r="FK10" i="46"/>
  <c r="AE10" i="46"/>
  <c r="DN10" i="46"/>
  <c r="CW10" i="46"/>
  <c r="CN10" i="46"/>
  <c r="CE10" i="46"/>
  <c r="GA10" i="46"/>
  <c r="AC10" i="46"/>
  <c r="CJ10" i="46"/>
  <c r="AH10" i="46"/>
  <c r="CA10" i="46"/>
  <c r="CH10" i="46"/>
  <c r="Y10" i="46"/>
  <c r="R10" i="46"/>
  <c r="W10" i="46"/>
  <c r="EB10" i="46"/>
  <c r="FB10" i="46"/>
  <c r="CI10" i="46"/>
  <c r="FW10" i="46"/>
  <c r="EN10" i="46"/>
  <c r="DC10" i="46"/>
  <c r="FL10" i="46"/>
  <c r="GF10" i="46"/>
  <c r="EO10" i="46"/>
  <c r="DD10" i="46"/>
  <c r="P10" i="46"/>
  <c r="AF10" i="46"/>
  <c r="FP10" i="46"/>
  <c r="BX10" i="46"/>
  <c r="CR10" i="46"/>
  <c r="FX10" i="46"/>
  <c r="EF10" i="46"/>
  <c r="CF10" i="46"/>
  <c r="CB10" i="46"/>
  <c r="CK10" i="46"/>
  <c r="DU10" i="46"/>
  <c r="GJ10" i="46"/>
  <c r="EQ10" i="46"/>
  <c r="CP10" i="46"/>
  <c r="GT10" i="46"/>
  <c r="FM10" i="46"/>
  <c r="X10" i="46"/>
  <c r="DP10" i="46"/>
  <c r="DO10" i="46"/>
  <c r="BT10" i="46"/>
  <c r="AA10" i="46"/>
  <c r="EE10" i="46"/>
  <c r="ER10" i="46"/>
  <c r="FR10" i="46"/>
  <c r="BY10" i="46"/>
  <c r="S10" i="46"/>
  <c r="U10" i="46"/>
  <c r="DT10" i="46"/>
  <c r="FJ10" i="46"/>
  <c r="CD10" i="46"/>
  <c r="DH10" i="46"/>
  <c r="I10" i="46"/>
  <c r="DL10" i="46"/>
  <c r="FZ10" i="46"/>
  <c r="CT10" i="46"/>
  <c r="GI10" i="46"/>
  <c r="DW10" i="46"/>
  <c r="AD10" i="46"/>
  <c r="GM10" i="46"/>
  <c r="Z10" i="46"/>
  <c r="GP10" i="46"/>
  <c r="DJ10" i="46"/>
  <c r="J10" i="46"/>
  <c r="EW10" i="46"/>
  <c r="FS10" i="46"/>
  <c r="EM10" i="46"/>
  <c r="EC10" i="46"/>
  <c r="FF10" i="46"/>
  <c r="GE10" i="46"/>
  <c r="G10" i="46"/>
  <c r="CC10" i="46"/>
  <c r="ET10" i="46"/>
  <c r="AB10" i="46"/>
  <c r="CY10" i="46"/>
  <c r="FG10" i="46"/>
  <c r="GK10" i="46"/>
  <c r="GR10" i="46"/>
  <c r="EI10" i="46"/>
  <c r="EY10" i="46"/>
  <c r="DQ10" i="46"/>
  <c r="FN10" i="46"/>
  <c r="EV10" i="46"/>
  <c r="FO10" i="46"/>
  <c r="GS10" i="46"/>
  <c r="CS10" i="46"/>
  <c r="GB10" i="46"/>
  <c r="M10" i="46"/>
  <c r="DI10" i="46"/>
  <c r="DA10" i="46"/>
  <c r="DZ10" i="46"/>
  <c r="L10" i="46"/>
  <c r="CG10" i="46"/>
  <c r="O10" i="46"/>
  <c r="GH10" i="46"/>
  <c r="FD10" i="46"/>
  <c r="GC10" i="46"/>
  <c r="FA10" i="46"/>
  <c r="DF10" i="46"/>
  <c r="EL10" i="46"/>
  <c r="DM10" i="46"/>
  <c r="FU10" i="46"/>
  <c r="ES10" i="46"/>
  <c r="CZ10" i="46"/>
  <c r="FQ10" i="46"/>
  <c r="EK10" i="46"/>
  <c r="GN10" i="46"/>
  <c r="CO10" i="46"/>
  <c r="FE10" i="46"/>
  <c r="GQ10" i="46"/>
  <c r="EJ10" i="46"/>
  <c r="GG10" i="46"/>
  <c r="FC10" i="46"/>
  <c r="FI10" i="46"/>
  <c r="CX10" i="46"/>
  <c r="DR10" i="46"/>
  <c r="FH10" i="46"/>
  <c r="H10" i="46"/>
  <c r="DS10" i="46"/>
  <c r="CL10" i="46"/>
  <c r="V10" i="46"/>
  <c r="EZ10" i="46"/>
  <c r="GL10" i="46"/>
  <c r="DK10" i="46"/>
  <c r="CQ10" i="46"/>
  <c r="EP10" i="46"/>
  <c r="GD10" i="46"/>
  <c r="CU10" i="46"/>
  <c r="EU10" i="46"/>
  <c r="DG10" i="46"/>
  <c r="EH10" i="46"/>
  <c r="FV10" i="46"/>
  <c r="BW10" i="46"/>
  <c r="FY10" i="46"/>
  <c r="BZ10" i="46"/>
  <c r="FT10" i="46"/>
  <c r="EX10" i="46"/>
  <c r="DY10" i="46"/>
  <c r="BW27" i="44"/>
  <c r="FM27" i="44"/>
  <c r="EQ27" i="44"/>
  <c r="AH27" i="44"/>
  <c r="FX27" i="44"/>
  <c r="R27" i="44"/>
  <c r="DF27" i="44"/>
  <c r="CG27" i="44"/>
  <c r="FP27" i="44"/>
  <c r="GB27" i="44"/>
  <c r="DD27" i="44"/>
  <c r="FH27" i="44"/>
  <c r="I27" i="44"/>
  <c r="DA27" i="44"/>
  <c r="DV27" i="44"/>
  <c r="GF27" i="44"/>
  <c r="GR27" i="44"/>
  <c r="EM27" i="44"/>
  <c r="BZ27" i="44"/>
  <c r="BT27" i="44"/>
  <c r="FR27" i="44"/>
  <c r="DM27" i="44"/>
  <c r="M27" i="44"/>
  <c r="GD27" i="44"/>
  <c r="DG27" i="44"/>
  <c r="CX27" i="44"/>
  <c r="BY27" i="44"/>
  <c r="W27" i="44"/>
  <c r="ER27" i="44"/>
  <c r="EX27" i="44"/>
  <c r="EH27" i="44"/>
  <c r="DR27" i="44"/>
  <c r="ET27" i="44"/>
  <c r="EL27" i="44"/>
  <c r="FT27" i="44"/>
  <c r="X27" i="44"/>
  <c r="GK27" i="44"/>
  <c r="FW27" i="44"/>
  <c r="S27" i="44"/>
  <c r="CH27" i="44"/>
  <c r="DU27" i="44"/>
  <c r="FO27" i="44"/>
  <c r="CC27" i="44"/>
  <c r="FU27" i="44"/>
  <c r="EI27" i="44"/>
  <c r="CA27" i="44"/>
  <c r="J27" i="44"/>
  <c r="EK27" i="44"/>
  <c r="CT27" i="44"/>
  <c r="EP27" i="44"/>
  <c r="GQ27" i="44"/>
  <c r="EY27" i="44"/>
  <c r="CK27" i="44"/>
  <c r="FI27" i="44"/>
  <c r="CY27" i="44"/>
  <c r="EU27" i="44"/>
  <c r="CM27" i="44"/>
  <c r="FF27" i="44"/>
  <c r="CU27" i="44"/>
  <c r="FS27" i="44"/>
  <c r="DQ27" i="44"/>
  <c r="GJ27" i="44"/>
  <c r="CR27" i="44"/>
  <c r="FK27" i="44"/>
  <c r="CQ27" i="44"/>
  <c r="EF27" i="44"/>
  <c r="GE27" i="44"/>
  <c r="GT27" i="44"/>
  <c r="P27" i="44"/>
  <c r="FV27" i="44"/>
  <c r="DT27" i="44"/>
  <c r="FC27" i="44"/>
  <c r="CO27" i="44"/>
  <c r="DE27" i="44"/>
  <c r="GP27" i="44"/>
  <c r="FB27" i="44"/>
  <c r="FZ27" i="44"/>
  <c r="EB27" i="44"/>
  <c r="DO27" i="44"/>
  <c r="DS27" i="44"/>
  <c r="Y27" i="44"/>
  <c r="CI27" i="44"/>
  <c r="O27" i="44"/>
  <c r="BX27" i="44"/>
  <c r="EV27" i="44"/>
  <c r="CE27" i="44"/>
  <c r="AC27" i="44"/>
  <c r="CJ27" i="44"/>
  <c r="FY27" i="44"/>
  <c r="DH27" i="44"/>
  <c r="DJ27" i="44"/>
  <c r="DN27" i="44"/>
  <c r="AI27" i="44"/>
  <c r="AE27" i="44"/>
  <c r="GI27" i="44"/>
  <c r="EO27" i="44"/>
  <c r="EE27" i="44"/>
  <c r="CB27" i="44"/>
  <c r="EJ27" i="44"/>
  <c r="GC27" i="44"/>
  <c r="AF27" i="44"/>
  <c r="DK27" i="44"/>
  <c r="CD27" i="44"/>
  <c r="FA27" i="44"/>
  <c r="DC27" i="44"/>
  <c r="AB27" i="44"/>
  <c r="H27" i="44"/>
  <c r="V27" i="44"/>
  <c r="CS27" i="44"/>
  <c r="DW27" i="44"/>
  <c r="FN27" i="44"/>
  <c r="DL27" i="44"/>
  <c r="GM27" i="44"/>
  <c r="CL27" i="44"/>
  <c r="EN27" i="44"/>
  <c r="CW27" i="44"/>
  <c r="Z27" i="44"/>
  <c r="DZ27" i="44"/>
  <c r="DP27" i="44"/>
  <c r="GA27" i="44"/>
  <c r="CP27" i="44"/>
  <c r="EW27" i="44"/>
  <c r="CF27" i="44"/>
  <c r="EZ27" i="44"/>
  <c r="G27" i="44"/>
  <c r="FE27" i="44"/>
  <c r="L27" i="44"/>
  <c r="GG27" i="44"/>
  <c r="CV27" i="44"/>
  <c r="AD27" i="44"/>
  <c r="DI27" i="44"/>
  <c r="FG27" i="44"/>
  <c r="GO27" i="44"/>
  <c r="FD27" i="44"/>
  <c r="FJ27" i="44"/>
  <c r="GL27" i="44"/>
  <c r="DY27" i="44"/>
  <c r="EC27" i="44"/>
  <c r="ES27" i="44"/>
  <c r="FL27" i="44"/>
  <c r="AA27" i="44"/>
  <c r="CZ27" i="44"/>
  <c r="GN27" i="44"/>
  <c r="U27" i="44"/>
  <c r="GS27" i="44"/>
  <c r="DB27" i="44"/>
  <c r="FQ27" i="44"/>
  <c r="GH27" i="44"/>
  <c r="CN27" i="44"/>
  <c r="M35" i="44"/>
  <c r="CB35" i="44"/>
  <c r="DK35" i="44"/>
  <c r="GJ35" i="44"/>
  <c r="J35" i="44"/>
  <c r="CU35" i="44"/>
  <c r="EN35" i="44"/>
  <c r="DB35" i="44"/>
  <c r="W35" i="44"/>
  <c r="CG35" i="44"/>
  <c r="CJ35" i="44"/>
  <c r="EK35" i="44"/>
  <c r="AF35" i="44"/>
  <c r="GM35" i="44"/>
  <c r="FI35" i="44"/>
  <c r="EQ35" i="44"/>
  <c r="GK35" i="44"/>
  <c r="FJ35" i="44"/>
  <c r="CY35" i="44"/>
  <c r="AD35" i="44"/>
  <c r="EM35" i="44"/>
  <c r="EI35" i="44"/>
  <c r="EW35" i="44"/>
  <c r="GT35" i="44"/>
  <c r="CX35" i="44"/>
  <c r="CI35" i="44"/>
  <c r="FQ35" i="44"/>
  <c r="Y35" i="44"/>
  <c r="EZ35" i="44"/>
  <c r="X35" i="44"/>
  <c r="CS35" i="44"/>
  <c r="CH35" i="44"/>
  <c r="DZ35" i="44"/>
  <c r="DQ35" i="44"/>
  <c r="FN35" i="44"/>
  <c r="DF35" i="44"/>
  <c r="CE35" i="44"/>
  <c r="CW35" i="44"/>
  <c r="CN35" i="44"/>
  <c r="EJ35" i="44"/>
  <c r="GQ35" i="44"/>
  <c r="DI35" i="44"/>
  <c r="GN35" i="44"/>
  <c r="DY35" i="44"/>
  <c r="AH35" i="44"/>
  <c r="FO35" i="44"/>
  <c r="FH35" i="44"/>
  <c r="G35" i="44"/>
  <c r="CQ35" i="44"/>
  <c r="FG35" i="44"/>
  <c r="GG35" i="44"/>
  <c r="GF35" i="44"/>
  <c r="DO35" i="44"/>
  <c r="EE35" i="44"/>
  <c r="DP35" i="44"/>
  <c r="EL35" i="44"/>
  <c r="FV35" i="44"/>
  <c r="H35" i="44"/>
  <c r="DS35" i="44"/>
  <c r="EB35" i="44"/>
  <c r="CK35" i="44"/>
  <c r="EC35" i="44"/>
  <c r="FC35" i="44"/>
  <c r="U35" i="44"/>
  <c r="DN35" i="44"/>
  <c r="CV35" i="44"/>
  <c r="GE35" i="44"/>
  <c r="O35" i="44"/>
  <c r="DT35" i="44"/>
  <c r="CM35" i="44"/>
  <c r="BZ35" i="44"/>
  <c r="BW35" i="44"/>
  <c r="BT35" i="44"/>
  <c r="AA35" i="44"/>
  <c r="FK35" i="44"/>
  <c r="FE35" i="44"/>
  <c r="DJ35" i="44"/>
  <c r="EH35" i="44"/>
  <c r="GC35" i="44"/>
  <c r="ES35" i="44"/>
  <c r="AB35" i="44"/>
  <c r="GD35" i="44"/>
  <c r="GS35" i="44"/>
  <c r="GB35" i="44"/>
  <c r="AI35" i="44"/>
  <c r="R35" i="44"/>
  <c r="CA35" i="44"/>
  <c r="EV35" i="44"/>
  <c r="FW35" i="44"/>
  <c r="GH35" i="44"/>
  <c r="DG35" i="44"/>
  <c r="Z35" i="44"/>
  <c r="DA35" i="44"/>
  <c r="FP35" i="44"/>
  <c r="I35" i="44"/>
  <c r="P35" i="44"/>
  <c r="FZ35" i="44"/>
  <c r="GA35" i="44"/>
  <c r="BY35" i="44"/>
  <c r="GO35" i="44"/>
  <c r="FU35" i="44"/>
  <c r="DC35" i="44"/>
  <c r="BX35" i="44"/>
  <c r="ET35" i="44"/>
  <c r="CZ35" i="44"/>
  <c r="EU35" i="44"/>
  <c r="DL35" i="44"/>
  <c r="DV35" i="44"/>
  <c r="V35" i="44"/>
  <c r="FF35" i="44"/>
  <c r="FM35" i="44"/>
  <c r="CD35" i="44"/>
  <c r="GP35" i="44"/>
  <c r="EP35" i="44"/>
  <c r="S35" i="44"/>
  <c r="FD35" i="44"/>
  <c r="FS35" i="44"/>
  <c r="DR35" i="44"/>
  <c r="FY35" i="44"/>
  <c r="GI35" i="44"/>
  <c r="DH35" i="44"/>
  <c r="DW35" i="44"/>
  <c r="FA35" i="44"/>
  <c r="L35" i="44"/>
  <c r="EO35" i="44"/>
  <c r="FR35" i="44"/>
  <c r="CR35" i="44"/>
  <c r="GR35" i="44"/>
  <c r="DM35" i="44"/>
  <c r="CT35" i="44"/>
  <c r="FB35" i="44"/>
  <c r="GL35" i="44"/>
  <c r="ER35" i="44"/>
  <c r="AE35" i="44"/>
  <c r="EF35" i="44"/>
  <c r="EY35" i="44"/>
  <c r="CF35" i="44"/>
  <c r="CO35" i="44"/>
  <c r="DE35" i="44"/>
  <c r="FT35" i="44"/>
  <c r="AC35" i="44"/>
  <c r="CC35" i="44"/>
  <c r="FL35" i="44"/>
  <c r="EX35" i="44"/>
  <c r="FX35" i="44"/>
  <c r="CL35" i="44"/>
  <c r="DU35" i="44"/>
  <c r="CP35" i="44"/>
  <c r="DD35" i="44"/>
  <c r="BT36" i="46"/>
  <c r="AI36" i="46"/>
  <c r="EV36" i="46"/>
  <c r="EU36" i="46"/>
  <c r="GL18" i="44"/>
  <c r="DB18" i="44"/>
  <c r="GG18" i="44"/>
  <c r="CV18" i="44"/>
  <c r="EM18" i="44"/>
  <c r="P18" i="44"/>
  <c r="AE18" i="44"/>
  <c r="GT18" i="44"/>
  <c r="DJ18" i="44"/>
  <c r="GS18" i="44"/>
  <c r="DI18" i="44"/>
  <c r="FD18" i="44"/>
  <c r="AD18" i="44"/>
  <c r="U18" i="44"/>
  <c r="CD18" i="44"/>
  <c r="CG18" i="44"/>
  <c r="BT18" i="44"/>
  <c r="EU18" i="44"/>
  <c r="CL18" i="44"/>
  <c r="CP18" i="44"/>
  <c r="EJ18" i="44"/>
  <c r="DE18" i="44"/>
  <c r="FA18" i="44"/>
  <c r="GO18" i="44"/>
  <c r="R18" i="44"/>
  <c r="AA18" i="44"/>
  <c r="AF18" i="44"/>
  <c r="EV18" i="44"/>
  <c r="CT18" i="44"/>
  <c r="CY18" i="44"/>
  <c r="ES18" i="44"/>
  <c r="DS18" i="44"/>
  <c r="FM18" i="44"/>
  <c r="BZ18" i="44"/>
  <c r="Z18" i="44"/>
  <c r="BW18" i="44"/>
  <c r="DG18" i="44"/>
  <c r="FC18" i="44"/>
  <c r="EH18" i="44"/>
  <c r="FY18" i="44"/>
  <c r="CN18" i="44"/>
  <c r="FR18" i="44"/>
  <c r="CO18" i="44"/>
  <c r="DW18" i="44"/>
  <c r="FS18" i="44"/>
  <c r="FJ18" i="44"/>
  <c r="CI18" i="44"/>
  <c r="DP18" i="44"/>
  <c r="S18" i="44"/>
  <c r="ER18" i="44"/>
  <c r="EF18" i="44"/>
  <c r="DQ18" i="44"/>
  <c r="EK18" i="44"/>
  <c r="GR18" i="44"/>
  <c r="W18" i="44"/>
  <c r="EQ18" i="44"/>
  <c r="EO18" i="44"/>
  <c r="EC18" i="44"/>
  <c r="GK18" i="44"/>
  <c r="G18" i="44"/>
  <c r="DM18" i="44"/>
  <c r="EL18" i="44"/>
  <c r="GI18" i="44"/>
  <c r="DY18" i="44"/>
  <c r="FW18" i="44"/>
  <c r="V18" i="44"/>
  <c r="CS18" i="44"/>
  <c r="EX18" i="44"/>
  <c r="FL18" i="44"/>
  <c r="CB18" i="44"/>
  <c r="FT18" i="44"/>
  <c r="EZ18" i="44"/>
  <c r="ET18" i="44"/>
  <c r="CW18" i="44"/>
  <c r="O18" i="44"/>
  <c r="X18" i="44"/>
  <c r="FH18" i="44"/>
  <c r="DK18" i="44"/>
  <c r="FU18" i="44"/>
  <c r="AH18" i="44"/>
  <c r="CK18" i="44"/>
  <c r="CZ18" i="44"/>
  <c r="DL18" i="44"/>
  <c r="EN18" i="44"/>
  <c r="GP18" i="44"/>
  <c r="CQ18" i="44"/>
  <c r="FI18" i="44"/>
  <c r="AC18" i="44"/>
  <c r="FP18" i="44"/>
  <c r="Y18" i="44"/>
  <c r="GC18" i="44"/>
  <c r="EE18" i="44"/>
  <c r="L18" i="44"/>
  <c r="AI18" i="44"/>
  <c r="GJ18" i="44"/>
  <c r="FX18" i="44"/>
  <c r="CC18" i="44"/>
  <c r="FB18" i="44"/>
  <c r="EP18" i="44"/>
  <c r="FV18" i="44"/>
  <c r="DN18" i="44"/>
  <c r="J18" i="44"/>
  <c r="DR18" i="44"/>
  <c r="BY18" i="44"/>
  <c r="DC18" i="44"/>
  <c r="AB18" i="44"/>
  <c r="CF18" i="44"/>
  <c r="GE18" i="44"/>
  <c r="CR18" i="44"/>
  <c r="FN18" i="44"/>
  <c r="H18" i="44"/>
  <c r="GM18" i="44"/>
  <c r="GA18" i="44"/>
  <c r="DF18" i="44"/>
  <c r="I18" i="44"/>
  <c r="CE18" i="44"/>
  <c r="DZ18" i="44"/>
  <c r="GH18" i="44"/>
  <c r="CH18" i="44"/>
  <c r="CX18" i="44"/>
  <c r="EW18" i="44"/>
  <c r="FE18" i="44"/>
  <c r="CA18" i="44"/>
  <c r="GN18" i="44"/>
  <c r="CJ18" i="44"/>
  <c r="CU18" i="44"/>
  <c r="DH18" i="44"/>
  <c r="FO18" i="44"/>
  <c r="GD18" i="44"/>
  <c r="DA18" i="44"/>
  <c r="DV18" i="44"/>
  <c r="EB18" i="44"/>
  <c r="FF18" i="44"/>
  <c r="EY18" i="44"/>
  <c r="FK18" i="44"/>
  <c r="DT18" i="44"/>
  <c r="FQ18" i="44"/>
  <c r="CM18" i="44"/>
  <c r="FG18" i="44"/>
  <c r="FZ18" i="44"/>
  <c r="EI18" i="44"/>
  <c r="GB18" i="44"/>
  <c r="GQ18" i="44"/>
  <c r="DO18" i="44"/>
  <c r="DU18" i="44"/>
  <c r="BX18" i="44"/>
  <c r="DD18" i="44"/>
  <c r="GF18" i="44"/>
  <c r="M18" i="44"/>
  <c r="EV20" i="46"/>
  <c r="ET20" i="46"/>
  <c r="DW20" i="46"/>
  <c r="CK20" i="46"/>
  <c r="FV20" i="46"/>
  <c r="EJ20" i="46"/>
  <c r="FE20" i="46"/>
  <c r="DV20" i="46"/>
  <c r="AI20" i="46"/>
  <c r="EL20" i="46"/>
  <c r="DO20" i="46"/>
  <c r="BZ20" i="46"/>
  <c r="FK20" i="46"/>
  <c r="DU20" i="46"/>
  <c r="EF20" i="46"/>
  <c r="CB20" i="46"/>
  <c r="DB20" i="46"/>
  <c r="CI20" i="46"/>
  <c r="GH20" i="46"/>
  <c r="DN20" i="46"/>
  <c r="GK20" i="46"/>
  <c r="H20" i="46"/>
  <c r="FS20" i="46"/>
  <c r="EU20" i="46"/>
  <c r="AC20" i="46"/>
  <c r="FY20" i="46"/>
  <c r="DQ20" i="46"/>
  <c r="EZ20" i="46"/>
  <c r="FH20" i="46"/>
  <c r="DC20" i="46"/>
  <c r="CW20" i="46"/>
  <c r="CV20" i="46"/>
  <c r="DL20" i="46"/>
  <c r="AA20" i="46"/>
  <c r="CR20" i="46"/>
  <c r="FQ20" i="46"/>
  <c r="DF20" i="46"/>
  <c r="EN20" i="46"/>
  <c r="EK20" i="46"/>
  <c r="CG20" i="46"/>
  <c r="EX20" i="46"/>
  <c r="FI20" i="46"/>
  <c r="DZ20" i="46"/>
  <c r="BT20" i="46"/>
  <c r="EB20" i="46"/>
  <c r="CA20" i="46"/>
  <c r="EO20" i="46"/>
  <c r="GP20" i="46"/>
  <c r="DI20" i="46"/>
  <c r="W20" i="46"/>
  <c r="O20" i="46"/>
  <c r="M20" i="46"/>
  <c r="I20" i="46"/>
  <c r="GA20" i="46"/>
  <c r="DA20" i="46"/>
  <c r="AD20" i="46"/>
  <c r="CN20" i="46"/>
  <c r="GO20" i="46"/>
  <c r="GS20" i="46"/>
  <c r="GE20" i="46"/>
  <c r="DH20" i="46"/>
  <c r="S20" i="46"/>
  <c r="CP20" i="46"/>
  <c r="CE20" i="46"/>
  <c r="AF20" i="46"/>
  <c r="GG20" i="46"/>
  <c r="FW20" i="46"/>
  <c r="FU20" i="46"/>
  <c r="CM20" i="46"/>
  <c r="FJ20" i="46"/>
  <c r="DT20" i="46"/>
  <c r="FL20" i="46"/>
  <c r="FA20" i="46"/>
  <c r="FM20" i="46"/>
  <c r="GM20" i="46"/>
  <c r="AE20" i="46"/>
  <c r="ER20" i="46"/>
  <c r="EQ20" i="46"/>
  <c r="FB20" i="46"/>
  <c r="GC20" i="46"/>
  <c r="FZ20" i="46"/>
  <c r="EM20" i="46"/>
  <c r="EC20" i="46"/>
  <c r="DG20" i="46"/>
  <c r="DP20" i="46"/>
  <c r="FG20" i="46"/>
  <c r="EW20" i="46"/>
  <c r="G20" i="46"/>
  <c r="GB20" i="46"/>
  <c r="CO20" i="46"/>
  <c r="FT20" i="46"/>
  <c r="L20" i="46"/>
  <c r="U20" i="46"/>
  <c r="EI20" i="46"/>
  <c r="FR20" i="46"/>
  <c r="EY20" i="46"/>
  <c r="CF20" i="46"/>
  <c r="CC20" i="46"/>
  <c r="DE20" i="46"/>
  <c r="BW20" i="46"/>
  <c r="DM20" i="46"/>
  <c r="CD20" i="46"/>
  <c r="DY20" i="46"/>
  <c r="CL20" i="46"/>
  <c r="CY20" i="46"/>
  <c r="BY20" i="46"/>
  <c r="J20" i="46"/>
  <c r="GR20" i="46"/>
  <c r="CQ20" i="46"/>
  <c r="CU20" i="46"/>
  <c r="DK20" i="46"/>
  <c r="FP20" i="46"/>
  <c r="V20" i="46"/>
  <c r="EP20" i="46"/>
  <c r="GJ20" i="46"/>
  <c r="AB20" i="46"/>
  <c r="CJ20" i="46"/>
  <c r="CZ20" i="46"/>
  <c r="ES20" i="46"/>
  <c r="CX20" i="46"/>
  <c r="GT20" i="46"/>
  <c r="EE20" i="46"/>
  <c r="FD20" i="46"/>
  <c r="GI20" i="46"/>
  <c r="GQ20" i="46"/>
  <c r="R20" i="46"/>
  <c r="GN20" i="46"/>
  <c r="DR20" i="46"/>
  <c r="FX20" i="46"/>
  <c r="GF20" i="46"/>
  <c r="GD20" i="46"/>
  <c r="GL20" i="46"/>
  <c r="DJ20" i="46"/>
  <c r="FN20" i="46"/>
  <c r="DD20" i="46"/>
  <c r="FF20" i="46"/>
  <c r="DS20" i="46"/>
  <c r="CT20" i="46"/>
  <c r="FC20" i="46"/>
  <c r="CS20" i="46"/>
  <c r="EH20" i="46"/>
  <c r="Y20" i="46"/>
  <c r="CH20" i="46"/>
  <c r="BX20" i="46"/>
  <c r="Z20" i="46"/>
  <c r="AH20" i="46"/>
  <c r="X20" i="46"/>
  <c r="P20" i="46"/>
  <c r="FO20" i="46"/>
  <c r="GO17" i="46"/>
  <c r="CN17" i="46"/>
  <c r="FX17" i="46"/>
  <c r="G17" i="46"/>
  <c r="GF17" i="46"/>
  <c r="CC17" i="46"/>
  <c r="FK17" i="46"/>
  <c r="EJ17" i="46"/>
  <c r="CU17" i="46"/>
  <c r="DU17" i="46"/>
  <c r="AB17" i="46"/>
  <c r="AA17" i="46"/>
  <c r="CI17" i="46"/>
  <c r="CK17" i="46"/>
  <c r="CS17" i="46"/>
  <c r="DA17" i="46"/>
  <c r="AH17" i="46"/>
  <c r="FW17" i="46"/>
  <c r="DF17" i="46"/>
  <c r="CF17" i="46"/>
  <c r="CB17" i="46"/>
  <c r="AC17" i="46"/>
  <c r="BT17" i="46"/>
  <c r="BZ17" i="46"/>
  <c r="EV17" i="46"/>
  <c r="EW17" i="46"/>
  <c r="FB17" i="46"/>
  <c r="GL17" i="46"/>
  <c r="FP17" i="46"/>
  <c r="CE17" i="46"/>
  <c r="GR17" i="46"/>
  <c r="BX17" i="46"/>
  <c r="Z17" i="46"/>
  <c r="EU17" i="46"/>
  <c r="CJ17" i="46"/>
  <c r="GC17" i="46"/>
  <c r="FA17" i="46"/>
  <c r="CA17" i="46"/>
  <c r="GQ17" i="46"/>
  <c r="FC17" i="46"/>
  <c r="DO17" i="46"/>
  <c r="FG17" i="46"/>
  <c r="DY17" i="46"/>
  <c r="ET17" i="46"/>
  <c r="FH17" i="46"/>
  <c r="GA17" i="46"/>
  <c r="FQ17" i="46"/>
  <c r="AF17" i="46"/>
  <c r="EK17" i="46"/>
  <c r="ES17" i="46"/>
  <c r="DM17" i="46"/>
  <c r="EL17" i="46"/>
  <c r="GK17" i="46"/>
  <c r="DG17" i="46"/>
  <c r="H17" i="46"/>
  <c r="X17" i="46"/>
  <c r="R17" i="46"/>
  <c r="FJ17" i="46"/>
  <c r="EH17" i="46"/>
  <c r="Y17" i="46"/>
  <c r="ER17" i="46"/>
  <c r="DK17" i="46"/>
  <c r="FM17" i="46"/>
  <c r="EI17" i="46"/>
  <c r="GH17" i="46"/>
  <c r="DE17" i="46"/>
  <c r="V17" i="46"/>
  <c r="GP17" i="46"/>
  <c r="FN17" i="46"/>
  <c r="FF17" i="46"/>
  <c r="EQ17" i="46"/>
  <c r="O17" i="46"/>
  <c r="BY17" i="46"/>
  <c r="DD17" i="46"/>
  <c r="FO17" i="46"/>
  <c r="DB17" i="46"/>
  <c r="P17" i="46"/>
  <c r="CT17" i="46"/>
  <c r="EB17" i="46"/>
  <c r="CX17" i="46"/>
  <c r="U17" i="46"/>
  <c r="EP17" i="46"/>
  <c r="CH17" i="46"/>
  <c r="GT17" i="46"/>
  <c r="CV17" i="46"/>
  <c r="J17" i="46"/>
  <c r="CL17" i="46"/>
  <c r="CQ17" i="46"/>
  <c r="AE17" i="46"/>
  <c r="EN17" i="46"/>
  <c r="CO17" i="46"/>
  <c r="I17" i="46"/>
  <c r="CW17" i="46"/>
  <c r="CD17" i="46"/>
  <c r="CZ17" i="46"/>
  <c r="FY17" i="46"/>
  <c r="DL17" i="46"/>
  <c r="DT17" i="46"/>
  <c r="M17" i="46"/>
  <c r="DI17" i="46"/>
  <c r="DS17" i="46"/>
  <c r="GE17" i="46"/>
  <c r="CG17" i="46"/>
  <c r="EE17" i="46"/>
  <c r="CP17" i="46"/>
  <c r="GM17" i="46"/>
  <c r="DQ17" i="46"/>
  <c r="FV17" i="46"/>
  <c r="GD17" i="46"/>
  <c r="AI17" i="46"/>
  <c r="GG17" i="46"/>
  <c r="EM17" i="46"/>
  <c r="AD17" i="46"/>
  <c r="EO17" i="46"/>
  <c r="EZ17" i="46"/>
  <c r="EF17" i="46"/>
  <c r="FR17" i="46"/>
  <c r="GJ17" i="46"/>
  <c r="EC17" i="46"/>
  <c r="BW17" i="46"/>
  <c r="W17" i="46"/>
  <c r="FI17" i="46"/>
  <c r="S17" i="46"/>
  <c r="CR17" i="46"/>
  <c r="FU17" i="46"/>
  <c r="CY17" i="46"/>
  <c r="DV17" i="46"/>
  <c r="DP17" i="46"/>
  <c r="DH17" i="46"/>
  <c r="L17" i="46"/>
  <c r="DR17" i="46"/>
  <c r="DW17" i="46"/>
  <c r="FE17" i="46"/>
  <c r="GB17" i="46"/>
  <c r="EY17" i="46"/>
  <c r="EX17" i="46"/>
  <c r="DZ17" i="46"/>
  <c r="FT17" i="46"/>
  <c r="FZ17" i="46"/>
  <c r="FS17" i="46"/>
  <c r="DN17" i="46"/>
  <c r="FL17" i="46"/>
  <c r="GI17" i="46"/>
  <c r="DC17" i="46"/>
  <c r="FD17" i="46"/>
  <c r="GS17" i="46"/>
  <c r="CM17" i="46"/>
  <c r="GN17" i="46"/>
  <c r="DJ17" i="46"/>
  <c r="DO20" i="44"/>
  <c r="GF20" i="44"/>
  <c r="DA20" i="44"/>
  <c r="EE20" i="44"/>
  <c r="FK20" i="44"/>
  <c r="GB20" i="44"/>
  <c r="Z20" i="44"/>
  <c r="EU20" i="44"/>
  <c r="DW20" i="44"/>
  <c r="GN20" i="44"/>
  <c r="DM20" i="44"/>
  <c r="ES20" i="44"/>
  <c r="FW20" i="44"/>
  <c r="GO20" i="44"/>
  <c r="EL20" i="44"/>
  <c r="EO20" i="44"/>
  <c r="BW20" i="44"/>
  <c r="DZ20" i="44"/>
  <c r="FG20" i="44"/>
  <c r="GJ20" i="44"/>
  <c r="CK20" i="44"/>
  <c r="FB20" i="44"/>
  <c r="EZ20" i="44"/>
  <c r="CE20" i="44"/>
  <c r="EN20" i="44"/>
  <c r="FU20" i="44"/>
  <c r="CH20" i="44"/>
  <c r="GG20" i="44"/>
  <c r="J20" i="44"/>
  <c r="FH20" i="44"/>
  <c r="CM20" i="44"/>
  <c r="FE20" i="44"/>
  <c r="CF20" i="44"/>
  <c r="CV20" i="44"/>
  <c r="O20" i="44"/>
  <c r="U20" i="44"/>
  <c r="FP20" i="44"/>
  <c r="CU20" i="44"/>
  <c r="FR20" i="44"/>
  <c r="CS20" i="44"/>
  <c r="DI20" i="44"/>
  <c r="X20" i="44"/>
  <c r="AA20" i="44"/>
  <c r="ER20" i="44"/>
  <c r="FX20" i="44"/>
  <c r="DC20" i="44"/>
  <c r="GC20" i="44"/>
  <c r="DE20" i="44"/>
  <c r="DU20" i="44"/>
  <c r="AF20" i="44"/>
  <c r="FN20" i="44"/>
  <c r="GM20" i="44"/>
  <c r="DS20" i="44"/>
  <c r="CC20" i="44"/>
  <c r="EF20" i="44"/>
  <c r="EY20" i="44"/>
  <c r="GL20" i="44"/>
  <c r="Y20" i="44"/>
  <c r="AI20" i="44"/>
  <c r="CJ20" i="44"/>
  <c r="EK20" i="44"/>
  <c r="DB20" i="44"/>
  <c r="FJ20" i="44"/>
  <c r="FY20" i="44"/>
  <c r="AC20" i="44"/>
  <c r="I20" i="44"/>
  <c r="CR20" i="44"/>
  <c r="ET20" i="44"/>
  <c r="DN20" i="44"/>
  <c r="FV20" i="44"/>
  <c r="GK20" i="44"/>
  <c r="AH20" i="44"/>
  <c r="AE20" i="44"/>
  <c r="CI20" i="44"/>
  <c r="GI20" i="44"/>
  <c r="DF20" i="44"/>
  <c r="DV20" i="44"/>
  <c r="CQ20" i="44"/>
  <c r="GQ20" i="44"/>
  <c r="DT20" i="44"/>
  <c r="GS20" i="44"/>
  <c r="V20" i="44"/>
  <c r="EH20" i="44"/>
  <c r="CD20" i="44"/>
  <c r="G20" i="44"/>
  <c r="BT20" i="44"/>
  <c r="CY20" i="44"/>
  <c r="BZ20" i="44"/>
  <c r="EI20" i="44"/>
  <c r="H20" i="44"/>
  <c r="GE20" i="44"/>
  <c r="EJ20" i="44"/>
  <c r="FA20" i="44"/>
  <c r="GR20" i="44"/>
  <c r="EV20" i="44"/>
  <c r="DG20" i="44"/>
  <c r="CN20" i="44"/>
  <c r="EX20" i="44"/>
  <c r="R20" i="44"/>
  <c r="GP20" i="44"/>
  <c r="W20" i="44"/>
  <c r="M20" i="44"/>
  <c r="EP20" i="44"/>
  <c r="FI20" i="44"/>
  <c r="DD20" i="44"/>
  <c r="DJ20" i="44"/>
  <c r="FL20" i="44"/>
  <c r="CB20" i="44"/>
  <c r="CO20" i="44"/>
  <c r="FM20" i="44"/>
  <c r="AB20" i="44"/>
  <c r="GD20" i="44"/>
  <c r="EM20" i="44"/>
  <c r="CZ20" i="44"/>
  <c r="EC20" i="44"/>
  <c r="BY20" i="44"/>
  <c r="BX20" i="44"/>
  <c r="DP20" i="44"/>
  <c r="FZ20" i="44"/>
  <c r="CP20" i="44"/>
  <c r="FC20" i="44"/>
  <c r="DH20" i="44"/>
  <c r="FF20" i="44"/>
  <c r="CL20" i="44"/>
  <c r="L20" i="44"/>
  <c r="FS20" i="44"/>
  <c r="CX20" i="44"/>
  <c r="S20" i="44"/>
  <c r="DL20" i="44"/>
  <c r="DY20" i="44"/>
  <c r="FT20" i="44"/>
  <c r="FD20" i="44"/>
  <c r="FQ20" i="44"/>
  <c r="DQ20" i="44"/>
  <c r="FO20" i="44"/>
  <c r="EQ20" i="44"/>
  <c r="DK20" i="44"/>
  <c r="DR20" i="44"/>
  <c r="CW20" i="44"/>
  <c r="EB20" i="44"/>
  <c r="EW20" i="44"/>
  <c r="P20" i="44"/>
  <c r="GH20" i="44"/>
  <c r="GT20" i="44"/>
  <c r="CG20" i="44"/>
  <c r="CA20" i="44"/>
  <c r="GA20" i="44"/>
  <c r="CT20" i="44"/>
  <c r="AD20" i="44"/>
  <c r="FF34" i="44"/>
  <c r="EN34" i="44"/>
  <c r="DH34" i="44"/>
  <c r="BT34" i="44"/>
  <c r="CA34" i="44"/>
  <c r="CV34" i="44"/>
  <c r="FP34" i="44"/>
  <c r="AH34" i="44"/>
  <c r="FY34" i="44"/>
  <c r="GF34" i="44"/>
  <c r="CO34" i="44"/>
  <c r="GE34" i="44"/>
  <c r="Z34" i="44"/>
  <c r="W34" i="44"/>
  <c r="CH34" i="44"/>
  <c r="R34" i="44"/>
  <c r="DI34" i="44"/>
  <c r="DB34" i="44"/>
  <c r="FD34" i="44"/>
  <c r="GD34" i="44"/>
  <c r="FC34" i="44"/>
  <c r="GP34" i="44"/>
  <c r="Y34" i="44"/>
  <c r="AI34" i="44"/>
  <c r="FZ34" i="44"/>
  <c r="DG34" i="44"/>
  <c r="P34" i="44"/>
  <c r="GB34" i="44"/>
  <c r="CJ34" i="44"/>
  <c r="EM34" i="44"/>
  <c r="EH34" i="44"/>
  <c r="EZ34" i="44"/>
  <c r="AE34" i="44"/>
  <c r="AF34" i="44"/>
  <c r="FW34" i="44"/>
  <c r="EE34" i="44"/>
  <c r="CF34" i="44"/>
  <c r="GN34" i="44"/>
  <c r="BX34" i="44"/>
  <c r="CL34" i="44"/>
  <c r="DT34" i="44"/>
  <c r="DK34" i="44"/>
  <c r="DV34" i="44"/>
  <c r="EK34" i="44"/>
  <c r="BY34" i="44"/>
  <c r="AC34" i="44"/>
  <c r="DN34" i="44"/>
  <c r="DF34" i="44"/>
  <c r="DE34" i="44"/>
  <c r="CP34" i="44"/>
  <c r="CI34" i="44"/>
  <c r="DP34" i="44"/>
  <c r="EB34" i="44"/>
  <c r="DU34" i="44"/>
  <c r="EX34" i="44"/>
  <c r="S34" i="44"/>
  <c r="GL34" i="44"/>
  <c r="AD34" i="44"/>
  <c r="EW34" i="44"/>
  <c r="DO34" i="44"/>
  <c r="DS34" i="44"/>
  <c r="CD34" i="44"/>
  <c r="CS34" i="44"/>
  <c r="FE34" i="44"/>
  <c r="ET34" i="44"/>
  <c r="EL34" i="44"/>
  <c r="GK34" i="44"/>
  <c r="EV34" i="44"/>
  <c r="DQ34" i="44"/>
  <c r="DC34" i="44"/>
  <c r="CW34" i="44"/>
  <c r="FH34" i="44"/>
  <c r="O34" i="44"/>
  <c r="GO34" i="44"/>
  <c r="GI34" i="44"/>
  <c r="BZ34" i="44"/>
  <c r="DM34" i="44"/>
  <c r="EQ34" i="44"/>
  <c r="DL34" i="44"/>
  <c r="FK34" i="44"/>
  <c r="AA34" i="44"/>
  <c r="DY34" i="44"/>
  <c r="ES34" i="44"/>
  <c r="GR34" i="44"/>
  <c r="CY34" i="44"/>
  <c r="U34" i="44"/>
  <c r="EY34" i="44"/>
  <c r="FU34" i="44"/>
  <c r="FV34" i="44"/>
  <c r="L34" i="44"/>
  <c r="CK34" i="44"/>
  <c r="GG34" i="44"/>
  <c r="FT34" i="44"/>
  <c r="CN34" i="44"/>
  <c r="GH34" i="44"/>
  <c r="CX34" i="44"/>
  <c r="FG34" i="44"/>
  <c r="GJ34" i="44"/>
  <c r="DW34" i="44"/>
  <c r="FS34" i="44"/>
  <c r="FB34" i="44"/>
  <c r="DD34" i="44"/>
  <c r="EI34" i="44"/>
  <c r="CT34" i="44"/>
  <c r="CZ34" i="44"/>
  <c r="EF34" i="44"/>
  <c r="EC34" i="44"/>
  <c r="FO34" i="44"/>
  <c r="G34" i="44"/>
  <c r="H34" i="44"/>
  <c r="CR34" i="44"/>
  <c r="AB34" i="44"/>
  <c r="EU34" i="44"/>
  <c r="CC34" i="44"/>
  <c r="CE34" i="44"/>
  <c r="CQ34" i="44"/>
  <c r="EO34" i="44"/>
  <c r="GS34" i="44"/>
  <c r="CB34" i="44"/>
  <c r="FJ34" i="44"/>
  <c r="GM34" i="44"/>
  <c r="DJ34" i="44"/>
  <c r="GT34" i="44"/>
  <c r="CG34" i="44"/>
  <c r="I34" i="44"/>
  <c r="FM34" i="44"/>
  <c r="GQ34" i="44"/>
  <c r="CM34" i="44"/>
  <c r="BW34" i="44"/>
  <c r="FN34" i="44"/>
  <c r="GC34" i="44"/>
  <c r="M34" i="44"/>
  <c r="FQ34" i="44"/>
  <c r="GA34" i="44"/>
  <c r="FA34" i="44"/>
  <c r="FR34" i="44"/>
  <c r="FL34" i="44"/>
  <c r="DR34" i="44"/>
  <c r="V34" i="44"/>
  <c r="EP34" i="44"/>
  <c r="EJ34" i="44"/>
  <c r="DZ34" i="44"/>
  <c r="X34" i="44"/>
  <c r="J34" i="44"/>
  <c r="DA34" i="44"/>
  <c r="ER34" i="44"/>
  <c r="FI34" i="44"/>
  <c r="CU34" i="44"/>
  <c r="FX34" i="44"/>
  <c r="FJ19" i="46"/>
  <c r="CT19" i="46"/>
  <c r="AF19" i="46"/>
  <c r="ET19" i="46"/>
  <c r="AE19" i="46"/>
  <c r="GB19" i="46"/>
  <c r="CQ19" i="46"/>
  <c r="FS19" i="46"/>
  <c r="CK19" i="46"/>
  <c r="BY19" i="46"/>
  <c r="CW19" i="46"/>
  <c r="FL19" i="46"/>
  <c r="CA19" i="46"/>
  <c r="GQ19" i="46"/>
  <c r="EK19" i="46"/>
  <c r="GF19" i="46"/>
  <c r="EE19" i="46"/>
  <c r="FN19" i="46"/>
  <c r="DY19" i="46"/>
  <c r="DN19" i="46"/>
  <c r="EI19" i="46"/>
  <c r="G19" i="46"/>
  <c r="FD19" i="46"/>
  <c r="DF19" i="46"/>
  <c r="I19" i="46"/>
  <c r="J19" i="46"/>
  <c r="FP19" i="46"/>
  <c r="P19" i="46"/>
  <c r="GT19" i="46"/>
  <c r="DL19" i="46"/>
  <c r="DA19" i="46"/>
  <c r="GK19" i="46"/>
  <c r="CG19" i="46"/>
  <c r="Z19" i="46"/>
  <c r="FO19" i="46"/>
  <c r="FF19" i="46"/>
  <c r="CZ19" i="46"/>
  <c r="BT19" i="46"/>
  <c r="CH19" i="46"/>
  <c r="EO19" i="46"/>
  <c r="EX19" i="46"/>
  <c r="M19" i="46"/>
  <c r="FG19" i="46"/>
  <c r="GD19" i="46"/>
  <c r="EV19" i="46"/>
  <c r="DT19" i="46"/>
  <c r="FB19" i="46"/>
  <c r="AC19" i="46"/>
  <c r="EQ19" i="46"/>
  <c r="GL19" i="46"/>
  <c r="DR19" i="46"/>
  <c r="U19" i="46"/>
  <c r="AI19" i="46"/>
  <c r="EH19" i="46"/>
  <c r="DJ19" i="46"/>
  <c r="DV19" i="46"/>
  <c r="ES19" i="46"/>
  <c r="AB19" i="46"/>
  <c r="EW19" i="46"/>
  <c r="EY19" i="46"/>
  <c r="EU19" i="46"/>
  <c r="FT19" i="46"/>
  <c r="AH19" i="46"/>
  <c r="CU19" i="46"/>
  <c r="CF19" i="46"/>
  <c r="EN19" i="46"/>
  <c r="EC19" i="46"/>
  <c r="CV19" i="46"/>
  <c r="AA19" i="46"/>
  <c r="GG19" i="46"/>
  <c r="CM19" i="46"/>
  <c r="FH19" i="46"/>
  <c r="DO19" i="46"/>
  <c r="DK19" i="46"/>
  <c r="CJ19" i="46"/>
  <c r="CO19" i="46"/>
  <c r="CE19" i="46"/>
  <c r="H19" i="46"/>
  <c r="GE19" i="46"/>
  <c r="L19" i="46"/>
  <c r="O19" i="46"/>
  <c r="DE19" i="46"/>
  <c r="CX19" i="46"/>
  <c r="BW19" i="46"/>
  <c r="GS19" i="46"/>
  <c r="GM19" i="46"/>
  <c r="EF19" i="46"/>
  <c r="CS19" i="46"/>
  <c r="GN19" i="46"/>
  <c r="DG19" i="46"/>
  <c r="AD19" i="46"/>
  <c r="DP19" i="46"/>
  <c r="BX19" i="46"/>
  <c r="CL19" i="46"/>
  <c r="Y19" i="46"/>
  <c r="CP19" i="46"/>
  <c r="EL19" i="46"/>
  <c r="CY19" i="46"/>
  <c r="GH19" i="46"/>
  <c r="FX19" i="46"/>
  <c r="DZ19" i="46"/>
  <c r="CB19" i="46"/>
  <c r="FC19" i="46"/>
  <c r="S19" i="46"/>
  <c r="GA19" i="46"/>
  <c r="GR19" i="46"/>
  <c r="DW19" i="46"/>
  <c r="DH19" i="46"/>
  <c r="EP19" i="46"/>
  <c r="EZ19" i="46"/>
  <c r="DS19" i="46"/>
  <c r="GP19" i="46"/>
  <c r="CN19" i="46"/>
  <c r="FY19" i="46"/>
  <c r="DQ19" i="46"/>
  <c r="EB19" i="46"/>
  <c r="FR19" i="46"/>
  <c r="BZ19" i="46"/>
  <c r="DM19" i="46"/>
  <c r="FI19" i="46"/>
  <c r="GC19" i="46"/>
  <c r="V19" i="46"/>
  <c r="FU19" i="46"/>
  <c r="CC19" i="46"/>
  <c r="DI19" i="46"/>
  <c r="FK19" i="46"/>
  <c r="W19" i="46"/>
  <c r="FV19" i="46"/>
  <c r="R19" i="46"/>
  <c r="FM19" i="46"/>
  <c r="FQ19" i="46"/>
  <c r="FA19" i="46"/>
  <c r="CI19" i="46"/>
  <c r="GO19" i="46"/>
  <c r="CD19" i="46"/>
  <c r="FE19" i="46"/>
  <c r="FZ19" i="46"/>
  <c r="FW19" i="46"/>
  <c r="DB19" i="46"/>
  <c r="CR19" i="46"/>
  <c r="EM19" i="46"/>
  <c r="GI19" i="46"/>
  <c r="DU19" i="46"/>
  <c r="DD19" i="46"/>
  <c r="X19" i="46"/>
  <c r="DC19" i="46"/>
  <c r="ER19" i="46"/>
  <c r="EJ19" i="46"/>
  <c r="GJ19" i="46"/>
  <c r="Z11" i="46"/>
  <c r="DN11" i="46"/>
  <c r="BZ11" i="46"/>
  <c r="FM11" i="46"/>
  <c r="CV11" i="46"/>
  <c r="EH11" i="46"/>
  <c r="FV11" i="46"/>
  <c r="EM11" i="46"/>
  <c r="BY11" i="46"/>
  <c r="CP11" i="46"/>
  <c r="BT11" i="46"/>
  <c r="EV11" i="46"/>
  <c r="EU11" i="46"/>
  <c r="DM11" i="46"/>
  <c r="CM11" i="46"/>
  <c r="GK11" i="46"/>
  <c r="CW11" i="46"/>
  <c r="FX11" i="46"/>
  <c r="DW11" i="46"/>
  <c r="CR11" i="46"/>
  <c r="GI11" i="46"/>
  <c r="CL11" i="46"/>
  <c r="EF11" i="46"/>
  <c r="GN11" i="46"/>
  <c r="AD11" i="46"/>
  <c r="EI11" i="46"/>
  <c r="CZ11" i="46"/>
  <c r="GQ11" i="46"/>
  <c r="CT11" i="46"/>
  <c r="GE11" i="46"/>
  <c r="FN11" i="46"/>
  <c r="EC11" i="46"/>
  <c r="FQ11" i="46"/>
  <c r="EJ11" i="46"/>
  <c r="M11" i="46"/>
  <c r="EB11" i="46"/>
  <c r="DC11" i="46"/>
  <c r="FO11" i="46"/>
  <c r="AA11" i="46"/>
  <c r="FU11" i="46"/>
  <c r="CF11" i="46"/>
  <c r="EY11" i="46"/>
  <c r="GT11" i="46"/>
  <c r="CX11" i="46"/>
  <c r="FE11" i="46"/>
  <c r="FP11" i="46"/>
  <c r="CQ11" i="46"/>
  <c r="DY11" i="46"/>
  <c r="CK11" i="46"/>
  <c r="GF11" i="46"/>
  <c r="CY11" i="46"/>
  <c r="ER11" i="46"/>
  <c r="CS11" i="46"/>
  <c r="H11" i="46"/>
  <c r="EX11" i="46"/>
  <c r="P11" i="46"/>
  <c r="GD11" i="46"/>
  <c r="CG11" i="46"/>
  <c r="EO11" i="46"/>
  <c r="U11" i="46"/>
  <c r="CU11" i="46"/>
  <c r="GO11" i="46"/>
  <c r="FK11" i="46"/>
  <c r="EL11" i="46"/>
  <c r="AI11" i="46"/>
  <c r="DE11" i="46"/>
  <c r="CE11" i="46"/>
  <c r="DG11" i="46"/>
  <c r="CJ11" i="46"/>
  <c r="DR11" i="46"/>
  <c r="AB11" i="46"/>
  <c r="DU11" i="46"/>
  <c r="DK11" i="46"/>
  <c r="DO11" i="46"/>
  <c r="R11" i="46"/>
  <c r="DI11" i="46"/>
  <c r="FG11" i="46"/>
  <c r="EW11" i="46"/>
  <c r="EQ11" i="46"/>
  <c r="DJ11" i="46"/>
  <c r="FH11" i="46"/>
  <c r="FS11" i="46"/>
  <c r="EE11" i="46"/>
  <c r="FW11" i="46"/>
  <c r="GC11" i="46"/>
  <c r="FA11" i="46"/>
  <c r="GM11" i="46"/>
  <c r="GS11" i="46"/>
  <c r="FI11" i="46"/>
  <c r="FY11" i="46"/>
  <c r="O11" i="46"/>
  <c r="GG11" i="46"/>
  <c r="AC11" i="46"/>
  <c r="L11" i="46"/>
  <c r="DL11" i="46"/>
  <c r="CC11" i="46"/>
  <c r="DH11" i="46"/>
  <c r="EN11" i="46"/>
  <c r="EZ11" i="46"/>
  <c r="ET11" i="46"/>
  <c r="FC11" i="46"/>
  <c r="BW11" i="46"/>
  <c r="AH11" i="46"/>
  <c r="DA11" i="46"/>
  <c r="EP11" i="46"/>
  <c r="FZ11" i="46"/>
  <c r="GH11" i="46"/>
  <c r="DD11" i="46"/>
  <c r="Y11" i="46"/>
  <c r="I11" i="46"/>
  <c r="W11" i="46"/>
  <c r="CD11" i="46"/>
  <c r="CB11" i="46"/>
  <c r="S11" i="46"/>
  <c r="CA11" i="46"/>
  <c r="CH11" i="46"/>
  <c r="AE11" i="46"/>
  <c r="X11" i="46"/>
  <c r="DB11" i="46"/>
  <c r="CN11" i="46"/>
  <c r="DP11" i="46"/>
  <c r="DQ11" i="46"/>
  <c r="AF11" i="46"/>
  <c r="FD11" i="46"/>
  <c r="DT11" i="46"/>
  <c r="FB11" i="46"/>
  <c r="DZ11" i="46"/>
  <c r="FL11" i="46"/>
  <c r="BX11" i="46"/>
  <c r="FF11" i="46"/>
  <c r="DF11" i="46"/>
  <c r="J11" i="46"/>
  <c r="FJ11" i="46"/>
  <c r="EK11" i="46"/>
  <c r="FT11" i="46"/>
  <c r="DS11" i="46"/>
  <c r="GL11" i="46"/>
  <c r="DV11" i="46"/>
  <c r="V11" i="46"/>
  <c r="FR11" i="46"/>
  <c r="ES11" i="46"/>
  <c r="GB11" i="46"/>
  <c r="GJ11" i="46"/>
  <c r="GA11" i="46"/>
  <c r="CO11" i="46"/>
  <c r="GR11" i="46"/>
  <c r="GP11" i="46"/>
  <c r="CI11" i="46"/>
  <c r="G11" i="46"/>
  <c r="AI31" i="46"/>
  <c r="EU31" i="46"/>
  <c r="EV31" i="46"/>
  <c r="BT31" i="46"/>
  <c r="AV18" i="44" l="1"/>
  <c r="BR22" i="46"/>
  <c r="BD10" i="46"/>
  <c r="BQ22" i="46"/>
  <c r="BE20" i="46"/>
  <c r="BE22" i="44"/>
  <c r="AG14" i="44"/>
  <c r="BE18" i="46"/>
  <c r="BE10" i="46"/>
  <c r="BE13" i="46"/>
  <c r="EA13" i="46"/>
  <c r="BE22" i="46"/>
  <c r="BE18" i="44"/>
  <c r="BE11" i="46"/>
  <c r="BE9" i="46"/>
  <c r="BE17" i="46"/>
  <c r="BE14" i="46"/>
  <c r="BE17" i="44"/>
  <c r="BE8" i="46"/>
  <c r="BE16" i="46"/>
  <c r="BE23" i="46"/>
  <c r="BE24" i="46"/>
  <c r="BE23" i="44"/>
  <c r="BE9" i="44"/>
  <c r="BE24" i="44"/>
  <c r="BE8" i="44"/>
  <c r="L89" i="47"/>
  <c r="M81" i="47"/>
  <c r="Q89" i="47"/>
  <c r="BE10" i="44"/>
  <c r="E90" i="47"/>
  <c r="BE25" i="46"/>
  <c r="BE26" i="46"/>
  <c r="BE15" i="46"/>
  <c r="BE25" i="44"/>
  <c r="BE14" i="44"/>
  <c r="BE11" i="44"/>
  <c r="BE26" i="44"/>
  <c r="BE16" i="44"/>
  <c r="H90" i="47"/>
  <c r="BE20" i="44"/>
  <c r="BE12" i="44"/>
  <c r="BE19" i="44"/>
  <c r="F93" i="47"/>
  <c r="P79" i="47"/>
  <c r="J79" i="47"/>
  <c r="F82" i="47"/>
  <c r="C79" i="47"/>
  <c r="R89" i="47"/>
  <c r="G90" i="47"/>
  <c r="O93" i="47"/>
  <c r="BE19" i="46"/>
  <c r="L90" i="47"/>
  <c r="K79" i="47"/>
  <c r="BE27" i="44"/>
  <c r="BE21" i="46"/>
  <c r="L93" i="47"/>
  <c r="F80" i="47"/>
  <c r="BE12" i="46"/>
  <c r="BE13" i="44"/>
  <c r="BE21" i="44"/>
  <c r="BE27" i="46"/>
  <c r="BE15" i="44"/>
  <c r="AI50" i="47"/>
  <c r="J82" i="47" s="1"/>
  <c r="AI66" i="47"/>
  <c r="AI74" i="47"/>
  <c r="AI46" i="47"/>
  <c r="F78" i="47" s="1"/>
  <c r="AI56" i="47"/>
  <c r="AI62" i="47"/>
  <c r="V89" i="47" s="1"/>
  <c r="AI60" i="47"/>
  <c r="T87" i="47" s="1"/>
  <c r="AI57" i="47"/>
  <c r="Q88" i="47" s="1"/>
  <c r="AI49" i="47"/>
  <c r="I79" i="47" s="1"/>
  <c r="AI45" i="47"/>
  <c r="E86" i="47" s="1"/>
  <c r="AI69" i="47"/>
  <c r="AI53" i="47"/>
  <c r="M92" i="47" s="1"/>
  <c r="AI47" i="47"/>
  <c r="G85" i="47" s="1"/>
  <c r="AI63" i="47"/>
  <c r="AI73" i="47"/>
  <c r="AI72" i="47"/>
  <c r="AI44" i="47"/>
  <c r="D84" i="47" s="1"/>
  <c r="AI67" i="47"/>
  <c r="AI52" i="47"/>
  <c r="L95" i="47" s="1"/>
  <c r="AI43" i="47"/>
  <c r="C81" i="47" s="1"/>
  <c r="AI54" i="47"/>
  <c r="N97" i="47" s="1"/>
  <c r="AI68" i="47"/>
  <c r="AI51" i="47"/>
  <c r="K80" i="47" s="1"/>
  <c r="AI61" i="47"/>
  <c r="U90" i="47" s="1"/>
  <c r="AI58" i="47"/>
  <c r="R94" i="47" s="1"/>
  <c r="AI55" i="47"/>
  <c r="O96" i="47" s="1"/>
  <c r="AI48" i="47"/>
  <c r="H91" i="47" s="1"/>
  <c r="AI65" i="47"/>
  <c r="AI64" i="47"/>
  <c r="AI59" i="47"/>
  <c r="S93" i="47" s="1"/>
  <c r="AI71" i="47"/>
  <c r="AI70" i="47"/>
  <c r="O100" i="47"/>
  <c r="U100" i="47"/>
  <c r="T100" i="47"/>
  <c r="P100" i="47"/>
  <c r="N100" i="47"/>
  <c r="AH100" i="47"/>
  <c r="M100" i="47"/>
  <c r="L100" i="47"/>
  <c r="K100" i="47"/>
  <c r="H100" i="47"/>
  <c r="I100" i="47"/>
  <c r="C100" i="47"/>
  <c r="G100" i="47"/>
  <c r="F100" i="47"/>
  <c r="AG100" i="47"/>
  <c r="D100" i="47"/>
  <c r="AC100" i="47"/>
  <c r="Q100" i="47"/>
  <c r="J100" i="47"/>
  <c r="AE100" i="47"/>
  <c r="AD100" i="47"/>
  <c r="AB100" i="47"/>
  <c r="AA100" i="47"/>
  <c r="Z100" i="47"/>
  <c r="Y100" i="47"/>
  <c r="E100" i="47"/>
  <c r="AF100" i="47"/>
  <c r="X100" i="47"/>
  <c r="W100" i="47"/>
  <c r="V100" i="47"/>
  <c r="S100" i="47"/>
  <c r="R100" i="47"/>
  <c r="Z99" i="47"/>
  <c r="F99" i="47"/>
  <c r="AE99" i="47"/>
  <c r="J99" i="47"/>
  <c r="AD99" i="47"/>
  <c r="I99" i="47"/>
  <c r="C99" i="47"/>
  <c r="Y99" i="47"/>
  <c r="D99" i="47"/>
  <c r="X99" i="47"/>
  <c r="W99" i="47"/>
  <c r="Q99" i="47"/>
  <c r="P99" i="47"/>
  <c r="M99" i="47"/>
  <c r="H99" i="47"/>
  <c r="G99" i="47"/>
  <c r="E99" i="47"/>
  <c r="AC99" i="47"/>
  <c r="AG99" i="47"/>
  <c r="AF99" i="47"/>
  <c r="U99" i="47"/>
  <c r="T99" i="47"/>
  <c r="S99" i="47"/>
  <c r="R99" i="47"/>
  <c r="O99" i="47"/>
  <c r="N99" i="47"/>
  <c r="AB99" i="47"/>
  <c r="AA99" i="47"/>
  <c r="AH99" i="47"/>
  <c r="V99" i="47"/>
  <c r="K99" i="47"/>
  <c r="L99" i="47"/>
  <c r="AB88" i="47"/>
  <c r="AA88" i="47"/>
  <c r="W88" i="47"/>
  <c r="V88" i="47"/>
  <c r="U88" i="47"/>
  <c r="AH88" i="47"/>
  <c r="AE88" i="47"/>
  <c r="AC88" i="47"/>
  <c r="Z88" i="47"/>
  <c r="Y88" i="47"/>
  <c r="X88" i="47"/>
  <c r="T88" i="47"/>
  <c r="S88" i="47"/>
  <c r="AG88" i="47"/>
  <c r="AF88" i="47"/>
  <c r="AD88" i="47"/>
  <c r="M88" i="47"/>
  <c r="AC92" i="47"/>
  <c r="W92" i="47"/>
  <c r="V92" i="47"/>
  <c r="Q92" i="47"/>
  <c r="Y92" i="47"/>
  <c r="X92" i="47"/>
  <c r="AG92" i="47"/>
  <c r="AA92" i="47"/>
  <c r="Z92" i="47"/>
  <c r="AF92" i="47"/>
  <c r="AH92" i="47"/>
  <c r="AE92" i="47"/>
  <c r="U92" i="47"/>
  <c r="AB92" i="47"/>
  <c r="AD92" i="47"/>
  <c r="T105" i="47"/>
  <c r="AH105" i="47"/>
  <c r="M105" i="47"/>
  <c r="AG105" i="47"/>
  <c r="L105" i="47"/>
  <c r="AC105" i="47"/>
  <c r="H105" i="47"/>
  <c r="AB105" i="47"/>
  <c r="G105" i="47"/>
  <c r="AA105" i="47"/>
  <c r="F105" i="47"/>
  <c r="V105" i="47"/>
  <c r="AF105" i="47"/>
  <c r="Z105" i="47"/>
  <c r="X105" i="47"/>
  <c r="W105" i="47"/>
  <c r="U105" i="47"/>
  <c r="R105" i="47"/>
  <c r="N105" i="47"/>
  <c r="AE105" i="47"/>
  <c r="AD105" i="47"/>
  <c r="P105" i="47"/>
  <c r="O105" i="47"/>
  <c r="K105" i="47"/>
  <c r="J105" i="47"/>
  <c r="C105" i="47"/>
  <c r="I105" i="47"/>
  <c r="E105" i="47"/>
  <c r="Y105" i="47"/>
  <c r="S105" i="47"/>
  <c r="Q105" i="47"/>
  <c r="D105" i="47"/>
  <c r="Z91" i="47"/>
  <c r="S91" i="47"/>
  <c r="P91" i="47"/>
  <c r="AH91" i="47"/>
  <c r="AG91" i="47"/>
  <c r="AC91" i="47"/>
  <c r="AB91" i="47"/>
  <c r="AA91" i="47"/>
  <c r="X91" i="47"/>
  <c r="T91" i="47"/>
  <c r="AF91" i="47"/>
  <c r="AE91" i="47"/>
  <c r="V91" i="47"/>
  <c r="U91" i="47"/>
  <c r="AD91" i="47"/>
  <c r="Y91" i="47"/>
  <c r="W91" i="47"/>
  <c r="L85" i="47"/>
  <c r="D85" i="47"/>
  <c r="G83" i="47"/>
  <c r="Q82" i="47"/>
  <c r="R87" i="47"/>
  <c r="P93" i="47"/>
  <c r="P109" i="47"/>
  <c r="O109" i="47"/>
  <c r="N109" i="47"/>
  <c r="AE109" i="47"/>
  <c r="J109" i="47"/>
  <c r="AD109" i="47"/>
  <c r="I109" i="47"/>
  <c r="AC109" i="47"/>
  <c r="H109" i="47"/>
  <c r="X109" i="47"/>
  <c r="AB109" i="47"/>
  <c r="AA109" i="47"/>
  <c r="W109" i="47"/>
  <c r="G109" i="47"/>
  <c r="F109" i="47"/>
  <c r="E109" i="47"/>
  <c r="AG109" i="47"/>
  <c r="AF109" i="47"/>
  <c r="M109" i="47"/>
  <c r="L109" i="47"/>
  <c r="AH109" i="47"/>
  <c r="Z109" i="47"/>
  <c r="Y109" i="47"/>
  <c r="V109" i="47"/>
  <c r="K109" i="47"/>
  <c r="D109" i="47"/>
  <c r="U109" i="47"/>
  <c r="C109" i="47"/>
  <c r="T109" i="47"/>
  <c r="S109" i="47"/>
  <c r="Q109" i="47"/>
  <c r="R109" i="47"/>
  <c r="W90" i="47"/>
  <c r="AE90" i="47"/>
  <c r="AD90" i="47"/>
  <c r="AC90" i="47"/>
  <c r="AB90" i="47"/>
  <c r="AA90" i="47"/>
  <c r="X90" i="47"/>
  <c r="O90" i="47"/>
  <c r="AH90" i="47"/>
  <c r="AG90" i="47"/>
  <c r="AF90" i="47"/>
  <c r="Z90" i="47"/>
  <c r="Y90" i="47"/>
  <c r="V90" i="47"/>
  <c r="T90" i="47"/>
  <c r="D88" i="47"/>
  <c r="M78" i="47"/>
  <c r="K81" i="47"/>
  <c r="O91" i="47"/>
  <c r="T89" i="47"/>
  <c r="AF89" i="47"/>
  <c r="AE89" i="47"/>
  <c r="AA89" i="47"/>
  <c r="Z89" i="47"/>
  <c r="Y89" i="47"/>
  <c r="N89" i="47"/>
  <c r="AG89" i="47"/>
  <c r="AD89" i="47"/>
  <c r="AC89" i="47"/>
  <c r="X89" i="47"/>
  <c r="S89" i="47"/>
  <c r="AH89" i="47"/>
  <c r="U89" i="47"/>
  <c r="AB89" i="47"/>
  <c r="W89" i="47"/>
  <c r="AH87" i="47"/>
  <c r="X87" i="47"/>
  <c r="W87" i="47"/>
  <c r="L87" i="47"/>
  <c r="Z87" i="47"/>
  <c r="Y87" i="47"/>
  <c r="AF87" i="47"/>
  <c r="AE87" i="47"/>
  <c r="AD87" i="47"/>
  <c r="AB87" i="47"/>
  <c r="U87" i="47"/>
  <c r="AG87" i="47"/>
  <c r="AC87" i="47"/>
  <c r="AA87" i="47"/>
  <c r="V87" i="47"/>
  <c r="C82" i="47"/>
  <c r="E81" i="47"/>
  <c r="E89" i="47"/>
  <c r="O80" i="47"/>
  <c r="N87" i="47"/>
  <c r="Q85" i="47"/>
  <c r="J80" i="47"/>
  <c r="X101" i="47"/>
  <c r="D101" i="47"/>
  <c r="AF101" i="47"/>
  <c r="K101" i="47"/>
  <c r="AE101" i="47"/>
  <c r="J101" i="47"/>
  <c r="AA101" i="47"/>
  <c r="F101" i="47"/>
  <c r="Z101" i="47"/>
  <c r="E101" i="47"/>
  <c r="Y101" i="47"/>
  <c r="M101" i="47"/>
  <c r="L101" i="47"/>
  <c r="G101" i="47"/>
  <c r="O101" i="47"/>
  <c r="N101" i="47"/>
  <c r="C101" i="47"/>
  <c r="I101" i="47"/>
  <c r="AG101" i="47"/>
  <c r="V101" i="47"/>
  <c r="U101" i="47"/>
  <c r="R101" i="47"/>
  <c r="Q101" i="47"/>
  <c r="AD101" i="47"/>
  <c r="AH101" i="47"/>
  <c r="AC101" i="47"/>
  <c r="T101" i="47"/>
  <c r="S101" i="47"/>
  <c r="P101" i="47"/>
  <c r="H101" i="47"/>
  <c r="W101" i="47"/>
  <c r="AB101" i="47"/>
  <c r="W81" i="47"/>
  <c r="V81" i="47"/>
  <c r="F81" i="47"/>
  <c r="S81" i="47"/>
  <c r="AH81" i="47"/>
  <c r="AG81" i="47"/>
  <c r="AC81" i="47"/>
  <c r="AB81" i="47"/>
  <c r="AA81" i="47"/>
  <c r="Z81" i="47"/>
  <c r="Y81" i="47"/>
  <c r="X81" i="47"/>
  <c r="AF81" i="47"/>
  <c r="AE81" i="47"/>
  <c r="AD81" i="47"/>
  <c r="U81" i="47"/>
  <c r="G78" i="47"/>
  <c r="E85" i="47"/>
  <c r="Q87" i="47"/>
  <c r="I87" i="47"/>
  <c r="K78" i="47"/>
  <c r="Y84" i="47"/>
  <c r="AG84" i="47"/>
  <c r="AF84" i="47"/>
  <c r="AB84" i="47"/>
  <c r="AA84" i="47"/>
  <c r="Z84" i="47"/>
  <c r="S84" i="47"/>
  <c r="I84" i="47"/>
  <c r="T84" i="47"/>
  <c r="AH84" i="47"/>
  <c r="AE84" i="47"/>
  <c r="X84" i="47"/>
  <c r="W84" i="47"/>
  <c r="AD84" i="47"/>
  <c r="U84" i="47"/>
  <c r="AC84" i="47"/>
  <c r="V84" i="47"/>
  <c r="AA108" i="47"/>
  <c r="G108" i="47"/>
  <c r="Y108" i="47"/>
  <c r="D108" i="47"/>
  <c r="X108" i="47"/>
  <c r="T108" i="47"/>
  <c r="S108" i="47"/>
  <c r="R108" i="47"/>
  <c r="AH108" i="47"/>
  <c r="M108" i="47"/>
  <c r="AE108" i="47"/>
  <c r="AD108" i="47"/>
  <c r="Z108" i="47"/>
  <c r="F108" i="47"/>
  <c r="E108" i="47"/>
  <c r="AG108" i="47"/>
  <c r="AB108" i="47"/>
  <c r="W108" i="47"/>
  <c r="AF108" i="47"/>
  <c r="AC108" i="47"/>
  <c r="P108" i="47"/>
  <c r="O108" i="47"/>
  <c r="N108" i="47"/>
  <c r="L108" i="47"/>
  <c r="K108" i="47"/>
  <c r="J108" i="47"/>
  <c r="C108" i="47"/>
  <c r="V108" i="47"/>
  <c r="U108" i="47"/>
  <c r="Q108" i="47"/>
  <c r="H108" i="47"/>
  <c r="I108" i="47"/>
  <c r="D78" i="47"/>
  <c r="I88" i="47"/>
  <c r="G92" i="47"/>
  <c r="E91" i="47"/>
  <c r="F87" i="47"/>
  <c r="AD95" i="47"/>
  <c r="AB95" i="47"/>
  <c r="AA95" i="47"/>
  <c r="W95" i="47"/>
  <c r="V95" i="47"/>
  <c r="U95" i="47"/>
  <c r="AE95" i="47"/>
  <c r="AC95" i="47"/>
  <c r="X95" i="47"/>
  <c r="AH95" i="47"/>
  <c r="AG95" i="47"/>
  <c r="Z95" i="47"/>
  <c r="T95" i="47"/>
  <c r="N95" i="47"/>
  <c r="C95" i="47"/>
  <c r="M95" i="47"/>
  <c r="K95" i="47"/>
  <c r="I95" i="47"/>
  <c r="H95" i="47"/>
  <c r="AF95" i="47"/>
  <c r="Y95" i="47"/>
  <c r="P95" i="47"/>
  <c r="E95" i="47"/>
  <c r="AE86" i="47"/>
  <c r="T86" i="47"/>
  <c r="S86" i="47"/>
  <c r="AH86" i="47"/>
  <c r="K86" i="47"/>
  <c r="AG86" i="47"/>
  <c r="AF86" i="47"/>
  <c r="AB86" i="47"/>
  <c r="AA86" i="47"/>
  <c r="W86" i="47"/>
  <c r="V86" i="47"/>
  <c r="U86" i="47"/>
  <c r="AD86" i="47"/>
  <c r="AC86" i="47"/>
  <c r="Y86" i="47"/>
  <c r="Z86" i="47"/>
  <c r="X86" i="47"/>
  <c r="C86" i="47"/>
  <c r="C88" i="47"/>
  <c r="Q78" i="47"/>
  <c r="O83" i="47"/>
  <c r="AF93" i="47"/>
  <c r="AA93" i="47"/>
  <c r="Z93" i="47"/>
  <c r="V93" i="47"/>
  <c r="U93" i="47"/>
  <c r="AH93" i="47"/>
  <c r="AD93" i="47"/>
  <c r="AC93" i="47"/>
  <c r="AB93" i="47"/>
  <c r="Y93" i="47"/>
  <c r="W93" i="47"/>
  <c r="AG93" i="47"/>
  <c r="AE93" i="47"/>
  <c r="X93" i="47"/>
  <c r="R93" i="47"/>
  <c r="AE104" i="47"/>
  <c r="K104" i="47"/>
  <c r="W104" i="47"/>
  <c r="V104" i="47"/>
  <c r="R104" i="47"/>
  <c r="Q104" i="47"/>
  <c r="C104" i="47"/>
  <c r="P104" i="47"/>
  <c r="AF104" i="47"/>
  <c r="J104" i="47"/>
  <c r="AH104" i="47"/>
  <c r="E104" i="47"/>
  <c r="AG104" i="47"/>
  <c r="D104" i="47"/>
  <c r="AB104" i="47"/>
  <c r="U104" i="47"/>
  <c r="T104" i="47"/>
  <c r="S104" i="47"/>
  <c r="N104" i="47"/>
  <c r="H104" i="47"/>
  <c r="Y104" i="47"/>
  <c r="X104" i="47"/>
  <c r="L104" i="47"/>
  <c r="I104" i="47"/>
  <c r="AD104" i="47"/>
  <c r="AC104" i="47"/>
  <c r="O104" i="47"/>
  <c r="M104" i="47"/>
  <c r="G104" i="47"/>
  <c r="F104" i="47"/>
  <c r="AA104" i="47"/>
  <c r="Z104" i="47"/>
  <c r="J93" i="47"/>
  <c r="K92" i="47"/>
  <c r="L88" i="47"/>
  <c r="I78" i="47"/>
  <c r="O87" i="47"/>
  <c r="H82" i="47"/>
  <c r="J83" i="47"/>
  <c r="AF79" i="47"/>
  <c r="AE79" i="47"/>
  <c r="AA79" i="47"/>
  <c r="V79" i="47"/>
  <c r="U79" i="47"/>
  <c r="D79" i="47"/>
  <c r="AD79" i="47"/>
  <c r="AC79" i="47"/>
  <c r="AB79" i="47"/>
  <c r="Z79" i="47"/>
  <c r="Y79" i="47"/>
  <c r="X79" i="47"/>
  <c r="AH79" i="47"/>
  <c r="AG79" i="47"/>
  <c r="W79" i="47"/>
  <c r="V103" i="47"/>
  <c r="AG103" i="47"/>
  <c r="L103" i="47"/>
  <c r="AF103" i="47"/>
  <c r="K103" i="47"/>
  <c r="AB103" i="47"/>
  <c r="G103" i="47"/>
  <c r="C103" i="47"/>
  <c r="AA103" i="47"/>
  <c r="F103" i="47"/>
  <c r="Z103" i="47"/>
  <c r="E103" i="47"/>
  <c r="T103" i="47"/>
  <c r="D103" i="47"/>
  <c r="AD103" i="47"/>
  <c r="Q103" i="47"/>
  <c r="P103" i="47"/>
  <c r="O103" i="47"/>
  <c r="M103" i="47"/>
  <c r="H103" i="47"/>
  <c r="AE103" i="47"/>
  <c r="AC103" i="47"/>
  <c r="Y103" i="47"/>
  <c r="X103" i="47"/>
  <c r="W103" i="47"/>
  <c r="U103" i="47"/>
  <c r="AH103" i="47"/>
  <c r="S103" i="47"/>
  <c r="R103" i="47"/>
  <c r="N103" i="47"/>
  <c r="J103" i="47"/>
  <c r="I103" i="47"/>
  <c r="L83" i="47"/>
  <c r="F88" i="47"/>
  <c r="AC106" i="47"/>
  <c r="I106" i="47"/>
  <c r="X106" i="47"/>
  <c r="W106" i="47"/>
  <c r="S106" i="47"/>
  <c r="R106" i="47"/>
  <c r="Q106" i="47"/>
  <c r="AG106" i="47"/>
  <c r="L106" i="47"/>
  <c r="AF106" i="47"/>
  <c r="D106" i="47"/>
  <c r="AE106" i="47"/>
  <c r="AA106" i="47"/>
  <c r="AD106" i="47"/>
  <c r="AB106" i="47"/>
  <c r="Z106" i="47"/>
  <c r="V106" i="47"/>
  <c r="C106" i="47"/>
  <c r="O106" i="47"/>
  <c r="H106" i="47"/>
  <c r="G106" i="47"/>
  <c r="AH106" i="47"/>
  <c r="Y106" i="47"/>
  <c r="U106" i="47"/>
  <c r="T106" i="47"/>
  <c r="F106" i="47"/>
  <c r="E106" i="47"/>
  <c r="P106" i="47"/>
  <c r="N106" i="47"/>
  <c r="M106" i="47"/>
  <c r="J106" i="47"/>
  <c r="K106" i="47"/>
  <c r="S96" i="47"/>
  <c r="R96" i="47"/>
  <c r="Q96" i="47"/>
  <c r="AH96" i="47"/>
  <c r="M96" i="47"/>
  <c r="AG96" i="47"/>
  <c r="L96" i="47"/>
  <c r="AF96" i="47"/>
  <c r="K96" i="47"/>
  <c r="Z96" i="47"/>
  <c r="Y96" i="47"/>
  <c r="V96" i="47"/>
  <c r="D96" i="47"/>
  <c r="AE96" i="47"/>
  <c r="AC96" i="47"/>
  <c r="W96" i="47"/>
  <c r="F96" i="47"/>
  <c r="E96" i="47"/>
  <c r="AA96" i="47"/>
  <c r="X96" i="47"/>
  <c r="C96" i="47"/>
  <c r="U96" i="47"/>
  <c r="T96" i="47"/>
  <c r="P96" i="47"/>
  <c r="AD96" i="47"/>
  <c r="AB96" i="47"/>
  <c r="J96" i="47"/>
  <c r="N96" i="47"/>
  <c r="I96" i="47"/>
  <c r="H96" i="47"/>
  <c r="G96" i="47"/>
  <c r="H81" i="47"/>
  <c r="I86" i="47"/>
  <c r="N78" i="47"/>
  <c r="Q90" i="47"/>
  <c r="AB85" i="47"/>
  <c r="AF85" i="47"/>
  <c r="AE85" i="47"/>
  <c r="AD85" i="47"/>
  <c r="AC85" i="47"/>
  <c r="AA85" i="47"/>
  <c r="AH85" i="47"/>
  <c r="AG85" i="47"/>
  <c r="Y85" i="47"/>
  <c r="Z85" i="47"/>
  <c r="X85" i="47"/>
  <c r="W85" i="47"/>
  <c r="V85" i="47"/>
  <c r="U85" i="47"/>
  <c r="T85" i="47"/>
  <c r="S85" i="47"/>
  <c r="J85" i="47"/>
  <c r="AB97" i="47"/>
  <c r="H97" i="47"/>
  <c r="AD97" i="47"/>
  <c r="I97" i="47"/>
  <c r="AC97" i="47"/>
  <c r="G97" i="47"/>
  <c r="X97" i="47"/>
  <c r="W97" i="47"/>
  <c r="V97" i="47"/>
  <c r="U97" i="47"/>
  <c r="T97" i="47"/>
  <c r="Q97" i="47"/>
  <c r="E97" i="47"/>
  <c r="D97" i="47"/>
  <c r="AG97" i="47"/>
  <c r="Z97" i="47"/>
  <c r="O97" i="47"/>
  <c r="K97" i="47"/>
  <c r="J97" i="47"/>
  <c r="C97" i="47"/>
  <c r="AH97" i="47"/>
  <c r="AF97" i="47"/>
  <c r="AE97" i="47"/>
  <c r="M97" i="47"/>
  <c r="L97" i="47"/>
  <c r="F97" i="47"/>
  <c r="AA97" i="47"/>
  <c r="Y97" i="47"/>
  <c r="S97" i="47"/>
  <c r="R97" i="47"/>
  <c r="P97" i="47"/>
  <c r="AH78" i="47"/>
  <c r="AG78" i="47"/>
  <c r="AC78" i="47"/>
  <c r="AB78" i="47"/>
  <c r="T78" i="47"/>
  <c r="AA78" i="47"/>
  <c r="Z78" i="47"/>
  <c r="W78" i="47"/>
  <c r="V78" i="47"/>
  <c r="AF78" i="47"/>
  <c r="Y78" i="47"/>
  <c r="X78" i="47"/>
  <c r="U78" i="47"/>
  <c r="C78" i="47"/>
  <c r="AD78" i="47"/>
  <c r="AE78" i="47"/>
  <c r="Q98" i="47"/>
  <c r="T98" i="47"/>
  <c r="C98" i="47"/>
  <c r="S98" i="47"/>
  <c r="N98" i="47"/>
  <c r="AH98" i="47"/>
  <c r="M98" i="47"/>
  <c r="AG98" i="47"/>
  <c r="L98" i="47"/>
  <c r="V98" i="47"/>
  <c r="U98" i="47"/>
  <c r="O98" i="47"/>
  <c r="F98" i="47"/>
  <c r="E98" i="47"/>
  <c r="D98" i="47"/>
  <c r="AE98" i="47"/>
  <c r="AA98" i="47"/>
  <c r="AB98" i="47"/>
  <c r="Z98" i="47"/>
  <c r="W98" i="47"/>
  <c r="R98" i="47"/>
  <c r="I98" i="47"/>
  <c r="H98" i="47"/>
  <c r="G98" i="47"/>
  <c r="AF98" i="47"/>
  <c r="Y98" i="47"/>
  <c r="X98" i="47"/>
  <c r="K98" i="47"/>
  <c r="P98" i="47"/>
  <c r="J98" i="47"/>
  <c r="AC98" i="47"/>
  <c r="AD98" i="47"/>
  <c r="Q86" i="47"/>
  <c r="Q91" i="47"/>
  <c r="R90" i="47"/>
  <c r="H87" i="47"/>
  <c r="T80" i="47"/>
  <c r="AH80" i="47"/>
  <c r="AD80" i="47"/>
  <c r="AC80" i="47"/>
  <c r="AB80" i="47"/>
  <c r="Z80" i="47"/>
  <c r="AA80" i="47"/>
  <c r="Y80" i="47"/>
  <c r="V80" i="47"/>
  <c r="U80" i="47"/>
  <c r="X80" i="47"/>
  <c r="E80" i="47"/>
  <c r="W80" i="47"/>
  <c r="AG80" i="47"/>
  <c r="AF80" i="47"/>
  <c r="AE80" i="47"/>
  <c r="L92" i="47"/>
  <c r="R84" i="47"/>
  <c r="N93" i="47"/>
  <c r="M79" i="47"/>
  <c r="M84" i="47"/>
  <c r="AC83" i="47"/>
  <c r="AB83" i="47"/>
  <c r="X83" i="47"/>
  <c r="W83" i="47"/>
  <c r="V83" i="47"/>
  <c r="AH83" i="47"/>
  <c r="AG83" i="47"/>
  <c r="AE83" i="47"/>
  <c r="AD83" i="47"/>
  <c r="AA83" i="47"/>
  <c r="Z83" i="47"/>
  <c r="Y83" i="47"/>
  <c r="U83" i="47"/>
  <c r="T83" i="47"/>
  <c r="AF83" i="47"/>
  <c r="H83" i="47"/>
  <c r="N92" i="47"/>
  <c r="I93" i="47"/>
  <c r="D81" i="47"/>
  <c r="G93" i="47"/>
  <c r="L84" i="47"/>
  <c r="Z82" i="47"/>
  <c r="Y82" i="47"/>
  <c r="U82" i="47"/>
  <c r="AB82" i="47"/>
  <c r="AA82" i="47"/>
  <c r="W82" i="47"/>
  <c r="V82" i="47"/>
  <c r="AE82" i="47"/>
  <c r="AD82" i="47"/>
  <c r="G82" i="47"/>
  <c r="AH82" i="47"/>
  <c r="AC82" i="47"/>
  <c r="X82" i="47"/>
  <c r="AF82" i="47"/>
  <c r="AG82" i="47"/>
  <c r="P92" i="47"/>
  <c r="G81" i="47"/>
  <c r="O82" i="47"/>
  <c r="M87" i="47"/>
  <c r="D91" i="47"/>
  <c r="L81" i="47"/>
  <c r="D82" i="47"/>
  <c r="AG102" i="47"/>
  <c r="M102" i="47"/>
  <c r="V102" i="47"/>
  <c r="U102" i="47"/>
  <c r="Q102" i="47"/>
  <c r="P102" i="47"/>
  <c r="O102" i="47"/>
  <c r="H102" i="47"/>
  <c r="AH102" i="47"/>
  <c r="G102" i="47"/>
  <c r="AD102" i="47"/>
  <c r="D102" i="47"/>
  <c r="N102" i="47"/>
  <c r="L102" i="47"/>
  <c r="K102" i="47"/>
  <c r="C102" i="47"/>
  <c r="I102" i="47"/>
  <c r="AF102" i="47"/>
  <c r="AE102" i="47"/>
  <c r="AA102" i="47"/>
  <c r="Z102" i="47"/>
  <c r="T102" i="47"/>
  <c r="S102" i="47"/>
  <c r="R102" i="47"/>
  <c r="J102" i="47"/>
  <c r="F102" i="47"/>
  <c r="E102" i="47"/>
  <c r="AC102" i="47"/>
  <c r="X102" i="47"/>
  <c r="AB102" i="47"/>
  <c r="Y102" i="47"/>
  <c r="W102" i="47"/>
  <c r="O92" i="47"/>
  <c r="D86" i="47"/>
  <c r="G79" i="47"/>
  <c r="C89" i="47"/>
  <c r="R107" i="47"/>
  <c r="N107" i="47"/>
  <c r="AH107" i="47"/>
  <c r="M107" i="47"/>
  <c r="AD107" i="47"/>
  <c r="I107" i="47"/>
  <c r="AC107" i="47"/>
  <c r="H107" i="47"/>
  <c r="AB107" i="47"/>
  <c r="G107" i="47"/>
  <c r="W107" i="47"/>
  <c r="AF107" i="47"/>
  <c r="AE107" i="47"/>
  <c r="Y107" i="47"/>
  <c r="AG107" i="47"/>
  <c r="Z107" i="47"/>
  <c r="T107" i="47"/>
  <c r="U107" i="47"/>
  <c r="S107" i="47"/>
  <c r="O107" i="47"/>
  <c r="L107" i="47"/>
  <c r="E107" i="47"/>
  <c r="D107" i="47"/>
  <c r="C107" i="47"/>
  <c r="AA107" i="47"/>
  <c r="Q107" i="47"/>
  <c r="J107" i="47"/>
  <c r="P107" i="47"/>
  <c r="K107" i="47"/>
  <c r="F107" i="47"/>
  <c r="V107" i="47"/>
  <c r="X107" i="47"/>
  <c r="C84" i="47"/>
  <c r="K84" i="47"/>
  <c r="F83" i="47"/>
  <c r="N80" i="47"/>
  <c r="P90" i="47"/>
  <c r="R85" i="47"/>
  <c r="U94" i="47"/>
  <c r="P94" i="47"/>
  <c r="AG94" i="47"/>
  <c r="AF94" i="47"/>
  <c r="K94" i="47"/>
  <c r="AE94" i="47"/>
  <c r="J94" i="47"/>
  <c r="AD94" i="47"/>
  <c r="AC94" i="47"/>
  <c r="Z94" i="47"/>
  <c r="AH94" i="47"/>
  <c r="AB94" i="47"/>
  <c r="AA94" i="47"/>
  <c r="X94" i="47"/>
  <c r="S94" i="47"/>
  <c r="M94" i="47"/>
  <c r="I94" i="47"/>
  <c r="N94" i="47"/>
  <c r="F94" i="47"/>
  <c r="Y94" i="47"/>
  <c r="V94" i="47"/>
  <c r="W94" i="47"/>
  <c r="C92" i="47"/>
  <c r="N85" i="47"/>
  <c r="P80" i="47"/>
  <c r="C91" i="47"/>
  <c r="AS27" i="46"/>
  <c r="AM16" i="46"/>
  <c r="AQ16" i="46"/>
  <c r="BV18" i="46"/>
  <c r="G88" i="47"/>
  <c r="E84" i="47"/>
  <c r="D90" i="47"/>
  <c r="I80" i="47"/>
  <c r="B116" i="47"/>
  <c r="B117" i="47"/>
  <c r="B127" i="47"/>
  <c r="B133" i="47"/>
  <c r="B123" i="47"/>
  <c r="B130" i="47"/>
  <c r="B118" i="47"/>
  <c r="B135" i="47"/>
  <c r="B126" i="47"/>
  <c r="B121" i="47"/>
  <c r="B131" i="47"/>
  <c r="B134" i="47"/>
  <c r="B141" i="47"/>
  <c r="B143" i="47"/>
  <c r="B139" i="47"/>
  <c r="B140" i="47"/>
  <c r="B132" i="47"/>
  <c r="B137" i="47"/>
  <c r="B129" i="47"/>
  <c r="B120" i="47"/>
  <c r="B128" i="47"/>
  <c r="B114" i="47"/>
  <c r="BV12" i="46"/>
  <c r="B115" i="47"/>
  <c r="B144" i="47"/>
  <c r="B124" i="47"/>
  <c r="B113" i="47"/>
  <c r="B125" i="47"/>
  <c r="BV15" i="46"/>
  <c r="B142" i="47"/>
  <c r="B138" i="47"/>
  <c r="AM15" i="46"/>
  <c r="B136" i="47"/>
  <c r="B119" i="47"/>
  <c r="B122" i="47"/>
  <c r="AY21" i="44"/>
  <c r="AG35" i="46"/>
  <c r="AR38" i="44"/>
  <c r="AR29" i="44"/>
  <c r="AY28" i="44"/>
  <c r="EA27" i="44"/>
  <c r="BR8" i="44"/>
  <c r="AU34" i="46"/>
  <c r="EA28" i="46"/>
  <c r="BQ26" i="46"/>
  <c r="AX39" i="46"/>
  <c r="BR26" i="46"/>
  <c r="BM15" i="46"/>
  <c r="AZ8" i="46"/>
  <c r="BV37" i="46"/>
  <c r="EA23" i="44"/>
  <c r="BV22" i="46"/>
  <c r="AY32" i="44"/>
  <c r="T34" i="44"/>
  <c r="EA37" i="46"/>
  <c r="BV29" i="46"/>
  <c r="AG38" i="46"/>
  <c r="AX30" i="46"/>
  <c r="AZ15" i="44"/>
  <c r="BI39" i="46"/>
  <c r="AX29" i="46"/>
  <c r="BV11" i="46"/>
  <c r="BD30" i="46"/>
  <c r="BV38" i="46"/>
  <c r="BV26" i="46"/>
  <c r="AZ33" i="46"/>
  <c r="AT35" i="46"/>
  <c r="DX33" i="46"/>
  <c r="BV36" i="46"/>
  <c r="AR14" i="46"/>
  <c r="AG34" i="44"/>
  <c r="N38" i="44"/>
  <c r="AG35" i="44"/>
  <c r="AS33" i="44"/>
  <c r="AR23" i="44"/>
  <c r="BD23" i="44"/>
  <c r="AX36" i="44"/>
  <c r="Q27" i="44"/>
  <c r="T30" i="44"/>
  <c r="AV32" i="44"/>
  <c r="DX36" i="44"/>
  <c r="AX35" i="44"/>
  <c r="ED38" i="44"/>
  <c r="ED29" i="44"/>
  <c r="BV35" i="44"/>
  <c r="BV31" i="44"/>
  <c r="AG36" i="44"/>
  <c r="AK30" i="44"/>
  <c r="BV26" i="44"/>
  <c r="AR26" i="44"/>
  <c r="BV9" i="44"/>
  <c r="BQ36" i="44"/>
  <c r="BV11" i="44"/>
  <c r="Q28" i="44"/>
  <c r="AS30" i="44"/>
  <c r="DX27" i="44"/>
  <c r="BM31" i="44"/>
  <c r="AX28" i="44"/>
  <c r="BV28" i="44"/>
  <c r="BV10" i="44"/>
  <c r="BQ12" i="44"/>
  <c r="BV24" i="44"/>
  <c r="BD28" i="44"/>
  <c r="BV29" i="44"/>
  <c r="BQ27" i="44"/>
  <c r="AG31" i="44"/>
  <c r="AP33" i="44"/>
  <c r="AT34" i="44"/>
  <c r="BV27" i="44"/>
  <c r="BV19" i="44"/>
  <c r="AZ32" i="44"/>
  <c r="BV13" i="44"/>
  <c r="BV23" i="44"/>
  <c r="Q32" i="44"/>
  <c r="BV16" i="46"/>
  <c r="BV10" i="46"/>
  <c r="BV9" i="46"/>
  <c r="BV19" i="46"/>
  <c r="BV20" i="46"/>
  <c r="BV13" i="46"/>
  <c r="AZ16" i="46"/>
  <c r="AS15" i="46"/>
  <c r="BV23" i="46"/>
  <c r="BV14" i="46"/>
  <c r="BV17" i="46"/>
  <c r="BV21" i="46"/>
  <c r="AT15" i="46"/>
  <c r="BV8" i="46"/>
  <c r="EG32" i="44"/>
  <c r="AV36" i="46"/>
  <c r="AG32" i="44"/>
  <c r="BV16" i="44"/>
  <c r="BV8" i="44"/>
  <c r="AM37" i="46"/>
  <c r="BV34" i="44"/>
  <c r="T26" i="44"/>
  <c r="BV21" i="44"/>
  <c r="BH38" i="46"/>
  <c r="BV17" i="44"/>
  <c r="BV37" i="44"/>
  <c r="BV32" i="46"/>
  <c r="BV33" i="46"/>
  <c r="BR30" i="44"/>
  <c r="AK35" i="44"/>
  <c r="BV39" i="46"/>
  <c r="BV22" i="44"/>
  <c r="BV35" i="46"/>
  <c r="EG27" i="44"/>
  <c r="AZ31" i="44"/>
  <c r="EA33" i="44"/>
  <c r="BS35" i="46"/>
  <c r="BQ30" i="44"/>
  <c r="Q29" i="46"/>
  <c r="BR32" i="44"/>
  <c r="BI38" i="44"/>
  <c r="AT28" i="44"/>
  <c r="ED30" i="44"/>
  <c r="BM32" i="44"/>
  <c r="BV24" i="46"/>
  <c r="BV14" i="44"/>
  <c r="ED37" i="44"/>
  <c r="BV12" i="44"/>
  <c r="AP30" i="44"/>
  <c r="BM39" i="46"/>
  <c r="AQ35" i="44"/>
  <c r="K35" i="44"/>
  <c r="BI26" i="44"/>
  <c r="T38" i="44"/>
  <c r="AT32" i="44"/>
  <c r="BV36" i="44"/>
  <c r="BV32" i="44"/>
  <c r="BV25" i="44"/>
  <c r="T33" i="44"/>
  <c r="AG33" i="44"/>
  <c r="AX33" i="44"/>
  <c r="AJ33" i="44"/>
  <c r="AQ36" i="46"/>
  <c r="BA27" i="44"/>
  <c r="BV25" i="46"/>
  <c r="BQ28" i="44"/>
  <c r="BM26" i="46"/>
  <c r="BV27" i="46"/>
  <c r="AK31" i="46"/>
  <c r="BV20" i="44"/>
  <c r="AR35" i="44"/>
  <c r="AM30" i="44"/>
  <c r="BV30" i="44"/>
  <c r="BV15" i="44"/>
  <c r="BV39" i="44"/>
  <c r="BV31" i="46"/>
  <c r="AX31" i="46"/>
  <c r="BV18" i="44"/>
  <c r="K32" i="46"/>
  <c r="BU33" i="44"/>
  <c r="BV28" i="46"/>
  <c r="BV34" i="46"/>
  <c r="ED36" i="44"/>
  <c r="DX31" i="44"/>
  <c r="Q38" i="44"/>
  <c r="BV38" i="44"/>
  <c r="AV38" i="44"/>
  <c r="BR38" i="44"/>
  <c r="BV33" i="44"/>
  <c r="AX30" i="44"/>
  <c r="BV30" i="46"/>
  <c r="BQ16" i="46"/>
  <c r="AG16" i="46"/>
  <c r="BA16" i="46"/>
  <c r="BD32" i="46"/>
  <c r="BR35" i="46"/>
  <c r="AK32" i="44"/>
  <c r="AM38" i="46"/>
  <c r="K31" i="44"/>
  <c r="AM36" i="46"/>
  <c r="EG32" i="46"/>
  <c r="BS26" i="44"/>
  <c r="Q39" i="44"/>
  <c r="BS34" i="44"/>
  <c r="AQ32" i="46"/>
  <c r="BH38" i="44"/>
  <c r="BP28" i="44"/>
  <c r="BF30" i="44"/>
  <c r="BM38" i="46"/>
  <c r="AZ27" i="46"/>
  <c r="AO30" i="44"/>
  <c r="ED35" i="44"/>
  <c r="BU34" i="44"/>
  <c r="AV26" i="44"/>
  <c r="BQ38" i="46"/>
  <c r="EA26" i="44"/>
  <c r="BS38" i="44"/>
  <c r="AX38" i="44"/>
  <c r="BM29" i="44"/>
  <c r="BS38" i="46"/>
  <c r="EA36" i="44"/>
  <c r="BR36" i="44"/>
  <c r="AQ28" i="44"/>
  <c r="BL26" i="44"/>
  <c r="BU39" i="46"/>
  <c r="BG38" i="44"/>
  <c r="DX34" i="44"/>
  <c r="BS35" i="44"/>
  <c r="AK36" i="44"/>
  <c r="BF39" i="44"/>
  <c r="BQ26" i="44"/>
  <c r="BM36" i="44"/>
  <c r="AK36" i="46"/>
  <c r="BI27" i="44"/>
  <c r="AV31" i="44"/>
  <c r="AR32" i="46"/>
  <c r="AK39" i="44"/>
  <c r="BI30" i="46"/>
  <c r="EA30" i="46"/>
  <c r="AV34" i="44"/>
  <c r="BM27" i="46"/>
  <c r="AR27" i="46"/>
  <c r="BS27" i="46"/>
  <c r="BB36" i="44"/>
  <c r="BS30" i="44"/>
  <c r="AT38" i="46"/>
  <c r="Q38" i="46"/>
  <c r="BF36" i="44"/>
  <c r="BI35" i="44"/>
  <c r="BR26" i="44"/>
  <c r="AM26" i="44"/>
  <c r="AX26" i="44"/>
  <c r="AM39" i="46"/>
  <c r="BL28" i="44"/>
  <c r="AL29" i="44"/>
  <c r="BM35" i="46"/>
  <c r="BQ34" i="46"/>
  <c r="BR38" i="46"/>
  <c r="BQ30" i="46"/>
  <c r="N12" i="44"/>
  <c r="EG36" i="44"/>
  <c r="AV35" i="44"/>
  <c r="N26" i="44"/>
  <c r="AZ33" i="44"/>
  <c r="T29" i="44"/>
  <c r="EG37" i="46"/>
  <c r="AK38" i="46"/>
  <c r="BB38" i="46"/>
  <c r="N39" i="44"/>
  <c r="BB37" i="44"/>
  <c r="AW36" i="44"/>
  <c r="BG35" i="44"/>
  <c r="AX33" i="46"/>
  <c r="BS36" i="44"/>
  <c r="BI36" i="44"/>
  <c r="N34" i="44"/>
  <c r="ED26" i="46"/>
  <c r="BM28" i="44"/>
  <c r="AZ35" i="46"/>
  <c r="AG37" i="46"/>
  <c r="AV30" i="46"/>
  <c r="AR36" i="44"/>
  <c r="BI16" i="46"/>
  <c r="N16" i="46"/>
  <c r="AU38" i="46"/>
  <c r="AW26" i="46"/>
  <c r="BI32" i="46"/>
  <c r="AR39" i="46"/>
  <c r="AW29" i="46"/>
  <c r="AU37" i="46"/>
  <c r="AK30" i="46"/>
  <c r="BS30" i="46"/>
  <c r="AJ18" i="46"/>
  <c r="DX36" i="46"/>
  <c r="AX36" i="46"/>
  <c r="AT32" i="46"/>
  <c r="BG28" i="46"/>
  <c r="AV34" i="46"/>
  <c r="BL30" i="46"/>
  <c r="AP30" i="46"/>
  <c r="AT30" i="46"/>
  <c r="EG29" i="46"/>
  <c r="BI31" i="46"/>
  <c r="BG31" i="46"/>
  <c r="EA31" i="46"/>
  <c r="BR32" i="46"/>
  <c r="ED33" i="46"/>
  <c r="DX30" i="46"/>
  <c r="AV29" i="46"/>
  <c r="N32" i="46"/>
  <c r="BS32" i="46"/>
  <c r="AV28" i="46"/>
  <c r="AM27" i="46"/>
  <c r="BG39" i="46"/>
  <c r="AG32" i="46"/>
  <c r="BR28" i="46"/>
  <c r="BI35" i="46"/>
  <c r="Q34" i="46"/>
  <c r="T27" i="46"/>
  <c r="BH33" i="46"/>
  <c r="AT16" i="46"/>
  <c r="BF30" i="46"/>
  <c r="AM34" i="46"/>
  <c r="AR34" i="46"/>
  <c r="BR27" i="46"/>
  <c r="EG33" i="46"/>
  <c r="BF31" i="46"/>
  <c r="AV26" i="46"/>
  <c r="AX32" i="46"/>
  <c r="BR39" i="46"/>
  <c r="AZ38" i="46"/>
  <c r="BP27" i="46"/>
  <c r="AX27" i="46"/>
  <c r="AY33" i="46"/>
  <c r="T30" i="46"/>
  <c r="BR36" i="46"/>
  <c r="BQ27" i="46"/>
  <c r="BG38" i="46"/>
  <c r="AZ26" i="46"/>
  <c r="BN26" i="46"/>
  <c r="K39" i="46"/>
  <c r="DX38" i="46"/>
  <c r="AL16" i="46"/>
  <c r="AR16" i="46"/>
  <c r="Q16" i="46"/>
  <c r="EG11" i="46"/>
  <c r="BA34" i="46"/>
  <c r="AS16" i="46"/>
  <c r="AJ32" i="46"/>
  <c r="AS26" i="46"/>
  <c r="AW33" i="46"/>
  <c r="BA26" i="46"/>
  <c r="AY31" i="46"/>
  <c r="AS29" i="46"/>
  <c r="AS31" i="46"/>
  <c r="AQ31" i="46"/>
  <c r="EA26" i="46"/>
  <c r="BD29" i="44"/>
  <c r="BQ31" i="44"/>
  <c r="EA36" i="46"/>
  <c r="AY31" i="44"/>
  <c r="BM27" i="44"/>
  <c r="BL32" i="46"/>
  <c r="BU26" i="44"/>
  <c r="EA38" i="44"/>
  <c r="AT39" i="46"/>
  <c r="AR28" i="44"/>
  <c r="EA29" i="44"/>
  <c r="BK35" i="46"/>
  <c r="DX34" i="46"/>
  <c r="BU34" i="46"/>
  <c r="BH30" i="44"/>
  <c r="BA30" i="44"/>
  <c r="DX32" i="44"/>
  <c r="BP38" i="46"/>
  <c r="BB33" i="46"/>
  <c r="N37" i="44"/>
  <c r="EG26" i="46"/>
  <c r="BR31" i="44"/>
  <c r="BO32" i="46"/>
  <c r="BH26" i="44"/>
  <c r="BR33" i="44"/>
  <c r="BK29" i="44"/>
  <c r="BG35" i="46"/>
  <c r="BS34" i="46"/>
  <c r="BH34" i="46"/>
  <c r="EG34" i="46"/>
  <c r="AR37" i="46"/>
  <c r="K27" i="46"/>
  <c r="K30" i="46"/>
  <c r="BR37" i="46"/>
  <c r="AX34" i="44"/>
  <c r="BM35" i="44"/>
  <c r="AZ35" i="44"/>
  <c r="ED31" i="44"/>
  <c r="Q28" i="46"/>
  <c r="K29" i="44"/>
  <c r="BU29" i="44"/>
  <c r="AQ34" i="46"/>
  <c r="BO30" i="44"/>
  <c r="AV39" i="44"/>
  <c r="EA35" i="44"/>
  <c r="Q31" i="44"/>
  <c r="BP26" i="46"/>
  <c r="BO29" i="44"/>
  <c r="AX35" i="46"/>
  <c r="AJ34" i="46"/>
  <c r="BH29" i="46"/>
  <c r="BS32" i="44"/>
  <c r="N37" i="46"/>
  <c r="BA38" i="46"/>
  <c r="BP31" i="44"/>
  <c r="BR31" i="46"/>
  <c r="BH36" i="46"/>
  <c r="BL36" i="46"/>
  <c r="Q35" i="44"/>
  <c r="AG27" i="44"/>
  <c r="AP32" i="46"/>
  <c r="DX26" i="44"/>
  <c r="N28" i="46"/>
  <c r="BD33" i="44"/>
  <c r="AO39" i="46"/>
  <c r="AS39" i="46"/>
  <c r="DX39" i="46"/>
  <c r="DX28" i="44"/>
  <c r="BI29" i="44"/>
  <c r="T29" i="46"/>
  <c r="T32" i="44"/>
  <c r="T37" i="46"/>
  <c r="DX39" i="44"/>
  <c r="AT39" i="44"/>
  <c r="BP30" i="46"/>
  <c r="BL37" i="44"/>
  <c r="EG37" i="44"/>
  <c r="AO30" i="46"/>
  <c r="BK33" i="44"/>
  <c r="BB31" i="46"/>
  <c r="T31" i="46"/>
  <c r="T35" i="44"/>
  <c r="N27" i="44"/>
  <c r="AT31" i="44"/>
  <c r="BA33" i="44"/>
  <c r="AV35" i="46"/>
  <c r="K34" i="46"/>
  <c r="AR29" i="46"/>
  <c r="K37" i="46"/>
  <c r="BL39" i="44"/>
  <c r="BL33" i="46"/>
  <c r="BD37" i="44"/>
  <c r="N30" i="46"/>
  <c r="AR27" i="44"/>
  <c r="BU29" i="46"/>
  <c r="Q36" i="44"/>
  <c r="DX26" i="46"/>
  <c r="BM28" i="46"/>
  <c r="ED28" i="46"/>
  <c r="BR34" i="46"/>
  <c r="EA34" i="46"/>
  <c r="AR30" i="44"/>
  <c r="AZ39" i="44"/>
  <c r="AV33" i="46"/>
  <c r="BR30" i="46"/>
  <c r="T37" i="44"/>
  <c r="K39" i="44"/>
  <c r="Q37" i="46"/>
  <c r="BJ38" i="46"/>
  <c r="AZ32" i="46"/>
  <c r="AW31" i="46"/>
  <c r="BD36" i="46"/>
  <c r="AK27" i="44"/>
  <c r="BD27" i="44"/>
  <c r="BD26" i="46"/>
  <c r="ED32" i="46"/>
  <c r="BL38" i="44"/>
  <c r="AL33" i="44"/>
  <c r="T39" i="46"/>
  <c r="AW28" i="44"/>
  <c r="BN28" i="44"/>
  <c r="ED35" i="46"/>
  <c r="BL30" i="44"/>
  <c r="BF37" i="46"/>
  <c r="BI38" i="46"/>
  <c r="AM33" i="46"/>
  <c r="Q30" i="46"/>
  <c r="EA37" i="44"/>
  <c r="BP35" i="44"/>
  <c r="BA32" i="44"/>
  <c r="BD39" i="44"/>
  <c r="AT30" i="44"/>
  <c r="BF32" i="46"/>
  <c r="AP37" i="46"/>
  <c r="AM31" i="46"/>
  <c r="EG34" i="44"/>
  <c r="BI34" i="44"/>
  <c r="Q34" i="44"/>
  <c r="K36" i="46"/>
  <c r="AX27" i="44"/>
  <c r="BD31" i="44"/>
  <c r="BU26" i="46"/>
  <c r="BQ32" i="46"/>
  <c r="AY33" i="44"/>
  <c r="BS28" i="44"/>
  <c r="BA28" i="44"/>
  <c r="Q30" i="44"/>
  <c r="AM29" i="46"/>
  <c r="BM39" i="44"/>
  <c r="BR39" i="44"/>
  <c r="Q33" i="46"/>
  <c r="BS33" i="46"/>
  <c r="BM33" i="46"/>
  <c r="BS37" i="44"/>
  <c r="T35" i="46"/>
  <c r="EA39" i="46"/>
  <c r="BI37" i="46"/>
  <c r="AZ28" i="44"/>
  <c r="BI39" i="44"/>
  <c r="K30" i="44"/>
  <c r="ED36" i="46"/>
  <c r="AO36" i="46"/>
  <c r="BK26" i="46"/>
  <c r="BB32" i="46"/>
  <c r="AG28" i="46"/>
  <c r="AW33" i="44"/>
  <c r="BB28" i="44"/>
  <c r="AG29" i="44"/>
  <c r="AK34" i="46"/>
  <c r="EA39" i="44"/>
  <c r="AM39" i="44"/>
  <c r="BU37" i="44"/>
  <c r="BU31" i="44"/>
  <c r="BS36" i="46"/>
  <c r="Q36" i="46"/>
  <c r="BL31" i="44"/>
  <c r="AY32" i="46"/>
  <c r="AO28" i="46"/>
  <c r="AU33" i="44"/>
  <c r="BI33" i="44"/>
  <c r="BL39" i="46"/>
  <c r="BB39" i="46"/>
  <c r="BQ29" i="44"/>
  <c r="AL27" i="46"/>
  <c r="AG33" i="46"/>
  <c r="BU33" i="46"/>
  <c r="EG30" i="46"/>
  <c r="BM34" i="46"/>
  <c r="AO29" i="46"/>
  <c r="EA34" i="44"/>
  <c r="BI36" i="46"/>
  <c r="BM36" i="46"/>
  <c r="AL26" i="44"/>
  <c r="AY28" i="46"/>
  <c r="AV33" i="44"/>
  <c r="AY34" i="46"/>
  <c r="DX30" i="44"/>
  <c r="K29" i="46"/>
  <c r="BS39" i="44"/>
  <c r="BQ33" i="46"/>
  <c r="AL30" i="46"/>
  <c r="AL39" i="46"/>
  <c r="AP39" i="46"/>
  <c r="AQ30" i="46"/>
  <c r="AR30" i="46"/>
  <c r="AL26" i="46"/>
  <c r="BC39" i="46"/>
  <c r="AU30" i="46"/>
  <c r="AW30" i="46"/>
  <c r="BA30" i="46"/>
  <c r="AJ30" i="46"/>
  <c r="AY30" i="46"/>
  <c r="AS30" i="46"/>
  <c r="BQ37" i="44"/>
  <c r="AR28" i="46"/>
  <c r="AQ28" i="46"/>
  <c r="AZ37" i="46"/>
  <c r="AY37" i="46"/>
  <c r="BD28" i="46"/>
  <c r="AJ36" i="46"/>
  <c r="AL27" i="44"/>
  <c r="BJ28" i="46"/>
  <c r="AT29" i="44"/>
  <c r="BO37" i="46"/>
  <c r="BC37" i="44"/>
  <c r="AP38" i="46"/>
  <c r="AJ38" i="46"/>
  <c r="AY29" i="46"/>
  <c r="AZ29" i="46"/>
  <c r="BL27" i="44"/>
  <c r="AJ31" i="44"/>
  <c r="AL31" i="44"/>
  <c r="N26" i="46"/>
  <c r="AK33" i="44"/>
  <c r="AM33" i="44"/>
  <c r="AP28" i="44"/>
  <c r="BL34" i="46"/>
  <c r="BJ32" i="46"/>
  <c r="BG30" i="46"/>
  <c r="BH30" i="46"/>
  <c r="AO26" i="44"/>
  <c r="BJ33" i="46"/>
  <c r="AR37" i="44"/>
  <c r="AQ37" i="44"/>
  <c r="AL38" i="46"/>
  <c r="AJ39" i="46"/>
  <c r="K32" i="44"/>
  <c r="AO32" i="44"/>
  <c r="BF38" i="46"/>
  <c r="AL34" i="46"/>
  <c r="BB34" i="46"/>
  <c r="BG34" i="46"/>
  <c r="AG34" i="46"/>
  <c r="AR33" i="44"/>
  <c r="AQ33" i="44"/>
  <c r="AV27" i="44"/>
  <c r="BO35" i="46"/>
  <c r="AW36" i="46"/>
  <c r="AS36" i="46"/>
  <c r="BK29" i="46"/>
  <c r="BN26" i="44"/>
  <c r="EA31" i="44"/>
  <c r="BD32" i="44"/>
  <c r="BA32" i="46"/>
  <c r="N13" i="44"/>
  <c r="BK34" i="46"/>
  <c r="EG31" i="44"/>
  <c r="AM34" i="44"/>
  <c r="AK34" i="44"/>
  <c r="BC31" i="46"/>
  <c r="Q31" i="46"/>
  <c r="BL31" i="46"/>
  <c r="K26" i="44"/>
  <c r="BF39" i="46"/>
  <c r="AU35" i="46"/>
  <c r="AW35" i="46"/>
  <c r="AY35" i="46"/>
  <c r="BK30" i="44"/>
  <c r="EG39" i="44"/>
  <c r="BN36" i="44"/>
  <c r="BQ32" i="44"/>
  <c r="BJ31" i="46"/>
  <c r="BP34" i="44"/>
  <c r="T27" i="44"/>
  <c r="K26" i="46"/>
  <c r="DX32" i="46"/>
  <c r="BS28" i="46"/>
  <c r="AZ28" i="46"/>
  <c r="AW39" i="46"/>
  <c r="AX29" i="44"/>
  <c r="T34" i="46"/>
  <c r="AG30" i="44"/>
  <c r="BB29" i="46"/>
  <c r="BH32" i="44"/>
  <c r="BK37" i="46"/>
  <c r="BU37" i="46"/>
  <c r="K38" i="46"/>
  <c r="EA38" i="46"/>
  <c r="BO27" i="46"/>
  <c r="BR33" i="46"/>
  <c r="AV37" i="44"/>
  <c r="AS27" i="44"/>
  <c r="BJ35" i="44"/>
  <c r="BB33" i="44"/>
  <c r="BP29" i="46"/>
  <c r="BP28" i="46"/>
  <c r="AP34" i="46"/>
  <c r="BL37" i="46"/>
  <c r="BO30" i="46"/>
  <c r="AM31" i="44"/>
  <c r="AZ38" i="44"/>
  <c r="AQ39" i="46"/>
  <c r="BJ28" i="44"/>
  <c r="EG28" i="44"/>
  <c r="DX35" i="46"/>
  <c r="DX29" i="46"/>
  <c r="BK32" i="44"/>
  <c r="BN32" i="44"/>
  <c r="BD37" i="46"/>
  <c r="BA37" i="46"/>
  <c r="AX37" i="46"/>
  <c r="AY38" i="46"/>
  <c r="BN39" i="44"/>
  <c r="ED39" i="44"/>
  <c r="BQ39" i="44"/>
  <c r="DX27" i="46"/>
  <c r="AV27" i="46"/>
  <c r="BP33" i="46"/>
  <c r="BO39" i="44"/>
  <c r="BL26" i="46"/>
  <c r="BK32" i="46"/>
  <c r="T28" i="46"/>
  <c r="BK28" i="44"/>
  <c r="N36" i="46"/>
  <c r="BJ33" i="44"/>
  <c r="AK26" i="46"/>
  <c r="ED33" i="44"/>
  <c r="DX29" i="44"/>
  <c r="BM37" i="46"/>
  <c r="BJ30" i="46"/>
  <c r="AP37" i="44"/>
  <c r="BO35" i="44"/>
  <c r="BU27" i="44"/>
  <c r="AU30" i="44"/>
  <c r="BB35" i="44"/>
  <c r="BK39" i="44"/>
  <c r="BA27" i="46"/>
  <c r="ED30" i="46"/>
  <c r="AJ37" i="44"/>
  <c r="AR36" i="46"/>
  <c r="BN36" i="46"/>
  <c r="AK31" i="44"/>
  <c r="BN31" i="44"/>
  <c r="AY26" i="46"/>
  <c r="AL32" i="46"/>
  <c r="AK32" i="46"/>
  <c r="BQ28" i="46"/>
  <c r="AG38" i="44"/>
  <c r="Q33" i="44"/>
  <c r="EG29" i="44"/>
  <c r="N35" i="46"/>
  <c r="BJ34" i="46"/>
  <c r="BN34" i="46"/>
  <c r="BF34" i="46"/>
  <c r="AK37" i="46"/>
  <c r="BB37" i="46"/>
  <c r="BL38" i="46"/>
  <c r="AO39" i="44"/>
  <c r="BU27" i="46"/>
  <c r="AK27" i="46"/>
  <c r="AT27" i="46"/>
  <c r="T33" i="46"/>
  <c r="AO37" i="44"/>
  <c r="BM37" i="44"/>
  <c r="BJ36" i="44"/>
  <c r="AM36" i="44"/>
  <c r="AJ28" i="44"/>
  <c r="BM30" i="46"/>
  <c r="T36" i="44"/>
  <c r="BO36" i="46"/>
  <c r="AZ34" i="46"/>
  <c r="BO29" i="46"/>
  <c r="AK29" i="46"/>
  <c r="BK36" i="46"/>
  <c r="BO34" i="46"/>
  <c r="ED29" i="46"/>
  <c r="AX32" i="44"/>
  <c r="EG27" i="46"/>
  <c r="BO33" i="46"/>
  <c r="Q37" i="44"/>
  <c r="BC38" i="46"/>
  <c r="AJ27" i="44"/>
  <c r="BF37" i="44"/>
  <c r="BK36" i="44"/>
  <c r="BL34" i="44"/>
  <c r="BP35" i="46"/>
  <c r="BH32" i="46"/>
  <c r="AP26" i="44"/>
  <c r="N29" i="46"/>
  <c r="BK38" i="46"/>
  <c r="EG38" i="44"/>
  <c r="AT34" i="46"/>
  <c r="N27" i="46"/>
  <c r="EG35" i="46"/>
  <c r="BI30" i="44"/>
  <c r="AY27" i="44"/>
  <c r="K28" i="44"/>
  <c r="BH31" i="46"/>
  <c r="EG36" i="46"/>
  <c r="BI26" i="46"/>
  <c r="AZ36" i="46"/>
  <c r="BG36" i="46"/>
  <c r="BK31" i="44"/>
  <c r="BG26" i="46"/>
  <c r="BM32" i="46"/>
  <c r="BG32" i="46"/>
  <c r="AT28" i="46"/>
  <c r="BM38" i="44"/>
  <c r="Q39" i="46"/>
  <c r="T28" i="44"/>
  <c r="AL30" i="44"/>
  <c r="EA30" i="44"/>
  <c r="BR29" i="46"/>
  <c r="BJ29" i="46"/>
  <c r="EA32" i="44"/>
  <c r="AQ37" i="46"/>
  <c r="BG39" i="44"/>
  <c r="BH39" i="44"/>
  <c r="BI27" i="46"/>
  <c r="AG37" i="44"/>
  <c r="AL37" i="44"/>
  <c r="AM37" i="44"/>
  <c r="K37" i="44"/>
  <c r="BL36" i="44"/>
  <c r="BU36" i="44"/>
  <c r="T38" i="46"/>
  <c r="BD33" i="46"/>
  <c r="T36" i="46"/>
  <c r="T31" i="44"/>
  <c r="EA32" i="46"/>
  <c r="AT26" i="44"/>
  <c r="AK39" i="46"/>
  <c r="N28" i="44"/>
  <c r="BF35" i="46"/>
  <c r="EA35" i="46"/>
  <c r="ED32" i="44"/>
  <c r="AP33" i="46"/>
  <c r="EA33" i="46"/>
  <c r="BO36" i="44"/>
  <c r="AK15" i="44"/>
  <c r="BO27" i="44"/>
  <c r="BP37" i="44"/>
  <c r="BB29" i="44"/>
  <c r="N30" i="44"/>
  <c r="DX35" i="44"/>
  <c r="AZ27" i="44"/>
  <c r="BS39" i="46"/>
  <c r="BU35" i="46"/>
  <c r="ED34" i="46"/>
  <c r="BI31" i="44"/>
  <c r="AS32" i="46"/>
  <c r="AY39" i="46"/>
  <c r="BB34" i="44"/>
  <c r="BJ34" i="44"/>
  <c r="ED31" i="46"/>
  <c r="BM34" i="44"/>
  <c r="EG35" i="44"/>
  <c r="AG26" i="46"/>
  <c r="Q26" i="46"/>
  <c r="AW32" i="46"/>
  <c r="T32" i="46"/>
  <c r="K28" i="46"/>
  <c r="AL38" i="44"/>
  <c r="AV29" i="44"/>
  <c r="N29" i="44"/>
  <c r="AZ29" i="44"/>
  <c r="AM35" i="46"/>
  <c r="AZ30" i="44"/>
  <c r="AJ30" i="44"/>
  <c r="BI32" i="44"/>
  <c r="DX37" i="46"/>
  <c r="ED37" i="46"/>
  <c r="EG38" i="46"/>
  <c r="BF27" i="46"/>
  <c r="Q27" i="46"/>
  <c r="AT33" i="46"/>
  <c r="AZ30" i="46"/>
  <c r="AM30" i="46"/>
  <c r="BI37" i="44"/>
  <c r="BP26" i="44"/>
  <c r="N10" i="44"/>
  <c r="AZ26" i="44"/>
  <c r="K33" i="44"/>
  <c r="BP29" i="44"/>
  <c r="BG37" i="44"/>
  <c r="BM31" i="46"/>
  <c r="BK26" i="44"/>
  <c r="AP38" i="44"/>
  <c r="Q35" i="46"/>
  <c r="BB32" i="44"/>
  <c r="AV28" i="44"/>
  <c r="AX34" i="46"/>
  <c r="AR32" i="44"/>
  <c r="BP27" i="44"/>
  <c r="AR31" i="44"/>
  <c r="AL35" i="44"/>
  <c r="AT35" i="44"/>
  <c r="BL28" i="46"/>
  <c r="DX28" i="46"/>
  <c r="N39" i="46"/>
  <c r="BA39" i="46"/>
  <c r="BP39" i="46"/>
  <c r="AS28" i="44"/>
  <c r="BR29" i="44"/>
  <c r="AU29" i="46"/>
  <c r="AV37" i="46"/>
  <c r="BJ39" i="44"/>
  <c r="K33" i="46"/>
  <c r="BP36" i="44"/>
  <c r="AV36" i="44"/>
  <c r="N33" i="44"/>
  <c r="AT37" i="46"/>
  <c r="BN37" i="46"/>
  <c r="BC27" i="44"/>
  <c r="AX39" i="44"/>
  <c r="BJ37" i="46"/>
  <c r="AL36" i="46"/>
  <c r="DX31" i="46"/>
  <c r="AP27" i="44"/>
  <c r="ED28" i="44"/>
  <c r="BG32" i="44"/>
  <c r="AR39" i="44"/>
  <c r="BS29" i="44"/>
  <c r="ED27" i="46"/>
  <c r="AO31" i="44"/>
  <c r="BF26" i="44"/>
  <c r="BO33" i="44"/>
  <c r="AR34" i="44"/>
  <c r="AZ34" i="44"/>
  <c r="BQ36" i="46"/>
  <c r="BJ36" i="46"/>
  <c r="BH35" i="44"/>
  <c r="AX26" i="46"/>
  <c r="Q26" i="44"/>
  <c r="ED26" i="44"/>
  <c r="AT38" i="44"/>
  <c r="BH33" i="44"/>
  <c r="BQ33" i="44"/>
  <c r="EG39" i="46"/>
  <c r="BH39" i="46"/>
  <c r="AK28" i="44"/>
  <c r="AK29" i="44"/>
  <c r="K35" i="46"/>
  <c r="EG30" i="44"/>
  <c r="BS29" i="46"/>
  <c r="BM29" i="46"/>
  <c r="BQ37" i="46"/>
  <c r="AW37" i="46"/>
  <c r="AX37" i="44"/>
  <c r="AL31" i="46"/>
  <c r="AP31" i="46"/>
  <c r="AJ31" i="46"/>
  <c r="BG28" i="44"/>
  <c r="BH28" i="44"/>
  <c r="AP26" i="46"/>
  <c r="BJ29" i="44"/>
  <c r="Q29" i="44"/>
  <c r="AP29" i="44"/>
  <c r="AS37" i="46"/>
  <c r="BU38" i="46"/>
  <c r="T39" i="44"/>
  <c r="BK27" i="46"/>
  <c r="BJ37" i="44"/>
  <c r="AS34" i="44"/>
  <c r="AU34" i="44"/>
  <c r="AY34" i="44"/>
  <c r="BR35" i="44"/>
  <c r="AM35" i="44"/>
  <c r="BC30" i="46"/>
  <c r="BC35" i="44"/>
  <c r="AY35" i="44"/>
  <c r="AW35" i="44"/>
  <c r="AS35" i="44"/>
  <c r="BP38" i="44"/>
  <c r="AP29" i="46"/>
  <c r="BJ31" i="44"/>
  <c r="BD34" i="46"/>
  <c r="BC34" i="46"/>
  <c r="AK28" i="46"/>
  <c r="AM28" i="46"/>
  <c r="BL27" i="46"/>
  <c r="AQ34" i="44"/>
  <c r="BQ38" i="44"/>
  <c r="BA36" i="44"/>
  <c r="AO31" i="46"/>
  <c r="K31" i="46"/>
  <c r="N31" i="46"/>
  <c r="BO34" i="44"/>
  <c r="BR27" i="44"/>
  <c r="AM27" i="44"/>
  <c r="BB26" i="46"/>
  <c r="BQ31" i="46"/>
  <c r="AW34" i="44"/>
  <c r="BF36" i="46"/>
  <c r="BF26" i="46"/>
  <c r="T26" i="46"/>
  <c r="AT26" i="46"/>
  <c r="BB38" i="44"/>
  <c r="DX37" i="44"/>
  <c r="AV39" i="46"/>
  <c r="AU39" i="46"/>
  <c r="AT31" i="46"/>
  <c r="BF28" i="46"/>
  <c r="AL28" i="44"/>
  <c r="AG28" i="44"/>
  <c r="BH26" i="46"/>
  <c r="BS31" i="44"/>
  <c r="AO35" i="44"/>
  <c r="AJ34" i="44"/>
  <c r="AP34" i="44"/>
  <c r="BB28" i="46"/>
  <c r="BH28" i="46"/>
  <c r="AM29" i="44"/>
  <c r="BN37" i="44"/>
  <c r="AO38" i="44"/>
  <c r="K38" i="44"/>
  <c r="BN39" i="46"/>
  <c r="BB35" i="46"/>
  <c r="BH35" i="46"/>
  <c r="BU30" i="44"/>
  <c r="AP32" i="44"/>
  <c r="AL32" i="44"/>
  <c r="AJ32" i="44"/>
  <c r="AZ37" i="44"/>
  <c r="AY37" i="44"/>
  <c r="BH34" i="44"/>
  <c r="BG34" i="44"/>
  <c r="BF34" i="44"/>
  <c r="BA36" i="46"/>
  <c r="EG33" i="44"/>
  <c r="AZ39" i="46"/>
  <c r="BD39" i="46"/>
  <c r="AO29" i="44"/>
  <c r="BH29" i="44"/>
  <c r="BG29" i="44"/>
  <c r="AV30" i="44"/>
  <c r="BN30" i="44"/>
  <c r="BF29" i="46"/>
  <c r="AP39" i="44"/>
  <c r="BO37" i="44"/>
  <c r="AQ26" i="44"/>
  <c r="AU26" i="44"/>
  <c r="AW26" i="44"/>
  <c r="AY26" i="44"/>
  <c r="BA26" i="44"/>
  <c r="AS26" i="44"/>
  <c r="BD27" i="46"/>
  <c r="BC27" i="46"/>
  <c r="AQ31" i="44"/>
  <c r="AP28" i="46"/>
  <c r="AL28" i="46"/>
  <c r="AJ28" i="46"/>
  <c r="BB26" i="44"/>
  <c r="AG26" i="44"/>
  <c r="N34" i="46"/>
  <c r="AO34" i="46"/>
  <c r="AR38" i="46"/>
  <c r="AQ38" i="46"/>
  <c r="AR31" i="46"/>
  <c r="BN38" i="44"/>
  <c r="BN30" i="46"/>
  <c r="BO32" i="44"/>
  <c r="ED8" i="46"/>
  <c r="BA35" i="44"/>
  <c r="BN35" i="46"/>
  <c r="ED34" i="44"/>
  <c r="AJ35" i="44"/>
  <c r="BD26" i="44"/>
  <c r="BC26" i="44"/>
  <c r="BJ26" i="44"/>
  <c r="BO28" i="46"/>
  <c r="BK28" i="46"/>
  <c r="BF33" i="44"/>
  <c r="EA28" i="44"/>
  <c r="BL29" i="44"/>
  <c r="BN29" i="46"/>
  <c r="BC39" i="44"/>
  <c r="BG27" i="44"/>
  <c r="BH27" i="44"/>
  <c r="AM38" i="44"/>
  <c r="AK38" i="44"/>
  <c r="AZ31" i="46"/>
  <c r="BM33" i="44"/>
  <c r="AL34" i="44"/>
  <c r="BJ30" i="44"/>
  <c r="AY36" i="46"/>
  <c r="AU36" i="46"/>
  <c r="EG28" i="46"/>
  <c r="BK38" i="44"/>
  <c r="BK39" i="46"/>
  <c r="AW34" i="46"/>
  <c r="BH37" i="46"/>
  <c r="AY39" i="44"/>
  <c r="AQ39" i="44"/>
  <c r="AS39" i="44"/>
  <c r="AW39" i="44"/>
  <c r="AU39" i="44"/>
  <c r="BA39" i="44"/>
  <c r="BN33" i="46"/>
  <c r="BU35" i="44"/>
  <c r="BC36" i="44"/>
  <c r="BJ38" i="44"/>
  <c r="AV31" i="46"/>
  <c r="AU31" i="46"/>
  <c r="BO31" i="46"/>
  <c r="BJ39" i="46"/>
  <c r="BP32" i="46"/>
  <c r="BF33" i="46"/>
  <c r="BQ35" i="46"/>
  <c r="BN38" i="46"/>
  <c r="ED27" i="44"/>
  <c r="BS27" i="44"/>
  <c r="AO27" i="44"/>
  <c r="AO34" i="44"/>
  <c r="K34" i="44"/>
  <c r="BJ27" i="44"/>
  <c r="BK34" i="44"/>
  <c r="N35" i="44"/>
  <c r="K27" i="44"/>
  <c r="BC31" i="44"/>
  <c r="BF31" i="44"/>
  <c r="BJ26" i="46"/>
  <c r="BN32" i="46"/>
  <c r="BL35" i="46"/>
  <c r="BG30" i="44"/>
  <c r="BI29" i="46"/>
  <c r="AV38" i="46"/>
  <c r="AJ26" i="44"/>
  <c r="BG27" i="46"/>
  <c r="AY36" i="44"/>
  <c r="AQ36" i="44"/>
  <c r="AU36" i="44"/>
  <c r="AS36" i="44"/>
  <c r="BF28" i="44"/>
  <c r="AW38" i="46"/>
  <c r="AX38" i="46"/>
  <c r="N36" i="44"/>
  <c r="BL33" i="44"/>
  <c r="BF32" i="44"/>
  <c r="BC32" i="44"/>
  <c r="BF35" i="44"/>
  <c r="AL35" i="46"/>
  <c r="AP35" i="46"/>
  <c r="AJ35" i="46"/>
  <c r="AX28" i="46"/>
  <c r="AW28" i="46"/>
  <c r="BO39" i="46"/>
  <c r="AG29" i="46"/>
  <c r="BG29" i="46"/>
  <c r="BP31" i="46"/>
  <c r="AG31" i="46"/>
  <c r="BA34" i="44"/>
  <c r="AU35" i="44"/>
  <c r="BN35" i="44"/>
  <c r="BN27" i="44"/>
  <c r="AM32" i="46"/>
  <c r="BS37" i="46"/>
  <c r="AJ37" i="46"/>
  <c r="AL37" i="46"/>
  <c r="BH31" i="44"/>
  <c r="BG31" i="44"/>
  <c r="AW38" i="44"/>
  <c r="AY38" i="44"/>
  <c r="AS38" i="44"/>
  <c r="AQ38" i="44"/>
  <c r="AU38" i="44"/>
  <c r="BQ29" i="46"/>
  <c r="BA35" i="46"/>
  <c r="BN28" i="46"/>
  <c r="BN31" i="46"/>
  <c r="AO35" i="46"/>
  <c r="BD35" i="46"/>
  <c r="AT36" i="46"/>
  <c r="BP34" i="46"/>
  <c r="BN27" i="46"/>
  <c r="AY27" i="46"/>
  <c r="BJ27" i="46"/>
  <c r="AO36" i="44"/>
  <c r="BD36" i="44"/>
  <c r="K36" i="44"/>
  <c r="BA29" i="44"/>
  <c r="BF29" i="44"/>
  <c r="BI28" i="44"/>
  <c r="AU29" i="44"/>
  <c r="AQ29" i="44"/>
  <c r="AW29" i="44"/>
  <c r="AS29" i="44"/>
  <c r="BJ35" i="46"/>
  <c r="AK37" i="44"/>
  <c r="BU31" i="46"/>
  <c r="BP36" i="46"/>
  <c r="BF27" i="44"/>
  <c r="BP33" i="44"/>
  <c r="AY29" i="44"/>
  <c r="BB30" i="44"/>
  <c r="BG37" i="46"/>
  <c r="AO38" i="46"/>
  <c r="BU39" i="44"/>
  <c r="BH27" i="46"/>
  <c r="BG33" i="46"/>
  <c r="BU30" i="46"/>
  <c r="BM30" i="44"/>
  <c r="BL32" i="44"/>
  <c r="AJ39" i="44"/>
  <c r="AL39" i="44"/>
  <c r="BS31" i="46"/>
  <c r="AP35" i="44"/>
  <c r="BL35" i="44"/>
  <c r="BS26" i="46"/>
  <c r="BU28" i="44"/>
  <c r="BN29" i="44"/>
  <c r="AQ35" i="46"/>
  <c r="AS35" i="46"/>
  <c r="BP30" i="44"/>
  <c r="N32" i="44"/>
  <c r="BC37" i="46"/>
  <c r="AL33" i="46"/>
  <c r="AJ33" i="46"/>
  <c r="BH37" i="44"/>
  <c r="AG27" i="46"/>
  <c r="AO26" i="46"/>
  <c r="AU32" i="46"/>
  <c r="AV32" i="46"/>
  <c r="AS28" i="46"/>
  <c r="AU28" i="46"/>
  <c r="BG33" i="44"/>
  <c r="BO28" i="44"/>
  <c r="AR35" i="46"/>
  <c r="AL29" i="46"/>
  <c r="AJ29" i="46"/>
  <c r="BU32" i="44"/>
  <c r="BJ32" i="44"/>
  <c r="BO38" i="46"/>
  <c r="AO27" i="46"/>
  <c r="BC33" i="46"/>
  <c r="AT37" i="44"/>
  <c r="AW37" i="44"/>
  <c r="AS37" i="44"/>
  <c r="AU37" i="44"/>
  <c r="AT36" i="44"/>
  <c r="BC28" i="44"/>
  <c r="AT29" i="46"/>
  <c r="BK30" i="46"/>
  <c r="BR37" i="44"/>
  <c r="BK35" i="44"/>
  <c r="BK27" i="44"/>
  <c r="BO31" i="44"/>
  <c r="BB31" i="44"/>
  <c r="AP31" i="44"/>
  <c r="AJ26" i="46"/>
  <c r="BC26" i="46"/>
  <c r="BC32" i="46"/>
  <c r="BG26" i="44"/>
  <c r="BC28" i="46"/>
  <c r="BA38" i="44"/>
  <c r="BC38" i="44"/>
  <c r="BR28" i="44"/>
  <c r="BC35" i="46"/>
  <c r="BC30" i="44"/>
  <c r="BP32" i="44"/>
  <c r="AS33" i="46"/>
  <c r="BQ25" i="44"/>
  <c r="AO33" i="44"/>
  <c r="AT33" i="44"/>
  <c r="BB39" i="44"/>
  <c r="BR34" i="44"/>
  <c r="BU36" i="46"/>
  <c r="BB36" i="46"/>
  <c r="BQ35" i="44"/>
  <c r="AT27" i="44"/>
  <c r="BO26" i="46"/>
  <c r="Q32" i="46"/>
  <c r="EG26" i="44"/>
  <c r="BO38" i="44"/>
  <c r="DX38" i="44"/>
  <c r="BL29" i="46"/>
  <c r="BP37" i="46"/>
  <c r="BA37" i="44"/>
  <c r="BK37" i="44"/>
  <c r="AO28" i="44"/>
  <c r="AS8" i="46"/>
  <c r="AG39" i="44"/>
  <c r="AO33" i="46"/>
  <c r="AP36" i="46"/>
  <c r="BQ34" i="44"/>
  <c r="BC34" i="44"/>
  <c r="BD34" i="44"/>
  <c r="BB27" i="44"/>
  <c r="AU31" i="44"/>
  <c r="AS31" i="44"/>
  <c r="AR26" i="46"/>
  <c r="BU38" i="44"/>
  <c r="BA33" i="46"/>
  <c r="BK31" i="46"/>
  <c r="BN34" i="44"/>
  <c r="AW31" i="44"/>
  <c r="AM26" i="46"/>
  <c r="BF38" i="44"/>
  <c r="BN33" i="44"/>
  <c r="BS33" i="44"/>
  <c r="AG39" i="46"/>
  <c r="BC29" i="44"/>
  <c r="BA29" i="46"/>
  <c r="AU32" i="44"/>
  <c r="AS32" i="44"/>
  <c r="AQ32" i="44"/>
  <c r="AW32" i="44"/>
  <c r="BP39" i="44"/>
  <c r="AK33" i="46"/>
  <c r="AR33" i="46"/>
  <c r="BI33" i="46"/>
  <c r="AJ36" i="44"/>
  <c r="AP36" i="44"/>
  <c r="AL36" i="44"/>
  <c r="AN36" i="44" s="1"/>
  <c r="AU26" i="46"/>
  <c r="AQ26" i="46"/>
  <c r="AG36" i="46"/>
  <c r="BA31" i="44"/>
  <c r="BD31" i="46"/>
  <c r="AW27" i="44"/>
  <c r="AQ27" i="44"/>
  <c r="AU27" i="44"/>
  <c r="BC33" i="44"/>
  <c r="AK35" i="46"/>
  <c r="BI34" i="46"/>
  <c r="AM32" i="44"/>
  <c r="EA27" i="46"/>
  <c r="BA31" i="46"/>
  <c r="EG31" i="46"/>
  <c r="BD35" i="44"/>
  <c r="AX31" i="44"/>
  <c r="N31" i="44"/>
  <c r="AO32" i="46"/>
  <c r="BO26" i="44"/>
  <c r="BI28" i="46"/>
  <c r="BU28" i="46"/>
  <c r="BA28" i="46"/>
  <c r="BQ39" i="46"/>
  <c r="AM28" i="44"/>
  <c r="AJ29" i="44"/>
  <c r="AS34" i="46"/>
  <c r="AZ36" i="44"/>
  <c r="BG36" i="44"/>
  <c r="BH36" i="44"/>
  <c r="BU32" i="46"/>
  <c r="BM26" i="44"/>
  <c r="ED39" i="46"/>
  <c r="EA29" i="46"/>
  <c r="BC29" i="46"/>
  <c r="BD29" i="46"/>
  <c r="N38" i="46"/>
  <c r="ED38" i="46"/>
  <c r="BB27" i="46"/>
  <c r="AP27" i="46"/>
  <c r="AJ27" i="46"/>
  <c r="AU27" i="46"/>
  <c r="AW27" i="46"/>
  <c r="AQ27" i="46"/>
  <c r="BK33" i="46"/>
  <c r="BB30" i="46"/>
  <c r="AG30" i="46"/>
  <c r="AR12" i="44"/>
  <c r="BD30" i="44"/>
  <c r="AU33" i="46"/>
  <c r="AQ33" i="46"/>
  <c r="EA12" i="44"/>
  <c r="K16" i="46"/>
  <c r="AW30" i="44"/>
  <c r="ED17" i="44"/>
  <c r="BM16" i="46"/>
  <c r="BC36" i="46"/>
  <c r="AU28" i="44"/>
  <c r="AS38" i="46"/>
  <c r="AL12" i="44"/>
  <c r="AX12" i="44"/>
  <c r="DX17" i="46"/>
  <c r="BD38" i="44"/>
  <c r="AQ29" i="46"/>
  <c r="AY16" i="46"/>
  <c r="AZ17" i="46"/>
  <c r="AT22" i="46"/>
  <c r="AO37" i="46"/>
  <c r="N33" i="46"/>
  <c r="EG12" i="44"/>
  <c r="AJ38" i="44"/>
  <c r="AQ30" i="44"/>
  <c r="AY30" i="44"/>
  <c r="BH24" i="44"/>
  <c r="BI8" i="46"/>
  <c r="BG16" i="46"/>
  <c r="AK9" i="46"/>
  <c r="EA11" i="46"/>
  <c r="EG19" i="46"/>
  <c r="AQ23" i="46"/>
  <c r="K14" i="46"/>
  <c r="T21" i="46"/>
  <c r="BR21" i="46"/>
  <c r="BI17" i="46"/>
  <c r="T8" i="46"/>
  <c r="BI11" i="46"/>
  <c r="BR12" i="46"/>
  <c r="ED20" i="46"/>
  <c r="BH21" i="46"/>
  <c r="AR15" i="46"/>
  <c r="AV13" i="46"/>
  <c r="BG9" i="46"/>
  <c r="BQ12" i="46"/>
  <c r="AM14" i="46"/>
  <c r="BR9" i="46"/>
  <c r="BQ23" i="46"/>
  <c r="BF16" i="46"/>
  <c r="AW11" i="46"/>
  <c r="DX13" i="46"/>
  <c r="AM21" i="46"/>
  <c r="AZ20" i="46"/>
  <c r="AX12" i="46"/>
  <c r="AG8" i="46"/>
  <c r="AJ13" i="46"/>
  <c r="BD16" i="46"/>
  <c r="BQ20" i="46"/>
  <c r="AR9" i="46"/>
  <c r="N19" i="46"/>
  <c r="BI12" i="46"/>
  <c r="AZ23" i="46"/>
  <c r="AS23" i="46"/>
  <c r="EA20" i="46"/>
  <c r="DX20" i="46"/>
  <c r="AL10" i="46"/>
  <c r="AV9" i="46"/>
  <c r="AX14" i="46"/>
  <c r="DX11" i="46"/>
  <c r="BB11" i="46"/>
  <c r="BL11" i="46"/>
  <c r="AJ9" i="46"/>
  <c r="BS12" i="46"/>
  <c r="AT9" i="46"/>
  <c r="BH9" i="46"/>
  <c r="BM12" i="46"/>
  <c r="BA11" i="46"/>
  <c r="AW19" i="46"/>
  <c r="AG10" i="46"/>
  <c r="AT18" i="46"/>
  <c r="AT23" i="46"/>
  <c r="AG9" i="46"/>
  <c r="N12" i="46"/>
  <c r="T10" i="46"/>
  <c r="EA15" i="46"/>
  <c r="DX15" i="46"/>
  <c r="N13" i="46"/>
  <c r="BR11" i="46"/>
  <c r="AR20" i="46"/>
  <c r="ED10" i="46"/>
  <c r="AV10" i="46"/>
  <c r="BU8" i="46"/>
  <c r="BI14" i="46"/>
  <c r="AK12" i="46"/>
  <c r="BK13" i="46"/>
  <c r="BS14" i="46"/>
  <c r="AZ18" i="46"/>
  <c r="BD23" i="46"/>
  <c r="AX21" i="46"/>
  <c r="AO16" i="46"/>
  <c r="AM10" i="46"/>
  <c r="AW22" i="46"/>
  <c r="BP15" i="46"/>
  <c r="AQ10" i="46"/>
  <c r="AG13" i="46"/>
  <c r="AO21" i="46"/>
  <c r="BQ17" i="46"/>
  <c r="EG20" i="46"/>
  <c r="K19" i="46"/>
  <c r="BC17" i="46"/>
  <c r="BS20" i="46"/>
  <c r="BB10" i="46"/>
  <c r="N11" i="46"/>
  <c r="T19" i="46"/>
  <c r="N17" i="46"/>
  <c r="BM17" i="46"/>
  <c r="N10" i="46"/>
  <c r="DX8" i="46"/>
  <c r="EA21" i="46"/>
  <c r="BC16" i="46"/>
  <c r="AV11" i="46"/>
  <c r="N20" i="46"/>
  <c r="AK23" i="46"/>
  <c r="BM19" i="46"/>
  <c r="Q21" i="46"/>
  <c r="AM11" i="46"/>
  <c r="BI19" i="46"/>
  <c r="AY8" i="46"/>
  <c r="AV19" i="46"/>
  <c r="AJ17" i="46"/>
  <c r="BI9" i="46"/>
  <c r="AU11" i="46"/>
  <c r="BD11" i="46"/>
  <c r="AZ11" i="46"/>
  <c r="BU17" i="46"/>
  <c r="K10" i="46"/>
  <c r="BM23" i="46"/>
  <c r="EA8" i="46"/>
  <c r="K21" i="46"/>
  <c r="AW17" i="46"/>
  <c r="AR10" i="46"/>
  <c r="EG10" i="46"/>
  <c r="BI18" i="46"/>
  <c r="EG18" i="46"/>
  <c r="K12" i="46"/>
  <c r="Q14" i="46"/>
  <c r="BM14" i="46"/>
  <c r="ED17" i="46"/>
  <c r="T20" i="46"/>
  <c r="BS10" i="46"/>
  <c r="AK10" i="46"/>
  <c r="AY19" i="46"/>
  <c r="BM20" i="46"/>
  <c r="BM10" i="46"/>
  <c r="AZ10" i="46"/>
  <c r="AR18" i="46"/>
  <c r="AO18" i="46"/>
  <c r="AR22" i="46"/>
  <c r="T14" i="46"/>
  <c r="BC20" i="46"/>
  <c r="AY23" i="46"/>
  <c r="AP23" i="46"/>
  <c r="BD19" i="46"/>
  <c r="BG11" i="46"/>
  <c r="AM17" i="46"/>
  <c r="Q18" i="46"/>
  <c r="AX13" i="46"/>
  <c r="EA18" i="46"/>
  <c r="AX22" i="46"/>
  <c r="BM21" i="46"/>
  <c r="AJ21" i="46"/>
  <c r="AJ15" i="46"/>
  <c r="BF8" i="46"/>
  <c r="BS8" i="46"/>
  <c r="AV8" i="46"/>
  <c r="N14" i="46"/>
  <c r="DX9" i="46"/>
  <c r="AM12" i="46"/>
  <c r="BQ14" i="46"/>
  <c r="BH16" i="46"/>
  <c r="AG22" i="46"/>
  <c r="DX22" i="46"/>
  <c r="K23" i="46"/>
  <c r="BO12" i="46"/>
  <c r="AT14" i="46"/>
  <c r="Q20" i="46"/>
  <c r="BB23" i="46"/>
  <c r="AG23" i="46"/>
  <c r="N23" i="46"/>
  <c r="Q9" i="46"/>
  <c r="AS12" i="46"/>
  <c r="AG14" i="46"/>
  <c r="BU15" i="46"/>
  <c r="EA22" i="46"/>
  <c r="BI15" i="46"/>
  <c r="AM18" i="46"/>
  <c r="EG14" i="46"/>
  <c r="BO17" i="46"/>
  <c r="BM11" i="46"/>
  <c r="BF17" i="46"/>
  <c r="BR17" i="46"/>
  <c r="BA18" i="46"/>
  <c r="AL23" i="46"/>
  <c r="BH13" i="46"/>
  <c r="AV21" i="46"/>
  <c r="N21" i="46"/>
  <c r="BL16" i="46"/>
  <c r="ED16" i="46"/>
  <c r="AP19" i="46"/>
  <c r="AZ19" i="46"/>
  <c r="DX18" i="46"/>
  <c r="AM23" i="46"/>
  <c r="BD8" i="46"/>
  <c r="AK8" i="46"/>
  <c r="T13" i="46"/>
  <c r="EA16" i="46"/>
  <c r="BO11" i="46"/>
  <c r="AV17" i="46"/>
  <c r="BU10" i="46"/>
  <c r="AQ9" i="46"/>
  <c r="BI21" i="46"/>
  <c r="BR16" i="46"/>
  <c r="Q11" i="46"/>
  <c r="AU17" i="46"/>
  <c r="BA22" i="46"/>
  <c r="T22" i="46"/>
  <c r="EG22" i="46"/>
  <c r="AU8" i="46"/>
  <c r="BB8" i="46"/>
  <c r="BP13" i="46"/>
  <c r="BD14" i="46"/>
  <c r="AZ14" i="46"/>
  <c r="BU21" i="46"/>
  <c r="BO16" i="46"/>
  <c r="AX16" i="46"/>
  <c r="AV16" i="46"/>
  <c r="T16" i="46"/>
  <c r="BN11" i="46"/>
  <c r="Q19" i="46"/>
  <c r="BP18" i="46"/>
  <c r="DX12" i="46"/>
  <c r="AV14" i="46"/>
  <c r="AJ16" i="46"/>
  <c r="AX11" i="46"/>
  <c r="AJ11" i="46"/>
  <c r="BQ11" i="46"/>
  <c r="AT10" i="46"/>
  <c r="K22" i="46"/>
  <c r="EG8" i="46"/>
  <c r="BB16" i="46"/>
  <c r="AM19" i="46"/>
  <c r="AS11" i="46"/>
  <c r="AK11" i="46"/>
  <c r="AK22" i="46"/>
  <c r="AT12" i="46"/>
  <c r="AL13" i="46"/>
  <c r="BR13" i="46"/>
  <c r="DX14" i="46"/>
  <c r="AP15" i="46"/>
  <c r="BK15" i="46"/>
  <c r="K11" i="46"/>
  <c r="BJ20" i="46"/>
  <c r="AP20" i="46"/>
  <c r="BR20" i="46"/>
  <c r="Q10" i="46"/>
  <c r="AW12" i="46"/>
  <c r="BC8" i="46"/>
  <c r="AT21" i="46"/>
  <c r="EG21" i="46"/>
  <c r="BH15" i="46"/>
  <c r="BL12" i="46"/>
  <c r="BA8" i="46"/>
  <c r="AV20" i="46"/>
  <c r="BG22" i="46"/>
  <c r="Q8" i="46"/>
  <c r="AW13" i="46"/>
  <c r="BL22" i="46"/>
  <c r="BA12" i="46"/>
  <c r="N9" i="46"/>
  <c r="BB17" i="46"/>
  <c r="BC18" i="46"/>
  <c r="AG12" i="46"/>
  <c r="BP12" i="46"/>
  <c r="BS15" i="46"/>
  <c r="BA15" i="46"/>
  <c r="DX19" i="46"/>
  <c r="EA17" i="46"/>
  <c r="AT17" i="46"/>
  <c r="AO17" i="46"/>
  <c r="T17" i="46"/>
  <c r="AG17" i="46"/>
  <c r="BI20" i="46"/>
  <c r="AO20" i="46"/>
  <c r="AT20" i="46"/>
  <c r="AX18" i="46"/>
  <c r="T23" i="46"/>
  <c r="AZ9" i="46"/>
  <c r="AX9" i="46"/>
  <c r="BG13" i="46"/>
  <c r="AS13" i="46"/>
  <c r="AM13" i="46"/>
  <c r="BH14" i="46"/>
  <c r="AR19" i="46"/>
  <c r="EG17" i="46"/>
  <c r="BA23" i="46"/>
  <c r="EA9" i="46"/>
  <c r="BL8" i="46"/>
  <c r="AQ13" i="46"/>
  <c r="EG13" i="46"/>
  <c r="K13" i="46"/>
  <c r="BR14" i="46"/>
  <c r="EA10" i="46"/>
  <c r="BQ10" i="46"/>
  <c r="AL18" i="46"/>
  <c r="BL13" i="46"/>
  <c r="Q13" i="46"/>
  <c r="AY15" i="46"/>
  <c r="Q23" i="46"/>
  <c r="AX23" i="46"/>
  <c r="AR21" i="46"/>
  <c r="Q12" i="44"/>
  <c r="AQ11" i="44"/>
  <c r="N11" i="44"/>
  <c r="BI24" i="46"/>
  <c r="AT21" i="44"/>
  <c r="BD22" i="44"/>
  <c r="EG24" i="44"/>
  <c r="AZ9" i="44"/>
  <c r="BI12" i="44"/>
  <c r="AW23" i="44"/>
  <c r="AY12" i="44"/>
  <c r="K17" i="44"/>
  <c r="BM14" i="44"/>
  <c r="AY9" i="44"/>
  <c r="AS25" i="44"/>
  <c r="DX24" i="44"/>
  <c r="BH14" i="44"/>
  <c r="EA16" i="44"/>
  <c r="AJ24" i="46"/>
  <c r="AR9" i="44"/>
  <c r="T16" i="44"/>
  <c r="BS17" i="44"/>
  <c r="N14" i="44"/>
  <c r="BI16" i="44"/>
  <c r="BD17" i="44"/>
  <c r="AV14" i="44"/>
  <c r="DX10" i="44"/>
  <c r="BH23" i="44"/>
  <c r="EG23" i="44"/>
  <c r="AZ21" i="44"/>
  <c r="AJ18" i="44"/>
  <c r="EG22" i="44"/>
  <c r="AK20" i="44"/>
  <c r="N18" i="44"/>
  <c r="AK16" i="44"/>
  <c r="N16" i="44"/>
  <c r="AX21" i="44"/>
  <c r="AW15" i="44"/>
  <c r="AM25" i="44"/>
  <c r="AM9" i="44"/>
  <c r="BI17" i="44"/>
  <c r="AG12" i="44"/>
  <c r="AX16" i="44"/>
  <c r="AO11" i="44"/>
  <c r="BU19" i="44"/>
  <c r="N25" i="44"/>
  <c r="BD18" i="44"/>
  <c r="AW24" i="46"/>
  <c r="ED15" i="44"/>
  <c r="BG12" i="44"/>
  <c r="AZ11" i="44"/>
  <c r="AK9" i="44"/>
  <c r="BM8" i="44"/>
  <c r="DX25" i="46"/>
  <c r="BM25" i="44"/>
  <c r="AR24" i="44"/>
  <c r="DX11" i="44"/>
  <c r="DX15" i="44"/>
  <c r="ED14" i="44"/>
  <c r="BM21" i="44"/>
  <c r="BQ21" i="44"/>
  <c r="AW9" i="44"/>
  <c r="AK14" i="44"/>
  <c r="AT22" i="44"/>
  <c r="ED16" i="44"/>
  <c r="AT8" i="44"/>
  <c r="BA8" i="44"/>
  <c r="K25" i="46"/>
  <c r="AG25" i="44"/>
  <c r="BP15" i="44"/>
  <c r="AJ9" i="44"/>
  <c r="ED9" i="44"/>
  <c r="EG9" i="44"/>
  <c r="AG10" i="44"/>
  <c r="BG9" i="44"/>
  <c r="BM9" i="44"/>
  <c r="AT12" i="44"/>
  <c r="AL19" i="44"/>
  <c r="EA22" i="44"/>
  <c r="AL16" i="44"/>
  <c r="AG9" i="44"/>
  <c r="K12" i="44"/>
  <c r="ED11" i="44"/>
  <c r="AJ21" i="44"/>
  <c r="AW24" i="44"/>
  <c r="AX9" i="44"/>
  <c r="BR9" i="44"/>
  <c r="AJ16" i="44"/>
  <c r="AS24" i="46"/>
  <c r="BS15" i="44"/>
  <c r="AT19" i="44"/>
  <c r="AQ21" i="44"/>
  <c r="T21" i="44"/>
  <c r="AV8" i="44"/>
  <c r="BB12" i="44"/>
  <c r="AS10" i="44"/>
  <c r="BQ11" i="44"/>
  <c r="T19" i="44"/>
  <c r="AJ10" i="44"/>
  <c r="BD10" i="44"/>
  <c r="T9" i="44"/>
  <c r="BU20" i="44"/>
  <c r="AG20" i="44"/>
  <c r="Q19" i="44"/>
  <c r="AK19" i="44"/>
  <c r="AG8" i="44"/>
  <c r="BD15" i="44"/>
  <c r="DX14" i="44"/>
  <c r="AG24" i="44"/>
  <c r="EG20" i="44"/>
  <c r="AM13" i="44"/>
  <c r="AY25" i="46"/>
  <c r="AV11" i="44"/>
  <c r="N22" i="44"/>
  <c r="AT16" i="44"/>
  <c r="N8" i="44"/>
  <c r="DX23" i="44"/>
  <c r="AZ22" i="44"/>
  <c r="AK24" i="46"/>
  <c r="AZ25" i="44"/>
  <c r="Q21" i="44"/>
  <c r="AW21" i="44"/>
  <c r="AZ13" i="44"/>
  <c r="AV23" i="44"/>
  <c r="AV24" i="44"/>
  <c r="BI22" i="44"/>
  <c r="AO22" i="44"/>
  <c r="AY16" i="44"/>
  <c r="Q17" i="44"/>
  <c r="AL10" i="44"/>
  <c r="N24" i="44"/>
  <c r="AX25" i="46"/>
  <c r="BR25" i="46"/>
  <c r="BG25" i="44"/>
  <c r="BM24" i="44"/>
  <c r="BD21" i="44"/>
  <c r="AZ18" i="44"/>
  <c r="AV19" i="44"/>
  <c r="AS18" i="44"/>
  <c r="BQ19" i="44"/>
  <c r="BI24" i="44"/>
  <c r="BD16" i="44"/>
  <c r="AQ16" i="44"/>
  <c r="T13" i="44"/>
  <c r="BP20" i="44"/>
  <c r="AJ20" i="44"/>
  <c r="BI18" i="44"/>
  <c r="BQ18" i="44"/>
  <c r="BU24" i="46"/>
  <c r="BB10" i="44"/>
  <c r="BI10" i="44"/>
  <c r="AX10" i="44"/>
  <c r="AT23" i="44"/>
  <c r="AL18" i="44"/>
  <c r="AR11" i="44"/>
  <c r="AO19" i="44"/>
  <c r="DX16" i="44"/>
  <c r="BD24" i="46"/>
  <c r="BP24" i="46"/>
  <c r="AX24" i="46"/>
  <c r="AG17" i="44"/>
  <c r="BQ17" i="44"/>
  <c r="AX17" i="44"/>
  <c r="BR14" i="44"/>
  <c r="BH21" i="44"/>
  <c r="BA16" i="44"/>
  <c r="AR24" i="46"/>
  <c r="EG17" i="44"/>
  <c r="BP10" i="44"/>
  <c r="BB19" i="44"/>
  <c r="BJ19" i="44"/>
  <c r="ED18" i="44"/>
  <c r="BI25" i="46"/>
  <c r="T25" i="46"/>
  <c r="EA25" i="44"/>
  <c r="AX24" i="44"/>
  <c r="AU8" i="44"/>
  <c r="K9" i="44"/>
  <c r="DX9" i="44"/>
  <c r="AJ14" i="44"/>
  <c r="BU10" i="44"/>
  <c r="BA10" i="44"/>
  <c r="EG10" i="44"/>
  <c r="BS20" i="44"/>
  <c r="EA11" i="44"/>
  <c r="AZ24" i="44"/>
  <c r="AQ22" i="44"/>
  <c r="AS8" i="44"/>
  <c r="T14" i="44"/>
  <c r="BG10" i="44"/>
  <c r="BP13" i="44"/>
  <c r="AV9" i="44"/>
  <c r="AO24" i="44"/>
  <c r="AW13" i="44"/>
  <c r="AK25" i="46"/>
  <c r="AV20" i="44"/>
  <c r="ED19" i="44"/>
  <c r="BS19" i="44"/>
  <c r="BB25" i="44"/>
  <c r="BI25" i="44"/>
  <c r="K16" i="44"/>
  <c r="T8" i="44"/>
  <c r="BH13" i="44"/>
  <c r="K25" i="44"/>
  <c r="BM22" i="44"/>
  <c r="DX22" i="44"/>
  <c r="BI9" i="44"/>
  <c r="BB18" i="44"/>
  <c r="AR18" i="44"/>
  <c r="BJ9" i="44"/>
  <c r="EG18" i="44"/>
  <c r="BD25" i="46"/>
  <c r="BQ24" i="46"/>
  <c r="AU15" i="44"/>
  <c r="BP9" i="44"/>
  <c r="Q9" i="44"/>
  <c r="AW10" i="44"/>
  <c r="BM23" i="44"/>
  <c r="AV25" i="46"/>
  <c r="BM25" i="46"/>
  <c r="BR25" i="44"/>
  <c r="AL15" i="44"/>
  <c r="BA14" i="44"/>
  <c r="EG14" i="44"/>
  <c r="BB23" i="44"/>
  <c r="AP12" i="44"/>
  <c r="BS18" i="44"/>
  <c r="BS11" i="44"/>
  <c r="T25" i="44"/>
  <c r="EA8" i="44"/>
  <c r="EG24" i="46"/>
  <c r="AV24" i="46"/>
  <c r="ED13" i="44"/>
  <c r="BS14" i="44"/>
  <c r="BQ23" i="44"/>
  <c r="AV21" i="44"/>
  <c r="BD8" i="44"/>
  <c r="BF14" i="44"/>
  <c r="BU16" i="44"/>
  <c r="AR15" i="44"/>
  <c r="N19" i="44"/>
  <c r="BL24" i="44"/>
  <c r="BS24" i="44"/>
  <c r="K15" i="44"/>
  <c r="N17" i="44"/>
  <c r="AW14" i="44"/>
  <c r="BQ25" i="46"/>
  <c r="BR11" i="44"/>
  <c r="AM20" i="44"/>
  <c r="K20" i="44"/>
  <c r="AR19" i="44"/>
  <c r="BO16" i="44"/>
  <c r="BF16" i="44"/>
  <c r="AV16" i="44"/>
  <c r="AO15" i="44"/>
  <c r="N15" i="44"/>
  <c r="T15" i="44"/>
  <c r="AQ9" i="44"/>
  <c r="BG17" i="44"/>
  <c r="EA17" i="44"/>
  <c r="AM14" i="44"/>
  <c r="BQ14" i="44"/>
  <c r="AG18" i="44"/>
  <c r="BU25" i="46"/>
  <c r="AT24" i="44"/>
  <c r="BS22" i="44"/>
  <c r="DX13" i="44"/>
  <c r="BM17" i="44"/>
  <c r="EA10" i="44"/>
  <c r="BR20" i="44"/>
  <c r="BS25" i="46"/>
  <c r="BU25" i="44"/>
  <c r="BR24" i="44"/>
  <c r="EA24" i="44"/>
  <c r="AO8" i="44"/>
  <c r="AK8" i="44"/>
  <c r="ED24" i="46"/>
  <c r="AU13" i="44"/>
  <c r="AS13" i="44"/>
  <c r="BM13" i="44"/>
  <c r="AX13" i="44"/>
  <c r="BI15" i="44"/>
  <c r="AV17" i="44"/>
  <c r="AR14" i="44"/>
  <c r="AL14" i="44"/>
  <c r="T10" i="44"/>
  <c r="N23" i="44"/>
  <c r="AY18" i="44"/>
  <c r="AU18" i="44"/>
  <c r="BB25" i="46"/>
  <c r="AX25" i="44"/>
  <c r="AR25" i="44"/>
  <c r="T24" i="44"/>
  <c r="BK24" i="44"/>
  <c r="AG16" i="44"/>
  <c r="AR16" i="44"/>
  <c r="DX17" i="44"/>
  <c r="AV10" i="44"/>
  <c r="BP12" i="44"/>
  <c r="BN12" i="44"/>
  <c r="BJ12" i="44"/>
  <c r="AK12" i="44"/>
  <c r="ED12" i="44"/>
  <c r="AS11" i="44"/>
  <c r="BH25" i="46"/>
  <c r="AV25" i="44"/>
  <c r="BL25" i="44"/>
  <c r="DX21" i="44"/>
  <c r="Q16" i="44"/>
  <c r="BU15" i="44"/>
  <c r="AX15" i="44"/>
  <c r="BF17" i="44"/>
  <c r="BM12" i="44"/>
  <c r="EG11" i="44"/>
  <c r="Q25" i="44"/>
  <c r="DX25" i="44"/>
  <c r="BP22" i="44"/>
  <c r="BH22" i="44"/>
  <c r="AK22" i="44"/>
  <c r="BG18" i="44"/>
  <c r="T11" i="44"/>
  <c r="BF11" i="44"/>
  <c r="ED25" i="44"/>
  <c r="EG25" i="44"/>
  <c r="AK21" i="44"/>
  <c r="AW16" i="44"/>
  <c r="BP16" i="44"/>
  <c r="EG13" i="44"/>
  <c r="BU13" i="44"/>
  <c r="AZ23" i="44"/>
  <c r="BG16" i="44"/>
  <c r="BQ13" i="44"/>
  <c r="EG15" i="44"/>
  <c r="BI21" i="44"/>
  <c r="AW11" i="44"/>
  <c r="DX19" i="44"/>
  <c r="EG21" i="44"/>
  <c r="BA21" i="44"/>
  <c r="BL22" i="44"/>
  <c r="T22" i="44"/>
  <c r="AL13" i="44"/>
  <c r="BK23" i="44"/>
  <c r="AO13" i="44"/>
  <c r="AJ11" i="44"/>
  <c r="BB9" i="44"/>
  <c r="AX20" i="44"/>
  <c r="BM18" i="44"/>
  <c r="AP18" i="44"/>
  <c r="AY11" i="44"/>
  <c r="AM11" i="44"/>
  <c r="AU21" i="44"/>
  <c r="AT20" i="44"/>
  <c r="BN20" i="44"/>
  <c r="AM18" i="44"/>
  <c r="AG11" i="44"/>
  <c r="Q11" i="44"/>
  <c r="EG25" i="46"/>
  <c r="EA24" i="46"/>
  <c r="AO24" i="46"/>
  <c r="K24" i="46"/>
  <c r="BM24" i="46"/>
  <c r="AZ14" i="44"/>
  <c r="Q10" i="44"/>
  <c r="AM10" i="44"/>
  <c r="BR23" i="44"/>
  <c r="AM23" i="44"/>
  <c r="BC18" i="44"/>
  <c r="BN18" i="44"/>
  <c r="BF20" i="44"/>
  <c r="BA20" i="44"/>
  <c r="BI20" i="44"/>
  <c r="BF18" i="44"/>
  <c r="EA18" i="44"/>
  <c r="DX18" i="44"/>
  <c r="AU11" i="44"/>
  <c r="AR22" i="44"/>
  <c r="AL24" i="46"/>
  <c r="BO14" i="44"/>
  <c r="BK14" i="44"/>
  <c r="BP14" i="44"/>
  <c r="AT10" i="44"/>
  <c r="BS23" i="44"/>
  <c r="BF8" i="44"/>
  <c r="BR10" i="44"/>
  <c r="BO10" i="44"/>
  <c r="BQ10" i="44"/>
  <c r="AW25" i="46"/>
  <c r="BD19" i="44"/>
  <c r="AM24" i="46"/>
  <c r="AJ13" i="44"/>
  <c r="AX14" i="44"/>
  <c r="BI14" i="44"/>
  <c r="ED10" i="44"/>
  <c r="BS10" i="44"/>
  <c r="BH12" i="44"/>
  <c r="AM12" i="44"/>
  <c r="AO9" i="44"/>
  <c r="BS9" i="46"/>
  <c r="BJ11" i="46"/>
  <c r="BD18" i="46"/>
  <c r="AT11" i="44"/>
  <c r="BN11" i="44"/>
  <c r="BM19" i="44"/>
  <c r="BJ25" i="46"/>
  <c r="EA23" i="46"/>
  <c r="BN24" i="44"/>
  <c r="BK8" i="44"/>
  <c r="BZ40" i="46"/>
  <c r="N9" i="44"/>
  <c r="BD9" i="44"/>
  <c r="BJ14" i="44"/>
  <c r="AS12" i="44"/>
  <c r="EG16" i="46"/>
  <c r="BK16" i="46"/>
  <c r="BL18" i="46"/>
  <c r="BJ18" i="44"/>
  <c r="K11" i="44"/>
  <c r="AU19" i="44"/>
  <c r="AW23" i="46"/>
  <c r="BO25" i="44"/>
  <c r="AM21" i="44"/>
  <c r="AL24" i="44"/>
  <c r="BG22" i="44"/>
  <c r="BQ16" i="44"/>
  <c r="BS16" i="44"/>
  <c r="AP24" i="46"/>
  <c r="BG15" i="44"/>
  <c r="BF13" i="46"/>
  <c r="ED13" i="46"/>
  <c r="BS9" i="44"/>
  <c r="BO9" i="44"/>
  <c r="AY23" i="44"/>
  <c r="BK18" i="46"/>
  <c r="BH17" i="46"/>
  <c r="BJ10" i="46"/>
  <c r="ED18" i="46"/>
  <c r="BL11" i="44"/>
  <c r="BN25" i="44"/>
  <c r="BA25" i="44"/>
  <c r="BJ21" i="44"/>
  <c r="ED21" i="44"/>
  <c r="BN16" i="44"/>
  <c r="BO24" i="46"/>
  <c r="BF24" i="46"/>
  <c r="AZ13" i="46"/>
  <c r="BU9" i="44"/>
  <c r="BC14" i="44"/>
  <c r="AG21" i="46"/>
  <c r="BJ10" i="44"/>
  <c r="T23" i="44"/>
  <c r="BC12" i="44"/>
  <c r="BK12" i="44"/>
  <c r="T12" i="44"/>
  <c r="AZ12" i="44"/>
  <c r="BJ16" i="46"/>
  <c r="BN16" i="46"/>
  <c r="BK17" i="46"/>
  <c r="BL18" i="44"/>
  <c r="BJ11" i="44"/>
  <c r="BH25" i="44"/>
  <c r="AT25" i="44"/>
  <c r="BK16" i="44"/>
  <c r="BN24" i="46"/>
  <c r="BC13" i="44"/>
  <c r="AP13" i="46"/>
  <c r="BQ13" i="46"/>
  <c r="BJ13" i="46"/>
  <c r="BK14" i="46"/>
  <c r="BN9" i="44"/>
  <c r="BK9" i="44"/>
  <c r="AP9" i="44"/>
  <c r="BM10" i="44"/>
  <c r="AR10" i="44"/>
  <c r="AP23" i="44"/>
  <c r="BP23" i="44"/>
  <c r="AV12" i="44"/>
  <c r="AP17" i="46"/>
  <c r="Q18" i="44"/>
  <c r="BR19" i="46"/>
  <c r="BA17" i="46"/>
  <c r="AK17" i="46"/>
  <c r="BL17" i="46"/>
  <c r="BB18" i="46"/>
  <c r="BB11" i="44"/>
  <c r="AU22" i="46"/>
  <c r="AU25" i="46"/>
  <c r="BF25" i="44"/>
  <c r="AM24" i="44"/>
  <c r="BB22" i="44"/>
  <c r="BB16" i="44"/>
  <c r="BJ16" i="44"/>
  <c r="BR16" i="44"/>
  <c r="AJ8" i="44"/>
  <c r="DT40" i="44"/>
  <c r="CJ40" i="44"/>
  <c r="ET40" i="44"/>
  <c r="BK24" i="46"/>
  <c r="AR13" i="44"/>
  <c r="BS13" i="44"/>
  <c r="K8" i="46"/>
  <c r="AR8" i="46"/>
  <c r="AM15" i="44"/>
  <c r="BC13" i="46"/>
  <c r="BN13" i="46"/>
  <c r="BJ14" i="46"/>
  <c r="ED14" i="46"/>
  <c r="BQ9" i="44"/>
  <c r="EA9" i="44"/>
  <c r="BF9" i="44"/>
  <c r="BC17" i="44"/>
  <c r="BU14" i="44"/>
  <c r="BO23" i="44"/>
  <c r="BG15" i="46"/>
  <c r="ED15" i="46"/>
  <c r="BU12" i="44"/>
  <c r="BS12" i="44"/>
  <c r="AO12" i="44"/>
  <c r="DX12" i="44"/>
  <c r="BJ17" i="46"/>
  <c r="BI11" i="44"/>
  <c r="AG25" i="46"/>
  <c r="BN25" i="46"/>
  <c r="BJ25" i="44"/>
  <c r="BJ24" i="44"/>
  <c r="BL16" i="44"/>
  <c r="BU12" i="46"/>
  <c r="BO13" i="46"/>
  <c r="BD21" i="46"/>
  <c r="BN10" i="44"/>
  <c r="BU16" i="46"/>
  <c r="AS10" i="46"/>
  <c r="AQ19" i="46"/>
  <c r="BC11" i="46"/>
  <c r="BD17" i="46"/>
  <c r="BS17" i="46"/>
  <c r="AM20" i="46"/>
  <c r="BU11" i="44"/>
  <c r="EA19" i="44"/>
  <c r="BG25" i="46"/>
  <c r="AL25" i="46"/>
  <c r="BK25" i="46"/>
  <c r="BL25" i="46"/>
  <c r="AK24" i="44"/>
  <c r="BC24" i="44"/>
  <c r="Q24" i="44"/>
  <c r="AJ22" i="44"/>
  <c r="BC16" i="44"/>
  <c r="BN13" i="44"/>
  <c r="BH8" i="46"/>
  <c r="BK17" i="44"/>
  <c r="AZ17" i="44"/>
  <c r="AT14" i="44"/>
  <c r="BI23" i="44"/>
  <c r="AW12" i="44"/>
  <c r="BL12" i="44"/>
  <c r="DX16" i="46"/>
  <c r="BC20" i="44"/>
  <c r="BK21" i="44"/>
  <c r="AO11" i="46"/>
  <c r="DX20" i="44"/>
  <c r="N18" i="46"/>
  <c r="AK11" i="44"/>
  <c r="BP11" i="44"/>
  <c r="BK11" i="44"/>
  <c r="AT25" i="46"/>
  <c r="BO25" i="46"/>
  <c r="BP25" i="44"/>
  <c r="BU9" i="46"/>
  <c r="BP9" i="46"/>
  <c r="BO9" i="46"/>
  <c r="BL24" i="46"/>
  <c r="BL13" i="44"/>
  <c r="BK13" i="44"/>
  <c r="AZ12" i="46"/>
  <c r="BB12" i="46"/>
  <c r="BN14" i="46"/>
  <c r="AL9" i="44"/>
  <c r="AT17" i="44"/>
  <c r="BO17" i="44"/>
  <c r="AS17" i="44"/>
  <c r="K14" i="44"/>
  <c r="BG14" i="44"/>
  <c r="AP21" i="46"/>
  <c r="BL23" i="44"/>
  <c r="BN23" i="44"/>
  <c r="BC23" i="44"/>
  <c r="BO24" i="44"/>
  <c r="BF11" i="46"/>
  <c r="AU19" i="46"/>
  <c r="BA19" i="46"/>
  <c r="AS19" i="46"/>
  <c r="BF19" i="46"/>
  <c r="BK20" i="44"/>
  <c r="BR10" i="46"/>
  <c r="BN10" i="46"/>
  <c r="BG18" i="46"/>
  <c r="AR25" i="46"/>
  <c r="EA25" i="46"/>
  <c r="BI23" i="46"/>
  <c r="AR21" i="44"/>
  <c r="BP21" i="44"/>
  <c r="BP24" i="44"/>
  <c r="AY8" i="44"/>
  <c r="BQ8" i="44"/>
  <c r="BD13" i="44"/>
  <c r="BO15" i="44"/>
  <c r="BL9" i="44"/>
  <c r="BL17" i="44"/>
  <c r="AK15" i="46"/>
  <c r="BR15" i="46"/>
  <c r="EG15" i="46"/>
  <c r="BO12" i="44"/>
  <c r="BF12" i="44"/>
  <c r="BF20" i="46"/>
  <c r="BK11" i="46"/>
  <c r="BS19" i="46"/>
  <c r="BL19" i="46"/>
  <c r="BJ20" i="44"/>
  <c r="AR17" i="46"/>
  <c r="BK20" i="46"/>
  <c r="BP20" i="46"/>
  <c r="AX20" i="46"/>
  <c r="K18" i="44"/>
  <c r="BR18" i="44"/>
  <c r="BL10" i="46"/>
  <c r="BP10" i="46"/>
  <c r="BP22" i="46"/>
  <c r="BS22" i="46"/>
  <c r="BC22" i="46"/>
  <c r="BI22" i="46"/>
  <c r="BF19" i="44"/>
  <c r="BC23" i="46"/>
  <c r="BF9" i="46"/>
  <c r="BJ9" i="46"/>
  <c r="AO9" i="46"/>
  <c r="K24" i="44"/>
  <c r="BO22" i="44"/>
  <c r="BM16" i="44"/>
  <c r="BL8" i="44"/>
  <c r="BO13" i="44"/>
  <c r="EA13" i="44"/>
  <c r="AK14" i="46"/>
  <c r="BF14" i="46"/>
  <c r="EA14" i="46"/>
  <c r="BO14" i="46"/>
  <c r="AU14" i="46"/>
  <c r="BJ17" i="44"/>
  <c r="BR17" i="44"/>
  <c r="AL17" i="44"/>
  <c r="AS14" i="44"/>
  <c r="BB14" i="44"/>
  <c r="K15" i="46"/>
  <c r="AX15" i="46"/>
  <c r="BC15" i="46"/>
  <c r="AJ12" i="44"/>
  <c r="BU11" i="46"/>
  <c r="AJ19" i="46"/>
  <c r="BO19" i="46"/>
  <c r="BO20" i="46"/>
  <c r="BI10" i="46"/>
  <c r="AW10" i="46"/>
  <c r="AU10" i="46"/>
  <c r="AO22" i="46"/>
  <c r="BJ22" i="46"/>
  <c r="ED25" i="46"/>
  <c r="AL25" i="44"/>
  <c r="BB9" i="46"/>
  <c r="AY22" i="44"/>
  <c r="AU22" i="44"/>
  <c r="BG24" i="46"/>
  <c r="AP13" i="44"/>
  <c r="BR13" i="44"/>
  <c r="BJ13" i="44"/>
  <c r="BH12" i="46"/>
  <c r="BC12" i="46"/>
  <c r="AO12" i="46"/>
  <c r="AY13" i="46"/>
  <c r="BU13" i="46"/>
  <c r="BL14" i="46"/>
  <c r="AU9" i="44"/>
  <c r="AO17" i="44"/>
  <c r="T17" i="44"/>
  <c r="BP17" i="44"/>
  <c r="BU17" i="44"/>
  <c r="BL21" i="46"/>
  <c r="BP21" i="46"/>
  <c r="AU10" i="44"/>
  <c r="K23" i="44"/>
  <c r="BF15" i="46"/>
  <c r="BD15" i="46"/>
  <c r="BU24" i="44"/>
  <c r="ED20" i="44"/>
  <c r="ED11" i="46"/>
  <c r="BP11" i="46"/>
  <c r="BQ19" i="46"/>
  <c r="ED19" i="46"/>
  <c r="BN19" i="46"/>
  <c r="BU20" i="46"/>
  <c r="BN20" i="46"/>
  <c r="AU20" i="46"/>
  <c r="AP10" i="46"/>
  <c r="DX10" i="46"/>
  <c r="BH10" i="46"/>
  <c r="AZ22" i="46"/>
  <c r="BN22" i="46"/>
  <c r="AJ19" i="44"/>
  <c r="EG19" i="44"/>
  <c r="AZ25" i="46"/>
  <c r="AJ23" i="46"/>
  <c r="BM9" i="46"/>
  <c r="AY9" i="46"/>
  <c r="EG9" i="46"/>
  <c r="AS22" i="44"/>
  <c r="AP22" i="44"/>
  <c r="ED22" i="44"/>
  <c r="BG8" i="44"/>
  <c r="BC8" i="44"/>
  <c r="BB13" i="44"/>
  <c r="AU12" i="46"/>
  <c r="T12" i="46"/>
  <c r="BQ15" i="44"/>
  <c r="AG15" i="44"/>
  <c r="BF15" i="44"/>
  <c r="BB15" i="44"/>
  <c r="AU13" i="46"/>
  <c r="AP14" i="46"/>
  <c r="AR17" i="44"/>
  <c r="BN21" i="46"/>
  <c r="BS21" i="46"/>
  <c r="N15" i="46"/>
  <c r="AK16" i="46"/>
  <c r="BK19" i="46"/>
  <c r="BN17" i="46"/>
  <c r="BU19" i="46"/>
  <c r="AG20" i="46"/>
  <c r="BR18" i="46"/>
  <c r="BN18" i="46"/>
  <c r="AV18" i="46"/>
  <c r="BC11" i="44"/>
  <c r="BG11" i="44"/>
  <c r="BO11" i="44"/>
  <c r="BF22" i="46"/>
  <c r="BU22" i="46"/>
  <c r="AJ22" i="46"/>
  <c r="AS19" i="44"/>
  <c r="BL9" i="46"/>
  <c r="BQ9" i="46"/>
  <c r="AL9" i="46"/>
  <c r="T9" i="46"/>
  <c r="BQ22" i="44"/>
  <c r="BN22" i="44"/>
  <c r="AY24" i="46"/>
  <c r="N24" i="46"/>
  <c r="AY13" i="44"/>
  <c r="AQ12" i="46"/>
  <c r="BN12" i="46"/>
  <c r="Q12" i="46"/>
  <c r="BN15" i="44"/>
  <c r="BL15" i="44"/>
  <c r="BM15" i="44"/>
  <c r="BR15" i="44"/>
  <c r="BU14" i="46"/>
  <c r="BN17" i="44"/>
  <c r="DX21" i="46"/>
  <c r="ED23" i="44"/>
  <c r="BQ15" i="46"/>
  <c r="BO15" i="46"/>
  <c r="ED23" i="46"/>
  <c r="BP17" i="46"/>
  <c r="AG11" i="46"/>
  <c r="AY11" i="46"/>
  <c r="BH19" i="46"/>
  <c r="AO19" i="46"/>
  <c r="AO20" i="44"/>
  <c r="N20" i="44"/>
  <c r="BM20" i="44"/>
  <c r="BH20" i="44"/>
  <c r="BG20" i="46"/>
  <c r="K20" i="46"/>
  <c r="BL20" i="46"/>
  <c r="AY10" i="46"/>
  <c r="BO10" i="46"/>
  <c r="BO18" i="46"/>
  <c r="BS18" i="46"/>
  <c r="BU18" i="46"/>
  <c r="BQ18" i="46"/>
  <c r="ED22" i="46"/>
  <c r="BO22" i="46"/>
  <c r="BP25" i="46"/>
  <c r="N25" i="46"/>
  <c r="BO23" i="46"/>
  <c r="BL23" i="46"/>
  <c r="BK25" i="44"/>
  <c r="BN9" i="46"/>
  <c r="BO21" i="44"/>
  <c r="BR21" i="44"/>
  <c r="AX22" i="44"/>
  <c r="BK22" i="44"/>
  <c r="AW8" i="44"/>
  <c r="Q24" i="46"/>
  <c r="BI13" i="44"/>
  <c r="EA12" i="46"/>
  <c r="BF12" i="46"/>
  <c r="BJ12" i="46"/>
  <c r="AV12" i="46"/>
  <c r="BM13" i="46"/>
  <c r="BB17" i="44"/>
  <c r="AM17" i="44"/>
  <c r="BN14" i="44"/>
  <c r="BJ21" i="46"/>
  <c r="AQ10" i="44"/>
  <c r="BF10" i="44"/>
  <c r="BU23" i="44"/>
  <c r="T15" i="46"/>
  <c r="BN15" i="46"/>
  <c r="AQ12" i="44"/>
  <c r="AP16" i="46"/>
  <c r="T11" i="46"/>
  <c r="AX19" i="46"/>
  <c r="BP19" i="46"/>
  <c r="AY17" i="46"/>
  <c r="BJ19" i="46"/>
  <c r="BQ20" i="44"/>
  <c r="AR20" i="44"/>
  <c r="BL20" i="44"/>
  <c r="AT18" i="44"/>
  <c r="T18" i="46"/>
  <c r="AV22" i="46"/>
  <c r="BL19" i="44"/>
  <c r="AG19" i="44"/>
  <c r="BF23" i="46"/>
  <c r="BR23" i="46"/>
  <c r="BN23" i="46"/>
  <c r="BK23" i="46"/>
  <c r="BD25" i="44"/>
  <c r="AP9" i="46"/>
  <c r="BC9" i="46"/>
  <c r="BK9" i="46"/>
  <c r="BN21" i="44"/>
  <c r="N21" i="44"/>
  <c r="BS21" i="44"/>
  <c r="BU21" i="44"/>
  <c r="BL21" i="44"/>
  <c r="BF24" i="44"/>
  <c r="BJ22" i="44"/>
  <c r="BF22" i="44"/>
  <c r="BH24" i="46"/>
  <c r="BJ24" i="46"/>
  <c r="AY12" i="46"/>
  <c r="ED12" i="46"/>
  <c r="AV15" i="44"/>
  <c r="AT15" i="44"/>
  <c r="BS13" i="46"/>
  <c r="BP14" i="46"/>
  <c r="AT9" i="44"/>
  <c r="BB21" i="46"/>
  <c r="BK21" i="46"/>
  <c r="AZ21" i="46"/>
  <c r="ED21" i="46"/>
  <c r="AK21" i="46"/>
  <c r="BJ15" i="46"/>
  <c r="AV15" i="46"/>
  <c r="BB15" i="46"/>
  <c r="BR12" i="44"/>
  <c r="BP16" i="46"/>
  <c r="AR11" i="46"/>
  <c r="AG19" i="46"/>
  <c r="BO20" i="44"/>
  <c r="AX17" i="46"/>
  <c r="BU18" i="44"/>
  <c r="BP18" i="44"/>
  <c r="T18" i="44"/>
  <c r="K18" i="46"/>
  <c r="BJ18" i="46"/>
  <c r="BM11" i="44"/>
  <c r="AM22" i="46"/>
  <c r="BK19" i="44"/>
  <c r="BO19" i="44"/>
  <c r="AX19" i="44"/>
  <c r="BI19" i="44"/>
  <c r="BP23" i="46"/>
  <c r="BH23" i="46"/>
  <c r="DX23" i="46"/>
  <c r="K21" i="44"/>
  <c r="AL21" i="44"/>
  <c r="EA21" i="44"/>
  <c r="BU22" i="44"/>
  <c r="EG16" i="44"/>
  <c r="AS16" i="44"/>
  <c r="AU24" i="46"/>
  <c r="AT24" i="46"/>
  <c r="BJ8" i="46"/>
  <c r="AJ15" i="44"/>
  <c r="BJ15" i="44"/>
  <c r="BK15" i="44"/>
  <c r="BF21" i="46"/>
  <c r="AS21" i="46"/>
  <c r="BJ23" i="44"/>
  <c r="Q15" i="46"/>
  <c r="AP20" i="44"/>
  <c r="T20" i="44"/>
  <c r="AY20" i="44"/>
  <c r="AW18" i="44"/>
  <c r="BK10" i="46"/>
  <c r="AQ18" i="46"/>
  <c r="AG18" i="46"/>
  <c r="AS22" i="46"/>
  <c r="BK22" i="46"/>
  <c r="BB22" i="46"/>
  <c r="BM22" i="46"/>
  <c r="AZ19" i="44"/>
  <c r="BR19" i="44"/>
  <c r="BN19" i="44"/>
  <c r="BU23" i="46"/>
  <c r="EG23" i="46"/>
  <c r="BJ23" i="46"/>
  <c r="AO25" i="44"/>
  <c r="AM9" i="46"/>
  <c r="BF21" i="44"/>
  <c r="AY24" i="44"/>
  <c r="BC22" i="44"/>
  <c r="K22" i="44"/>
  <c r="BR22" i="44"/>
  <c r="EG12" i="46"/>
  <c r="AL12" i="46"/>
  <c r="AY15" i="44"/>
  <c r="EA15" i="44"/>
  <c r="BB14" i="46"/>
  <c r="BD14" i="44"/>
  <c r="BO21" i="46"/>
  <c r="K10" i="44"/>
  <c r="AZ10" i="44"/>
  <c r="AU12" i="44"/>
  <c r="EA19" i="46"/>
  <c r="AZ20" i="44"/>
  <c r="BB20" i="44"/>
  <c r="EA20" i="44"/>
  <c r="BA18" i="44"/>
  <c r="BO18" i="44"/>
  <c r="BK18" i="44"/>
  <c r="BF18" i="46"/>
  <c r="BP19" i="44"/>
  <c r="BG19" i="44"/>
  <c r="AV23" i="46"/>
  <c r="AK25" i="44"/>
  <c r="Q22" i="44"/>
  <c r="AL22" i="44"/>
  <c r="BA22" i="44"/>
  <c r="BH8" i="44"/>
  <c r="BK12" i="46"/>
  <c r="AR12" i="46"/>
  <c r="BG8" i="46"/>
  <c r="AQ15" i="44"/>
  <c r="Q15" i="44"/>
  <c r="AQ14" i="44"/>
  <c r="Q14" i="44"/>
  <c r="BL14" i="44"/>
  <c r="EA14" i="44"/>
  <c r="AO14" i="44"/>
  <c r="BC21" i="46"/>
  <c r="BQ21" i="46"/>
  <c r="BL10" i="44"/>
  <c r="BK10" i="44"/>
  <c r="AX23" i="44"/>
  <c r="BL15" i="46"/>
  <c r="AZ24" i="46"/>
  <c r="L40" i="46"/>
  <c r="AO10" i="46"/>
  <c r="GQ40" i="44"/>
  <c r="GR40" i="46"/>
  <c r="AT11" i="46"/>
  <c r="CV40" i="46"/>
  <c r="AP8" i="44"/>
  <c r="EC40" i="44"/>
  <c r="Q22" i="46"/>
  <c r="GP40" i="44"/>
  <c r="CY40" i="46"/>
  <c r="AW21" i="46"/>
  <c r="BG20" i="44"/>
  <c r="CF40" i="44"/>
  <c r="BA13" i="44"/>
  <c r="CP40" i="46"/>
  <c r="AU15" i="46"/>
  <c r="AW16" i="46"/>
  <c r="AL20" i="44"/>
  <c r="Q17" i="46"/>
  <c r="AJ20" i="46"/>
  <c r="AQ20" i="46"/>
  <c r="AX18" i="44"/>
  <c r="BA10" i="46"/>
  <c r="AP11" i="44"/>
  <c r="BA11" i="44"/>
  <c r="AS25" i="46"/>
  <c r="AS9" i="46"/>
  <c r="AP21" i="44"/>
  <c r="AP24" i="44"/>
  <c r="V40" i="44"/>
  <c r="CP40" i="44"/>
  <c r="FC40" i="44"/>
  <c r="I40" i="44"/>
  <c r="FO40" i="44"/>
  <c r="FT40" i="44"/>
  <c r="CR40" i="44"/>
  <c r="AG13" i="44"/>
  <c r="BG12" i="46"/>
  <c r="CQ40" i="46"/>
  <c r="GO40" i="46"/>
  <c r="GD40" i="46"/>
  <c r="CZ40" i="46"/>
  <c r="EI40" i="46"/>
  <c r="R40" i="46"/>
  <c r="DW40" i="46"/>
  <c r="BA15" i="44"/>
  <c r="AL14" i="46"/>
  <c r="AY17" i="44"/>
  <c r="AP14" i="44"/>
  <c r="AU14" i="44"/>
  <c r="BF23" i="44"/>
  <c r="Q23" i="44"/>
  <c r="AL15" i="46"/>
  <c r="FS40" i="44"/>
  <c r="FU40" i="46"/>
  <c r="BH9" i="44"/>
  <c r="BC25" i="44"/>
  <c r="CS40" i="44"/>
  <c r="GH40" i="46"/>
  <c r="AP22" i="46"/>
  <c r="AD40" i="44"/>
  <c r="GQ40" i="46"/>
  <c r="ET40" i="46"/>
  <c r="BD13" i="46"/>
  <c r="AS21" i="44"/>
  <c r="AZ16" i="44"/>
  <c r="AB40" i="44"/>
  <c r="W40" i="46"/>
  <c r="AP17" i="44"/>
  <c r="BG17" i="46"/>
  <c r="BA9" i="46"/>
  <c r="FA40" i="44"/>
  <c r="BC14" i="46"/>
  <c r="AS20" i="44"/>
  <c r="BH19" i="44"/>
  <c r="BC21" i="44"/>
  <c r="CE40" i="44"/>
  <c r="AF40" i="46"/>
  <c r="AK19" i="46"/>
  <c r="AL19" i="46"/>
  <c r="BD20" i="44"/>
  <c r="AK20" i="46"/>
  <c r="AL20" i="46"/>
  <c r="AK18" i="44"/>
  <c r="BC10" i="46"/>
  <c r="AS18" i="46"/>
  <c r="AK18" i="46"/>
  <c r="K19" i="44"/>
  <c r="AO25" i="46"/>
  <c r="AM25" i="46"/>
  <c r="BS23" i="46"/>
  <c r="AY25" i="44"/>
  <c r="BG21" i="44"/>
  <c r="BB24" i="44"/>
  <c r="AO16" i="44"/>
  <c r="EZ40" i="44"/>
  <c r="AA40" i="44"/>
  <c r="EU40" i="44"/>
  <c r="DZ40" i="44"/>
  <c r="DG40" i="44"/>
  <c r="DB40" i="44"/>
  <c r="FB40" i="44"/>
  <c r="DX24" i="46"/>
  <c r="BD12" i="46"/>
  <c r="J40" i="46"/>
  <c r="FX40" i="46"/>
  <c r="FR40" i="46"/>
  <c r="DD40" i="46"/>
  <c r="EQ40" i="46"/>
  <c r="CW40" i="46"/>
  <c r="EB40" i="46"/>
  <c r="AS15" i="44"/>
  <c r="AO14" i="46"/>
  <c r="BA17" i="44"/>
  <c r="BH17" i="44"/>
  <c r="AK23" i="44"/>
  <c r="AQ15" i="46"/>
  <c r="AY10" i="44"/>
  <c r="EM40" i="44"/>
  <c r="FO40" i="46"/>
  <c r="BG14" i="46"/>
  <c r="AJ10" i="46"/>
  <c r="DE40" i="44"/>
  <c r="CS40" i="46"/>
  <c r="BS11" i="46"/>
  <c r="AP25" i="46"/>
  <c r="P40" i="44"/>
  <c r="AU23" i="44"/>
  <c r="AR23" i="46"/>
  <c r="BG23" i="46"/>
  <c r="FN40" i="46"/>
  <c r="DI40" i="44"/>
  <c r="BF10" i="46"/>
  <c r="AY18" i="46"/>
  <c r="BD22" i="46"/>
  <c r="AQ19" i="44"/>
  <c r="BC25" i="46"/>
  <c r="BS25" i="44"/>
  <c r="ED9" i="46"/>
  <c r="AW9" i="46"/>
  <c r="AG21" i="44"/>
  <c r="BA24" i="44"/>
  <c r="AQ24" i="44"/>
  <c r="AG22" i="44"/>
  <c r="BH16" i="44"/>
  <c r="AL8" i="44"/>
  <c r="GH40" i="44"/>
  <c r="GN40" i="44"/>
  <c r="CI40" i="44"/>
  <c r="DY40" i="44"/>
  <c r="R40" i="44"/>
  <c r="EV40" i="44"/>
  <c r="CC40" i="44"/>
  <c r="BF13" i="44"/>
  <c r="AV13" i="44"/>
  <c r="BQ8" i="46"/>
  <c r="AA40" i="46"/>
  <c r="DC40" i="46"/>
  <c r="DM40" i="46"/>
  <c r="CF40" i="46"/>
  <c r="U40" i="46"/>
  <c r="M40" i="46"/>
  <c r="DN40" i="46"/>
  <c r="DA40" i="46"/>
  <c r="BI13" i="46"/>
  <c r="BC9" i="44"/>
  <c r="AL21" i="46"/>
  <c r="BC10" i="44"/>
  <c r="AJ23" i="44"/>
  <c r="AG15" i="46"/>
  <c r="EH40" i="46"/>
  <c r="CW40" i="44"/>
  <c r="BD20" i="46"/>
  <c r="CM40" i="44"/>
  <c r="DP40" i="46"/>
  <c r="AL22" i="46"/>
  <c r="BG24" i="44"/>
  <c r="AF40" i="44"/>
  <c r="ER40" i="46"/>
  <c r="DV40" i="44"/>
  <c r="DJ40" i="46"/>
  <c r="CL40" i="44"/>
  <c r="BD12" i="44"/>
  <c r="AS20" i="46"/>
  <c r="AJ24" i="44"/>
  <c r="GG40" i="44"/>
  <c r="AQ23" i="44"/>
  <c r="BH11" i="46"/>
  <c r="EK40" i="44"/>
  <c r="Q20" i="44"/>
  <c r="BA20" i="46"/>
  <c r="AO18" i="44"/>
  <c r="AU18" i="46"/>
  <c r="BH22" i="46"/>
  <c r="AP19" i="44"/>
  <c r="AU23" i="46"/>
  <c r="BD9" i="46"/>
  <c r="BB21" i="44"/>
  <c r="AS24" i="44"/>
  <c r="BI8" i="44"/>
  <c r="AE40" i="44"/>
  <c r="GM40" i="44"/>
  <c r="EO40" i="44"/>
  <c r="GA40" i="44"/>
  <c r="GJ40" i="44"/>
  <c r="CV40" i="44"/>
  <c r="DN40" i="44"/>
  <c r="BS24" i="46"/>
  <c r="CC40" i="46"/>
  <c r="FV40" i="46"/>
  <c r="CO40" i="46"/>
  <c r="FW40" i="46"/>
  <c r="EK40" i="46"/>
  <c r="DZ40" i="46"/>
  <c r="DG40" i="46"/>
  <c r="AI40" i="46"/>
  <c r="AJ14" i="46"/>
  <c r="AY14" i="46"/>
  <c r="AQ21" i="46"/>
  <c r="AO15" i="46"/>
  <c r="CA40" i="44"/>
  <c r="H40" i="46"/>
  <c r="EE40" i="44"/>
  <c r="CI40" i="46"/>
  <c r="AJ25" i="46"/>
  <c r="DK40" i="46"/>
  <c r="I40" i="46"/>
  <c r="AO23" i="44"/>
  <c r="BJ8" i="44"/>
  <c r="P40" i="46"/>
  <c r="AJ25" i="44"/>
  <c r="AM16" i="44"/>
  <c r="DO40" i="44"/>
  <c r="BM8" i="46"/>
  <c r="GF40" i="46"/>
  <c r="AQ11" i="46"/>
  <c r="BB20" i="46"/>
  <c r="BD11" i="44"/>
  <c r="BC19" i="44"/>
  <c r="K9" i="46"/>
  <c r="AM22" i="44"/>
  <c r="AU16" i="44"/>
  <c r="AP16" i="44"/>
  <c r="BN8" i="44"/>
  <c r="DL40" i="44"/>
  <c r="DD40" i="44"/>
  <c r="FR40" i="44"/>
  <c r="FY40" i="44"/>
  <c r="ES40" i="44"/>
  <c r="CU40" i="44"/>
  <c r="CD40" i="44"/>
  <c r="BB24" i="46"/>
  <c r="AT13" i="44"/>
  <c r="AP12" i="46"/>
  <c r="AM8" i="46"/>
  <c r="BO8" i="46"/>
  <c r="CK40" i="46"/>
  <c r="FP40" i="46"/>
  <c r="EC40" i="46"/>
  <c r="DR40" i="46"/>
  <c r="DQ40" i="46"/>
  <c r="ES40" i="46"/>
  <c r="AE40" i="46"/>
  <c r="G40" i="46"/>
  <c r="BB13" i="46"/>
  <c r="BA14" i="46"/>
  <c r="BA9" i="44"/>
  <c r="AJ17" i="44"/>
  <c r="BA21" i="46"/>
  <c r="BA23" i="44"/>
  <c r="BG23" i="44"/>
  <c r="GE40" i="44"/>
  <c r="GS40" i="46"/>
  <c r="FF40" i="46"/>
  <c r="DJ40" i="44"/>
  <c r="BX40" i="46"/>
  <c r="AC40" i="44"/>
  <c r="AW15" i="46"/>
  <c r="DK40" i="44"/>
  <c r="BR24" i="46"/>
  <c r="FC40" i="46"/>
  <c r="BG10" i="46"/>
  <c r="FD40" i="46"/>
  <c r="GT40" i="44"/>
  <c r="FZ40" i="46"/>
  <c r="BH18" i="46"/>
  <c r="AL11" i="44"/>
  <c r="AM19" i="44"/>
  <c r="AW25" i="44"/>
  <c r="AU24" i="44"/>
  <c r="BD24" i="44"/>
  <c r="AW22" i="44"/>
  <c r="Q8" i="44"/>
  <c r="DS40" i="44"/>
  <c r="ER40" i="44"/>
  <c r="BX40" i="44"/>
  <c r="GI40" i="44"/>
  <c r="Y40" i="44"/>
  <c r="DM40" i="44"/>
  <c r="G40" i="44"/>
  <c r="BC24" i="46"/>
  <c r="AG24" i="46"/>
  <c r="BG13" i="44"/>
  <c r="AJ12" i="46"/>
  <c r="CJ40" i="46"/>
  <c r="V40" i="46"/>
  <c r="GC40" i="46"/>
  <c r="AD40" i="46"/>
  <c r="CE40" i="46"/>
  <c r="FS40" i="46"/>
  <c r="FJ40" i="46"/>
  <c r="DH40" i="46"/>
  <c r="BH15" i="44"/>
  <c r="AS9" i="44"/>
  <c r="AK10" i="44"/>
  <c r="AS23" i="44"/>
  <c r="AL23" i="44"/>
  <c r="AV22" i="44"/>
  <c r="Z40" i="44"/>
  <c r="GA40" i="46"/>
  <c r="BC15" i="44"/>
  <c r="GC40" i="44"/>
  <c r="AK13" i="44"/>
  <c r="AL17" i="46"/>
  <c r="AQ18" i="44"/>
  <c r="DF40" i="46"/>
  <c r="FE40" i="46"/>
  <c r="AW18" i="46"/>
  <c r="AJ8" i="46"/>
  <c r="CX40" i="44"/>
  <c r="BR8" i="46"/>
  <c r="AY20" i="46"/>
  <c r="CB40" i="44"/>
  <c r="AW14" i="46"/>
  <c r="AQ20" i="44"/>
  <c r="BH20" i="46"/>
  <c r="AX10" i="46"/>
  <c r="AY22" i="46"/>
  <c r="N22" i="46"/>
  <c r="AY19" i="44"/>
  <c r="AU9" i="46"/>
  <c r="AO21" i="44"/>
  <c r="ED8" i="44"/>
  <c r="BB8" i="44"/>
  <c r="FZ40" i="44"/>
  <c r="CH40" i="44"/>
  <c r="GF40" i="44"/>
  <c r="X40" i="44"/>
  <c r="EB40" i="44"/>
  <c r="FX40" i="44"/>
  <c r="CK40" i="44"/>
  <c r="Q13" i="44"/>
  <c r="DL40" i="46"/>
  <c r="DB40" i="46"/>
  <c r="FG40" i="46"/>
  <c r="FB40" i="46"/>
  <c r="DT40" i="46"/>
  <c r="EV40" i="46"/>
  <c r="S40" i="46"/>
  <c r="CT40" i="46"/>
  <c r="AK13" i="46"/>
  <c r="AR13" i="46"/>
  <c r="AQ14" i="46"/>
  <c r="AK17" i="44"/>
  <c r="BG21" i="46"/>
  <c r="AU16" i="46"/>
  <c r="GD40" i="44"/>
  <c r="DY40" i="46"/>
  <c r="DW40" i="44"/>
  <c r="BZ40" i="44"/>
  <c r="GG40" i="46"/>
  <c r="AU20" i="44"/>
  <c r="AX11" i="44"/>
  <c r="EJ40" i="44"/>
  <c r="BG19" i="46"/>
  <c r="CQ40" i="44"/>
  <c r="X40" i="46"/>
  <c r="AU21" i="46"/>
  <c r="AQ25" i="46"/>
  <c r="U40" i="44"/>
  <c r="AQ13" i="44"/>
  <c r="AY14" i="44"/>
  <c r="AS17" i="46"/>
  <c r="AP18" i="46"/>
  <c r="BH11" i="44"/>
  <c r="AQ25" i="44"/>
  <c r="AP25" i="44"/>
  <c r="AX8" i="44"/>
  <c r="GO40" i="44"/>
  <c r="DH40" i="44"/>
  <c r="EF40" i="44"/>
  <c r="J40" i="44"/>
  <c r="EY40" i="44"/>
  <c r="CY40" i="44"/>
  <c r="EL40" i="44"/>
  <c r="AQ24" i="46"/>
  <c r="T24" i="46"/>
  <c r="AP8" i="46"/>
  <c r="EU40" i="46"/>
  <c r="EM40" i="46"/>
  <c r="GB40" i="46"/>
  <c r="CN40" i="46"/>
  <c r="GM40" i="46"/>
  <c r="BY40" i="46"/>
  <c r="Z40" i="46"/>
  <c r="CA40" i="46"/>
  <c r="AW17" i="44"/>
  <c r="BH10" i="44"/>
  <c r="BS16" i="46"/>
  <c r="GS40" i="44"/>
  <c r="CM40" i="46"/>
  <c r="AO10" i="44"/>
  <c r="DC40" i="44"/>
  <c r="S40" i="44"/>
  <c r="EZ40" i="46"/>
  <c r="L40" i="44"/>
  <c r="AU17" i="44"/>
  <c r="EX40" i="44"/>
  <c r="AQ22" i="46"/>
  <c r="FV40" i="44"/>
  <c r="AB40" i="46"/>
  <c r="AP15" i="44"/>
  <c r="AP10" i="44"/>
  <c r="DA40" i="44"/>
  <c r="EP40" i="46"/>
  <c r="K17" i="46"/>
  <c r="AQ8" i="44"/>
  <c r="FQ40" i="46"/>
  <c r="AY21" i="46"/>
  <c r="AQ17" i="46"/>
  <c r="Q25" i="46"/>
  <c r="AO23" i="46"/>
  <c r="AU25" i="44"/>
  <c r="AM8" i="44"/>
  <c r="EG8" i="44"/>
  <c r="FN40" i="44"/>
  <c r="FK40" i="44"/>
  <c r="AH40" i="44"/>
  <c r="FL40" i="44"/>
  <c r="O40" i="44"/>
  <c r="FI40" i="44"/>
  <c r="CG40" i="44"/>
  <c r="BN8" i="46"/>
  <c r="AX8" i="46"/>
  <c r="BW40" i="46"/>
  <c r="DU40" i="46"/>
  <c r="GN40" i="46"/>
  <c r="GE40" i="46"/>
  <c r="CR40" i="46"/>
  <c r="AH40" i="46"/>
  <c r="DE40" i="46"/>
  <c r="CB40" i="46"/>
  <c r="AT13" i="46"/>
  <c r="AS14" i="46"/>
  <c r="AQ17" i="44"/>
  <c r="AG23" i="44"/>
  <c r="AZ15" i="46"/>
  <c r="H40" i="44"/>
  <c r="EF40" i="46"/>
  <c r="EW40" i="44"/>
  <c r="GL40" i="46"/>
  <c r="CN40" i="44"/>
  <c r="DR40" i="44"/>
  <c r="K13" i="44"/>
  <c r="CD40" i="46"/>
  <c r="GK40" i="44"/>
  <c r="CG40" i="46"/>
  <c r="EQ40" i="44"/>
  <c r="DO40" i="46"/>
  <c r="BB19" i="46"/>
  <c r="AL11" i="46"/>
  <c r="AT19" i="46"/>
  <c r="BC19" i="46"/>
  <c r="AW20" i="44"/>
  <c r="AW19" i="44"/>
  <c r="BA19" i="44"/>
  <c r="BF25" i="46"/>
  <c r="BA25" i="46"/>
  <c r="ED24" i="44"/>
  <c r="BU8" i="44"/>
  <c r="FU40" i="44"/>
  <c r="EH40" i="44"/>
  <c r="AI40" i="44"/>
  <c r="GL40" i="44"/>
  <c r="DP40" i="44"/>
  <c r="CT40" i="44"/>
  <c r="BW40" i="44"/>
  <c r="AO8" i="46"/>
  <c r="EX40" i="46"/>
  <c r="FL40" i="46"/>
  <c r="EO40" i="46"/>
  <c r="FY40" i="46"/>
  <c r="AC40" i="46"/>
  <c r="DI40" i="46"/>
  <c r="DV40" i="46"/>
  <c r="FI40" i="46"/>
  <c r="AO13" i="46"/>
  <c r="BK8" i="46"/>
  <c r="M40" i="44"/>
  <c r="GJ40" i="46"/>
  <c r="BO8" i="44"/>
  <c r="AW8" i="46"/>
  <c r="BA13" i="46"/>
  <c r="CZ40" i="44"/>
  <c r="BH18" i="44"/>
  <c r="CO40" i="44"/>
  <c r="AT8" i="46"/>
  <c r="N8" i="46"/>
  <c r="FJ40" i="44"/>
  <c r="FK40" i="46"/>
  <c r="BS8" i="44"/>
  <c r="FA40" i="46"/>
  <c r="EN40" i="46"/>
  <c r="AP11" i="46"/>
  <c r="BQ24" i="44"/>
  <c r="AR8" i="44"/>
  <c r="BP8" i="44"/>
  <c r="AZ8" i="44"/>
  <c r="FQ40" i="44"/>
  <c r="EN40" i="44"/>
  <c r="GB40" i="44"/>
  <c r="W40" i="44"/>
  <c r="FP40" i="44"/>
  <c r="BT40" i="44"/>
  <c r="EP40" i="44"/>
  <c r="BA24" i="46"/>
  <c r="AQ8" i="46"/>
  <c r="CX40" i="46"/>
  <c r="DS40" i="46"/>
  <c r="GK40" i="46"/>
  <c r="Y40" i="46"/>
  <c r="EW40" i="46"/>
  <c r="BT40" i="46"/>
  <c r="CL40" i="46"/>
  <c r="GI40" i="46"/>
  <c r="BA12" i="44"/>
  <c r="FM40" i="44"/>
  <c r="CH40" i="46"/>
  <c r="DU40" i="44"/>
  <c r="AL8" i="46"/>
  <c r="O40" i="46"/>
  <c r="FE40" i="44"/>
  <c r="CU40" i="46"/>
  <c r="DQ40" i="44"/>
  <c r="EE40" i="46"/>
  <c r="BY40" i="44"/>
  <c r="FH40" i="46"/>
  <c r="AW20" i="46"/>
  <c r="DX8" i="44"/>
  <c r="K8" i="44"/>
  <c r="FW40" i="44"/>
  <c r="FG40" i="44"/>
  <c r="FF40" i="44"/>
  <c r="FD40" i="44"/>
  <c r="EI40" i="44"/>
  <c r="GR40" i="44"/>
  <c r="FH40" i="44"/>
  <c r="DF40" i="44"/>
  <c r="BP8" i="46"/>
  <c r="EL40" i="46"/>
  <c r="FM40" i="46"/>
  <c r="EY40" i="46"/>
  <c r="FT40" i="46"/>
  <c r="GT40" i="46"/>
  <c r="EJ40" i="46"/>
  <c r="GP40" i="46"/>
  <c r="J95" i="47" l="1"/>
  <c r="S90" i="47"/>
  <c r="O94" i="47"/>
  <c r="P83" i="47"/>
  <c r="P78" i="47"/>
  <c r="J91" i="47"/>
  <c r="D83" i="47"/>
  <c r="D80" i="47"/>
  <c r="R92" i="47"/>
  <c r="P85" i="47"/>
  <c r="H79" i="47"/>
  <c r="F84" i="47"/>
  <c r="N82" i="47"/>
  <c r="G89" i="47"/>
  <c r="E92" i="47"/>
  <c r="K88" i="47"/>
  <c r="L78" i="47"/>
  <c r="M86" i="47"/>
  <c r="Q80" i="47"/>
  <c r="O95" i="47"/>
  <c r="I81" i="47"/>
  <c r="C87" i="47"/>
  <c r="Q93" i="47"/>
  <c r="H94" i="47"/>
  <c r="K82" i="47"/>
  <c r="E79" i="47"/>
  <c r="S83" i="47"/>
  <c r="M89" i="47"/>
  <c r="N88" i="47"/>
  <c r="G86" i="47"/>
  <c r="J88" i="47"/>
  <c r="C90" i="47"/>
  <c r="K91" i="47"/>
  <c r="G84" i="47"/>
  <c r="L80" i="47"/>
  <c r="I82" i="47"/>
  <c r="O78" i="47"/>
  <c r="E87" i="47"/>
  <c r="M85" i="47"/>
  <c r="N81" i="47"/>
  <c r="T79" i="47"/>
  <c r="Q94" i="47"/>
  <c r="S92" i="47"/>
  <c r="R83" i="47"/>
  <c r="D95" i="47"/>
  <c r="F89" i="47"/>
  <c r="H93" i="47"/>
  <c r="P86" i="47"/>
  <c r="D94" i="47"/>
  <c r="S79" i="47"/>
  <c r="I90" i="47"/>
  <c r="C93" i="47"/>
  <c r="H88" i="47"/>
  <c r="P81" i="47"/>
  <c r="E83" i="47"/>
  <c r="O84" i="47"/>
  <c r="K89" i="47"/>
  <c r="R78" i="47"/>
  <c r="F91" i="47"/>
  <c r="H80" i="47"/>
  <c r="N86" i="47"/>
  <c r="S87" i="47"/>
  <c r="M83" i="47"/>
  <c r="I92" i="47"/>
  <c r="L94" i="47"/>
  <c r="J86" i="47"/>
  <c r="O81" i="47"/>
  <c r="F90" i="47"/>
  <c r="T93" i="47"/>
  <c r="K85" i="47"/>
  <c r="R95" i="47"/>
  <c r="E88" i="47"/>
  <c r="E78" i="47"/>
  <c r="Q84" i="47"/>
  <c r="H89" i="47"/>
  <c r="D93" i="47"/>
  <c r="I85" i="47"/>
  <c r="O88" i="47"/>
  <c r="H78" i="47"/>
  <c r="P82" i="47"/>
  <c r="R79" i="47"/>
  <c r="F95" i="47"/>
  <c r="P89" i="47"/>
  <c r="G91" i="47"/>
  <c r="D89" i="47"/>
  <c r="M80" i="47"/>
  <c r="N79" i="47"/>
  <c r="G94" i="47"/>
  <c r="C83" i="47"/>
  <c r="S82" i="47"/>
  <c r="J84" i="47"/>
  <c r="C80" i="47"/>
  <c r="M90" i="47"/>
  <c r="G80" i="47"/>
  <c r="E94" i="47"/>
  <c r="S78" i="47"/>
  <c r="T81" i="47"/>
  <c r="H92" i="47"/>
  <c r="K87" i="47"/>
  <c r="Q83" i="47"/>
  <c r="K90" i="47"/>
  <c r="L86" i="47"/>
  <c r="P84" i="47"/>
  <c r="E82" i="47"/>
  <c r="N91" i="47"/>
  <c r="M93" i="47"/>
  <c r="S80" i="47"/>
  <c r="I91" i="47"/>
  <c r="C94" i="47"/>
  <c r="Q95" i="47"/>
  <c r="O86" i="47"/>
  <c r="T82" i="47"/>
  <c r="R88" i="47"/>
  <c r="L79" i="47"/>
  <c r="F85" i="47"/>
  <c r="J81" i="47"/>
  <c r="N83" i="47"/>
  <c r="D87" i="47"/>
  <c r="T92" i="47"/>
  <c r="G95" i="47"/>
  <c r="N84" i="47"/>
  <c r="I89" i="47"/>
  <c r="J90" i="47"/>
  <c r="P87" i="47"/>
  <c r="Q79" i="47"/>
  <c r="O85" i="47"/>
  <c r="H86" i="47"/>
  <c r="L91" i="47"/>
  <c r="D92" i="47"/>
  <c r="L82" i="47"/>
  <c r="R80" i="47"/>
  <c r="N90" i="47"/>
  <c r="K83" i="47"/>
  <c r="F92" i="47"/>
  <c r="O89" i="47"/>
  <c r="E93" i="47"/>
  <c r="S95" i="47"/>
  <c r="T94" i="47"/>
  <c r="G87" i="47"/>
  <c r="P88" i="47"/>
  <c r="C85" i="47"/>
  <c r="M91" i="47"/>
  <c r="AI99" i="47"/>
  <c r="C134" i="47" s="1"/>
  <c r="AI101" i="47"/>
  <c r="C136" i="47" s="1"/>
  <c r="AI102" i="47"/>
  <c r="C137" i="47" s="1"/>
  <c r="AI106" i="47"/>
  <c r="C141" i="47" s="1"/>
  <c r="AI100" i="47"/>
  <c r="C135" i="47" s="1"/>
  <c r="AI97" i="47"/>
  <c r="C132" i="47" s="1"/>
  <c r="AI107" i="47"/>
  <c r="C142" i="47" s="1"/>
  <c r="AI96" i="47"/>
  <c r="C131" i="47" s="1"/>
  <c r="AI109" i="47"/>
  <c r="C144" i="47" s="1"/>
  <c r="AI108" i="47"/>
  <c r="C143" i="47" s="1"/>
  <c r="AI105" i="47"/>
  <c r="C140" i="47" s="1"/>
  <c r="AI98" i="47"/>
  <c r="C133" i="47" s="1"/>
  <c r="AI103" i="47"/>
  <c r="C138" i="47" s="1"/>
  <c r="AI104" i="47"/>
  <c r="C139" i="47" s="1"/>
  <c r="J78" i="47"/>
  <c r="AN15" i="46"/>
  <c r="AN16" i="46"/>
  <c r="AN36" i="46"/>
  <c r="AN37" i="46"/>
  <c r="AN34" i="46"/>
  <c r="AN38" i="46"/>
  <c r="AN14" i="46"/>
  <c r="AN27" i="46"/>
  <c r="AN39" i="46"/>
  <c r="AN39" i="44"/>
  <c r="AN30" i="44"/>
  <c r="AN26" i="44"/>
  <c r="AN12" i="44"/>
  <c r="AN37" i="44"/>
  <c r="AN21" i="46"/>
  <c r="AN33" i="46"/>
  <c r="AN29" i="46"/>
  <c r="AN29" i="44"/>
  <c r="AN30" i="46"/>
  <c r="AN27" i="44"/>
  <c r="AN26" i="46"/>
  <c r="AN31" i="46"/>
  <c r="AN38" i="44"/>
  <c r="AN35" i="44"/>
  <c r="AN32" i="46"/>
  <c r="AN33" i="44"/>
  <c r="AN19" i="44"/>
  <c r="AN31" i="44"/>
  <c r="AN35" i="46"/>
  <c r="AN34" i="44"/>
  <c r="AN32" i="44"/>
  <c r="AN22" i="44"/>
  <c r="AN28" i="46"/>
  <c r="AN11" i="46"/>
  <c r="AN22" i="46"/>
  <c r="AN23" i="44"/>
  <c r="AN28" i="44"/>
  <c r="AN18" i="46"/>
  <c r="BI40" i="46"/>
  <c r="AN13" i="46"/>
  <c r="AN10" i="46"/>
  <c r="AN17" i="46"/>
  <c r="AN12" i="46"/>
  <c r="BL40" i="46"/>
  <c r="AN19" i="46"/>
  <c r="AN23" i="46"/>
  <c r="AG40" i="46"/>
  <c r="AY40" i="46"/>
  <c r="AN20" i="46"/>
  <c r="AN9" i="46"/>
  <c r="BU40" i="46"/>
  <c r="AN25" i="44"/>
  <c r="T40" i="46"/>
  <c r="AN15" i="44"/>
  <c r="AN13" i="44"/>
  <c r="AN16" i="44"/>
  <c r="AV40" i="46"/>
  <c r="DX40" i="46"/>
  <c r="ED40" i="46"/>
  <c r="AN9" i="44"/>
  <c r="AN10" i="44"/>
  <c r="AN21" i="44"/>
  <c r="EG40" i="44"/>
  <c r="AN24" i="46"/>
  <c r="BM40" i="44"/>
  <c r="EG40" i="46"/>
  <c r="AN18" i="44"/>
  <c r="EA40" i="44"/>
  <c r="BR40" i="44"/>
  <c r="AO40" i="44"/>
  <c r="AN20" i="44"/>
  <c r="T40" i="44"/>
  <c r="DX40" i="44"/>
  <c r="AN11" i="44"/>
  <c r="BG40" i="44"/>
  <c r="BQ40" i="44"/>
  <c r="AN25" i="46"/>
  <c r="AN17" i="44"/>
  <c r="AJ40" i="44"/>
  <c r="AN14" i="44"/>
  <c r="BJ40" i="46"/>
  <c r="N40" i="44"/>
  <c r="BL40" i="44"/>
  <c r="BK40" i="44"/>
  <c r="AR40" i="46"/>
  <c r="BV40" i="44"/>
  <c r="BA40" i="46"/>
  <c r="AV40" i="44"/>
  <c r="BF40" i="44"/>
  <c r="EA40" i="46"/>
  <c r="AG40" i="44"/>
  <c r="BS40" i="46"/>
  <c r="BC40" i="46"/>
  <c r="AK40" i="46"/>
  <c r="AU40" i="46"/>
  <c r="AU40" i="44"/>
  <c r="AY40" i="44"/>
  <c r="K40" i="46"/>
  <c r="AS40" i="46"/>
  <c r="BD40" i="44"/>
  <c r="BH40" i="46"/>
  <c r="BF40" i="46"/>
  <c r="AT40" i="44"/>
  <c r="AS40" i="44"/>
  <c r="AN24" i="44"/>
  <c r="BC40" i="44"/>
  <c r="AW40" i="44"/>
  <c r="BH40" i="44"/>
  <c r="Q40" i="46"/>
  <c r="BA40" i="44"/>
  <c r="AK40" i="44"/>
  <c r="BG40" i="46"/>
  <c r="BB40" i="46"/>
  <c r="AX40" i="44"/>
  <c r="AL40" i="44"/>
  <c r="AN8" i="44"/>
  <c r="AW40" i="46"/>
  <c r="BO40" i="44"/>
  <c r="K40" i="44"/>
  <c r="BV40" i="46"/>
  <c r="AP40" i="44"/>
  <c r="BO40" i="46"/>
  <c r="BE40" i="44"/>
  <c r="AZ40" i="44"/>
  <c r="AP40" i="46"/>
  <c r="AZ40" i="46"/>
  <c r="BE40" i="46"/>
  <c r="BD40" i="46"/>
  <c r="BP40" i="44"/>
  <c r="BK40" i="46"/>
  <c r="AR40" i="44"/>
  <c r="AJ40" i="46"/>
  <c r="BQ40" i="46"/>
  <c r="BU40" i="44"/>
  <c r="BM40" i="46"/>
  <c r="AQ40" i="44"/>
  <c r="AT40" i="46"/>
  <c r="AX40" i="46"/>
  <c r="BB40" i="44"/>
  <c r="BN40" i="46"/>
  <c r="ED40" i="44"/>
  <c r="BS40" i="44"/>
  <c r="AQ40" i="46"/>
  <c r="Q40" i="44"/>
  <c r="BN40" i="44"/>
  <c r="BP40" i="46"/>
  <c r="AL40" i="46"/>
  <c r="AN8" i="46"/>
  <c r="N40" i="46"/>
  <c r="BJ40" i="44"/>
  <c r="BI40" i="44"/>
  <c r="AO40" i="46"/>
  <c r="AM40" i="44"/>
  <c r="BR40" i="46"/>
  <c r="AM40" i="46"/>
  <c r="AI78" i="47" l="1"/>
  <c r="C113" i="47" s="1"/>
  <c r="GU8" i="44" s="1"/>
  <c r="AI94" i="47"/>
  <c r="C129" i="47" s="1"/>
  <c r="GU24" i="44" s="1"/>
  <c r="AI88" i="47"/>
  <c r="C123" i="47" s="1"/>
  <c r="AI84" i="47"/>
  <c r="C119" i="47" s="1"/>
  <c r="GU14" i="44" s="1"/>
  <c r="AI80" i="47"/>
  <c r="C115" i="47" s="1"/>
  <c r="GU10" i="44" s="1"/>
  <c r="AI83" i="47"/>
  <c r="C118" i="47" s="1"/>
  <c r="GU13" i="44" s="1"/>
  <c r="AI95" i="47"/>
  <c r="C130" i="47" s="1"/>
  <c r="GU25" i="44" s="1"/>
  <c r="AI89" i="47"/>
  <c r="C124" i="47" s="1"/>
  <c r="AI90" i="47"/>
  <c r="C125" i="47" s="1"/>
  <c r="AI92" i="47"/>
  <c r="C127" i="47" s="1"/>
  <c r="AI87" i="47"/>
  <c r="C122" i="47" s="1"/>
  <c r="AI85" i="47"/>
  <c r="C120" i="47" s="1"/>
  <c r="GU15" i="44" s="1"/>
  <c r="AI91" i="47"/>
  <c r="C126" i="47" s="1"/>
  <c r="K93" i="47"/>
  <c r="AI93" i="47" s="1"/>
  <c r="C128" i="47" s="1"/>
  <c r="GU36" i="44"/>
  <c r="GU39" i="44"/>
  <c r="GU32" i="44"/>
  <c r="GU29" i="44"/>
  <c r="GU31" i="44"/>
  <c r="GU26" i="44"/>
  <c r="GU34" i="44"/>
  <c r="GU38" i="44"/>
  <c r="GU33" i="44"/>
  <c r="GU37" i="44"/>
  <c r="GU28" i="44"/>
  <c r="GU27" i="44"/>
  <c r="GU30" i="44"/>
  <c r="GU35" i="44"/>
  <c r="AN40" i="44"/>
  <c r="AN40" i="46"/>
  <c r="M82" i="47" l="1"/>
  <c r="AI82" i="47" s="1"/>
  <c r="C117" i="47" s="1"/>
  <c r="GU18" i="44" l="1"/>
  <c r="GU12" i="44"/>
  <c r="GU19" i="44" l="1"/>
  <c r="O79" i="47"/>
  <c r="AI79" i="47" s="1"/>
  <c r="C114" i="47" s="1"/>
  <c r="GU20" i="44" l="1"/>
  <c r="GU9" i="44"/>
  <c r="GU21" i="44" l="1"/>
  <c r="Q81" i="47"/>
  <c r="AI81" i="47" s="1"/>
  <c r="C116" i="47" s="1"/>
  <c r="GU17" i="44"/>
  <c r="GU22" i="44" l="1"/>
  <c r="GU11" i="44"/>
  <c r="R86" i="47"/>
  <c r="AI86" i="47" s="1"/>
  <c r="C121" i="47" s="1"/>
  <c r="GU23" i="44" l="1"/>
  <c r="GU16" i="4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4D468B-2256-4153-A23D-BBC70B315CE0}" keepAlive="1" name="Query - boxscore" description="Connessione alla query 'boxscore' nella cartella di lavoro." type="5" refreshedVersion="8" background="1" saveData="1">
    <dbPr connection="Provider=Microsoft.Mashup.OleDb.1;Data Source=$Workbook$;Location=boxscore;Extended Properties=&quot;&quot;" command="SELECT * FROM [boxscore]"/>
  </connection>
  <connection id="2" xr16:uid="{4E623DE9-7ADE-40B1-B921-FA9D24A0DB7B}" keepAlive="1" name="Query - boxscore (2)" description="Connessione alla query 'boxscore (2)' nella cartella di lavoro." type="5" refreshedVersion="8" background="1" saveData="1">
    <dbPr connection="Provider=Microsoft.Mashup.OleDb.1;Data Source=$Workbook$;Location=&quot;boxscore (2)&quot;;Extended Properties=&quot;&quot;" command="SELECT * FROM [boxscore (2)]"/>
  </connection>
  <connection id="3" xr16:uid="{95DE4CB3-B5F2-4AB7-B630-F7DF638A02CD}" keepAlive="1" name="Query - play_by_play" description="Connessione alla query 'play_by_play' nella cartella di lavoro." type="5" refreshedVersion="8" background="1" saveData="1">
    <dbPr connection="Provider=Microsoft.Mashup.OleDb.1;Data Source=$Workbook$;Location=play_by_play;Extended Properties=&quot;&quot;" command="SELECT * FROM [play_by_play]"/>
  </connection>
</connections>
</file>

<file path=xl/sharedStrings.xml><?xml version="1.0" encoding="utf-8"?>
<sst xmlns="http://schemas.openxmlformats.org/spreadsheetml/2006/main" count="3384" uniqueCount="317">
  <si>
    <t>LEAGUE INFORMATION</t>
  </si>
  <si>
    <t>TM ID</t>
  </si>
  <si>
    <t>TM NAME</t>
  </si>
  <si>
    <t>TM TAG</t>
  </si>
  <si>
    <t>PH1 GROUP</t>
  </si>
  <si>
    <t>PH2 GROUP</t>
  </si>
  <si>
    <t>ROLE</t>
  </si>
  <si>
    <t>ID</t>
  </si>
  <si>
    <t>TOTAL</t>
  </si>
  <si>
    <t>ALL LOCATIONS</t>
  </si>
  <si>
    <t>ALL OUTCOMES</t>
  </si>
  <si>
    <t>ALL GAMES</t>
  </si>
  <si>
    <t>LEAGUE NAME</t>
  </si>
  <si>
    <t>PG</t>
  </si>
  <si>
    <t>PER GAME</t>
  </si>
  <si>
    <t>HOME</t>
  </si>
  <si>
    <t>WINS</t>
  </si>
  <si>
    <t>SEASON</t>
  </si>
  <si>
    <t>PG/SG</t>
  </si>
  <si>
    <t>AWAY</t>
  </si>
  <si>
    <t>LOSSES</t>
  </si>
  <si>
    <t>PHASES NUMBER</t>
  </si>
  <si>
    <t>SG</t>
  </si>
  <si>
    <t>PHASE 1 NAME</t>
  </si>
  <si>
    <t>SG/F</t>
  </si>
  <si>
    <t>PHASE 2 NAME</t>
  </si>
  <si>
    <t>F</t>
  </si>
  <si>
    <t>PHASE 3 NAME</t>
  </si>
  <si>
    <t>F/PF</t>
  </si>
  <si>
    <t>PHASE 4 NAME</t>
  </si>
  <si>
    <t>PF</t>
  </si>
  <si>
    <t>PHASE 1 STARTING ROUND</t>
  </si>
  <si>
    <t>PF/C</t>
  </si>
  <si>
    <t>PHASE 2 STARTING ROUND</t>
  </si>
  <si>
    <t>C</t>
  </si>
  <si>
    <t>PHASE 3 STARTING ROUND</t>
  </si>
  <si>
    <t>PHASE 4 STARTING ROUND</t>
  </si>
  <si>
    <t>ENDING ROUND</t>
  </si>
  <si>
    <t>PHASE 1 TEAMS NUMBER</t>
  </si>
  <si>
    <t>PHASE 2 TEAMS NUMBER</t>
  </si>
  <si>
    <t>PHASE 3 TEAMS NUMBER</t>
  </si>
  <si>
    <t>PHASE 4 TEAMS NUMBER</t>
  </si>
  <si>
    <t>NAME</t>
  </si>
  <si>
    <t>NAME 2</t>
  </si>
  <si>
    <t>NAT</t>
  </si>
  <si>
    <t>HEIGHT</t>
  </si>
  <si>
    <t>AGE</t>
  </si>
  <si>
    <t>TEAM</t>
  </si>
  <si>
    <t>PL TAG</t>
  </si>
  <si>
    <t>PL TAG 2</t>
  </si>
  <si>
    <t>SHORTER NAME</t>
  </si>
  <si>
    <t>ROUND</t>
  </si>
  <si>
    <t>OPPONENT</t>
  </si>
  <si>
    <t>DATE</t>
  </si>
  <si>
    <t>H/A</t>
  </si>
  <si>
    <t>OPP TAG</t>
  </si>
  <si>
    <t>GM TAG</t>
  </si>
  <si>
    <t>OPP GM TAG</t>
  </si>
  <si>
    <t>SEASON SEGMENT</t>
  </si>
  <si>
    <t>FROM ROUND</t>
  </si>
  <si>
    <t>TO ROUND</t>
  </si>
  <si>
    <t>FROM DATE</t>
  </si>
  <si>
    <t>TO DATE</t>
  </si>
  <si>
    <t>GAME AGAINST</t>
  </si>
  <si>
    <t>OW%</t>
  </si>
  <si>
    <t>OOW%</t>
  </si>
  <si>
    <t>SoS</t>
  </si>
  <si>
    <t>OPP NAME</t>
  </si>
  <si>
    <t>GROUP</t>
  </si>
  <si>
    <t>W/L</t>
  </si>
  <si>
    <t>MIN</t>
  </si>
  <si>
    <t>PTS</t>
  </si>
  <si>
    <t>2PTM</t>
  </si>
  <si>
    <t>2PTA</t>
  </si>
  <si>
    <t>2PT%</t>
  </si>
  <si>
    <t>3PTM</t>
  </si>
  <si>
    <t>3PTA</t>
  </si>
  <si>
    <t>3PT%</t>
  </si>
  <si>
    <t>FGM</t>
  </si>
  <si>
    <t>FGA</t>
  </si>
  <si>
    <t>FG%</t>
  </si>
  <si>
    <t>FTM</t>
  </si>
  <si>
    <t>FTA</t>
  </si>
  <si>
    <t>FT%</t>
  </si>
  <si>
    <t>OR</t>
  </si>
  <si>
    <t>DR</t>
  </si>
  <si>
    <t>TR</t>
  </si>
  <si>
    <t>AST</t>
  </si>
  <si>
    <t>TO</t>
  </si>
  <si>
    <t>ST</t>
  </si>
  <si>
    <t>BLK</t>
  </si>
  <si>
    <t>BLKA</t>
  </si>
  <si>
    <t>DF</t>
  </si>
  <si>
    <t>VAL</t>
  </si>
  <si>
    <t>+ / -</t>
  </si>
  <si>
    <t>POSS</t>
  </si>
  <si>
    <t>SHOOTING CHANCES</t>
  </si>
  <si>
    <t>OFF PPP</t>
  </si>
  <si>
    <t>DEF PPP</t>
  </si>
  <si>
    <t>OFF RTG</t>
  </si>
  <si>
    <t>DEF RTG</t>
  </si>
  <si>
    <t>NET RTG</t>
  </si>
  <si>
    <t>eFG%</t>
  </si>
  <si>
    <t>TS%</t>
  </si>
  <si>
    <t>RIM FREQ</t>
  </si>
  <si>
    <t>RIM PPS</t>
  </si>
  <si>
    <t>PAINT FREQ</t>
  </si>
  <si>
    <t>PAINT PPS</t>
  </si>
  <si>
    <t>MID FREQ</t>
  </si>
  <si>
    <t>MID PPS</t>
  </si>
  <si>
    <t>C3 FREQ</t>
  </si>
  <si>
    <t>C3 PPS</t>
  </si>
  <si>
    <t>L3 FREQ</t>
  </si>
  <si>
    <t>L3 PPS</t>
  </si>
  <si>
    <t>FT Ratio</t>
  </si>
  <si>
    <t>TO%</t>
  </si>
  <si>
    <t>AST%</t>
  </si>
  <si>
    <t>AST% (2P)</t>
  </si>
  <si>
    <t>AST% (3P)</t>
  </si>
  <si>
    <t>AST% (FT)</t>
  </si>
  <si>
    <t>AST Ratio</t>
  </si>
  <si>
    <t>AST/TO</t>
  </si>
  <si>
    <t>OR%</t>
  </si>
  <si>
    <t>OR% (after 2P)</t>
  </si>
  <si>
    <t>OR% (after 3P)</t>
  </si>
  <si>
    <t>OR% (after FT)</t>
  </si>
  <si>
    <t>DR%</t>
  </si>
  <si>
    <t>DR% (after 2P)</t>
  </si>
  <si>
    <t>DR% (after 3P)</t>
  </si>
  <si>
    <t>DR% (after FT)</t>
  </si>
  <si>
    <t>TR%</t>
  </si>
  <si>
    <t>ST%</t>
  </si>
  <si>
    <t>BLK%</t>
  </si>
  <si>
    <t>KILLS</t>
  </si>
  <si>
    <t>PSF FREQ</t>
  </si>
  <si>
    <t>DSF FREQ</t>
  </si>
  <si>
    <t>ASTED_2FG</t>
  </si>
  <si>
    <t>ASTED_3FG</t>
  </si>
  <si>
    <t>ASTED_FT</t>
  </si>
  <si>
    <t>ASTED_FT PTS</t>
  </si>
  <si>
    <t>OR_RIM</t>
  </si>
  <si>
    <t>TM OR_RIM</t>
  </si>
  <si>
    <t>OR_PAINT</t>
  </si>
  <si>
    <t>TM OR_PAINT</t>
  </si>
  <si>
    <t>OR_NP2</t>
  </si>
  <si>
    <t>TM OR_NP2</t>
  </si>
  <si>
    <t>OR_3C</t>
  </si>
  <si>
    <t>TM OR_3C</t>
  </si>
  <si>
    <t>OR_3L</t>
  </si>
  <si>
    <t>TM OR_3L</t>
  </si>
  <si>
    <t>OR_FT</t>
  </si>
  <si>
    <t>TM OR_FT</t>
  </si>
  <si>
    <t>DR_RIM</t>
  </si>
  <si>
    <t>TM DR_RIM</t>
  </si>
  <si>
    <t>DR_PAINT</t>
  </si>
  <si>
    <t>TM DR_PAINT</t>
  </si>
  <si>
    <t>DR_NP2</t>
  </si>
  <si>
    <t>TM DR_NP2</t>
  </si>
  <si>
    <t>DR_3C</t>
  </si>
  <si>
    <t>TM DR_3C</t>
  </si>
  <si>
    <t>DR_3L</t>
  </si>
  <si>
    <t>TM DR_3L</t>
  </si>
  <si>
    <t>DR_FT</t>
  </si>
  <si>
    <t>TM DR_FT</t>
  </si>
  <si>
    <t>FTM_T</t>
  </si>
  <si>
    <t>FTA_T</t>
  </si>
  <si>
    <t>FTM_1</t>
  </si>
  <si>
    <t>FTA_1</t>
  </si>
  <si>
    <t>FTM_2</t>
  </si>
  <si>
    <t>FTA_2</t>
  </si>
  <si>
    <t>FT 0/2</t>
  </si>
  <si>
    <t>FTM_3</t>
  </si>
  <si>
    <t>FTA_3</t>
  </si>
  <si>
    <t>FT 0/3</t>
  </si>
  <si>
    <t>RIM_M</t>
  </si>
  <si>
    <t>RIM_A</t>
  </si>
  <si>
    <t>PAINT_M</t>
  </si>
  <si>
    <t>PAINT_A</t>
  </si>
  <si>
    <t>MID_M</t>
  </si>
  <si>
    <t>MID_A</t>
  </si>
  <si>
    <t>3C_M</t>
  </si>
  <si>
    <t>3C_A</t>
  </si>
  <si>
    <t>3L_M</t>
  </si>
  <si>
    <t>3L_A</t>
  </si>
  <si>
    <t>3H_M</t>
  </si>
  <si>
    <t>3H_A</t>
  </si>
  <si>
    <t>OPP PTS</t>
  </si>
  <si>
    <t>OPP 2PTM</t>
  </si>
  <si>
    <t>OPP 2PTA</t>
  </si>
  <si>
    <t>OPP 2PT%</t>
  </si>
  <si>
    <t>OPP 3PTM</t>
  </si>
  <si>
    <t>OPP 3PTA</t>
  </si>
  <si>
    <t>OPP 3PT%</t>
  </si>
  <si>
    <t>OPP FGM</t>
  </si>
  <si>
    <t>OPP FGA</t>
  </si>
  <si>
    <t>OPP FG%</t>
  </si>
  <si>
    <t>OPP FTM</t>
  </si>
  <si>
    <t>OPP FTA</t>
  </si>
  <si>
    <t>OPP FT%</t>
  </si>
  <si>
    <t>OPP OR</t>
  </si>
  <si>
    <t>OPP DR</t>
  </si>
  <si>
    <t>OPP TR</t>
  </si>
  <si>
    <t>OPP AST</t>
  </si>
  <si>
    <t>OPP PF</t>
  </si>
  <si>
    <t>OPP DF</t>
  </si>
  <si>
    <t>OPP ST</t>
  </si>
  <si>
    <t>OPP TO</t>
  </si>
  <si>
    <t>OPP BLK</t>
  </si>
  <si>
    <t>OPP BLKA</t>
  </si>
  <si>
    <t>OPP VAL</t>
  </si>
  <si>
    <t>OPP + / -</t>
  </si>
  <si>
    <t>OPP POSS</t>
  </si>
  <si>
    <t>OPP SHOOTING CHANCES</t>
  </si>
  <si>
    <t>OPP KILLS</t>
  </si>
  <si>
    <t>OPP ASTED_2FG</t>
  </si>
  <si>
    <t>OPP ASTED_3FG</t>
  </si>
  <si>
    <t>OPP ASTED_FT</t>
  </si>
  <si>
    <t>OPP ASTED_FT PTS</t>
  </si>
  <si>
    <t>OPP OR_RIM</t>
  </si>
  <si>
    <t>OPP TM OR_RIM</t>
  </si>
  <si>
    <t>OPP OR_PAINT</t>
  </si>
  <si>
    <t>OPP TM OR_PAINT</t>
  </si>
  <si>
    <t>OPP OR_NP2</t>
  </si>
  <si>
    <t>OPP TM OR_NP2</t>
  </si>
  <si>
    <t>OPP OR_3C</t>
  </si>
  <si>
    <t>OPP TM OR_3C</t>
  </si>
  <si>
    <t>OPP OR_3L</t>
  </si>
  <si>
    <t>OPP TM OR_3L</t>
  </si>
  <si>
    <t>OPP OR_FT</t>
  </si>
  <si>
    <t>OPP TM OR_FT</t>
  </si>
  <si>
    <t>OPP DR_RIM</t>
  </si>
  <si>
    <t>OPP TM DR_RIM</t>
  </si>
  <si>
    <t>OPP DR_PAINT</t>
  </si>
  <si>
    <t>OPP TM DR_PAINT</t>
  </si>
  <si>
    <t>OPP DR_NP2</t>
  </si>
  <si>
    <t>OPP TM DR_NP2</t>
  </si>
  <si>
    <t>OPP DR_3C</t>
  </si>
  <si>
    <t>OPP TM DR_3C</t>
  </si>
  <si>
    <t>OPP DR_3L</t>
  </si>
  <si>
    <t>OPP TM DR_3L</t>
  </si>
  <si>
    <t>OPP DR_FT</t>
  </si>
  <si>
    <t>OPP TM DR_FT</t>
  </si>
  <si>
    <t>OPP FTM_T</t>
  </si>
  <si>
    <t>OPP FTA_T</t>
  </si>
  <si>
    <t>OPP FTM_1</t>
  </si>
  <si>
    <t>OPP FTA_1</t>
  </si>
  <si>
    <t>OPP FTM_2</t>
  </si>
  <si>
    <t>OPP FTA_2</t>
  </si>
  <si>
    <t>OPP FT 0/2</t>
  </si>
  <si>
    <t>OPP FTM_3</t>
  </si>
  <si>
    <t>OPP FTA_3</t>
  </si>
  <si>
    <t>OPP FT 0/3</t>
  </si>
  <si>
    <t>OPP RIM_M</t>
  </si>
  <si>
    <t>OPP RIM_A</t>
  </si>
  <si>
    <t>OPP PAINT_M</t>
  </si>
  <si>
    <t>OPP PAINT_A</t>
  </si>
  <si>
    <t>OPP MID_M</t>
  </si>
  <si>
    <t>OPP MID_A</t>
  </si>
  <si>
    <t>OPP 3C_M</t>
  </si>
  <si>
    <t>OPP 3C_A</t>
  </si>
  <si>
    <t>OPP 3L_M</t>
  </si>
  <si>
    <t>OPP 3L_A</t>
  </si>
  <si>
    <t>OPP 3H_M</t>
  </si>
  <si>
    <t>OPP 3H_A</t>
  </si>
  <si>
    <t>CZB</t>
  </si>
  <si>
    <t>ASV</t>
  </si>
  <si>
    <t>Crvena Zvezda Meridianbet Belgrade</t>
  </si>
  <si>
    <t>LDLC ASVEL Villeurbanne</t>
  </si>
  <si>
    <t>H</t>
  </si>
  <si>
    <t>-</t>
  </si>
  <si>
    <t>W</t>
  </si>
  <si>
    <t>A</t>
  </si>
  <si>
    <t>L</t>
  </si>
  <si>
    <t>MTA</t>
  </si>
  <si>
    <t>PAR</t>
  </si>
  <si>
    <t>Maccabi Playtika Tel Aviv</t>
  </si>
  <si>
    <t>Partizan Mozzart Bet Belgrade</t>
  </si>
  <si>
    <t>EFE</t>
  </si>
  <si>
    <t>FCB</t>
  </si>
  <si>
    <t>Anadolu Efes Istanbul</t>
  </si>
  <si>
    <t>FC Barcelona</t>
  </si>
  <si>
    <t>BER</t>
  </si>
  <si>
    <t>BAY</t>
  </si>
  <si>
    <t>ALBA Berlin</t>
  </si>
  <si>
    <t>FC Bayern Munich</t>
  </si>
  <si>
    <t>VIR</t>
  </si>
  <si>
    <t>ZAL</t>
  </si>
  <si>
    <t>Virtus Segafredo Bologna</t>
  </si>
  <si>
    <t>Zalgiris Kaunas</t>
  </si>
  <si>
    <t>MIL</t>
  </si>
  <si>
    <t>FEN</t>
  </si>
  <si>
    <t>EA7 Emporio Armani Milan</t>
  </si>
  <si>
    <t>Fenerbahce Beko Istanbul</t>
  </si>
  <si>
    <t>OLY</t>
  </si>
  <si>
    <t>PAN</t>
  </si>
  <si>
    <t>Olympiacos Piraeus</t>
  </si>
  <si>
    <t>Panathinaikos Athens</t>
  </si>
  <si>
    <t>BAS</t>
  </si>
  <si>
    <t>RMB</t>
  </si>
  <si>
    <t>Baskonia Vitoria-Gasteiz</t>
  </si>
  <si>
    <t>Real Madrid</t>
  </si>
  <si>
    <t>ASM</t>
  </si>
  <si>
    <t>AS Monaco</t>
  </si>
  <si>
    <t>Valencia Basket</t>
  </si>
  <si>
    <t>PER MODE</t>
  </si>
  <si>
    <t>OUTCOME</t>
  </si>
  <si>
    <t>LOCATION</t>
  </si>
  <si>
    <t>PACE, RATINGS, EFFICIENCY</t>
  </si>
  <si>
    <t>SHOOTING FREQUENCY AND EFFICIENCY</t>
  </si>
  <si>
    <t>PLAYMAKING</t>
  </si>
  <si>
    <t>REBOUNDS</t>
  </si>
  <si>
    <t>DEFENSIVE EFFORTS</t>
  </si>
  <si>
    <t>FOULS</t>
  </si>
  <si>
    <t>RNK</t>
  </si>
  <si>
    <t>GP</t>
  </si>
  <si>
    <t>PACE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</si>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</sst>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d/mm/yy;@"/>
    <numFmt numFmtId="165" formatCode="0.0"/>
    <numFmt numFmtId="166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Roboto Condensed"/>
    </font>
    <font>
      <b/>
      <sz val="11"/>
      <color theme="1"/>
      <name val="Roboto Condensed"/>
    </font>
    <font>
      <sz val="11"/>
      <color theme="1"/>
      <name val="Calibri"/>
      <family val="2"/>
      <scheme val="minor"/>
    </font>
    <font>
      <sz val="10"/>
      <color theme="1"/>
      <name val="Roboto Condensed"/>
    </font>
    <font>
      <sz val="8"/>
      <name val="Calibri"/>
      <family val="2"/>
      <scheme val="minor"/>
    </font>
    <font>
      <b/>
      <sz val="10"/>
      <color theme="0"/>
      <name val="Roboto Condensed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Alignment="1">
      <alignment horizontal="center"/>
    </xf>
    <xf numFmtId="16" fontId="1" fillId="0" borderId="0" xfId="0" applyNumberFormat="1" applyFont="1"/>
    <xf numFmtId="16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center" vertical="center"/>
    </xf>
    <xf numFmtId="9" fontId="4" fillId="0" borderId="0" xfId="1" applyFont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2" fontId="4" fillId="0" borderId="0" xfId="1" applyNumberFormat="1" applyFont="1" applyAlignment="1">
      <alignment horizontal="center" vertical="center"/>
    </xf>
    <xf numFmtId="9" fontId="4" fillId="0" borderId="0" xfId="1" applyFont="1" applyAlignment="1">
      <alignment horizontal="center" vertical="top" wrapText="1"/>
    </xf>
    <xf numFmtId="9" fontId="4" fillId="0" borderId="0" xfId="0" applyNumberFormat="1" applyFont="1" applyAlignment="1">
      <alignment horizontal="center" vertical="center"/>
    </xf>
    <xf numFmtId="0" fontId="4" fillId="0" borderId="6" xfId="0" applyFont="1" applyBorder="1" applyAlignment="1">
      <alignment horizontal="center" vertical="top" wrapText="1"/>
    </xf>
    <xf numFmtId="0" fontId="4" fillId="0" borderId="7" xfId="0" applyFont="1" applyBorder="1" applyAlignment="1">
      <alignment horizontal="center" vertical="top" wrapText="1"/>
    </xf>
    <xf numFmtId="165" fontId="4" fillId="0" borderId="6" xfId="0" applyNumberFormat="1" applyFont="1" applyBorder="1" applyAlignment="1">
      <alignment horizontal="center" vertical="center"/>
    </xf>
    <xf numFmtId="9" fontId="4" fillId="0" borderId="0" xfId="1" applyFont="1" applyBorder="1" applyAlignment="1">
      <alignment horizontal="center" vertical="center"/>
    </xf>
    <xf numFmtId="9" fontId="4" fillId="0" borderId="7" xfId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65" fontId="4" fillId="0" borderId="8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/>
    </xf>
    <xf numFmtId="9" fontId="4" fillId="0" borderId="8" xfId="0" applyNumberFormat="1" applyFont="1" applyBorder="1" applyAlignment="1">
      <alignment horizontal="center" vertical="center"/>
    </xf>
    <xf numFmtId="9" fontId="4" fillId="0" borderId="2" xfId="0" applyNumberFormat="1" applyFont="1" applyBorder="1" applyAlignment="1">
      <alignment horizontal="center" vertical="center"/>
    </xf>
    <xf numFmtId="9" fontId="4" fillId="0" borderId="6" xfId="1" applyFont="1" applyBorder="1" applyAlignment="1">
      <alignment horizontal="center" vertical="center"/>
    </xf>
    <xf numFmtId="2" fontId="4" fillId="0" borderId="7" xfId="0" applyNumberFormat="1" applyFont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4" fillId="0" borderId="0" xfId="1" applyNumberFormat="1" applyFont="1" applyBorder="1" applyAlignment="1">
      <alignment horizontal="center" vertical="center"/>
    </xf>
    <xf numFmtId="165" fontId="4" fillId="0" borderId="7" xfId="0" applyNumberFormat="1" applyFont="1" applyBorder="1" applyAlignment="1">
      <alignment horizontal="center" vertical="center"/>
    </xf>
    <xf numFmtId="165" fontId="4" fillId="0" borderId="7" xfId="1" applyNumberFormat="1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9" fontId="4" fillId="0" borderId="6" xfId="1" applyFont="1" applyBorder="1" applyAlignment="1">
      <alignment horizontal="center" vertical="top" wrapText="1"/>
    </xf>
    <xf numFmtId="9" fontId="4" fillId="0" borderId="7" xfId="1" applyFont="1" applyBorder="1" applyAlignment="1">
      <alignment horizontal="center" vertical="top" wrapText="1"/>
    </xf>
    <xf numFmtId="9" fontId="4" fillId="0" borderId="8" xfId="1" applyFont="1" applyBorder="1" applyAlignment="1">
      <alignment horizontal="center" vertical="center"/>
    </xf>
    <xf numFmtId="166" fontId="4" fillId="0" borderId="0" xfId="1" applyNumberFormat="1" applyFont="1" applyBorder="1" applyAlignment="1">
      <alignment horizontal="center" vertical="center"/>
    </xf>
    <xf numFmtId="166" fontId="4" fillId="0" borderId="7" xfId="1" applyNumberFormat="1" applyFont="1" applyBorder="1" applyAlignment="1">
      <alignment horizontal="center" vertical="center"/>
    </xf>
    <xf numFmtId="166" fontId="4" fillId="0" borderId="8" xfId="0" applyNumberFormat="1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166" fontId="4" fillId="0" borderId="6" xfId="1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9" fontId="1" fillId="0" borderId="0" xfId="1" applyFont="1"/>
    <xf numFmtId="165" fontId="4" fillId="0" borderId="0" xfId="1" applyNumberFormat="1" applyFont="1" applyAlignment="1">
      <alignment horizontal="center" vertical="center"/>
    </xf>
    <xf numFmtId="1" fontId="4" fillId="0" borderId="0" xfId="1" applyNumberFormat="1" applyFont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" fontId="4" fillId="0" borderId="1" xfId="0" applyNumberFormat="1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2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top" textRotation="0" wrapText="1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6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7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7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7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numFmt numFmtId="167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Roboto Condensed"/>
        <scheme val="none"/>
      </font>
      <alignment horizontal="center" vertical="top" textRotation="0" wrapText="1" indent="0" justifyLastLine="0" shrinkToFit="0" readingOrder="0"/>
    </dxf>
    <dxf>
      <fill>
        <patternFill>
          <bgColor theme="3" tint="0.79998168889431442"/>
        </patternFill>
      </fill>
    </dxf>
    <dxf>
      <font>
        <b/>
        <i val="0"/>
      </font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ont>
        <b/>
        <i val="0"/>
        <color theme="0"/>
      </font>
      <fill>
        <patternFill>
          <bgColor theme="1" tint="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1" defaultTableStyle="TableStyleMedium2" defaultPivotStyle="PivotStyleLight16">
    <tableStyle name="HaS" pivot="0" count="4" xr9:uid="{A961A2B2-9624-4E4C-9A2D-9F14B7E3749C}">
      <tableStyleElement type="wholeTable" dxfId="1226"/>
      <tableStyleElement type="headerRow" dxfId="1225"/>
      <tableStyleElement type="totalRow" dxfId="1224"/>
      <tableStyleElement type="secondRowStripe" dxfId="1223"/>
    </tableStyle>
  </tableStyles>
  <colors>
    <mruColors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ed0f86b95f269222/Statistiche%20Basket/Stagione%202324/Eurolega/Calcul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S_INFO"/>
      <sheetName val="ROSTERS"/>
      <sheetName val="SCHEDULE"/>
      <sheetName val="COURT_COORDINATES"/>
      <sheetName val="boxscore"/>
      <sheetName val="play_by_play"/>
      <sheetName val="LINEUPS_GbG"/>
      <sheetName val="PLAYERS_GbG"/>
      <sheetName val="TEAMS_GbG"/>
      <sheetName val="OPPS_GbG"/>
      <sheetName val="BUGS"/>
    </sheetNames>
    <sheetDataSet>
      <sheetData sheetId="0">
        <row r="3">
          <cell r="B3" t="str">
            <v>EUROLEAGUE</v>
          </cell>
          <cell r="F3" t="str">
            <v>ALBA Berlin</v>
          </cell>
          <cell r="G3" t="str">
            <v>BER</v>
          </cell>
          <cell r="H3" t="str">
            <v>-</v>
          </cell>
          <cell r="I3" t="str">
            <v>-</v>
          </cell>
        </row>
        <row r="4">
          <cell r="B4" t="str">
            <v>23-24</v>
          </cell>
          <cell r="F4" t="str">
            <v>Anadolu Efes Istanbul</v>
          </cell>
          <cell r="G4" t="str">
            <v>EFE</v>
          </cell>
          <cell r="H4" t="str">
            <v>-</v>
          </cell>
          <cell r="I4" t="str">
            <v>-</v>
          </cell>
        </row>
        <row r="5">
          <cell r="B5">
            <v>3</v>
          </cell>
          <cell r="F5" t="str">
            <v>AS Monaco</v>
          </cell>
          <cell r="G5" t="str">
            <v>ASM</v>
          </cell>
          <cell r="H5" t="str">
            <v>-</v>
          </cell>
          <cell r="I5" t="str">
            <v>-</v>
          </cell>
        </row>
        <row r="6">
          <cell r="B6" t="str">
            <v>REGULAR SEASON</v>
          </cell>
          <cell r="F6" t="str">
            <v>Baskonia Vitoria-Gasteiz</v>
          </cell>
          <cell r="G6" t="str">
            <v>BAS</v>
          </cell>
          <cell r="H6" t="str">
            <v>-</v>
          </cell>
          <cell r="I6" t="str">
            <v>-</v>
          </cell>
        </row>
        <row r="7">
          <cell r="B7" t="str">
            <v>PLAY-OFF</v>
          </cell>
          <cell r="F7" t="str">
            <v>Crvena Zvezda Meridianbet Belgrade</v>
          </cell>
          <cell r="G7" t="str">
            <v>CZB</v>
          </cell>
          <cell r="H7" t="str">
            <v>-</v>
          </cell>
          <cell r="I7" t="str">
            <v>-</v>
          </cell>
        </row>
        <row r="8">
          <cell r="B8" t="str">
            <v>FINAL 4</v>
          </cell>
          <cell r="F8" t="str">
            <v>EA7 Emporio Armani Milan</v>
          </cell>
          <cell r="G8" t="str">
            <v>MIL</v>
          </cell>
          <cell r="H8" t="str">
            <v>-</v>
          </cell>
          <cell r="I8" t="str">
            <v>-</v>
          </cell>
        </row>
        <row r="9">
          <cell r="B9"/>
          <cell r="F9" t="str">
            <v>FC Barcelona</v>
          </cell>
          <cell r="G9" t="str">
            <v>FCB</v>
          </cell>
          <cell r="H9" t="str">
            <v>-</v>
          </cell>
          <cell r="I9" t="str">
            <v>-</v>
          </cell>
        </row>
        <row r="10">
          <cell r="B10">
            <v>1</v>
          </cell>
          <cell r="F10" t="str">
            <v>FC Bayern Munich</v>
          </cell>
          <cell r="G10" t="str">
            <v>BAY</v>
          </cell>
          <cell r="H10" t="str">
            <v>-</v>
          </cell>
          <cell r="I10" t="str">
            <v>-</v>
          </cell>
        </row>
        <row r="11">
          <cell r="B11">
            <v>35</v>
          </cell>
          <cell r="F11" t="str">
            <v>Fenerbahce Beko Istanbul</v>
          </cell>
          <cell r="G11" t="str">
            <v>FEN</v>
          </cell>
          <cell r="H11" t="str">
            <v>-</v>
          </cell>
          <cell r="I11" t="str">
            <v>-</v>
          </cell>
        </row>
        <row r="12">
          <cell r="B12">
            <v>40</v>
          </cell>
          <cell r="F12" t="str">
            <v>LDLC ASVEL Villeurbanne</v>
          </cell>
          <cell r="G12" t="str">
            <v>ASV</v>
          </cell>
          <cell r="H12" t="str">
            <v>-</v>
          </cell>
          <cell r="I12" t="str">
            <v>-</v>
          </cell>
        </row>
        <row r="13">
          <cell r="B13"/>
          <cell r="F13" t="str">
            <v>Maccabi Playtika Tel Aviv</v>
          </cell>
          <cell r="G13" t="str">
            <v>MTA</v>
          </cell>
          <cell r="H13" t="str">
            <v>-</v>
          </cell>
          <cell r="I13" t="str">
            <v>-</v>
          </cell>
        </row>
        <row r="14">
          <cell r="B14">
            <v>42</v>
          </cell>
          <cell r="F14" t="str">
            <v>Olympiacos Piraeus</v>
          </cell>
          <cell r="G14" t="str">
            <v>OLY</v>
          </cell>
          <cell r="H14" t="str">
            <v>-</v>
          </cell>
          <cell r="I14" t="str">
            <v>-</v>
          </cell>
        </row>
        <row r="15">
          <cell r="B15">
            <v>18</v>
          </cell>
          <cell r="F15" t="str">
            <v>Panathinaikos Athens</v>
          </cell>
          <cell r="G15" t="str">
            <v>PAN</v>
          </cell>
          <cell r="H15" t="str">
            <v>-</v>
          </cell>
          <cell r="I15" t="str">
            <v>-</v>
          </cell>
        </row>
        <row r="16">
          <cell r="B16">
            <v>10</v>
          </cell>
          <cell r="F16" t="str">
            <v>Partizan Mozzart Bet Belgrade</v>
          </cell>
          <cell r="G16" t="str">
            <v>PAR</v>
          </cell>
          <cell r="H16" t="str">
            <v>-</v>
          </cell>
          <cell r="I16" t="str">
            <v>-</v>
          </cell>
        </row>
        <row r="17">
          <cell r="B17">
            <v>4</v>
          </cell>
          <cell r="F17" t="str">
            <v>Real Madrid</v>
          </cell>
          <cell r="G17" t="str">
            <v>RMB</v>
          </cell>
          <cell r="H17" t="str">
            <v>-</v>
          </cell>
          <cell r="I17" t="str">
            <v>-</v>
          </cell>
        </row>
        <row r="18">
          <cell r="B18"/>
          <cell r="F18" t="str">
            <v>Valencia Basket</v>
          </cell>
          <cell r="G18" t="str">
            <v>VAL</v>
          </cell>
          <cell r="H18" t="str">
            <v>-</v>
          </cell>
          <cell r="I18" t="str">
            <v>-</v>
          </cell>
        </row>
        <row r="19">
          <cell r="F19" t="str">
            <v>Virtus Segafredo Bologna</v>
          </cell>
          <cell r="G19" t="str">
            <v>VIR</v>
          </cell>
          <cell r="H19" t="str">
            <v>-</v>
          </cell>
          <cell r="I19" t="str">
            <v>-</v>
          </cell>
        </row>
        <row r="20">
          <cell r="F20" t="str">
            <v>Zalgiris Kaunas</v>
          </cell>
          <cell r="G20" t="str">
            <v>ZAL</v>
          </cell>
          <cell r="H20" t="str">
            <v>-</v>
          </cell>
          <cell r="I20" t="str">
            <v>-</v>
          </cell>
        </row>
        <row r="21">
          <cell r="G21"/>
          <cell r="H21"/>
          <cell r="I21"/>
        </row>
        <row r="22">
          <cell r="G22"/>
          <cell r="H22"/>
          <cell r="I22"/>
        </row>
        <row r="23">
          <cell r="G23"/>
          <cell r="H23"/>
          <cell r="I23"/>
        </row>
        <row r="24">
          <cell r="G24"/>
          <cell r="H24"/>
          <cell r="I24"/>
        </row>
        <row r="25">
          <cell r="G25"/>
          <cell r="H25"/>
          <cell r="I25"/>
        </row>
        <row r="26">
          <cell r="G26"/>
          <cell r="H26"/>
          <cell r="I26"/>
        </row>
        <row r="27">
          <cell r="G27"/>
          <cell r="H27"/>
          <cell r="I27"/>
        </row>
        <row r="28">
          <cell r="G28"/>
          <cell r="H28"/>
          <cell r="I28"/>
        </row>
        <row r="29">
          <cell r="G29"/>
          <cell r="H29"/>
          <cell r="I29"/>
        </row>
        <row r="30">
          <cell r="G30"/>
          <cell r="H30"/>
          <cell r="I30"/>
        </row>
        <row r="31">
          <cell r="G31"/>
          <cell r="H31"/>
          <cell r="I31"/>
        </row>
        <row r="32">
          <cell r="G32"/>
          <cell r="H32"/>
          <cell r="I32"/>
        </row>
        <row r="33">
          <cell r="G33"/>
          <cell r="H33"/>
          <cell r="I33"/>
        </row>
        <row r="34">
          <cell r="G34"/>
          <cell r="H34"/>
          <cell r="I34"/>
        </row>
      </sheetData>
      <sheetData sheetId="1">
        <row r="3">
          <cell r="B3" t="str">
            <v>Bean Justin</v>
          </cell>
          <cell r="C3" t="str">
            <v>Justin Bean</v>
          </cell>
          <cell r="D3" t="str">
            <v>F/PF</v>
          </cell>
          <cell r="E3" t="str">
            <v>USA</v>
          </cell>
          <cell r="F3">
            <v>201</v>
          </cell>
          <cell r="G3">
            <v>28</v>
          </cell>
          <cell r="H3" t="str">
            <v>ALBA Berlin</v>
          </cell>
          <cell r="I3" t="str">
            <v>BER</v>
          </cell>
          <cell r="J3" t="str">
            <v>BER.BeanJustin</v>
          </cell>
          <cell r="K3" t="str">
            <v>BER.Justin Bean</v>
          </cell>
          <cell r="L3" t="str">
            <v>Bean J.</v>
          </cell>
        </row>
        <row r="4">
          <cell r="B4" t="str">
            <v>Brown Sterling</v>
          </cell>
          <cell r="C4" t="str">
            <v>Sterling Brown</v>
          </cell>
          <cell r="D4" t="str">
            <v>SG</v>
          </cell>
          <cell r="E4" t="str">
            <v>USA</v>
          </cell>
          <cell r="F4">
            <v>198</v>
          </cell>
          <cell r="G4">
            <v>29</v>
          </cell>
          <cell r="H4" t="str">
            <v>ALBA Berlin</v>
          </cell>
          <cell r="I4" t="str">
            <v>BER</v>
          </cell>
          <cell r="J4" t="str">
            <v>BER.BrownSterling</v>
          </cell>
          <cell r="K4" t="str">
            <v>BER.Sterling Brown</v>
          </cell>
          <cell r="L4" t="str">
            <v>Brown S.</v>
          </cell>
        </row>
        <row r="5">
          <cell r="B5" t="str">
            <v>Delow Malte</v>
          </cell>
          <cell r="C5" t="str">
            <v>Malte Delow</v>
          </cell>
          <cell r="D5" t="str">
            <v>SG</v>
          </cell>
          <cell r="E5" t="str">
            <v>GER</v>
          </cell>
          <cell r="F5">
            <v>194</v>
          </cell>
          <cell r="G5">
            <v>23</v>
          </cell>
          <cell r="H5" t="str">
            <v>ALBA Berlin</v>
          </cell>
          <cell r="I5" t="str">
            <v>BER</v>
          </cell>
          <cell r="J5" t="str">
            <v>BER.DelowMalte</v>
          </cell>
          <cell r="K5" t="str">
            <v>BER.Malte Delow</v>
          </cell>
          <cell r="L5" t="str">
            <v>Delow M.</v>
          </cell>
        </row>
        <row r="6">
          <cell r="B6" t="str">
            <v>Koumadje Khalifa</v>
          </cell>
          <cell r="C6" t="str">
            <v>Khalifa Koumadje</v>
          </cell>
          <cell r="D6" t="str">
            <v>C</v>
          </cell>
          <cell r="E6" t="str">
            <v>CHA</v>
          </cell>
          <cell r="F6">
            <v>223</v>
          </cell>
          <cell r="G6">
            <v>28</v>
          </cell>
          <cell r="H6" t="str">
            <v>ALBA Berlin</v>
          </cell>
          <cell r="I6" t="str">
            <v>BER</v>
          </cell>
          <cell r="J6" t="str">
            <v>BER.KoumadjeKhalifa</v>
          </cell>
          <cell r="K6" t="str">
            <v>BER.Khalifa Koumadje</v>
          </cell>
          <cell r="L6" t="str">
            <v>Koumadje K.</v>
          </cell>
        </row>
        <row r="7">
          <cell r="B7" t="str">
            <v>Mattisseck Jonas</v>
          </cell>
          <cell r="C7" t="str">
            <v>Jonas Mattisseck</v>
          </cell>
          <cell r="D7" t="str">
            <v>SG</v>
          </cell>
          <cell r="E7" t="str">
            <v>GER</v>
          </cell>
          <cell r="F7">
            <v>194</v>
          </cell>
          <cell r="G7">
            <v>24</v>
          </cell>
          <cell r="H7" t="str">
            <v>ALBA Berlin</v>
          </cell>
          <cell r="I7" t="str">
            <v>BER</v>
          </cell>
          <cell r="J7" t="str">
            <v>BER.MattisseckJonas</v>
          </cell>
          <cell r="K7" t="str">
            <v>BER.Jonas Mattisseck</v>
          </cell>
          <cell r="L7" t="str">
            <v>Mattisseck J.</v>
          </cell>
        </row>
        <row r="8">
          <cell r="B8" t="str">
            <v>Nikic Kresimir</v>
          </cell>
          <cell r="C8" t="str">
            <v>Kresimir Nikic</v>
          </cell>
          <cell r="D8" t="str">
            <v>C</v>
          </cell>
          <cell r="E8" t="str">
            <v>CRO</v>
          </cell>
          <cell r="F8">
            <v>213</v>
          </cell>
          <cell r="G8">
            <v>25</v>
          </cell>
          <cell r="H8" t="str">
            <v>ALBA Berlin</v>
          </cell>
          <cell r="I8" t="str">
            <v>BER</v>
          </cell>
          <cell r="J8" t="str">
            <v>BER.NikicKresimir</v>
          </cell>
          <cell r="K8" t="str">
            <v>BER.Kresimir Nikic</v>
          </cell>
          <cell r="L8" t="str">
            <v>Nikic K.</v>
          </cell>
        </row>
        <row r="9">
          <cell r="B9" t="str">
            <v>Olinde Louis</v>
          </cell>
          <cell r="C9" t="str">
            <v>Louis Olinde</v>
          </cell>
          <cell r="D9" t="str">
            <v>F</v>
          </cell>
          <cell r="E9" t="str">
            <v>GER</v>
          </cell>
          <cell r="F9">
            <v>204.99999999999997</v>
          </cell>
          <cell r="G9">
            <v>26</v>
          </cell>
          <cell r="H9" t="str">
            <v>ALBA Berlin</v>
          </cell>
          <cell r="I9" t="str">
            <v>BER</v>
          </cell>
          <cell r="J9" t="str">
            <v>BER.OlindeLouis</v>
          </cell>
          <cell r="K9" t="str">
            <v>BER.Louis Olinde</v>
          </cell>
          <cell r="L9" t="str">
            <v>Olinde L.</v>
          </cell>
        </row>
        <row r="10">
          <cell r="B10" t="str">
            <v>Procida Gabriele</v>
          </cell>
          <cell r="C10" t="str">
            <v>Gabriele Procida</v>
          </cell>
          <cell r="D10" t="str">
            <v>SG</v>
          </cell>
          <cell r="E10" t="str">
            <v>ITA</v>
          </cell>
          <cell r="F10">
            <v>198</v>
          </cell>
          <cell r="G10">
            <v>22</v>
          </cell>
          <cell r="H10" t="str">
            <v>ALBA Berlin</v>
          </cell>
          <cell r="I10" t="str">
            <v>BER</v>
          </cell>
          <cell r="J10" t="str">
            <v>BER.ProcidaGabriele</v>
          </cell>
          <cell r="K10" t="str">
            <v>BER.Gabriele Procida</v>
          </cell>
          <cell r="L10" t="str">
            <v>Procida G.</v>
          </cell>
        </row>
        <row r="11">
          <cell r="B11" t="str">
            <v>Samar Ziga</v>
          </cell>
          <cell r="C11" t="str">
            <v>Ziga Samar</v>
          </cell>
          <cell r="D11" t="str">
            <v>PG</v>
          </cell>
          <cell r="E11" t="str">
            <v>SLO</v>
          </cell>
          <cell r="F11">
            <v>198</v>
          </cell>
          <cell r="G11">
            <v>23</v>
          </cell>
          <cell r="H11" t="str">
            <v>ALBA Berlin</v>
          </cell>
          <cell r="I11" t="str">
            <v>BER</v>
          </cell>
          <cell r="J11" t="str">
            <v>BER.SamarZiga</v>
          </cell>
          <cell r="K11" t="str">
            <v>BER.Ziga Samar</v>
          </cell>
          <cell r="L11" t="str">
            <v>Samar Z.</v>
          </cell>
        </row>
        <row r="12">
          <cell r="B12" t="str">
            <v>Schneider Tim</v>
          </cell>
          <cell r="C12" t="str">
            <v>Tim Schneider</v>
          </cell>
          <cell r="D12" t="str">
            <v>PF</v>
          </cell>
          <cell r="E12" t="str">
            <v>GER</v>
          </cell>
          <cell r="F12">
            <v>208</v>
          </cell>
          <cell r="G12">
            <v>27</v>
          </cell>
          <cell r="H12" t="str">
            <v>ALBA Berlin</v>
          </cell>
          <cell r="I12" t="str">
            <v>BER</v>
          </cell>
          <cell r="J12" t="str">
            <v>BER.SchneiderTim</v>
          </cell>
          <cell r="K12" t="str">
            <v>BER.Tim Schneider</v>
          </cell>
          <cell r="L12" t="str">
            <v>Schneider T.</v>
          </cell>
        </row>
        <row r="13">
          <cell r="B13" t="str">
            <v>Spagnolo Matteo</v>
          </cell>
          <cell r="C13" t="str">
            <v>Matteo Spagnolo</v>
          </cell>
          <cell r="D13" t="str">
            <v>PG</v>
          </cell>
          <cell r="E13" t="str">
            <v>ITA</v>
          </cell>
          <cell r="F13">
            <v>194</v>
          </cell>
          <cell r="G13">
            <v>21</v>
          </cell>
          <cell r="H13" t="str">
            <v>ALBA Berlin</v>
          </cell>
          <cell r="I13" t="str">
            <v>BER</v>
          </cell>
          <cell r="J13" t="str">
            <v>BER.SpagnoloMatteo</v>
          </cell>
          <cell r="K13" t="str">
            <v>BER.Matteo Spagnolo</v>
          </cell>
          <cell r="L13" t="str">
            <v>Spagnolo M.</v>
          </cell>
        </row>
        <row r="14">
          <cell r="B14" t="str">
            <v>Thiemann Johannes</v>
          </cell>
          <cell r="C14" t="str">
            <v>Johannes Thiemann</v>
          </cell>
          <cell r="D14" t="str">
            <v>C</v>
          </cell>
          <cell r="E14" t="str">
            <v>GER</v>
          </cell>
          <cell r="F14">
            <v>204.99999999999997</v>
          </cell>
          <cell r="G14">
            <v>30</v>
          </cell>
          <cell r="H14" t="str">
            <v>ALBA Berlin</v>
          </cell>
          <cell r="I14" t="str">
            <v>BER</v>
          </cell>
          <cell r="J14" t="str">
            <v>BER.ThiemannJohannes</v>
          </cell>
          <cell r="K14" t="str">
            <v>BER.Johannes Thiemann</v>
          </cell>
          <cell r="L14" t="str">
            <v>Thiemann J.</v>
          </cell>
        </row>
        <row r="15">
          <cell r="B15" t="str">
            <v>Thomas Matt</v>
          </cell>
          <cell r="C15" t="str">
            <v>Matt Thomas</v>
          </cell>
          <cell r="D15" t="str">
            <v>SG</v>
          </cell>
          <cell r="E15" t="str">
            <v>USA</v>
          </cell>
          <cell r="F15">
            <v>196</v>
          </cell>
          <cell r="G15">
            <v>30</v>
          </cell>
          <cell r="H15" t="str">
            <v>ALBA Berlin</v>
          </cell>
          <cell r="I15" t="str">
            <v>BER</v>
          </cell>
          <cell r="J15" t="str">
            <v>BER.ThomasMatt</v>
          </cell>
          <cell r="K15" t="str">
            <v>BER.Matt Thomas</v>
          </cell>
          <cell r="L15" t="str">
            <v>Thomas M.</v>
          </cell>
        </row>
        <row r="16">
          <cell r="B16" t="str">
            <v>Wetzell Yanni</v>
          </cell>
          <cell r="C16" t="str">
            <v>Yanni Wetzell</v>
          </cell>
          <cell r="D16" t="str">
            <v>PF</v>
          </cell>
          <cell r="E16" t="str">
            <v>NZL</v>
          </cell>
          <cell r="F16">
            <v>206</v>
          </cell>
          <cell r="G16">
            <v>28</v>
          </cell>
          <cell r="H16" t="str">
            <v>ALBA Berlin</v>
          </cell>
          <cell r="I16" t="str">
            <v>BER</v>
          </cell>
          <cell r="J16" t="str">
            <v>BER.WetzellYanni</v>
          </cell>
          <cell r="K16" t="str">
            <v>BER.Yanni Wetzell</v>
          </cell>
          <cell r="L16" t="str">
            <v>Wetzell Y.</v>
          </cell>
        </row>
        <row r="17">
          <cell r="B17" t="str">
            <v>Beaubois Rodrigue</v>
          </cell>
          <cell r="C17" t="str">
            <v>Rodrigue Beaubois</v>
          </cell>
          <cell r="D17" t="str">
            <v>PG/SG</v>
          </cell>
          <cell r="E17" t="str">
            <v>FRA</v>
          </cell>
          <cell r="F17">
            <v>190</v>
          </cell>
          <cell r="G17">
            <v>36</v>
          </cell>
          <cell r="H17" t="str">
            <v>Anadolu Efes Istanbul</v>
          </cell>
          <cell r="I17" t="str">
            <v>EFE</v>
          </cell>
          <cell r="J17" t="str">
            <v>EFE.BeauboisRodrigue</v>
          </cell>
          <cell r="K17" t="str">
            <v>EFE.Rodrigue Beaubois</v>
          </cell>
          <cell r="L17" t="str">
            <v>Beaubois R.</v>
          </cell>
        </row>
        <row r="18">
          <cell r="B18" t="str">
            <v>Bryant Elijah</v>
          </cell>
          <cell r="C18" t="str">
            <v>Elijah Bryant</v>
          </cell>
          <cell r="D18" t="str">
            <v>SG</v>
          </cell>
          <cell r="E18" t="str">
            <v>USA</v>
          </cell>
          <cell r="F18">
            <v>196</v>
          </cell>
          <cell r="G18">
            <v>29</v>
          </cell>
          <cell r="H18" t="str">
            <v>Anadolu Efes Istanbul</v>
          </cell>
          <cell r="I18" t="str">
            <v>EFE</v>
          </cell>
          <cell r="J18" t="str">
            <v>EFE.BryantElijah</v>
          </cell>
          <cell r="K18" t="str">
            <v>EFE.Elijah Bryant</v>
          </cell>
          <cell r="L18" t="str">
            <v>Bryant E.</v>
          </cell>
        </row>
        <row r="19">
          <cell r="B19" t="str">
            <v>Clyburn Will</v>
          </cell>
          <cell r="C19" t="str">
            <v>Will Clyburn</v>
          </cell>
          <cell r="D19" t="str">
            <v>F</v>
          </cell>
          <cell r="E19" t="str">
            <v>USA</v>
          </cell>
          <cell r="F19">
            <v>200.99999999999997</v>
          </cell>
          <cell r="G19">
            <v>34</v>
          </cell>
          <cell r="H19" t="str">
            <v>Anadolu Efes Istanbul</v>
          </cell>
          <cell r="I19" t="str">
            <v>EFE</v>
          </cell>
          <cell r="J19" t="str">
            <v>EFE.ClyburnWill</v>
          </cell>
          <cell r="K19" t="str">
            <v>EFE.Will Clyburn</v>
          </cell>
          <cell r="L19" t="str">
            <v>Clyburn W.</v>
          </cell>
        </row>
        <row r="20">
          <cell r="B20" t="str">
            <v>Gazi Erten</v>
          </cell>
          <cell r="C20" t="str">
            <v>Erten Gazi</v>
          </cell>
          <cell r="D20" t="str">
            <v>SG</v>
          </cell>
          <cell r="E20" t="str">
            <v>TUR</v>
          </cell>
          <cell r="F20">
            <v>190</v>
          </cell>
          <cell r="G20">
            <v>27</v>
          </cell>
          <cell r="H20" t="str">
            <v>Anadolu Efes Istanbul</v>
          </cell>
          <cell r="I20" t="str">
            <v>EFE</v>
          </cell>
          <cell r="J20" t="str">
            <v>EFE.GaziErten</v>
          </cell>
          <cell r="K20" t="str">
            <v>EFE.Erten Gazi</v>
          </cell>
          <cell r="L20" t="str">
            <v>Gazi E.</v>
          </cell>
        </row>
        <row r="21">
          <cell r="B21" t="str">
            <v>Hollatz Justus</v>
          </cell>
          <cell r="C21" t="str">
            <v>Justus Hollatz</v>
          </cell>
          <cell r="D21" t="str">
            <v>SG</v>
          </cell>
          <cell r="E21" t="str">
            <v>GER</v>
          </cell>
          <cell r="F21">
            <v>195</v>
          </cell>
          <cell r="G21">
            <v>23</v>
          </cell>
          <cell r="H21" t="str">
            <v>Anadolu Efes Istanbul</v>
          </cell>
          <cell r="I21" t="str">
            <v>EFE</v>
          </cell>
          <cell r="J21" t="str">
            <v>EFE.HollatzJustus</v>
          </cell>
          <cell r="K21" t="str">
            <v>EFE.Justus Hollatz</v>
          </cell>
          <cell r="L21" t="str">
            <v>Hollatz J.</v>
          </cell>
        </row>
        <row r="22">
          <cell r="B22" t="str">
            <v>Jones Tyrique</v>
          </cell>
          <cell r="C22" t="str">
            <v>Tyrique Jones</v>
          </cell>
          <cell r="D22" t="str">
            <v>C</v>
          </cell>
          <cell r="E22" t="str">
            <v>USA</v>
          </cell>
          <cell r="F22">
            <v>206</v>
          </cell>
          <cell r="G22">
            <v>27</v>
          </cell>
          <cell r="H22" t="str">
            <v>Anadolu Efes Istanbul</v>
          </cell>
          <cell r="I22" t="str">
            <v>EFE</v>
          </cell>
          <cell r="J22" t="str">
            <v>EFE.JonesTyrique</v>
          </cell>
          <cell r="K22" t="str">
            <v>EFE.Tyrique Jones</v>
          </cell>
          <cell r="L22" t="str">
            <v>Jones T.</v>
          </cell>
        </row>
        <row r="23">
          <cell r="B23" t="str">
            <v>Larkin Shane</v>
          </cell>
          <cell r="C23" t="str">
            <v>Shane Larkin</v>
          </cell>
          <cell r="D23" t="str">
            <v>PG</v>
          </cell>
          <cell r="E23" t="str">
            <v>USA</v>
          </cell>
          <cell r="F23">
            <v>180</v>
          </cell>
          <cell r="G23">
            <v>32</v>
          </cell>
          <cell r="H23" t="str">
            <v>Anadolu Efes Istanbul</v>
          </cell>
          <cell r="I23" t="str">
            <v>EFE</v>
          </cell>
          <cell r="J23" t="str">
            <v>EFE.LarkinShane</v>
          </cell>
          <cell r="K23" t="str">
            <v>EFE.Shane Larkin</v>
          </cell>
          <cell r="L23" t="str">
            <v>Larkin S.</v>
          </cell>
        </row>
        <row r="24">
          <cell r="B24" t="str">
            <v>Osmani Ercan</v>
          </cell>
          <cell r="C24" t="str">
            <v>Ercan Osmani</v>
          </cell>
          <cell r="D24" t="str">
            <v>C</v>
          </cell>
          <cell r="E24" t="str">
            <v>TUR</v>
          </cell>
          <cell r="F24">
            <v>213</v>
          </cell>
          <cell r="G24">
            <v>26</v>
          </cell>
          <cell r="H24" t="str">
            <v>Anadolu Efes Istanbul</v>
          </cell>
          <cell r="I24" t="str">
            <v>EFE</v>
          </cell>
          <cell r="J24" t="str">
            <v>EFE.OsmaniErcan</v>
          </cell>
          <cell r="K24" t="str">
            <v>EFE.Ercan Osmani</v>
          </cell>
          <cell r="L24" t="str">
            <v>Osmani E.</v>
          </cell>
        </row>
        <row r="25">
          <cell r="B25" t="str">
            <v>Pleiss Tibor</v>
          </cell>
          <cell r="C25" t="str">
            <v>Tibor Pleiss</v>
          </cell>
          <cell r="D25" t="str">
            <v>C</v>
          </cell>
          <cell r="E25" t="str">
            <v>GER</v>
          </cell>
          <cell r="F25">
            <v>218.00000000000003</v>
          </cell>
          <cell r="G25">
            <v>35</v>
          </cell>
          <cell r="H25" t="str">
            <v>Anadolu Efes Istanbul</v>
          </cell>
          <cell r="I25" t="str">
            <v>EFE</v>
          </cell>
          <cell r="J25" t="str">
            <v>EFE.PleissTibor</v>
          </cell>
          <cell r="K25" t="str">
            <v>EFE.Tibor Pleiss</v>
          </cell>
          <cell r="L25" t="str">
            <v>Pleiss T.</v>
          </cell>
        </row>
        <row r="26">
          <cell r="B26" t="str">
            <v>Thompson Darius</v>
          </cell>
          <cell r="C26" t="str">
            <v>Darius Thompson</v>
          </cell>
          <cell r="D26" t="str">
            <v>PG/SG</v>
          </cell>
          <cell r="E26" t="str">
            <v>USA</v>
          </cell>
          <cell r="F26">
            <v>193</v>
          </cell>
          <cell r="G26">
            <v>29</v>
          </cell>
          <cell r="H26" t="str">
            <v>Anadolu Efes Istanbul</v>
          </cell>
          <cell r="I26" t="str">
            <v>EFE</v>
          </cell>
          <cell r="J26" t="str">
            <v>EFE.ThompsonDarius</v>
          </cell>
          <cell r="K26" t="str">
            <v>EFE.Darius Thompson</v>
          </cell>
          <cell r="L26" t="str">
            <v>Thompson D.</v>
          </cell>
        </row>
        <row r="27">
          <cell r="B27" t="str">
            <v>Tunca Melih</v>
          </cell>
          <cell r="C27" t="str">
            <v>Melih Tunca</v>
          </cell>
          <cell r="D27" t="str">
            <v>SG</v>
          </cell>
          <cell r="E27" t="str">
            <v>TUR</v>
          </cell>
          <cell r="F27">
            <v>195</v>
          </cell>
          <cell r="G27">
            <v>19</v>
          </cell>
          <cell r="H27" t="str">
            <v>Anadolu Efes Istanbul</v>
          </cell>
          <cell r="I27" t="str">
            <v>EFE</v>
          </cell>
          <cell r="J27" t="str">
            <v>EFE.TuncaMelih</v>
          </cell>
          <cell r="K27" t="str">
            <v>EFE.Melih Tunca</v>
          </cell>
          <cell r="L27" t="str">
            <v>Tunca M.</v>
          </cell>
        </row>
        <row r="28">
          <cell r="B28" t="str">
            <v>Willis Derek</v>
          </cell>
          <cell r="C28" t="str">
            <v>Derek Willis</v>
          </cell>
          <cell r="D28" t="str">
            <v>PF/C</v>
          </cell>
          <cell r="E28" t="str">
            <v>USA</v>
          </cell>
          <cell r="F28">
            <v>206</v>
          </cell>
          <cell r="G28">
            <v>29</v>
          </cell>
          <cell r="H28" t="str">
            <v>Anadolu Efes Istanbul</v>
          </cell>
          <cell r="I28" t="str">
            <v>EFE</v>
          </cell>
          <cell r="J28" t="str">
            <v>EFE.WillisDerek</v>
          </cell>
          <cell r="K28" t="str">
            <v>EFE.Derek Willis</v>
          </cell>
          <cell r="L28" t="str">
            <v>Willis D.</v>
          </cell>
        </row>
        <row r="29">
          <cell r="B29" t="str">
            <v>Yilmaz Erkan</v>
          </cell>
          <cell r="C29" t="str">
            <v>Erkan Yilmaz</v>
          </cell>
          <cell r="D29" t="str">
            <v>F</v>
          </cell>
          <cell r="E29" t="str">
            <v>TUR</v>
          </cell>
          <cell r="F29">
            <v>192</v>
          </cell>
          <cell r="G29">
            <v>27</v>
          </cell>
          <cell r="H29" t="str">
            <v>Anadolu Efes Istanbul</v>
          </cell>
          <cell r="I29" t="str">
            <v>EFE</v>
          </cell>
          <cell r="J29" t="str">
            <v>EFE.YilmazErkan</v>
          </cell>
          <cell r="K29" t="str">
            <v>EFE.Erkan Yilmaz</v>
          </cell>
          <cell r="L29" t="str">
            <v>Yilmaz E.</v>
          </cell>
        </row>
        <row r="30">
          <cell r="B30" t="str">
            <v>Zizic Ante</v>
          </cell>
          <cell r="C30" t="str">
            <v>Ante Zizic</v>
          </cell>
          <cell r="D30" t="str">
            <v>C</v>
          </cell>
          <cell r="E30" t="str">
            <v>CRO</v>
          </cell>
          <cell r="F30">
            <v>210</v>
          </cell>
          <cell r="G30">
            <v>27</v>
          </cell>
          <cell r="H30" t="str">
            <v>Anadolu Efes Istanbul</v>
          </cell>
          <cell r="I30" t="str">
            <v>EFE</v>
          </cell>
          <cell r="J30" t="str">
            <v>EFE.ZizicAnte</v>
          </cell>
          <cell r="K30" t="str">
            <v>EFE.Ante Zizic</v>
          </cell>
          <cell r="L30" t="str">
            <v>Zizic A.</v>
          </cell>
        </row>
        <row r="31">
          <cell r="B31" t="str">
            <v>Blossomgame Jaron</v>
          </cell>
          <cell r="C31" t="str">
            <v>Jaron Blossomgame</v>
          </cell>
          <cell r="D31" t="str">
            <v>F</v>
          </cell>
          <cell r="E31" t="str">
            <v>USA</v>
          </cell>
          <cell r="F31">
            <v>198</v>
          </cell>
          <cell r="G31">
            <v>31</v>
          </cell>
          <cell r="H31" t="str">
            <v>AS Monaco</v>
          </cell>
          <cell r="I31" t="str">
            <v>ASM</v>
          </cell>
          <cell r="J31" t="str">
            <v>ASM.BlossomgameJaron</v>
          </cell>
          <cell r="K31" t="str">
            <v>ASM.Jaron Blossomgame</v>
          </cell>
          <cell r="L31" t="str">
            <v>Blossomgame J.</v>
          </cell>
        </row>
        <row r="32">
          <cell r="B32" t="str">
            <v>Brown John</v>
          </cell>
          <cell r="C32" t="str">
            <v>John Brown</v>
          </cell>
          <cell r="D32" t="str">
            <v>PF/C</v>
          </cell>
          <cell r="E32" t="str">
            <v>USA</v>
          </cell>
          <cell r="F32">
            <v>204.99999999999997</v>
          </cell>
          <cell r="G32">
            <v>50</v>
          </cell>
          <cell r="H32" t="str">
            <v>AS Monaco</v>
          </cell>
          <cell r="I32" t="str">
            <v>ASM</v>
          </cell>
          <cell r="J32" t="str">
            <v>ASM.BrownJohn</v>
          </cell>
          <cell r="K32" t="str">
            <v>ASM.John Brown</v>
          </cell>
          <cell r="L32" t="str">
            <v>Brown J.</v>
          </cell>
        </row>
        <row r="33">
          <cell r="B33" t="str">
            <v>Cornelie Petr</v>
          </cell>
          <cell r="C33" t="str">
            <v>Petr Cornelie</v>
          </cell>
          <cell r="D33" t="str">
            <v>C</v>
          </cell>
          <cell r="E33" t="str">
            <v>FRA</v>
          </cell>
          <cell r="F33">
            <v>212</v>
          </cell>
          <cell r="G33">
            <v>29</v>
          </cell>
          <cell r="H33" t="str">
            <v>AS Monaco</v>
          </cell>
          <cell r="I33" t="str">
            <v>ASM</v>
          </cell>
          <cell r="J33" t="str">
            <v>ASM.CorneliePetr</v>
          </cell>
          <cell r="K33" t="str">
            <v>ASM.Petr Cornelie</v>
          </cell>
          <cell r="L33" t="str">
            <v>Cornelie P.</v>
          </cell>
        </row>
        <row r="34">
          <cell r="B34" t="str">
            <v>Diallo Alpha</v>
          </cell>
          <cell r="C34" t="str">
            <v>Alpha Diallo</v>
          </cell>
          <cell r="D34" t="str">
            <v>F</v>
          </cell>
          <cell r="E34" t="str">
            <v>USA</v>
          </cell>
          <cell r="F34">
            <v>200.99999999999997</v>
          </cell>
          <cell r="G34">
            <v>27</v>
          </cell>
          <cell r="H34" t="str">
            <v>AS Monaco</v>
          </cell>
          <cell r="I34" t="str">
            <v>ASM</v>
          </cell>
          <cell r="J34" t="str">
            <v>ASM.DialloAlpha</v>
          </cell>
          <cell r="K34" t="str">
            <v>ASM.Alpha Diallo</v>
          </cell>
          <cell r="L34" t="str">
            <v>Diallo A.</v>
          </cell>
        </row>
        <row r="35">
          <cell r="B35" t="str">
            <v>Hall Donta</v>
          </cell>
          <cell r="C35" t="str">
            <v>Donta Hall</v>
          </cell>
          <cell r="D35" t="str">
            <v>C</v>
          </cell>
          <cell r="E35" t="str">
            <v>USA</v>
          </cell>
          <cell r="F35">
            <v>208</v>
          </cell>
          <cell r="G35">
            <v>27</v>
          </cell>
          <cell r="H35" t="str">
            <v>AS Monaco</v>
          </cell>
          <cell r="I35" t="str">
            <v>ASM</v>
          </cell>
          <cell r="J35" t="str">
            <v>ASM.HallDonta</v>
          </cell>
          <cell r="K35" t="str">
            <v>ASM.Donta Hall</v>
          </cell>
          <cell r="L35" t="str">
            <v>Hall D.</v>
          </cell>
        </row>
        <row r="36">
          <cell r="B36" t="str">
            <v>Jaiteh Mam</v>
          </cell>
          <cell r="C36" t="str">
            <v>Mam Jaiteh</v>
          </cell>
          <cell r="D36" t="str">
            <v>C</v>
          </cell>
          <cell r="E36" t="str">
            <v>FRA</v>
          </cell>
          <cell r="F36">
            <v>208</v>
          </cell>
          <cell r="G36">
            <v>30</v>
          </cell>
          <cell r="H36" t="str">
            <v>AS Monaco</v>
          </cell>
          <cell r="I36" t="str">
            <v>ASM</v>
          </cell>
          <cell r="J36" t="str">
            <v>ASM.JaitehMam</v>
          </cell>
          <cell r="K36" t="str">
            <v>ASM.Mam Jaiteh</v>
          </cell>
          <cell r="L36" t="str">
            <v>Jaiteh M.</v>
          </cell>
        </row>
        <row r="37">
          <cell r="B37" t="str">
            <v>James Mike</v>
          </cell>
          <cell r="C37" t="str">
            <v>Mike James</v>
          </cell>
          <cell r="D37" t="str">
            <v>PG</v>
          </cell>
          <cell r="E37" t="str">
            <v>USA</v>
          </cell>
          <cell r="F37">
            <v>185</v>
          </cell>
          <cell r="G37">
            <v>34</v>
          </cell>
          <cell r="H37" t="str">
            <v>AS Monaco</v>
          </cell>
          <cell r="I37" t="str">
            <v>ASM</v>
          </cell>
          <cell r="J37" t="str">
            <v>ASM.JamesMike</v>
          </cell>
          <cell r="K37" t="str">
            <v>ASM.Mike James</v>
          </cell>
          <cell r="L37" t="str">
            <v>James M.</v>
          </cell>
        </row>
        <row r="38">
          <cell r="B38" t="str">
            <v>Loyd Jordan</v>
          </cell>
          <cell r="C38" t="str">
            <v>Jordan Loyd</v>
          </cell>
          <cell r="D38" t="str">
            <v>SG</v>
          </cell>
          <cell r="E38" t="str">
            <v>USA</v>
          </cell>
          <cell r="F38">
            <v>193</v>
          </cell>
          <cell r="G38">
            <v>31</v>
          </cell>
          <cell r="H38" t="str">
            <v>AS Monaco</v>
          </cell>
          <cell r="I38" t="str">
            <v>ASM</v>
          </cell>
          <cell r="J38" t="str">
            <v>ASM.LoydJordan</v>
          </cell>
          <cell r="K38" t="str">
            <v>ASM.Jordan Loyd</v>
          </cell>
          <cell r="L38" t="str">
            <v>Loyd J.</v>
          </cell>
        </row>
        <row r="39">
          <cell r="B39" t="str">
            <v>Motiejunas Donatas</v>
          </cell>
          <cell r="C39" t="str">
            <v>Donatas Motiejunas</v>
          </cell>
          <cell r="D39" t="str">
            <v>PF/C</v>
          </cell>
          <cell r="E39" t="str">
            <v>LTU</v>
          </cell>
          <cell r="F39">
            <v>213</v>
          </cell>
          <cell r="G39">
            <v>34</v>
          </cell>
          <cell r="H39" t="str">
            <v>AS Monaco</v>
          </cell>
          <cell r="I39" t="str">
            <v>ASM</v>
          </cell>
          <cell r="J39" t="str">
            <v>ASM.MotiejunasDonatas</v>
          </cell>
          <cell r="K39" t="str">
            <v>ASM.Donatas Motiejunas</v>
          </cell>
          <cell r="L39" t="str">
            <v>Motiejunas D.</v>
          </cell>
        </row>
        <row r="40">
          <cell r="B40" t="str">
            <v>Okobo Elie</v>
          </cell>
          <cell r="C40" t="str">
            <v>Elie Okobo</v>
          </cell>
          <cell r="D40" t="str">
            <v>PG</v>
          </cell>
          <cell r="E40" t="str">
            <v>FRA</v>
          </cell>
          <cell r="F40">
            <v>191</v>
          </cell>
          <cell r="G40">
            <v>27</v>
          </cell>
          <cell r="H40" t="str">
            <v>AS Monaco</v>
          </cell>
          <cell r="I40" t="str">
            <v>ASM</v>
          </cell>
          <cell r="J40" t="str">
            <v>ASM.OkoboElie</v>
          </cell>
          <cell r="K40" t="str">
            <v>ASM.Elie Okobo</v>
          </cell>
          <cell r="L40" t="str">
            <v>Okobo E.</v>
          </cell>
        </row>
        <row r="41">
          <cell r="B41" t="str">
            <v>Ouattara Yakuba</v>
          </cell>
          <cell r="C41" t="str">
            <v>Yakuba Ouattara</v>
          </cell>
          <cell r="D41" t="str">
            <v>SG</v>
          </cell>
          <cell r="E41" t="str">
            <v>FRA</v>
          </cell>
          <cell r="F41">
            <v>192</v>
          </cell>
          <cell r="G41">
            <v>32</v>
          </cell>
          <cell r="H41" t="str">
            <v>AS Monaco</v>
          </cell>
          <cell r="I41" t="str">
            <v>ASM</v>
          </cell>
          <cell r="J41" t="str">
            <v>ASM.OuattaraYakuba</v>
          </cell>
          <cell r="K41" t="str">
            <v>ASM.Yakuba Ouattara</v>
          </cell>
          <cell r="L41" t="str">
            <v>Ouattara Y.</v>
          </cell>
        </row>
        <row r="42">
          <cell r="B42" t="str">
            <v>Strazel Matthew</v>
          </cell>
          <cell r="C42" t="str">
            <v>Matthew Strazel</v>
          </cell>
          <cell r="D42" t="str">
            <v>SG</v>
          </cell>
          <cell r="E42" t="str">
            <v>FRA</v>
          </cell>
          <cell r="F42">
            <v>182</v>
          </cell>
          <cell r="G42">
            <v>22</v>
          </cell>
          <cell r="H42" t="str">
            <v>AS Monaco</v>
          </cell>
          <cell r="I42" t="str">
            <v>ASM</v>
          </cell>
          <cell r="J42" t="str">
            <v>ASM.StrazelMatthew</v>
          </cell>
          <cell r="K42" t="str">
            <v>ASM.Matthew Strazel</v>
          </cell>
          <cell r="L42" t="str">
            <v>Strazel M.</v>
          </cell>
        </row>
        <row r="43">
          <cell r="B43" t="str">
            <v>Tarpey Terry</v>
          </cell>
          <cell r="C43" t="str">
            <v>Terry Tarpey</v>
          </cell>
          <cell r="D43" t="str">
            <v>F</v>
          </cell>
          <cell r="E43" t="str">
            <v>FRA</v>
          </cell>
          <cell r="F43">
            <v>195</v>
          </cell>
          <cell r="G43">
            <v>30</v>
          </cell>
          <cell r="H43" t="str">
            <v>AS Monaco</v>
          </cell>
          <cell r="I43" t="str">
            <v>ASM</v>
          </cell>
          <cell r="J43" t="str">
            <v>ASM.TarpeyTerry</v>
          </cell>
          <cell r="K43" t="str">
            <v>ASM.Terry Tarpey</v>
          </cell>
          <cell r="L43" t="str">
            <v>Tarpey T.</v>
          </cell>
        </row>
        <row r="44">
          <cell r="B44" t="str">
            <v>Walker Kemba</v>
          </cell>
          <cell r="C44" t="str">
            <v>Kemba Walker</v>
          </cell>
          <cell r="D44" t="str">
            <v>PG</v>
          </cell>
          <cell r="E44" t="str">
            <v>USA</v>
          </cell>
          <cell r="F44">
            <v>183</v>
          </cell>
          <cell r="G44">
            <v>34</v>
          </cell>
          <cell r="H44" t="str">
            <v>AS Monaco</v>
          </cell>
          <cell r="I44" t="str">
            <v>ASM</v>
          </cell>
          <cell r="J44" t="str">
            <v>ASM.WalkerKemba</v>
          </cell>
          <cell r="K44" t="str">
            <v>ASM.Kemba Walker</v>
          </cell>
          <cell r="L44" t="str">
            <v>Walker K.</v>
          </cell>
        </row>
        <row r="45">
          <cell r="B45" t="str">
            <v>Chiozza Chris</v>
          </cell>
          <cell r="C45" t="str">
            <v>Chris Chiozza</v>
          </cell>
          <cell r="D45" t="str">
            <v>PG</v>
          </cell>
          <cell r="E45" t="str">
            <v>USA</v>
          </cell>
          <cell r="F45">
            <v>180</v>
          </cell>
          <cell r="G45">
            <v>29</v>
          </cell>
          <cell r="H45" t="str">
            <v>Baskonia Vitoria-Gasteiz</v>
          </cell>
          <cell r="I45" t="str">
            <v>BAS</v>
          </cell>
          <cell r="J45" t="str">
            <v>BAS.ChiozzaChris</v>
          </cell>
          <cell r="K45" t="str">
            <v>BAS.Chris Chiozza</v>
          </cell>
          <cell r="L45" t="str">
            <v>Chiozza C.</v>
          </cell>
        </row>
        <row r="46">
          <cell r="B46" t="str">
            <v>Costello Matthew</v>
          </cell>
          <cell r="C46" t="str">
            <v>Matthew Costello</v>
          </cell>
          <cell r="D46" t="str">
            <v>PF/C</v>
          </cell>
          <cell r="E46" t="str">
            <v>USA</v>
          </cell>
          <cell r="F46">
            <v>210</v>
          </cell>
          <cell r="G46">
            <v>31</v>
          </cell>
          <cell r="H46" t="str">
            <v>Baskonia Vitoria-Gasteiz</v>
          </cell>
          <cell r="I46" t="str">
            <v>BAS</v>
          </cell>
          <cell r="J46" t="str">
            <v>BAS.CostelloMatthew</v>
          </cell>
          <cell r="K46" t="str">
            <v>BAS.Matthew Costello</v>
          </cell>
          <cell r="L46" t="str">
            <v>Costello M.</v>
          </cell>
        </row>
        <row r="47">
          <cell r="B47" t="str">
            <v>Diez Daniel</v>
          </cell>
          <cell r="C47" t="str">
            <v>Daniel Diez</v>
          </cell>
          <cell r="D47" t="str">
            <v>F</v>
          </cell>
          <cell r="E47" t="str">
            <v>ESP</v>
          </cell>
          <cell r="F47">
            <v>203</v>
          </cell>
          <cell r="G47">
            <v>31</v>
          </cell>
          <cell r="H47" t="str">
            <v>Baskonia Vitoria-Gasteiz</v>
          </cell>
          <cell r="I47" t="str">
            <v>BAS</v>
          </cell>
          <cell r="J47" t="str">
            <v>BAS.DiezDaniel</v>
          </cell>
          <cell r="K47" t="str">
            <v>BAS.Daniel Diez</v>
          </cell>
          <cell r="L47" t="str">
            <v>Diez D.</v>
          </cell>
        </row>
        <row r="48">
          <cell r="B48" t="str">
            <v>Diop Khalifa</v>
          </cell>
          <cell r="C48" t="str">
            <v>Khalifa Diop</v>
          </cell>
          <cell r="D48" t="str">
            <v>C</v>
          </cell>
          <cell r="E48" t="str">
            <v>SEN</v>
          </cell>
          <cell r="F48">
            <v>208</v>
          </cell>
          <cell r="G48">
            <v>22</v>
          </cell>
          <cell r="H48" t="str">
            <v>Baskonia Vitoria-Gasteiz</v>
          </cell>
          <cell r="I48" t="str">
            <v>BAS</v>
          </cell>
          <cell r="J48" t="str">
            <v>BAS.DiopKhalifa</v>
          </cell>
          <cell r="K48" t="str">
            <v>BAS.Khalifa Diop</v>
          </cell>
          <cell r="L48" t="str">
            <v>Diop K.</v>
          </cell>
        </row>
        <row r="49">
          <cell r="B49" t="str">
            <v>Howard Markus</v>
          </cell>
          <cell r="C49" t="str">
            <v>Markus Howard</v>
          </cell>
          <cell r="D49" t="str">
            <v>PG</v>
          </cell>
          <cell r="E49" t="str">
            <v>USA</v>
          </cell>
          <cell r="F49">
            <v>178</v>
          </cell>
          <cell r="G49">
            <v>25</v>
          </cell>
          <cell r="H49" t="str">
            <v>Baskonia Vitoria-Gasteiz</v>
          </cell>
          <cell r="I49" t="str">
            <v>BAS</v>
          </cell>
          <cell r="J49" t="str">
            <v>BAS.HowardMarkus</v>
          </cell>
          <cell r="K49" t="str">
            <v>BAS.Markus Howard</v>
          </cell>
          <cell r="L49" t="str">
            <v>Howard M.</v>
          </cell>
        </row>
        <row r="50">
          <cell r="B50" t="str">
            <v>Hrabar Vit</v>
          </cell>
          <cell r="C50" t="str">
            <v>Vit Hrabar</v>
          </cell>
          <cell r="D50" t="str">
            <v>PF</v>
          </cell>
          <cell r="E50" t="str">
            <v>SLO</v>
          </cell>
          <cell r="F50">
            <v>204</v>
          </cell>
          <cell r="G50">
            <v>18</v>
          </cell>
          <cell r="H50" t="str">
            <v>Baskonia Vitoria-Gasteiz</v>
          </cell>
          <cell r="I50" t="str">
            <v>BAS</v>
          </cell>
          <cell r="J50" t="str">
            <v>BAS.HrabarVit</v>
          </cell>
          <cell r="K50" t="str">
            <v>BAS.Vit Hrabar</v>
          </cell>
          <cell r="L50" t="str">
            <v>Hrabar V.</v>
          </cell>
        </row>
        <row r="51">
          <cell r="B51" t="str">
            <v>Kotsar Maik</v>
          </cell>
          <cell r="C51" t="str">
            <v>Maik Kotsar</v>
          </cell>
          <cell r="D51" t="str">
            <v>C</v>
          </cell>
          <cell r="E51" t="str">
            <v>EST</v>
          </cell>
          <cell r="F51">
            <v>209</v>
          </cell>
          <cell r="G51">
            <v>28</v>
          </cell>
          <cell r="H51" t="str">
            <v>Baskonia Vitoria-Gasteiz</v>
          </cell>
          <cell r="I51" t="str">
            <v>BAS</v>
          </cell>
          <cell r="J51" t="str">
            <v>BAS.KotsarMaik</v>
          </cell>
          <cell r="K51" t="str">
            <v>BAS.Maik Kotsar</v>
          </cell>
          <cell r="L51" t="str">
            <v>Kotsar M.</v>
          </cell>
        </row>
        <row r="52">
          <cell r="B52" t="str">
            <v>Mannion Niccolo</v>
          </cell>
          <cell r="C52" t="str">
            <v>Niccolo Mannion</v>
          </cell>
          <cell r="D52" t="str">
            <v>PG</v>
          </cell>
          <cell r="E52" t="str">
            <v>ITA</v>
          </cell>
          <cell r="F52">
            <v>188</v>
          </cell>
          <cell r="G52">
            <v>23</v>
          </cell>
          <cell r="H52" t="str">
            <v>Baskonia Vitoria-Gasteiz</v>
          </cell>
          <cell r="I52" t="str">
            <v>BAS</v>
          </cell>
          <cell r="J52" t="str">
            <v>BAS.MannionNiccolo</v>
          </cell>
          <cell r="K52" t="str">
            <v>BAS.Niccolo Mannion</v>
          </cell>
          <cell r="L52" t="str">
            <v>Mannion N.</v>
          </cell>
        </row>
        <row r="53">
          <cell r="B53" t="str">
            <v>Marinkovic Vanja</v>
          </cell>
          <cell r="C53" t="str">
            <v>Vanja Marinkovic</v>
          </cell>
          <cell r="D53" t="str">
            <v>SG</v>
          </cell>
          <cell r="E53" t="str">
            <v>SRB</v>
          </cell>
          <cell r="F53">
            <v>198</v>
          </cell>
          <cell r="G53">
            <v>27</v>
          </cell>
          <cell r="H53" t="str">
            <v>Baskonia Vitoria-Gasteiz</v>
          </cell>
          <cell r="I53" t="str">
            <v>BAS</v>
          </cell>
          <cell r="J53" t="str">
            <v>BAS.MarinkovicVanja</v>
          </cell>
          <cell r="K53" t="str">
            <v>BAS.Vanja Marinkovic</v>
          </cell>
          <cell r="L53" t="str">
            <v>Marinkovic V.</v>
          </cell>
        </row>
        <row r="54">
          <cell r="B54" t="str">
            <v>Miller McIntyre Codi</v>
          </cell>
          <cell r="C54" t="str">
            <v>Codi Miller McIntyre</v>
          </cell>
          <cell r="D54" t="str">
            <v>PG</v>
          </cell>
          <cell r="E54" t="str">
            <v>USA</v>
          </cell>
          <cell r="F54">
            <v>191</v>
          </cell>
          <cell r="G54">
            <v>30</v>
          </cell>
          <cell r="H54" t="str">
            <v>Baskonia Vitoria-Gasteiz</v>
          </cell>
          <cell r="I54" t="str">
            <v>BAS</v>
          </cell>
          <cell r="J54" t="str">
            <v>BAS.MillerMcIntyreCodi</v>
          </cell>
          <cell r="K54" t="str">
            <v>BAS.Codi Miller McIntyre</v>
          </cell>
          <cell r="L54" t="str">
            <v>Miller McIntyre C.</v>
          </cell>
        </row>
        <row r="55">
          <cell r="B55" t="str">
            <v>Moneke Chima</v>
          </cell>
          <cell r="C55" t="str">
            <v>Chima Moneke</v>
          </cell>
          <cell r="D55" t="str">
            <v>PF</v>
          </cell>
          <cell r="E55" t="str">
            <v>NGR</v>
          </cell>
          <cell r="F55">
            <v>198</v>
          </cell>
          <cell r="G55">
            <v>29</v>
          </cell>
          <cell r="H55" t="str">
            <v>Baskonia Vitoria-Gasteiz</v>
          </cell>
          <cell r="I55" t="str">
            <v>BAS</v>
          </cell>
          <cell r="J55" t="str">
            <v>BAS.MonekeChima</v>
          </cell>
          <cell r="K55" t="str">
            <v>BAS.Chima Moneke</v>
          </cell>
          <cell r="L55" t="str">
            <v>Moneke C.</v>
          </cell>
        </row>
        <row r="56">
          <cell r="B56" t="str">
            <v>Querejeta Joseba</v>
          </cell>
          <cell r="C56" t="str">
            <v>Joseba Querejeta</v>
          </cell>
          <cell r="D56" t="str">
            <v>PG</v>
          </cell>
          <cell r="E56" t="str">
            <v>ESP</v>
          </cell>
          <cell r="F56">
            <v>190</v>
          </cell>
          <cell r="G56">
            <v>21</v>
          </cell>
          <cell r="H56" t="str">
            <v>Baskonia Vitoria-Gasteiz</v>
          </cell>
          <cell r="I56" t="str">
            <v>BAS</v>
          </cell>
          <cell r="J56" t="str">
            <v>BAS.QuerejetaJoseba</v>
          </cell>
          <cell r="K56" t="str">
            <v>BAS.Joseba Querejeta</v>
          </cell>
          <cell r="L56" t="str">
            <v>Querejeta J.</v>
          </cell>
        </row>
        <row r="57">
          <cell r="B57" t="str">
            <v>Raieste Sander</v>
          </cell>
          <cell r="C57" t="str">
            <v>Sander Raieste</v>
          </cell>
          <cell r="D57" t="str">
            <v>F/PF</v>
          </cell>
          <cell r="E57" t="str">
            <v>EST</v>
          </cell>
          <cell r="F57">
            <v>204</v>
          </cell>
          <cell r="G57">
            <v>25</v>
          </cell>
          <cell r="H57" t="str">
            <v>Baskonia Vitoria-Gasteiz</v>
          </cell>
          <cell r="I57" t="str">
            <v>BAS</v>
          </cell>
          <cell r="J57" t="str">
            <v>BAS.RaiesteSander</v>
          </cell>
          <cell r="K57" t="str">
            <v>BAS.Sander Raieste</v>
          </cell>
          <cell r="L57" t="str">
            <v>Raieste S.</v>
          </cell>
        </row>
        <row r="58">
          <cell r="B58" t="str">
            <v>Rogkavopoulos Nikolaos</v>
          </cell>
          <cell r="C58" t="str">
            <v>Nikolaos Rogkavopoulos</v>
          </cell>
          <cell r="D58" t="str">
            <v>F</v>
          </cell>
          <cell r="E58" t="str">
            <v>GRE</v>
          </cell>
          <cell r="F58">
            <v>200.99999999999997</v>
          </cell>
          <cell r="G58">
            <v>23</v>
          </cell>
          <cell r="H58" t="str">
            <v>Baskonia Vitoria-Gasteiz</v>
          </cell>
          <cell r="I58" t="str">
            <v>BAS</v>
          </cell>
          <cell r="J58" t="str">
            <v>BAS.RogkavopoulosNikolaos</v>
          </cell>
          <cell r="K58" t="str">
            <v>BAS.Nikolaos Rogkavopoulos</v>
          </cell>
          <cell r="L58" t="str">
            <v>Rogkavopoulos N.</v>
          </cell>
        </row>
        <row r="59">
          <cell r="B59" t="str">
            <v>Sedekerskis Tadas</v>
          </cell>
          <cell r="C59" t="str">
            <v>Tadas Sedekerskis</v>
          </cell>
          <cell r="D59" t="str">
            <v>F/PF</v>
          </cell>
          <cell r="E59" t="str">
            <v>LTU</v>
          </cell>
          <cell r="F59">
            <v>200</v>
          </cell>
          <cell r="G59">
            <v>26</v>
          </cell>
          <cell r="H59" t="str">
            <v>Baskonia Vitoria-Gasteiz</v>
          </cell>
          <cell r="I59" t="str">
            <v>BAS</v>
          </cell>
          <cell r="J59" t="str">
            <v>BAS.SedekerskisTadas</v>
          </cell>
          <cell r="K59" t="str">
            <v>BAS.Tadas Sedekerskis</v>
          </cell>
          <cell r="L59" t="str">
            <v>Sedekerskis T.</v>
          </cell>
        </row>
        <row r="60">
          <cell r="B60" t="str">
            <v>Bolomboy Joel</v>
          </cell>
          <cell r="C60" t="str">
            <v>Joel Bolomboy</v>
          </cell>
          <cell r="D60" t="str">
            <v>PF/C</v>
          </cell>
          <cell r="E60" t="str">
            <v>RUS</v>
          </cell>
          <cell r="F60">
            <v>206</v>
          </cell>
          <cell r="G60">
            <v>30</v>
          </cell>
          <cell r="H60" t="str">
            <v>Crvena Zvezda Meridianbet Belgrade</v>
          </cell>
          <cell r="I60" t="str">
            <v>CZB</v>
          </cell>
          <cell r="J60" t="str">
            <v>CZB.BolomboyJoel</v>
          </cell>
          <cell r="K60" t="str">
            <v>CZB.Joel Bolomboy</v>
          </cell>
          <cell r="L60" t="str">
            <v>Bolomboy J.</v>
          </cell>
        </row>
        <row r="61">
          <cell r="B61" t="str">
            <v>Davidovac Dejan</v>
          </cell>
          <cell r="C61" t="str">
            <v>Dejan Davidovac</v>
          </cell>
          <cell r="D61" t="str">
            <v>F</v>
          </cell>
          <cell r="E61" t="str">
            <v>SRB</v>
          </cell>
          <cell r="F61">
            <v>202</v>
          </cell>
          <cell r="G61">
            <v>29</v>
          </cell>
          <cell r="H61" t="str">
            <v>Crvena Zvezda Meridianbet Belgrade</v>
          </cell>
          <cell r="I61" t="str">
            <v>CZB</v>
          </cell>
          <cell r="J61" t="str">
            <v>CZB.DavidovacDejan</v>
          </cell>
          <cell r="K61" t="str">
            <v>CZB.Dejan Davidovac</v>
          </cell>
          <cell r="L61" t="str">
            <v>Davidovac D.</v>
          </cell>
        </row>
        <row r="62">
          <cell r="B62" t="str">
            <v>Dos Santos Yago</v>
          </cell>
          <cell r="C62" t="str">
            <v>Yago Dos Santos</v>
          </cell>
          <cell r="D62" t="str">
            <v>PG</v>
          </cell>
          <cell r="E62" t="str">
            <v>BRA</v>
          </cell>
          <cell r="F62">
            <v>175</v>
          </cell>
          <cell r="G62">
            <v>25</v>
          </cell>
          <cell r="H62" t="str">
            <v>Crvena Zvezda Meridianbet Belgrade</v>
          </cell>
          <cell r="I62" t="str">
            <v>CZB</v>
          </cell>
          <cell r="J62" t="str">
            <v>CZB.DosSantosYago</v>
          </cell>
          <cell r="K62" t="str">
            <v>CZB.Yago Dos Santos</v>
          </cell>
          <cell r="L62" t="str">
            <v>Dos Santos Y.</v>
          </cell>
        </row>
        <row r="63">
          <cell r="B63" t="str">
            <v>Giedraitis Rokas</v>
          </cell>
          <cell r="C63" t="str">
            <v>Rokas Giedraitis</v>
          </cell>
          <cell r="D63" t="str">
            <v>F/PF</v>
          </cell>
          <cell r="E63" t="str">
            <v>LTU</v>
          </cell>
          <cell r="F63">
            <v>200</v>
          </cell>
          <cell r="G63">
            <v>32</v>
          </cell>
          <cell r="H63" t="str">
            <v>Crvena Zvezda Meridianbet Belgrade</v>
          </cell>
          <cell r="I63" t="str">
            <v>CZB</v>
          </cell>
          <cell r="J63" t="str">
            <v>CZB.GiedraitisRokas</v>
          </cell>
          <cell r="K63" t="str">
            <v>CZB.Rokas Giedraitis</v>
          </cell>
          <cell r="L63" t="str">
            <v>Giedraitis R.</v>
          </cell>
        </row>
        <row r="64">
          <cell r="B64" t="str">
            <v>Hanga Adam</v>
          </cell>
          <cell r="C64" t="str">
            <v>Adam Hanga</v>
          </cell>
          <cell r="D64" t="str">
            <v>F</v>
          </cell>
          <cell r="E64" t="str">
            <v>HUN</v>
          </cell>
          <cell r="F64">
            <v>200.99999999999997</v>
          </cell>
          <cell r="G64">
            <v>35</v>
          </cell>
          <cell r="H64" t="str">
            <v>Crvena Zvezda Meridianbet Belgrade</v>
          </cell>
          <cell r="I64" t="str">
            <v>CZB</v>
          </cell>
          <cell r="J64" t="str">
            <v>CZB.HangaAdam</v>
          </cell>
          <cell r="K64" t="str">
            <v>CZB.Adam Hanga</v>
          </cell>
          <cell r="L64" t="str">
            <v>Hanga A.</v>
          </cell>
        </row>
        <row r="65">
          <cell r="B65" t="str">
            <v>Ilic Dalibor</v>
          </cell>
          <cell r="C65" t="str">
            <v>Dalibor Ilic</v>
          </cell>
          <cell r="D65" t="str">
            <v>F</v>
          </cell>
          <cell r="E65" t="str">
            <v>BIH</v>
          </cell>
          <cell r="F65">
            <v>206</v>
          </cell>
          <cell r="G65">
            <v>24</v>
          </cell>
          <cell r="H65" t="str">
            <v>Crvena Zvezda Meridianbet Belgrade</v>
          </cell>
          <cell r="I65" t="str">
            <v>CZB</v>
          </cell>
          <cell r="J65" t="str">
            <v>CZB.IlicDalibor</v>
          </cell>
          <cell r="K65" t="str">
            <v>CZB.Dalibor Ilic</v>
          </cell>
          <cell r="L65" t="str">
            <v>Ilic D.</v>
          </cell>
        </row>
        <row r="66">
          <cell r="B66" t="str">
            <v>Kuzmic Ognjen</v>
          </cell>
          <cell r="C66" t="str">
            <v>Ognjen Kuzmic</v>
          </cell>
          <cell r="D66" t="str">
            <v>C</v>
          </cell>
          <cell r="E66" t="str">
            <v>SRB</v>
          </cell>
          <cell r="F66">
            <v>214</v>
          </cell>
          <cell r="G66">
            <v>34</v>
          </cell>
          <cell r="H66" t="str">
            <v>Crvena Zvezda Meridianbet Belgrade</v>
          </cell>
          <cell r="I66" t="str">
            <v>CZB</v>
          </cell>
          <cell r="J66" t="str">
            <v>CZB.KuzmicOgnjen</v>
          </cell>
          <cell r="K66" t="str">
            <v>CZB.Ognjen Kuzmic</v>
          </cell>
          <cell r="L66" t="str">
            <v>Kuzmic O.</v>
          </cell>
        </row>
        <row r="67">
          <cell r="B67" t="str">
            <v>Lazarevic Stefan</v>
          </cell>
          <cell r="C67" t="str">
            <v>Stefan Lazarevic</v>
          </cell>
          <cell r="D67" t="str">
            <v>SG</v>
          </cell>
          <cell r="E67" t="str">
            <v>SRB</v>
          </cell>
          <cell r="F67">
            <v>200</v>
          </cell>
          <cell r="G67">
            <v>28</v>
          </cell>
          <cell r="H67" t="str">
            <v>Crvena Zvezda Meridianbet Belgrade</v>
          </cell>
          <cell r="I67" t="str">
            <v>CZB</v>
          </cell>
          <cell r="J67" t="str">
            <v>CZB.LazarevicStefan</v>
          </cell>
          <cell r="K67" t="str">
            <v>CZB.Stefan Lazarevic</v>
          </cell>
          <cell r="L67" t="str">
            <v>Lazarevic S.</v>
          </cell>
        </row>
        <row r="68">
          <cell r="B68" t="str">
            <v>Lazic Branko</v>
          </cell>
          <cell r="C68" t="str">
            <v>Branko Lazic</v>
          </cell>
          <cell r="D68" t="str">
            <v>SG</v>
          </cell>
          <cell r="E68" t="str">
            <v>SRB</v>
          </cell>
          <cell r="F68">
            <v>195</v>
          </cell>
          <cell r="G68">
            <v>35</v>
          </cell>
          <cell r="H68" t="str">
            <v>Crvena Zvezda Meridianbet Belgrade</v>
          </cell>
          <cell r="I68" t="str">
            <v>CZB</v>
          </cell>
          <cell r="J68" t="str">
            <v>CZB.LazicBranko</v>
          </cell>
          <cell r="K68" t="str">
            <v>CZB.Branko Lazic</v>
          </cell>
          <cell r="L68" t="str">
            <v>Lazic B.</v>
          </cell>
        </row>
        <row r="69">
          <cell r="B69" t="str">
            <v>Mitrovic Luka</v>
          </cell>
          <cell r="C69" t="str">
            <v>Luka Mitrovic</v>
          </cell>
          <cell r="D69" t="str">
            <v>PF</v>
          </cell>
          <cell r="E69" t="str">
            <v>SRB</v>
          </cell>
          <cell r="F69">
            <v>206</v>
          </cell>
          <cell r="G69">
            <v>31</v>
          </cell>
          <cell r="H69" t="str">
            <v>Crvena Zvezda Meridianbet Belgrade</v>
          </cell>
          <cell r="I69" t="str">
            <v>CZB</v>
          </cell>
          <cell r="J69" t="str">
            <v>CZB.MitrovicLuka</v>
          </cell>
          <cell r="K69" t="str">
            <v>CZB.Luka Mitrovic</v>
          </cell>
          <cell r="L69" t="str">
            <v>Mitrovic L.</v>
          </cell>
        </row>
        <row r="70">
          <cell r="B70" t="str">
            <v>Napier Shabazz</v>
          </cell>
          <cell r="C70" t="str">
            <v>Shabazz Napier</v>
          </cell>
          <cell r="D70" t="str">
            <v>PG</v>
          </cell>
          <cell r="E70" t="str">
            <v>USA</v>
          </cell>
          <cell r="F70">
            <v>185</v>
          </cell>
          <cell r="G70">
            <v>33</v>
          </cell>
          <cell r="H70" t="str">
            <v>Crvena Zvezda Meridianbet Belgrade</v>
          </cell>
          <cell r="I70" t="str">
            <v>CZB</v>
          </cell>
          <cell r="J70" t="str">
            <v>CZB.NapierShabazz</v>
          </cell>
          <cell r="K70" t="str">
            <v>CZB.Shabazz Napier</v>
          </cell>
          <cell r="L70" t="str">
            <v>Napier S.</v>
          </cell>
        </row>
        <row r="71">
          <cell r="B71" t="str">
            <v>Nedovic Nemanja</v>
          </cell>
          <cell r="C71" t="str">
            <v>Nemanja Nedovic</v>
          </cell>
          <cell r="D71" t="str">
            <v>SG</v>
          </cell>
          <cell r="E71" t="str">
            <v>SRB</v>
          </cell>
          <cell r="F71">
            <v>191</v>
          </cell>
          <cell r="G71">
            <v>33</v>
          </cell>
          <cell r="H71" t="str">
            <v>Crvena Zvezda Meridianbet Belgrade</v>
          </cell>
          <cell r="I71" t="str">
            <v>CZB</v>
          </cell>
          <cell r="J71" t="str">
            <v>CZB.NedovicNemanja</v>
          </cell>
          <cell r="K71" t="str">
            <v>CZB.Nemanja Nedovic</v>
          </cell>
          <cell r="L71" t="str">
            <v>Nedovic N.</v>
          </cell>
        </row>
        <row r="72">
          <cell r="B72" t="str">
            <v>Simonovic Marko</v>
          </cell>
          <cell r="C72" t="str">
            <v>Marko Simonovic</v>
          </cell>
          <cell r="D72" t="str">
            <v>PF</v>
          </cell>
          <cell r="E72" t="str">
            <v>SRB</v>
          </cell>
          <cell r="F72">
            <v>202.99999999999997</v>
          </cell>
          <cell r="G72">
            <v>38</v>
          </cell>
          <cell r="H72" t="str">
            <v>Crvena Zvezda Meridianbet Belgrade</v>
          </cell>
          <cell r="I72" t="str">
            <v>CZB</v>
          </cell>
          <cell r="J72" t="str">
            <v>CZB.SimonovicMarko</v>
          </cell>
          <cell r="K72" t="str">
            <v>CZB.Marko Simonovic</v>
          </cell>
          <cell r="L72" t="str">
            <v>Simonovic M.</v>
          </cell>
        </row>
        <row r="73">
          <cell r="B73" t="str">
            <v>Teodosic Milos</v>
          </cell>
          <cell r="C73" t="str">
            <v>Milos Teodosic</v>
          </cell>
          <cell r="D73" t="str">
            <v>PG</v>
          </cell>
          <cell r="E73" t="str">
            <v>SRB</v>
          </cell>
          <cell r="F73">
            <v>195</v>
          </cell>
          <cell r="G73">
            <v>37</v>
          </cell>
          <cell r="H73" t="str">
            <v>Crvena Zvezda Meridianbet Belgrade</v>
          </cell>
          <cell r="I73" t="str">
            <v>CZB</v>
          </cell>
          <cell r="J73" t="str">
            <v>CZB.TeodosicMilos</v>
          </cell>
          <cell r="K73" t="str">
            <v>CZB.Milos Teodosic</v>
          </cell>
          <cell r="L73" t="str">
            <v>Teodosic M.</v>
          </cell>
        </row>
        <row r="74">
          <cell r="B74" t="str">
            <v>Tobey Mike</v>
          </cell>
          <cell r="C74" t="str">
            <v>Mike Tobey</v>
          </cell>
          <cell r="D74" t="str">
            <v>C</v>
          </cell>
          <cell r="E74" t="str">
            <v>USA</v>
          </cell>
          <cell r="F74">
            <v>213</v>
          </cell>
          <cell r="G74">
            <v>30</v>
          </cell>
          <cell r="H74" t="str">
            <v>Crvena Zvezda Meridianbet Belgrade</v>
          </cell>
          <cell r="I74" t="str">
            <v>CZB</v>
          </cell>
          <cell r="J74" t="str">
            <v>CZB.TobeyMike</v>
          </cell>
          <cell r="K74" t="str">
            <v>CZB.Mike Tobey</v>
          </cell>
          <cell r="L74" t="str">
            <v>Tobey M.</v>
          </cell>
        </row>
        <row r="75">
          <cell r="B75" t="str">
            <v>Bortolani Giordano</v>
          </cell>
          <cell r="C75" t="str">
            <v>Giordano Bortolani</v>
          </cell>
          <cell r="D75" t="str">
            <v>SG</v>
          </cell>
          <cell r="E75" t="str">
            <v>ITA</v>
          </cell>
          <cell r="F75">
            <v>193</v>
          </cell>
          <cell r="G75">
            <v>24</v>
          </cell>
          <cell r="H75" t="str">
            <v>EA7 Emporio Armani Milan</v>
          </cell>
          <cell r="I75" t="str">
            <v>MIL</v>
          </cell>
          <cell r="J75" t="str">
            <v>MIL.BortolaniGiordano</v>
          </cell>
          <cell r="K75" t="str">
            <v>MIL.Giordano Bortolani</v>
          </cell>
          <cell r="L75" t="str">
            <v>Bortolani G.</v>
          </cell>
        </row>
        <row r="76">
          <cell r="B76" t="str">
            <v>Flaccadori Diego</v>
          </cell>
          <cell r="C76" t="str">
            <v>Diego Flaccadori</v>
          </cell>
          <cell r="D76" t="str">
            <v>PG/SG</v>
          </cell>
          <cell r="E76" t="str">
            <v>ITA</v>
          </cell>
          <cell r="F76">
            <v>193</v>
          </cell>
          <cell r="G76">
            <v>28</v>
          </cell>
          <cell r="H76" t="str">
            <v>EA7 Emporio Armani Milan</v>
          </cell>
          <cell r="I76" t="str">
            <v>MIL</v>
          </cell>
          <cell r="J76" t="str">
            <v>MIL.FlaccadoriDiego</v>
          </cell>
          <cell r="K76" t="str">
            <v>MIL.Diego Flaccadori</v>
          </cell>
          <cell r="L76" t="str">
            <v>Flaccadori D.</v>
          </cell>
        </row>
        <row r="77">
          <cell r="B77" t="str">
            <v>Hall Devon</v>
          </cell>
          <cell r="C77" t="str">
            <v>Devon Hall</v>
          </cell>
          <cell r="D77" t="str">
            <v>SG</v>
          </cell>
          <cell r="E77" t="str">
            <v>USA</v>
          </cell>
          <cell r="F77">
            <v>195</v>
          </cell>
          <cell r="G77">
            <v>29</v>
          </cell>
          <cell r="H77" t="str">
            <v>EA7 Emporio Armani Milan</v>
          </cell>
          <cell r="I77" t="str">
            <v>MIL</v>
          </cell>
          <cell r="J77" t="str">
            <v>MIL.HallDevon</v>
          </cell>
          <cell r="K77" t="str">
            <v>MIL.Devon Hall</v>
          </cell>
          <cell r="L77" t="str">
            <v>Hall D.</v>
          </cell>
        </row>
        <row r="78">
          <cell r="B78" t="str">
            <v>Hines Kyle</v>
          </cell>
          <cell r="C78" t="str">
            <v>Kyle Hines</v>
          </cell>
          <cell r="D78" t="str">
            <v>C</v>
          </cell>
          <cell r="E78" t="str">
            <v>USA</v>
          </cell>
          <cell r="F78">
            <v>198</v>
          </cell>
          <cell r="G78">
            <v>38</v>
          </cell>
          <cell r="H78" t="str">
            <v>EA7 Emporio Armani Milan</v>
          </cell>
          <cell r="I78" t="str">
            <v>MIL</v>
          </cell>
          <cell r="J78" t="str">
            <v>MIL.HinesKyle</v>
          </cell>
          <cell r="K78" t="str">
            <v>MIL.Kyle Hines</v>
          </cell>
          <cell r="L78" t="str">
            <v>Hines K.</v>
          </cell>
        </row>
        <row r="79">
          <cell r="B79" t="str">
            <v>Kamagate Ismael</v>
          </cell>
          <cell r="C79" t="str">
            <v>Ismael Kamagate</v>
          </cell>
          <cell r="D79" t="str">
            <v>C</v>
          </cell>
          <cell r="E79" t="str">
            <v>FRA</v>
          </cell>
          <cell r="F79">
            <v>211</v>
          </cell>
          <cell r="G79">
            <v>23</v>
          </cell>
          <cell r="H79" t="str">
            <v>EA7 Emporio Armani Milan</v>
          </cell>
          <cell r="I79" t="str">
            <v>MIL</v>
          </cell>
          <cell r="J79" t="str">
            <v>MIL.KamagateIsmael</v>
          </cell>
          <cell r="K79" t="str">
            <v>MIL.Ismael Kamagate</v>
          </cell>
          <cell r="L79" t="str">
            <v>Kamagate I.</v>
          </cell>
        </row>
        <row r="80">
          <cell r="B80" t="str">
            <v>Lo Maodo</v>
          </cell>
          <cell r="C80" t="str">
            <v>Maodo Lo</v>
          </cell>
          <cell r="D80" t="str">
            <v>PG</v>
          </cell>
          <cell r="E80" t="str">
            <v>GER</v>
          </cell>
          <cell r="F80">
            <v>191</v>
          </cell>
          <cell r="G80">
            <v>32</v>
          </cell>
          <cell r="H80" t="str">
            <v>EA7 Emporio Armani Milan</v>
          </cell>
          <cell r="I80" t="str">
            <v>MIL</v>
          </cell>
          <cell r="J80" t="str">
            <v>MIL.LoMaodo</v>
          </cell>
          <cell r="K80" t="str">
            <v>MIL.Maodo Lo</v>
          </cell>
          <cell r="L80" t="str">
            <v>Lo M.</v>
          </cell>
        </row>
        <row r="81">
          <cell r="B81" t="str">
            <v>Melli Nicolo</v>
          </cell>
          <cell r="C81" t="str">
            <v>Nicolo Melli</v>
          </cell>
          <cell r="D81" t="str">
            <v>PF/C</v>
          </cell>
          <cell r="E81" t="str">
            <v>ITA</v>
          </cell>
          <cell r="F81">
            <v>204.99999999999997</v>
          </cell>
          <cell r="G81">
            <v>33</v>
          </cell>
          <cell r="H81" t="str">
            <v>EA7 Emporio Armani Milan</v>
          </cell>
          <cell r="I81" t="str">
            <v>MIL</v>
          </cell>
          <cell r="J81" t="str">
            <v>MIL.MelliNicolo</v>
          </cell>
          <cell r="K81" t="str">
            <v>MIL.Nicolo Melli</v>
          </cell>
          <cell r="L81" t="str">
            <v>Melli N.</v>
          </cell>
        </row>
        <row r="82">
          <cell r="B82" t="str">
            <v>Mirotic Nikola</v>
          </cell>
          <cell r="C82" t="str">
            <v>Nikola Mirotic</v>
          </cell>
          <cell r="D82" t="str">
            <v>F/PF</v>
          </cell>
          <cell r="E82" t="str">
            <v>ESP</v>
          </cell>
          <cell r="F82">
            <v>208</v>
          </cell>
          <cell r="G82">
            <v>33</v>
          </cell>
          <cell r="H82" t="str">
            <v>EA7 Emporio Armani Milan</v>
          </cell>
          <cell r="I82" t="str">
            <v>MIL</v>
          </cell>
          <cell r="J82" t="str">
            <v>MIL.MiroticNikola</v>
          </cell>
          <cell r="K82" t="str">
            <v>MIL.Nikola Mirotic</v>
          </cell>
          <cell r="L82" t="str">
            <v>Mirotic N.</v>
          </cell>
        </row>
        <row r="83">
          <cell r="B83" t="str">
            <v>Pangos Kevin</v>
          </cell>
          <cell r="C83" t="str">
            <v>Kevin Pangos</v>
          </cell>
          <cell r="D83" t="str">
            <v>PG</v>
          </cell>
          <cell r="E83" t="str">
            <v>SLO</v>
          </cell>
          <cell r="F83">
            <v>188</v>
          </cell>
          <cell r="G83">
            <v>31</v>
          </cell>
          <cell r="H83" t="str">
            <v>EA7 Emporio Armani Milan</v>
          </cell>
          <cell r="I83" t="str">
            <v>MIL</v>
          </cell>
          <cell r="J83" t="str">
            <v>MIL.PangosKevin</v>
          </cell>
          <cell r="K83" t="str">
            <v>MIL.Kevin Pangos</v>
          </cell>
          <cell r="L83" t="str">
            <v>Pangos K.</v>
          </cell>
        </row>
        <row r="84">
          <cell r="B84" t="str">
            <v>Poythress Alex</v>
          </cell>
          <cell r="C84" t="str">
            <v>Alex Poythress</v>
          </cell>
          <cell r="D84" t="str">
            <v>C</v>
          </cell>
          <cell r="E84" t="str">
            <v>USA</v>
          </cell>
          <cell r="F84">
            <v>206</v>
          </cell>
          <cell r="G84">
            <v>31</v>
          </cell>
          <cell r="H84" t="str">
            <v>EA7 Emporio Armani Milan</v>
          </cell>
          <cell r="I84" t="str">
            <v>MIL</v>
          </cell>
          <cell r="J84" t="str">
            <v>MIL.PoythressAlex</v>
          </cell>
          <cell r="K84" t="str">
            <v>MIL.Alex Poythress</v>
          </cell>
          <cell r="L84" t="str">
            <v>Poythress A.</v>
          </cell>
        </row>
        <row r="85">
          <cell r="B85" t="str">
            <v>Ricci Giampaolo</v>
          </cell>
          <cell r="C85" t="str">
            <v>Giampaolo Ricci</v>
          </cell>
          <cell r="D85" t="str">
            <v>PF</v>
          </cell>
          <cell r="E85" t="str">
            <v>ITA</v>
          </cell>
          <cell r="F85">
            <v>201</v>
          </cell>
          <cell r="G85">
            <v>33</v>
          </cell>
          <cell r="H85" t="str">
            <v>EA7 Emporio Armani Milan</v>
          </cell>
          <cell r="I85" t="str">
            <v>MIL</v>
          </cell>
          <cell r="J85" t="str">
            <v>MIL.RicciGiampaolo</v>
          </cell>
          <cell r="K85" t="str">
            <v>MIL.Giampaolo Ricci</v>
          </cell>
          <cell r="L85" t="str">
            <v>Ricci G.</v>
          </cell>
        </row>
        <row r="86">
          <cell r="B86" t="str">
            <v>Shields Shavon</v>
          </cell>
          <cell r="C86" t="str">
            <v>Shavon Shields</v>
          </cell>
          <cell r="D86" t="str">
            <v>SG/F</v>
          </cell>
          <cell r="E86" t="str">
            <v>DEN</v>
          </cell>
          <cell r="F86">
            <v>200.99999999999997</v>
          </cell>
          <cell r="G86">
            <v>30</v>
          </cell>
          <cell r="H86" t="str">
            <v>EA7 Emporio Armani Milan</v>
          </cell>
          <cell r="I86" t="str">
            <v>MIL</v>
          </cell>
          <cell r="J86" t="str">
            <v>MIL.ShieldsShavon</v>
          </cell>
          <cell r="K86" t="str">
            <v>MIL.Shavon Shields</v>
          </cell>
          <cell r="L86" t="str">
            <v>Shields S.</v>
          </cell>
        </row>
        <row r="87">
          <cell r="B87" t="str">
            <v>Tonut Stefano</v>
          </cell>
          <cell r="C87" t="str">
            <v>Stefano Tonut</v>
          </cell>
          <cell r="D87" t="str">
            <v>SG</v>
          </cell>
          <cell r="E87" t="str">
            <v>ITA</v>
          </cell>
          <cell r="F87">
            <v>194</v>
          </cell>
          <cell r="G87">
            <v>31</v>
          </cell>
          <cell r="H87" t="str">
            <v>EA7 Emporio Armani Milan</v>
          </cell>
          <cell r="I87" t="str">
            <v>MIL</v>
          </cell>
          <cell r="J87" t="str">
            <v>MIL.TonutStefano</v>
          </cell>
          <cell r="K87" t="str">
            <v>MIL.Stefano Tonut</v>
          </cell>
          <cell r="L87" t="str">
            <v>Tonut S.</v>
          </cell>
        </row>
        <row r="88">
          <cell r="B88" t="str">
            <v>Voigtmann Johannes</v>
          </cell>
          <cell r="C88" t="str">
            <v>Johannes Voigtmann</v>
          </cell>
          <cell r="D88" t="str">
            <v>C</v>
          </cell>
          <cell r="E88" t="str">
            <v>GER</v>
          </cell>
          <cell r="F88">
            <v>214</v>
          </cell>
          <cell r="G88">
            <v>32</v>
          </cell>
          <cell r="H88" t="str">
            <v>EA7 Emporio Armani Milan</v>
          </cell>
          <cell r="I88" t="str">
            <v>MIL</v>
          </cell>
          <cell r="J88" t="str">
            <v>MIL.VoigtmannJohannes</v>
          </cell>
          <cell r="K88" t="str">
            <v>MIL.Johannes Voigtmann</v>
          </cell>
          <cell r="L88" t="str">
            <v>Voigtmann J.</v>
          </cell>
        </row>
        <row r="89">
          <cell r="B89" t="str">
            <v>Abrines Alex</v>
          </cell>
          <cell r="C89" t="str">
            <v>Alex Abrines</v>
          </cell>
          <cell r="D89" t="str">
            <v>F</v>
          </cell>
          <cell r="E89" t="str">
            <v>ESP</v>
          </cell>
          <cell r="F89">
            <v>198</v>
          </cell>
          <cell r="G89">
            <v>31</v>
          </cell>
          <cell r="H89" t="str">
            <v>FC Barcelona</v>
          </cell>
          <cell r="I89" t="str">
            <v>FCB</v>
          </cell>
          <cell r="J89" t="str">
            <v>FCB.AbrinesAlex</v>
          </cell>
          <cell r="K89" t="str">
            <v>FCB.Alex Abrines</v>
          </cell>
          <cell r="L89" t="str">
            <v>Abrines A.</v>
          </cell>
        </row>
        <row r="90">
          <cell r="B90" t="str">
            <v>Brizuela Dario</v>
          </cell>
          <cell r="C90" t="str">
            <v>Dario Brizuela</v>
          </cell>
          <cell r="D90" t="str">
            <v>SG</v>
          </cell>
          <cell r="E90" t="str">
            <v>ESP</v>
          </cell>
          <cell r="F90">
            <v>187</v>
          </cell>
          <cell r="G90">
            <v>30</v>
          </cell>
          <cell r="H90" t="str">
            <v>FC Barcelona</v>
          </cell>
          <cell r="I90" t="str">
            <v>FCB</v>
          </cell>
          <cell r="J90" t="str">
            <v>FCB.BrizuelaDario</v>
          </cell>
          <cell r="K90" t="str">
            <v>FCB.Dario Brizuela</v>
          </cell>
          <cell r="L90" t="str">
            <v>Brizuela D.</v>
          </cell>
        </row>
        <row r="91">
          <cell r="B91" t="str">
            <v>Da Silva Oscar</v>
          </cell>
          <cell r="C91" t="str">
            <v>Oscar Da Silva</v>
          </cell>
          <cell r="D91" t="str">
            <v>PF</v>
          </cell>
          <cell r="E91" t="str">
            <v>GER</v>
          </cell>
          <cell r="F91">
            <v>205</v>
          </cell>
          <cell r="G91">
            <v>26</v>
          </cell>
          <cell r="H91" t="str">
            <v>FC Barcelona</v>
          </cell>
          <cell r="I91" t="str">
            <v>FCB</v>
          </cell>
          <cell r="J91" t="str">
            <v>FCB.DaSilvaOscar</v>
          </cell>
          <cell r="K91" t="str">
            <v>FCB.Oscar Da Silva</v>
          </cell>
          <cell r="L91" t="str">
            <v>Da Silva O.</v>
          </cell>
        </row>
        <row r="92">
          <cell r="B92" t="str">
            <v>Hernangomez Willy</v>
          </cell>
          <cell r="C92" t="str">
            <v>Willy Hernangomez</v>
          </cell>
          <cell r="D92" t="str">
            <v>C</v>
          </cell>
          <cell r="E92" t="str">
            <v>ESP</v>
          </cell>
          <cell r="F92">
            <v>209</v>
          </cell>
          <cell r="G92">
            <v>30</v>
          </cell>
          <cell r="H92" t="str">
            <v>FC Barcelona</v>
          </cell>
          <cell r="I92" t="str">
            <v>FCB</v>
          </cell>
          <cell r="J92" t="str">
            <v>FCB.HernangomezWilly</v>
          </cell>
          <cell r="K92" t="str">
            <v>FCB.Willy Hernangomez</v>
          </cell>
          <cell r="L92" t="str">
            <v>Hernangomez W.</v>
          </cell>
        </row>
        <row r="93">
          <cell r="B93" t="str">
            <v>Jokubaitis Rokas</v>
          </cell>
          <cell r="C93" t="str">
            <v>Rokas Jokubaitis</v>
          </cell>
          <cell r="D93" t="str">
            <v>SG</v>
          </cell>
          <cell r="E93" t="str">
            <v>LTU</v>
          </cell>
          <cell r="F93">
            <v>192</v>
          </cell>
          <cell r="G93">
            <v>24</v>
          </cell>
          <cell r="H93" t="str">
            <v>FC Barcelona</v>
          </cell>
          <cell r="I93" t="str">
            <v>FCB</v>
          </cell>
          <cell r="J93" t="str">
            <v>FCB.JokubaitisRokas</v>
          </cell>
          <cell r="K93" t="str">
            <v>FCB.Rokas Jokubaitis</v>
          </cell>
          <cell r="L93" t="str">
            <v>Jokubaitis R.</v>
          </cell>
        </row>
        <row r="94">
          <cell r="B94" t="str">
            <v>Kalinic Nikola</v>
          </cell>
          <cell r="C94" t="str">
            <v>Nikola Kalinic</v>
          </cell>
          <cell r="D94" t="str">
            <v>F</v>
          </cell>
          <cell r="E94" t="str">
            <v>SRB</v>
          </cell>
          <cell r="F94">
            <v>202</v>
          </cell>
          <cell r="G94">
            <v>33</v>
          </cell>
          <cell r="H94" t="str">
            <v>FC Barcelona</v>
          </cell>
          <cell r="I94" t="str">
            <v>FCB</v>
          </cell>
          <cell r="J94" t="str">
            <v>FCB.KalinicNikola</v>
          </cell>
          <cell r="K94" t="str">
            <v>FCB.Nikola Kalinic</v>
          </cell>
          <cell r="L94" t="str">
            <v>Kalinic N.</v>
          </cell>
        </row>
        <row r="95">
          <cell r="B95" t="str">
            <v>Laprovittola Nicolas</v>
          </cell>
          <cell r="C95" t="str">
            <v>Nicolas Laprovittola</v>
          </cell>
          <cell r="D95" t="str">
            <v>PG</v>
          </cell>
          <cell r="E95" t="str">
            <v>ARG</v>
          </cell>
          <cell r="F95">
            <v>190</v>
          </cell>
          <cell r="G95">
            <v>34</v>
          </cell>
          <cell r="H95" t="str">
            <v>FC Barcelona</v>
          </cell>
          <cell r="I95" t="str">
            <v>FCB</v>
          </cell>
          <cell r="J95" t="str">
            <v>FCB.LaprovittolaNicolas</v>
          </cell>
          <cell r="K95" t="str">
            <v>FCB.Nicolas Laprovittola</v>
          </cell>
          <cell r="L95" t="str">
            <v>Laprovittola N.</v>
          </cell>
        </row>
        <row r="96">
          <cell r="B96" t="str">
            <v>Nnaji James</v>
          </cell>
          <cell r="C96" t="str">
            <v>James Nnaji</v>
          </cell>
          <cell r="D96" t="str">
            <v>C</v>
          </cell>
          <cell r="E96" t="str">
            <v>NIG</v>
          </cell>
          <cell r="F96">
            <v>208</v>
          </cell>
          <cell r="G96">
            <v>20</v>
          </cell>
          <cell r="H96" t="str">
            <v>FC Barcelona</v>
          </cell>
          <cell r="I96" t="str">
            <v>FCB</v>
          </cell>
          <cell r="J96" t="str">
            <v>FCB.NnajiJames</v>
          </cell>
          <cell r="K96" t="str">
            <v>FCB.James Nnaji</v>
          </cell>
          <cell r="L96" t="str">
            <v>Nnaji J.</v>
          </cell>
        </row>
        <row r="97">
          <cell r="B97" t="str">
            <v>Parker Jabari</v>
          </cell>
          <cell r="C97" t="str">
            <v>Jabari Parker</v>
          </cell>
          <cell r="D97" t="str">
            <v>F/PF</v>
          </cell>
          <cell r="E97" t="str">
            <v>USA</v>
          </cell>
          <cell r="F97">
            <v>203</v>
          </cell>
          <cell r="G97">
            <v>29</v>
          </cell>
          <cell r="H97" t="str">
            <v>FC Barcelona</v>
          </cell>
          <cell r="I97" t="str">
            <v>FCB</v>
          </cell>
          <cell r="J97" t="str">
            <v>FCB.ParkerJabari</v>
          </cell>
          <cell r="K97" t="str">
            <v>FCB.Jabari Parker</v>
          </cell>
          <cell r="L97" t="str">
            <v>Parker J.</v>
          </cell>
        </row>
        <row r="98">
          <cell r="B98" t="str">
            <v>Parra Joel</v>
          </cell>
          <cell r="C98" t="str">
            <v>Joel Parra</v>
          </cell>
          <cell r="D98" t="str">
            <v>F/PF</v>
          </cell>
          <cell r="E98" t="str">
            <v>ESP</v>
          </cell>
          <cell r="F98">
            <v>202</v>
          </cell>
          <cell r="G98">
            <v>24</v>
          </cell>
          <cell r="H98" t="str">
            <v>FC Barcelona</v>
          </cell>
          <cell r="I98" t="str">
            <v>FCB</v>
          </cell>
          <cell r="J98" t="str">
            <v>FCB.ParraJoel</v>
          </cell>
          <cell r="K98" t="str">
            <v>FCB.Joel Parra</v>
          </cell>
          <cell r="L98" t="str">
            <v>Parra J.</v>
          </cell>
        </row>
        <row r="99">
          <cell r="B99" t="str">
            <v>Pauli Oriol</v>
          </cell>
          <cell r="C99" t="str">
            <v>Oriol Pauli</v>
          </cell>
          <cell r="D99" t="str">
            <v>PF</v>
          </cell>
          <cell r="E99" t="str">
            <v>ESP</v>
          </cell>
          <cell r="F99">
            <v>200.99999999999997</v>
          </cell>
          <cell r="G99">
            <v>30</v>
          </cell>
          <cell r="H99" t="str">
            <v>FC Barcelona</v>
          </cell>
          <cell r="I99" t="str">
            <v>FCB</v>
          </cell>
          <cell r="J99" t="str">
            <v>FCB.PauliOriol</v>
          </cell>
          <cell r="K99" t="str">
            <v>FCB.Oriol Pauli</v>
          </cell>
          <cell r="L99" t="str">
            <v>Pauli O.</v>
          </cell>
        </row>
        <row r="100">
          <cell r="B100" t="str">
            <v>Sarr Dame</v>
          </cell>
          <cell r="C100" t="str">
            <v>Dame Sarr</v>
          </cell>
          <cell r="D100" t="str">
            <v>PG</v>
          </cell>
          <cell r="E100" t="str">
            <v>ITA</v>
          </cell>
          <cell r="F100">
            <v>198</v>
          </cell>
          <cell r="G100">
            <v>18</v>
          </cell>
          <cell r="H100" t="str">
            <v>FC Barcelona</v>
          </cell>
          <cell r="I100" t="str">
            <v>FCB</v>
          </cell>
          <cell r="J100" t="str">
            <v>FCB.SarrDame</v>
          </cell>
          <cell r="K100" t="str">
            <v>FCB.Dame Sarr</v>
          </cell>
          <cell r="L100" t="str">
            <v>Sarr D.</v>
          </cell>
        </row>
        <row r="101">
          <cell r="B101" t="str">
            <v>Satoransky Tomas</v>
          </cell>
          <cell r="C101" t="str">
            <v>Tomas Satoransky</v>
          </cell>
          <cell r="D101" t="str">
            <v>F</v>
          </cell>
          <cell r="E101" t="str">
            <v>CZE</v>
          </cell>
          <cell r="F101">
            <v>200.99999999999997</v>
          </cell>
          <cell r="G101">
            <v>33</v>
          </cell>
          <cell r="H101" t="str">
            <v>FC Barcelona</v>
          </cell>
          <cell r="I101" t="str">
            <v>FCB</v>
          </cell>
          <cell r="J101" t="str">
            <v>FCB.SatoranskyTomas</v>
          </cell>
          <cell r="K101" t="str">
            <v>FCB.Tomas Satoransky</v>
          </cell>
          <cell r="L101" t="str">
            <v>Satoransky T.</v>
          </cell>
        </row>
        <row r="102">
          <cell r="B102" t="str">
            <v>Vesely Jan</v>
          </cell>
          <cell r="C102" t="str">
            <v>Jan Vesely</v>
          </cell>
          <cell r="D102" t="str">
            <v>C</v>
          </cell>
          <cell r="E102" t="str">
            <v>CZE</v>
          </cell>
          <cell r="F102">
            <v>213</v>
          </cell>
          <cell r="G102">
            <v>34</v>
          </cell>
          <cell r="H102" t="str">
            <v>FC Barcelona</v>
          </cell>
          <cell r="I102" t="str">
            <v>FCB</v>
          </cell>
          <cell r="J102" t="str">
            <v>FCB.VeselyJan</v>
          </cell>
          <cell r="K102" t="str">
            <v>FCB.Jan Vesely</v>
          </cell>
          <cell r="L102" t="str">
            <v>Vesely J.</v>
          </cell>
        </row>
        <row r="103">
          <cell r="B103" t="str">
            <v>Bolmaro Leandro</v>
          </cell>
          <cell r="C103" t="str">
            <v>Leandro Bolmaro</v>
          </cell>
          <cell r="D103" t="str">
            <v>SG</v>
          </cell>
          <cell r="E103" t="str">
            <v>ITA</v>
          </cell>
          <cell r="F103">
            <v>198</v>
          </cell>
          <cell r="G103">
            <v>24</v>
          </cell>
          <cell r="H103" t="str">
            <v>FC Bayern Munich</v>
          </cell>
          <cell r="I103" t="str">
            <v>BAY</v>
          </cell>
          <cell r="J103" t="str">
            <v>BAY.BolmaroLeandro</v>
          </cell>
          <cell r="K103" t="str">
            <v>BAY.Leandro Bolmaro</v>
          </cell>
          <cell r="L103" t="str">
            <v>Bolmaro L.</v>
          </cell>
        </row>
        <row r="104">
          <cell r="B104" t="str">
            <v>Bonga Isaac</v>
          </cell>
          <cell r="C104" t="str">
            <v>Isaac Bonga</v>
          </cell>
          <cell r="D104" t="str">
            <v>SG/F</v>
          </cell>
          <cell r="E104" t="str">
            <v>GER</v>
          </cell>
          <cell r="F104">
            <v>204</v>
          </cell>
          <cell r="G104">
            <v>25</v>
          </cell>
          <cell r="H104" t="str">
            <v>FC Bayern Munich</v>
          </cell>
          <cell r="I104" t="str">
            <v>BAY</v>
          </cell>
          <cell r="J104" t="str">
            <v>BAY.BongaIsaac</v>
          </cell>
          <cell r="K104" t="str">
            <v>BAY.Isaac Bonga</v>
          </cell>
          <cell r="L104" t="str">
            <v>Bonga I.</v>
          </cell>
        </row>
        <row r="105">
          <cell r="B105" t="str">
            <v>Booker Devin</v>
          </cell>
          <cell r="C105" t="str">
            <v>Devin Booker</v>
          </cell>
          <cell r="D105" t="str">
            <v>C</v>
          </cell>
          <cell r="E105" t="str">
            <v>USA</v>
          </cell>
          <cell r="F105">
            <v>204.99999999999997</v>
          </cell>
          <cell r="G105">
            <v>33</v>
          </cell>
          <cell r="H105" t="str">
            <v>FC Bayern Munich</v>
          </cell>
          <cell r="I105" t="str">
            <v>BAY</v>
          </cell>
          <cell r="J105" t="str">
            <v>BAY.BookerDevin</v>
          </cell>
          <cell r="K105" t="str">
            <v>BAY.Devin Booker</v>
          </cell>
          <cell r="L105" t="str">
            <v>Booker D.</v>
          </cell>
        </row>
        <row r="106">
          <cell r="B106" t="str">
            <v>Brankovic Danko</v>
          </cell>
          <cell r="C106" t="str">
            <v>Danko Brankovic</v>
          </cell>
          <cell r="D106" t="str">
            <v>C</v>
          </cell>
          <cell r="E106" t="str">
            <v>CRO</v>
          </cell>
          <cell r="F106">
            <v>217</v>
          </cell>
          <cell r="G106">
            <v>24</v>
          </cell>
          <cell r="H106" t="str">
            <v>FC Bayern Munich</v>
          </cell>
          <cell r="I106" t="str">
            <v>BAY</v>
          </cell>
          <cell r="J106" t="str">
            <v>BAY.BrankovicDanko</v>
          </cell>
          <cell r="K106" t="str">
            <v>BAY.Danko Brankovic</v>
          </cell>
          <cell r="L106" t="str">
            <v>Brankovic D.</v>
          </cell>
        </row>
        <row r="107">
          <cell r="B107" t="str">
            <v>Edwards Carsen</v>
          </cell>
          <cell r="C107" t="str">
            <v>Carsen Edwards</v>
          </cell>
          <cell r="D107" t="str">
            <v>PG</v>
          </cell>
          <cell r="E107" t="str">
            <v>USA</v>
          </cell>
          <cell r="F107">
            <v>180</v>
          </cell>
          <cell r="G107">
            <v>26</v>
          </cell>
          <cell r="H107" t="str">
            <v>FC Bayern Munich</v>
          </cell>
          <cell r="I107" t="str">
            <v>BAY</v>
          </cell>
          <cell r="J107" t="str">
            <v>BAY.EdwardsCarsen</v>
          </cell>
          <cell r="K107" t="str">
            <v>BAY.Carsen Edwards</v>
          </cell>
          <cell r="L107" t="str">
            <v>Edwards C.</v>
          </cell>
        </row>
        <row r="108">
          <cell r="B108" t="str">
            <v>Francisco Sylvain</v>
          </cell>
          <cell r="C108" t="str">
            <v>Sylvain Francisco</v>
          </cell>
          <cell r="D108" t="str">
            <v>PG</v>
          </cell>
          <cell r="E108" t="str">
            <v>ANG</v>
          </cell>
          <cell r="F108">
            <v>186</v>
          </cell>
          <cell r="G108">
            <v>27</v>
          </cell>
          <cell r="H108" t="str">
            <v>FC Bayern Munich</v>
          </cell>
          <cell r="I108" t="str">
            <v>BAY</v>
          </cell>
          <cell r="J108" t="str">
            <v>BAY.FranciscoSylvain</v>
          </cell>
          <cell r="K108" t="str">
            <v>BAY.Sylvain Francisco</v>
          </cell>
          <cell r="L108" t="str">
            <v>Francisco S.</v>
          </cell>
        </row>
        <row r="109">
          <cell r="B109" t="str">
            <v>Giffey Niels</v>
          </cell>
          <cell r="C109" t="str">
            <v>Niels Giffey</v>
          </cell>
          <cell r="D109" t="str">
            <v>F</v>
          </cell>
          <cell r="E109" t="str">
            <v>GER</v>
          </cell>
          <cell r="F109">
            <v>200</v>
          </cell>
          <cell r="G109">
            <v>33</v>
          </cell>
          <cell r="H109" t="str">
            <v>FC Bayern Munich</v>
          </cell>
          <cell r="I109" t="str">
            <v>BAY</v>
          </cell>
          <cell r="J109" t="str">
            <v>BAY.GiffeyNiels</v>
          </cell>
          <cell r="K109" t="str">
            <v>BAY.Niels Giffey</v>
          </cell>
          <cell r="L109" t="str">
            <v>Giffey N.</v>
          </cell>
        </row>
        <row r="110">
          <cell r="B110" t="str">
            <v>Gillespie Freddie</v>
          </cell>
          <cell r="C110" t="str">
            <v>Freddie Gillespie</v>
          </cell>
          <cell r="D110" t="str">
            <v>C</v>
          </cell>
          <cell r="E110" t="str">
            <v>USA</v>
          </cell>
          <cell r="F110">
            <v>206</v>
          </cell>
          <cell r="G110">
            <v>27</v>
          </cell>
          <cell r="H110" t="str">
            <v>FC Bayern Munich</v>
          </cell>
          <cell r="I110" t="str">
            <v>BAY</v>
          </cell>
          <cell r="J110" t="str">
            <v>BAY.GillespieFreddie</v>
          </cell>
          <cell r="K110" t="str">
            <v>BAY.Freddie Gillespie</v>
          </cell>
          <cell r="L110" t="str">
            <v>Gillespie F.</v>
          </cell>
        </row>
        <row r="111">
          <cell r="B111" t="str">
            <v>Harris Elias</v>
          </cell>
          <cell r="C111" t="str">
            <v>Elias Harris</v>
          </cell>
          <cell r="D111" t="str">
            <v>F</v>
          </cell>
          <cell r="E111" t="str">
            <v>GER</v>
          </cell>
          <cell r="F111">
            <v>202.99999999999997</v>
          </cell>
          <cell r="G111">
            <v>35</v>
          </cell>
          <cell r="H111" t="str">
            <v>FC Bayern Munich</v>
          </cell>
          <cell r="I111" t="str">
            <v>BAY</v>
          </cell>
          <cell r="J111" t="str">
            <v>BAY.HarrisElias</v>
          </cell>
          <cell r="K111" t="str">
            <v>BAY.Elias Harris</v>
          </cell>
          <cell r="L111" t="str">
            <v>Harris E.</v>
          </cell>
        </row>
        <row r="112">
          <cell r="B112" t="str">
            <v>Ibaka Serge</v>
          </cell>
          <cell r="C112" t="str">
            <v>Serge Ibaka</v>
          </cell>
          <cell r="D112" t="str">
            <v>PF/C</v>
          </cell>
          <cell r="E112" t="str">
            <v>ESP</v>
          </cell>
          <cell r="F112">
            <v>208</v>
          </cell>
          <cell r="G112">
            <v>35</v>
          </cell>
          <cell r="H112" t="str">
            <v>FC Bayern Munich</v>
          </cell>
          <cell r="I112" t="str">
            <v>BAY</v>
          </cell>
          <cell r="J112" t="str">
            <v>BAY.IbakaSerge</v>
          </cell>
          <cell r="K112" t="str">
            <v>BAY.Serge Ibaka</v>
          </cell>
          <cell r="L112" t="str">
            <v>Ibaka S.</v>
          </cell>
        </row>
        <row r="113">
          <cell r="B113" t="str">
            <v>Kharchenkov Ivan</v>
          </cell>
          <cell r="C113" t="str">
            <v>Ivan Kharchenkov</v>
          </cell>
          <cell r="D113" t="str">
            <v>PG</v>
          </cell>
          <cell r="E113" t="str">
            <v>GER</v>
          </cell>
          <cell r="F113">
            <v>198</v>
          </cell>
          <cell r="G113">
            <v>18</v>
          </cell>
          <cell r="H113" t="str">
            <v>FC Bayern Munich</v>
          </cell>
          <cell r="I113" t="str">
            <v>BAY</v>
          </cell>
          <cell r="J113" t="str">
            <v>BAY.KharchenkovIvan</v>
          </cell>
          <cell r="K113" t="str">
            <v>BAY.Ivan Kharchenkov</v>
          </cell>
          <cell r="L113" t="str">
            <v>Kharchenkov I.</v>
          </cell>
        </row>
        <row r="114">
          <cell r="B114" t="str">
            <v>Obst Andreas</v>
          </cell>
          <cell r="C114" t="str">
            <v>Andreas Obst</v>
          </cell>
          <cell r="D114" t="str">
            <v>PG</v>
          </cell>
          <cell r="E114" t="str">
            <v>GER</v>
          </cell>
          <cell r="F114">
            <v>191</v>
          </cell>
          <cell r="G114">
            <v>28</v>
          </cell>
          <cell r="H114" t="str">
            <v>FC Bayern Munich</v>
          </cell>
          <cell r="I114" t="str">
            <v>BAY</v>
          </cell>
          <cell r="J114" t="str">
            <v>BAY.ObstAndreas</v>
          </cell>
          <cell r="K114" t="str">
            <v>BAY.Andreas Obst</v>
          </cell>
          <cell r="L114" t="str">
            <v>Obst A.</v>
          </cell>
        </row>
        <row r="115">
          <cell r="B115" t="str">
            <v>Weidemann Nelson</v>
          </cell>
          <cell r="C115" t="str">
            <v>Nelson Weidemann</v>
          </cell>
          <cell r="D115" t="str">
            <v>PG</v>
          </cell>
          <cell r="E115" t="str">
            <v>GER</v>
          </cell>
          <cell r="F115">
            <v>190</v>
          </cell>
          <cell r="G115">
            <v>25</v>
          </cell>
          <cell r="H115" t="str">
            <v>FC Bayern Munich</v>
          </cell>
          <cell r="I115" t="str">
            <v>BAY</v>
          </cell>
          <cell r="J115" t="str">
            <v>BAY.WeidemannNelson</v>
          </cell>
          <cell r="K115" t="str">
            <v>BAY.Nelson Weidemann</v>
          </cell>
          <cell r="L115" t="str">
            <v>Weidemann N.</v>
          </cell>
        </row>
        <row r="116">
          <cell r="B116" t="str">
            <v>Weiler Babb Nick</v>
          </cell>
          <cell r="C116" t="str">
            <v>Nick Weiler Babb</v>
          </cell>
          <cell r="D116" t="str">
            <v>PG</v>
          </cell>
          <cell r="E116" t="str">
            <v>USA</v>
          </cell>
          <cell r="F116">
            <v>196</v>
          </cell>
          <cell r="G116">
            <v>29</v>
          </cell>
          <cell r="H116" t="str">
            <v>FC Bayern Munich</v>
          </cell>
          <cell r="I116" t="str">
            <v>BAY</v>
          </cell>
          <cell r="J116" t="str">
            <v>BAY.WeilerBabbNick</v>
          </cell>
          <cell r="K116" t="str">
            <v>BAY.Nick Weiler Babb</v>
          </cell>
          <cell r="L116" t="str">
            <v>Weiler Babb N.</v>
          </cell>
        </row>
        <row r="117">
          <cell r="B117" t="str">
            <v>Wimberg Niklas</v>
          </cell>
          <cell r="C117" t="str">
            <v>Niklas Wimberg</v>
          </cell>
          <cell r="D117" t="str">
            <v>PF</v>
          </cell>
          <cell r="E117" t="str">
            <v>GER</v>
          </cell>
          <cell r="F117">
            <v>206</v>
          </cell>
          <cell r="G117">
            <v>28</v>
          </cell>
          <cell r="H117" t="str">
            <v>FC Bayern Munich</v>
          </cell>
          <cell r="I117" t="str">
            <v>BAY</v>
          </cell>
          <cell r="J117" t="str">
            <v>BAY.WimbergNiklas</v>
          </cell>
          <cell r="K117" t="str">
            <v>BAY.Niklas Wimberg</v>
          </cell>
          <cell r="L117" t="str">
            <v>Wimberg N.</v>
          </cell>
        </row>
        <row r="118">
          <cell r="B118" t="str">
            <v>Biberovic Tarik</v>
          </cell>
          <cell r="C118" t="str">
            <v>Tarik Biberovic</v>
          </cell>
          <cell r="D118" t="str">
            <v>F</v>
          </cell>
          <cell r="E118" t="str">
            <v>TUR</v>
          </cell>
          <cell r="F118">
            <v>201</v>
          </cell>
          <cell r="G118">
            <v>23</v>
          </cell>
          <cell r="H118" t="str">
            <v>Fenerbahce Beko Istanbul</v>
          </cell>
          <cell r="I118" t="str">
            <v>FEN</v>
          </cell>
          <cell r="J118" t="str">
            <v>FEN.BiberovicTarik</v>
          </cell>
          <cell r="K118" t="str">
            <v>FEN.Tarik Biberovic</v>
          </cell>
          <cell r="L118" t="str">
            <v>Biberovic T.</v>
          </cell>
        </row>
        <row r="119">
          <cell r="B119" t="str">
            <v>Calathes Nick</v>
          </cell>
          <cell r="C119" t="str">
            <v>Nick Calathes</v>
          </cell>
          <cell r="D119" t="str">
            <v>PG</v>
          </cell>
          <cell r="E119" t="str">
            <v>GRE</v>
          </cell>
          <cell r="F119">
            <v>198</v>
          </cell>
          <cell r="G119">
            <v>35</v>
          </cell>
          <cell r="H119" t="str">
            <v>Fenerbahce Beko Istanbul</v>
          </cell>
          <cell r="I119" t="str">
            <v>FEN</v>
          </cell>
          <cell r="J119" t="str">
            <v>FEN.CalathesNick</v>
          </cell>
          <cell r="K119" t="str">
            <v>FEN.Nick Calathes</v>
          </cell>
          <cell r="L119" t="str">
            <v>Calathes N.</v>
          </cell>
        </row>
        <row r="120">
          <cell r="B120" t="str">
            <v>Dorsey Tyler</v>
          </cell>
          <cell r="C120" t="str">
            <v>Tyler Dorsey</v>
          </cell>
          <cell r="D120" t="str">
            <v>SG</v>
          </cell>
          <cell r="E120" t="str">
            <v>USA</v>
          </cell>
          <cell r="F120">
            <v>196</v>
          </cell>
          <cell r="G120">
            <v>28</v>
          </cell>
          <cell r="H120" t="str">
            <v>Fenerbahce Beko Istanbul</v>
          </cell>
          <cell r="I120" t="str">
            <v>FEN</v>
          </cell>
          <cell r="J120" t="str">
            <v>FEN.DorseyTyler</v>
          </cell>
          <cell r="K120" t="str">
            <v>FEN.Tyler Dorsey</v>
          </cell>
          <cell r="L120" t="str">
            <v>Dorsey T.</v>
          </cell>
        </row>
        <row r="121">
          <cell r="B121" t="str">
            <v>Guduric Marko</v>
          </cell>
          <cell r="C121" t="str">
            <v>Marko Guduric</v>
          </cell>
          <cell r="D121" t="str">
            <v>SG</v>
          </cell>
          <cell r="E121" t="str">
            <v>SRB</v>
          </cell>
          <cell r="F121">
            <v>196</v>
          </cell>
          <cell r="G121">
            <v>29</v>
          </cell>
          <cell r="H121" t="str">
            <v>Fenerbahce Beko Istanbul</v>
          </cell>
          <cell r="I121" t="str">
            <v>FEN</v>
          </cell>
          <cell r="J121" t="str">
            <v>FEN.GuduricMarko</v>
          </cell>
          <cell r="K121" t="str">
            <v>FEN.Marko Guduric</v>
          </cell>
          <cell r="L121" t="str">
            <v>Guduric M.</v>
          </cell>
        </row>
        <row r="122">
          <cell r="B122" t="str">
            <v>Hayes Davis Nigel</v>
          </cell>
          <cell r="C122" t="str">
            <v>Nigel Hayes Davis</v>
          </cell>
          <cell r="D122" t="str">
            <v>F</v>
          </cell>
          <cell r="E122" t="str">
            <v>USA</v>
          </cell>
          <cell r="F122">
            <v>202.99999999999997</v>
          </cell>
          <cell r="G122">
            <v>30</v>
          </cell>
          <cell r="H122" t="str">
            <v>Fenerbahce Beko Istanbul</v>
          </cell>
          <cell r="I122" t="str">
            <v>FEN</v>
          </cell>
          <cell r="J122" t="str">
            <v>FEN.HayesDavisNigel</v>
          </cell>
          <cell r="K122" t="str">
            <v>FEN.Nigel Hayes Davis</v>
          </cell>
          <cell r="L122" t="str">
            <v>Hayes Davis N.</v>
          </cell>
        </row>
        <row r="123">
          <cell r="B123" t="str">
            <v>Hazer Sehmus</v>
          </cell>
          <cell r="C123" t="str">
            <v>Sehmus Hazer</v>
          </cell>
          <cell r="D123" t="str">
            <v>SG</v>
          </cell>
          <cell r="E123" t="str">
            <v>TUR</v>
          </cell>
          <cell r="F123">
            <v>193</v>
          </cell>
          <cell r="G123">
            <v>25</v>
          </cell>
          <cell r="H123" t="str">
            <v>Fenerbahce Beko Istanbul</v>
          </cell>
          <cell r="I123" t="str">
            <v>FEN</v>
          </cell>
          <cell r="J123" t="str">
            <v>FEN.HazerSehmus</v>
          </cell>
          <cell r="K123" t="str">
            <v>FEN.Sehmus Hazer</v>
          </cell>
          <cell r="L123" t="str">
            <v>Hazer S.</v>
          </cell>
        </row>
        <row r="124">
          <cell r="B124" t="str">
            <v>Madar Yam</v>
          </cell>
          <cell r="C124" t="str">
            <v>Yam Madar</v>
          </cell>
          <cell r="D124" t="str">
            <v>PG</v>
          </cell>
          <cell r="E124" t="str">
            <v>ISR</v>
          </cell>
          <cell r="F124">
            <v>190</v>
          </cell>
          <cell r="G124">
            <v>24</v>
          </cell>
          <cell r="H124" t="str">
            <v>Fenerbahce Beko Istanbul</v>
          </cell>
          <cell r="I124" t="str">
            <v>FEN</v>
          </cell>
          <cell r="J124" t="str">
            <v>FEN.MadarYam</v>
          </cell>
          <cell r="K124" t="str">
            <v>FEN.Yam Madar</v>
          </cell>
          <cell r="L124" t="str">
            <v>Madar Y.</v>
          </cell>
        </row>
        <row r="125">
          <cell r="B125" t="str">
            <v>Mahmutoglu Melih</v>
          </cell>
          <cell r="C125" t="str">
            <v>Melih Mahmutoglu</v>
          </cell>
          <cell r="D125" t="str">
            <v>SG</v>
          </cell>
          <cell r="E125" t="str">
            <v>TUR</v>
          </cell>
          <cell r="F125">
            <v>191</v>
          </cell>
          <cell r="G125">
            <v>34</v>
          </cell>
          <cell r="H125" t="str">
            <v>Fenerbahce Beko Istanbul</v>
          </cell>
          <cell r="I125" t="str">
            <v>FEN</v>
          </cell>
          <cell r="J125" t="str">
            <v>FEN.MahmutogluMelih</v>
          </cell>
          <cell r="K125" t="str">
            <v>FEN.Melih Mahmutoglu</v>
          </cell>
          <cell r="L125" t="str">
            <v>Mahmutoglu M.</v>
          </cell>
        </row>
        <row r="126">
          <cell r="B126" t="str">
            <v>Mestoglu Hamza</v>
          </cell>
          <cell r="C126" t="str">
            <v>Hamza Mestoglu</v>
          </cell>
          <cell r="D126" t="str">
            <v>F</v>
          </cell>
          <cell r="E126" t="str">
            <v>TUR</v>
          </cell>
          <cell r="F126">
            <v>201</v>
          </cell>
          <cell r="G126">
            <v>20</v>
          </cell>
          <cell r="H126" t="str">
            <v>Fenerbahce Beko Istanbul</v>
          </cell>
          <cell r="I126" t="str">
            <v>FEN</v>
          </cell>
          <cell r="J126" t="str">
            <v>FEN.MestogluHamza</v>
          </cell>
          <cell r="K126" t="str">
            <v>FEN.Hamza Mestoglu</v>
          </cell>
          <cell r="L126" t="str">
            <v>Mestoglu H.</v>
          </cell>
        </row>
        <row r="127">
          <cell r="B127" t="str">
            <v>Motley Johnathan</v>
          </cell>
          <cell r="C127" t="str">
            <v>Johnathan Motley</v>
          </cell>
          <cell r="D127" t="str">
            <v>C</v>
          </cell>
          <cell r="E127" t="str">
            <v>USA</v>
          </cell>
          <cell r="F127">
            <v>206</v>
          </cell>
          <cell r="G127">
            <v>29</v>
          </cell>
          <cell r="H127" t="str">
            <v>Fenerbahce Beko Istanbul</v>
          </cell>
          <cell r="I127" t="str">
            <v>FEN</v>
          </cell>
          <cell r="J127" t="str">
            <v>FEN.MotleyJohnathan</v>
          </cell>
          <cell r="K127" t="str">
            <v>FEN.Johnathan Motley</v>
          </cell>
          <cell r="L127" t="str">
            <v>Motley J.</v>
          </cell>
        </row>
        <row r="128">
          <cell r="B128" t="str">
            <v>Papagiannis Georgios</v>
          </cell>
          <cell r="C128" t="str">
            <v>Georgios Papagiannis</v>
          </cell>
          <cell r="D128" t="str">
            <v>C</v>
          </cell>
          <cell r="E128" t="str">
            <v>GRE</v>
          </cell>
          <cell r="F128">
            <v>217</v>
          </cell>
          <cell r="G128">
            <v>27</v>
          </cell>
          <cell r="H128" t="str">
            <v>Fenerbahce Beko Istanbul</v>
          </cell>
          <cell r="I128" t="str">
            <v>FEN</v>
          </cell>
          <cell r="J128" t="str">
            <v>FEN.PapagiannisGeorgios</v>
          </cell>
          <cell r="K128" t="str">
            <v>FEN.Georgios Papagiannis</v>
          </cell>
          <cell r="L128" t="str">
            <v>Papagiannis G.</v>
          </cell>
        </row>
        <row r="129">
          <cell r="B129" t="str">
            <v>Pierre Dyshawn</v>
          </cell>
          <cell r="C129" t="str">
            <v>Dyshawn Pierre</v>
          </cell>
          <cell r="D129" t="str">
            <v>F/PF</v>
          </cell>
          <cell r="E129" t="str">
            <v>CAN</v>
          </cell>
          <cell r="F129">
            <v>198</v>
          </cell>
          <cell r="G129">
            <v>31</v>
          </cell>
          <cell r="H129" t="str">
            <v>Fenerbahce Beko Istanbul</v>
          </cell>
          <cell r="I129" t="str">
            <v>FEN</v>
          </cell>
          <cell r="J129" t="str">
            <v>FEN.PierreDyshawn</v>
          </cell>
          <cell r="K129" t="str">
            <v>FEN.Dyshawn Pierre</v>
          </cell>
          <cell r="L129" t="str">
            <v>Pierre D.</v>
          </cell>
        </row>
        <row r="130">
          <cell r="B130" t="str">
            <v>Sanli Sertac</v>
          </cell>
          <cell r="C130" t="str">
            <v>Sertac Sanli</v>
          </cell>
          <cell r="D130" t="str">
            <v>C</v>
          </cell>
          <cell r="E130" t="str">
            <v>TUR</v>
          </cell>
          <cell r="F130">
            <v>212</v>
          </cell>
          <cell r="G130">
            <v>33</v>
          </cell>
          <cell r="H130" t="str">
            <v>Fenerbahce Beko Istanbul</v>
          </cell>
          <cell r="I130" t="str">
            <v>FEN</v>
          </cell>
          <cell r="J130" t="str">
            <v>FEN.SanliSertac</v>
          </cell>
          <cell r="K130" t="str">
            <v>FEN.Sertac Sanli</v>
          </cell>
          <cell r="L130" t="str">
            <v>Sanli S.</v>
          </cell>
        </row>
        <row r="131">
          <cell r="B131" t="str">
            <v>Sestina Nathan</v>
          </cell>
          <cell r="C131" t="str">
            <v>Nathan Sestina</v>
          </cell>
          <cell r="D131" t="str">
            <v>PF</v>
          </cell>
          <cell r="E131" t="str">
            <v>USA</v>
          </cell>
          <cell r="F131">
            <v>205</v>
          </cell>
          <cell r="G131">
            <v>27</v>
          </cell>
          <cell r="H131" t="str">
            <v>Fenerbahce Beko Istanbul</v>
          </cell>
          <cell r="I131" t="str">
            <v>FEN</v>
          </cell>
          <cell r="J131" t="str">
            <v>FEN.SestinaNathan</v>
          </cell>
          <cell r="K131" t="str">
            <v>FEN.Nathan Sestina</v>
          </cell>
          <cell r="L131" t="str">
            <v>Sestina N.</v>
          </cell>
        </row>
        <row r="132">
          <cell r="B132" t="str">
            <v>Wilbekin Scottie</v>
          </cell>
          <cell r="C132" t="str">
            <v>Scottie Wilbekin</v>
          </cell>
          <cell r="D132" t="str">
            <v>PG</v>
          </cell>
          <cell r="E132" t="str">
            <v>USA</v>
          </cell>
          <cell r="F132">
            <v>188</v>
          </cell>
          <cell r="G132">
            <v>31</v>
          </cell>
          <cell r="H132" t="str">
            <v>Fenerbahce Beko Istanbul</v>
          </cell>
          <cell r="I132" t="str">
            <v>FEN</v>
          </cell>
          <cell r="J132" t="str">
            <v>FEN.WilbekinScottie</v>
          </cell>
          <cell r="K132" t="str">
            <v>FEN.Scottie Wilbekin</v>
          </cell>
          <cell r="L132" t="str">
            <v>Wilbekin S.</v>
          </cell>
        </row>
        <row r="133">
          <cell r="B133" t="str">
            <v>Dallo Boris</v>
          </cell>
          <cell r="C133" t="str">
            <v>Boris Dallo</v>
          </cell>
          <cell r="D133" t="str">
            <v>PG</v>
          </cell>
          <cell r="E133" t="str">
            <v>FRA</v>
          </cell>
          <cell r="F133">
            <v>193</v>
          </cell>
          <cell r="G133">
            <v>30</v>
          </cell>
          <cell r="H133" t="str">
            <v>LDLC ASVEL Villeurbanne</v>
          </cell>
          <cell r="I133" t="str">
            <v>ASV</v>
          </cell>
          <cell r="J133" t="str">
            <v>ASV.DalloBoris</v>
          </cell>
          <cell r="K133" t="str">
            <v>ASV.Boris Dallo</v>
          </cell>
          <cell r="L133" t="str">
            <v>Dallo B.</v>
          </cell>
        </row>
        <row r="134">
          <cell r="B134" t="str">
            <v>De Colo Nando</v>
          </cell>
          <cell r="C134" t="str">
            <v>Nando De Colo</v>
          </cell>
          <cell r="D134" t="str">
            <v>SG</v>
          </cell>
          <cell r="E134" t="str">
            <v>FRA</v>
          </cell>
          <cell r="F134">
            <v>196</v>
          </cell>
          <cell r="G134">
            <v>37</v>
          </cell>
          <cell r="H134" t="str">
            <v>LDLC ASVEL Villeurbanne</v>
          </cell>
          <cell r="I134" t="str">
            <v>ASV</v>
          </cell>
          <cell r="J134" t="str">
            <v>ASV.DeColoNando</v>
          </cell>
          <cell r="K134" t="str">
            <v>ASV.Nando De Colo</v>
          </cell>
          <cell r="L134" t="str">
            <v>De Colo N.</v>
          </cell>
        </row>
        <row r="135">
          <cell r="B135" t="str">
            <v>Egbunu John</v>
          </cell>
          <cell r="C135" t="str">
            <v>John Egbunu</v>
          </cell>
          <cell r="D135" t="str">
            <v>C</v>
          </cell>
          <cell r="E135" t="str">
            <v>NIG</v>
          </cell>
          <cell r="F135">
            <v>208</v>
          </cell>
          <cell r="G135">
            <v>30</v>
          </cell>
          <cell r="H135" t="str">
            <v>LDLC ASVEL Villeurbanne</v>
          </cell>
          <cell r="I135" t="str">
            <v>ASV</v>
          </cell>
          <cell r="J135" t="str">
            <v>ASV.EgbunuJohn</v>
          </cell>
          <cell r="K135" t="str">
            <v>ASV.John Egbunu</v>
          </cell>
          <cell r="L135" t="str">
            <v>Egbunu J.</v>
          </cell>
        </row>
        <row r="136">
          <cell r="B136" t="str">
            <v>Fall Youssoupha</v>
          </cell>
          <cell r="C136" t="str">
            <v>Youssoupha Fall</v>
          </cell>
          <cell r="D136" t="str">
            <v>C</v>
          </cell>
          <cell r="E136" t="str">
            <v>SEN</v>
          </cell>
          <cell r="F136">
            <v>221</v>
          </cell>
          <cell r="G136">
            <v>29</v>
          </cell>
          <cell r="H136" t="str">
            <v>LDLC ASVEL Villeurbanne</v>
          </cell>
          <cell r="I136" t="str">
            <v>ASV</v>
          </cell>
          <cell r="J136" t="str">
            <v>ASV.FallYoussoupha</v>
          </cell>
          <cell r="K136" t="str">
            <v>ASV.Youssoupha Fall</v>
          </cell>
          <cell r="L136" t="str">
            <v>Fall Y.</v>
          </cell>
        </row>
        <row r="137">
          <cell r="B137" t="str">
            <v>Jackson Edwin</v>
          </cell>
          <cell r="C137" t="str">
            <v>Edwin Jackson</v>
          </cell>
          <cell r="D137" t="str">
            <v>SG</v>
          </cell>
          <cell r="E137" t="str">
            <v>FRA</v>
          </cell>
          <cell r="F137">
            <v>190</v>
          </cell>
          <cell r="G137">
            <v>35</v>
          </cell>
          <cell r="H137" t="str">
            <v>LDLC ASVEL Villeurbanne</v>
          </cell>
          <cell r="I137" t="str">
            <v>ASV</v>
          </cell>
          <cell r="J137" t="str">
            <v>ASV.JacksonEdwin</v>
          </cell>
          <cell r="K137" t="str">
            <v>ASV.Edwin Jackson</v>
          </cell>
          <cell r="L137" t="str">
            <v>Jackson E.</v>
          </cell>
        </row>
        <row r="138">
          <cell r="B138" t="str">
            <v>Jackson Frank</v>
          </cell>
          <cell r="C138" t="str">
            <v>Frank Jackson</v>
          </cell>
          <cell r="D138" t="str">
            <v>PG</v>
          </cell>
          <cell r="E138" t="str">
            <v>USA</v>
          </cell>
          <cell r="F138">
            <v>190</v>
          </cell>
          <cell r="G138">
            <v>26</v>
          </cell>
          <cell r="H138" t="str">
            <v>LDLC ASVEL Villeurbanne</v>
          </cell>
          <cell r="I138" t="str">
            <v>ASV</v>
          </cell>
          <cell r="J138" t="str">
            <v>ASV.JacksonFrank</v>
          </cell>
          <cell r="K138" t="str">
            <v>ASV.Frank Jackson</v>
          </cell>
          <cell r="L138" t="str">
            <v>Jackson F.</v>
          </cell>
        </row>
        <row r="139">
          <cell r="B139" t="str">
            <v>Kahudi Charles</v>
          </cell>
          <cell r="C139" t="str">
            <v>Charles Kahudi</v>
          </cell>
          <cell r="D139" t="str">
            <v>F</v>
          </cell>
          <cell r="E139" t="str">
            <v>FRA</v>
          </cell>
          <cell r="F139">
            <v>196</v>
          </cell>
          <cell r="G139">
            <v>38</v>
          </cell>
          <cell r="H139" t="str">
            <v>LDLC ASVEL Villeurbanne</v>
          </cell>
          <cell r="I139" t="str">
            <v>ASV</v>
          </cell>
          <cell r="J139" t="str">
            <v>ASV.KahudiCharles</v>
          </cell>
          <cell r="K139" t="str">
            <v>ASV.Charles Kahudi</v>
          </cell>
          <cell r="L139" t="str">
            <v>Kahudi C.</v>
          </cell>
        </row>
        <row r="140">
          <cell r="B140" t="str">
            <v>Lauvergne Joffrey</v>
          </cell>
          <cell r="C140" t="str">
            <v>Joffrey Lauvergne</v>
          </cell>
          <cell r="D140" t="str">
            <v>C</v>
          </cell>
          <cell r="E140" t="str">
            <v>FRA</v>
          </cell>
          <cell r="F140">
            <v>211</v>
          </cell>
          <cell r="G140">
            <v>33</v>
          </cell>
          <cell r="H140" t="str">
            <v>LDLC ASVEL Villeurbanne</v>
          </cell>
          <cell r="I140" t="str">
            <v>ASV</v>
          </cell>
          <cell r="J140" t="str">
            <v>ASV.LauvergneJoffrey</v>
          </cell>
          <cell r="K140" t="str">
            <v>ASV.Joffrey Lauvergne</v>
          </cell>
          <cell r="L140" t="str">
            <v>Lauvergne J.</v>
          </cell>
        </row>
        <row r="141">
          <cell r="B141" t="str">
            <v>Lee Paris</v>
          </cell>
          <cell r="C141" t="str">
            <v>Paris Lee</v>
          </cell>
          <cell r="D141" t="str">
            <v>PG</v>
          </cell>
          <cell r="E141" t="str">
            <v>USA</v>
          </cell>
          <cell r="F141">
            <v>183</v>
          </cell>
          <cell r="G141">
            <v>29</v>
          </cell>
          <cell r="H141" t="str">
            <v>LDLC ASVEL Villeurbanne</v>
          </cell>
          <cell r="I141" t="str">
            <v>ASV</v>
          </cell>
          <cell r="J141" t="str">
            <v>ASV.LeeParis</v>
          </cell>
          <cell r="K141" t="str">
            <v>ASV.Paris Lee</v>
          </cell>
          <cell r="L141" t="str">
            <v>Lee P.</v>
          </cell>
        </row>
        <row r="142">
          <cell r="B142" t="str">
            <v>Lighty David</v>
          </cell>
          <cell r="C142" t="str">
            <v>David Lighty</v>
          </cell>
          <cell r="D142" t="str">
            <v>F</v>
          </cell>
          <cell r="E142" t="str">
            <v>USA</v>
          </cell>
          <cell r="F142">
            <v>195</v>
          </cell>
          <cell r="G142">
            <v>36</v>
          </cell>
          <cell r="H142" t="str">
            <v>LDLC ASVEL Villeurbanne</v>
          </cell>
          <cell r="I142" t="str">
            <v>ASV</v>
          </cell>
          <cell r="J142" t="str">
            <v>ASV.LightyDavid</v>
          </cell>
          <cell r="K142" t="str">
            <v>ASV.David Lighty</v>
          </cell>
          <cell r="L142" t="str">
            <v>Lighty D.</v>
          </cell>
        </row>
        <row r="143">
          <cell r="B143" t="str">
            <v>Luwawu Cabarrot Timothe</v>
          </cell>
          <cell r="C143" t="str">
            <v>Timothe Luwawu Cabarrot</v>
          </cell>
          <cell r="D143" t="str">
            <v>SG</v>
          </cell>
          <cell r="E143" t="str">
            <v>FRA</v>
          </cell>
          <cell r="F143">
            <v>198</v>
          </cell>
          <cell r="G143">
            <v>29</v>
          </cell>
          <cell r="H143" t="str">
            <v>LDLC ASVEL Villeurbanne</v>
          </cell>
          <cell r="I143" t="str">
            <v>ASV</v>
          </cell>
          <cell r="J143" t="str">
            <v>ASV.LuwawuCabarrotTimothe</v>
          </cell>
          <cell r="K143" t="str">
            <v>ASV.Timothe Luwawu Cabarrot</v>
          </cell>
          <cell r="L143" t="str">
            <v>Luwawu Cabarrot T.</v>
          </cell>
        </row>
        <row r="144">
          <cell r="B144" t="str">
            <v>Ndiaye Mbaye</v>
          </cell>
          <cell r="C144" t="str">
            <v>Mbaye Ndiaye</v>
          </cell>
          <cell r="D144" t="str">
            <v>C</v>
          </cell>
          <cell r="E144" t="str">
            <v>SEN</v>
          </cell>
          <cell r="F144">
            <v>204</v>
          </cell>
          <cell r="G144">
            <v>25</v>
          </cell>
          <cell r="H144" t="str">
            <v>LDLC ASVEL Villeurbanne</v>
          </cell>
          <cell r="I144" t="str">
            <v>ASV</v>
          </cell>
          <cell r="J144" t="str">
            <v>ASV.NdiayeMbaye</v>
          </cell>
          <cell r="K144" t="str">
            <v>ASV.Mbaye Ndiaye</v>
          </cell>
          <cell r="L144" t="str">
            <v>Ndiaye M.</v>
          </cell>
        </row>
        <row r="145">
          <cell r="B145" t="str">
            <v>Scott Mike</v>
          </cell>
          <cell r="C145" t="str">
            <v>Mike Scott</v>
          </cell>
          <cell r="D145" t="str">
            <v>PF</v>
          </cell>
          <cell r="E145" t="str">
            <v>USA</v>
          </cell>
          <cell r="F145">
            <v>203</v>
          </cell>
          <cell r="G145">
            <v>36</v>
          </cell>
          <cell r="H145" t="str">
            <v>LDLC ASVEL Villeurbanne</v>
          </cell>
          <cell r="I145" t="str">
            <v>ASV</v>
          </cell>
          <cell r="J145" t="str">
            <v>ASV.ScottMike</v>
          </cell>
          <cell r="K145" t="str">
            <v>ASV.Mike Scott</v>
          </cell>
          <cell r="L145" t="str">
            <v>Scott M.</v>
          </cell>
        </row>
        <row r="146">
          <cell r="B146" t="str">
            <v>Yaacov Noam</v>
          </cell>
          <cell r="C146" t="str">
            <v>Noam Yaacov</v>
          </cell>
          <cell r="D146" t="str">
            <v>SG</v>
          </cell>
          <cell r="E146" t="str">
            <v>DEN</v>
          </cell>
          <cell r="F146">
            <v>186</v>
          </cell>
          <cell r="G146">
            <v>20</v>
          </cell>
          <cell r="H146" t="str">
            <v>LDLC ASVEL Villeurbanne</v>
          </cell>
          <cell r="I146" t="str">
            <v>ASV</v>
          </cell>
          <cell r="J146" t="str">
            <v>ASV.YaacovNoam</v>
          </cell>
          <cell r="K146" t="str">
            <v>ASV.Noam Yaacov</v>
          </cell>
          <cell r="L146" t="str">
            <v>Yaacov N.</v>
          </cell>
        </row>
        <row r="147">
          <cell r="B147" t="str">
            <v>Baldwin Wade</v>
          </cell>
          <cell r="C147" t="str">
            <v>Wade Baldwin</v>
          </cell>
          <cell r="D147" t="str">
            <v>PG/SG</v>
          </cell>
          <cell r="E147" t="str">
            <v>USA</v>
          </cell>
          <cell r="F147">
            <v>193</v>
          </cell>
          <cell r="G147">
            <v>28</v>
          </cell>
          <cell r="H147" t="str">
            <v>Maccabi Playtika Tel Aviv</v>
          </cell>
          <cell r="I147" t="str">
            <v>MTA</v>
          </cell>
          <cell r="J147" t="str">
            <v>MTA.BaldwinWade</v>
          </cell>
          <cell r="K147" t="str">
            <v>MTA.Wade Baldwin</v>
          </cell>
          <cell r="L147" t="str">
            <v>Baldwin W.</v>
          </cell>
        </row>
        <row r="148">
          <cell r="B148" t="str">
            <v>Blatt Tamir</v>
          </cell>
          <cell r="C148" t="str">
            <v>Tamir Blatt</v>
          </cell>
          <cell r="D148" t="str">
            <v>SG</v>
          </cell>
          <cell r="E148" t="str">
            <v>USA</v>
          </cell>
          <cell r="F148">
            <v>185</v>
          </cell>
          <cell r="G148">
            <v>27</v>
          </cell>
          <cell r="H148" t="str">
            <v>Maccabi Playtika Tel Aviv</v>
          </cell>
          <cell r="I148" t="str">
            <v>MTA</v>
          </cell>
          <cell r="J148" t="str">
            <v>MTA.BlattTamir</v>
          </cell>
          <cell r="K148" t="str">
            <v>MTA.Tamir Blatt</v>
          </cell>
          <cell r="L148" t="str">
            <v>Blatt T.</v>
          </cell>
        </row>
        <row r="149">
          <cell r="B149" t="str">
            <v>Brown Lorenzo</v>
          </cell>
          <cell r="C149" t="str">
            <v>Lorenzo Brown</v>
          </cell>
          <cell r="D149" t="str">
            <v>PG</v>
          </cell>
          <cell r="E149" t="str">
            <v>USA</v>
          </cell>
          <cell r="F149">
            <v>196</v>
          </cell>
          <cell r="G149">
            <v>34</v>
          </cell>
          <cell r="H149" t="str">
            <v>Maccabi Playtika Tel Aviv</v>
          </cell>
          <cell r="I149" t="str">
            <v>MTA</v>
          </cell>
          <cell r="J149" t="str">
            <v>MTA.BrownLorenzo</v>
          </cell>
          <cell r="K149" t="str">
            <v>MTA.Lorenzo Brown</v>
          </cell>
          <cell r="L149" t="str">
            <v>Brown L.</v>
          </cell>
        </row>
        <row r="150">
          <cell r="B150" t="str">
            <v>Cleveland Antonius</v>
          </cell>
          <cell r="C150" t="str">
            <v>Antonius Cleveland</v>
          </cell>
          <cell r="D150" t="str">
            <v>SG</v>
          </cell>
          <cell r="E150" t="str">
            <v>USA</v>
          </cell>
          <cell r="F150">
            <v>196</v>
          </cell>
          <cell r="G150">
            <v>30</v>
          </cell>
          <cell r="H150" t="str">
            <v>Maccabi Playtika Tel Aviv</v>
          </cell>
          <cell r="I150" t="str">
            <v>MTA</v>
          </cell>
          <cell r="J150" t="str">
            <v>MTA.ClevelandAntonius</v>
          </cell>
          <cell r="K150" t="str">
            <v>MTA.Antonius Cleveland</v>
          </cell>
          <cell r="L150" t="str">
            <v>Cleveland A.</v>
          </cell>
        </row>
        <row r="151">
          <cell r="B151" t="str">
            <v>Cohen Jake</v>
          </cell>
          <cell r="C151" t="str">
            <v>Jake Cohen</v>
          </cell>
          <cell r="D151" t="str">
            <v>C</v>
          </cell>
          <cell r="E151" t="str">
            <v>ISR</v>
          </cell>
          <cell r="F151">
            <v>210</v>
          </cell>
          <cell r="G151">
            <v>34</v>
          </cell>
          <cell r="H151" t="str">
            <v>Maccabi Playtika Tel Aviv</v>
          </cell>
          <cell r="I151" t="str">
            <v>MTA</v>
          </cell>
          <cell r="J151" t="str">
            <v>MTA.CohenJake</v>
          </cell>
          <cell r="K151" t="str">
            <v>MTA.Jake Cohen</v>
          </cell>
          <cell r="L151" t="str">
            <v>Cohen J.</v>
          </cell>
        </row>
        <row r="152">
          <cell r="B152" t="str">
            <v>Colson Bonzie</v>
          </cell>
          <cell r="C152" t="str">
            <v>Bonzie Colson</v>
          </cell>
          <cell r="D152" t="str">
            <v>F/PF</v>
          </cell>
          <cell r="E152" t="str">
            <v>USA</v>
          </cell>
          <cell r="F152">
            <v>198</v>
          </cell>
          <cell r="G152">
            <v>28</v>
          </cell>
          <cell r="H152" t="str">
            <v>Maccabi Playtika Tel Aviv</v>
          </cell>
          <cell r="I152" t="str">
            <v>MTA</v>
          </cell>
          <cell r="J152" t="str">
            <v>MTA.ColsonBonzie</v>
          </cell>
          <cell r="K152" t="str">
            <v>MTA.Bonzie Colson</v>
          </cell>
          <cell r="L152" t="str">
            <v>Colson B.</v>
          </cell>
        </row>
        <row r="153">
          <cell r="B153" t="str">
            <v>Dibartolomeo John</v>
          </cell>
          <cell r="C153" t="str">
            <v>John Dibartolomeo</v>
          </cell>
          <cell r="D153" t="str">
            <v>SG</v>
          </cell>
          <cell r="E153" t="str">
            <v>ISR</v>
          </cell>
          <cell r="F153">
            <v>183</v>
          </cell>
          <cell r="G153">
            <v>33</v>
          </cell>
          <cell r="H153" t="str">
            <v>Maccabi Playtika Tel Aviv</v>
          </cell>
          <cell r="I153" t="str">
            <v>MTA</v>
          </cell>
          <cell r="J153" t="str">
            <v>MTA.DibartolomeoJohn</v>
          </cell>
          <cell r="K153" t="str">
            <v>MTA.John Dibartolomeo</v>
          </cell>
          <cell r="L153" t="str">
            <v>Dibartolomeo J.</v>
          </cell>
        </row>
        <row r="154">
          <cell r="B154" t="str">
            <v>Mayer Omer</v>
          </cell>
          <cell r="C154" t="str">
            <v>Omer Mayer</v>
          </cell>
          <cell r="D154" t="str">
            <v>PG</v>
          </cell>
          <cell r="E154" t="str">
            <v>ISR</v>
          </cell>
          <cell r="F154">
            <v>190</v>
          </cell>
          <cell r="G154">
            <v>18</v>
          </cell>
          <cell r="H154" t="str">
            <v>Maccabi Playtika Tel Aviv</v>
          </cell>
          <cell r="I154" t="str">
            <v>MTA</v>
          </cell>
          <cell r="J154" t="str">
            <v>MTA.MayerOmer</v>
          </cell>
          <cell r="K154" t="str">
            <v>MTA.Omer Mayer</v>
          </cell>
          <cell r="L154" t="str">
            <v>Mayer O.</v>
          </cell>
        </row>
        <row r="155">
          <cell r="B155" t="str">
            <v>Menco Rafi</v>
          </cell>
          <cell r="C155" t="str">
            <v>Rafi Menco</v>
          </cell>
          <cell r="D155" t="str">
            <v>F</v>
          </cell>
          <cell r="E155" t="str">
            <v>ISR</v>
          </cell>
          <cell r="F155">
            <v>198</v>
          </cell>
          <cell r="G155">
            <v>30</v>
          </cell>
          <cell r="H155" t="str">
            <v>Maccabi Playtika Tel Aviv</v>
          </cell>
          <cell r="I155" t="str">
            <v>MTA</v>
          </cell>
          <cell r="J155" t="str">
            <v>MTA.MencoRafi</v>
          </cell>
          <cell r="K155" t="str">
            <v>MTA.Rafi Menco</v>
          </cell>
          <cell r="L155" t="str">
            <v>Menco R.</v>
          </cell>
        </row>
        <row r="156">
          <cell r="B156" t="str">
            <v>Nebo Josh</v>
          </cell>
          <cell r="C156" t="str">
            <v>Josh Nebo</v>
          </cell>
          <cell r="D156" t="str">
            <v>C</v>
          </cell>
          <cell r="E156" t="str">
            <v>USA</v>
          </cell>
          <cell r="F156">
            <v>206</v>
          </cell>
          <cell r="G156">
            <v>27</v>
          </cell>
          <cell r="H156" t="str">
            <v>Maccabi Playtika Tel Aviv</v>
          </cell>
          <cell r="I156" t="str">
            <v>MTA</v>
          </cell>
          <cell r="J156" t="str">
            <v>MTA.NeboJosh</v>
          </cell>
          <cell r="K156" t="str">
            <v>MTA.Josh Nebo</v>
          </cell>
          <cell r="L156" t="str">
            <v>Nebo J.</v>
          </cell>
        </row>
        <row r="157">
          <cell r="B157" t="str">
            <v>Rivero Jasiel</v>
          </cell>
          <cell r="C157" t="str">
            <v>Jasiel Rivero</v>
          </cell>
          <cell r="D157" t="str">
            <v>C</v>
          </cell>
          <cell r="E157" t="str">
            <v>CUB</v>
          </cell>
          <cell r="F157">
            <v>206</v>
          </cell>
          <cell r="G157">
            <v>31</v>
          </cell>
          <cell r="H157" t="str">
            <v>Maccabi Playtika Tel Aviv</v>
          </cell>
          <cell r="I157" t="str">
            <v>MTA</v>
          </cell>
          <cell r="J157" t="str">
            <v>MTA.RiveroJasiel</v>
          </cell>
          <cell r="K157" t="str">
            <v>MTA.Jasiel Rivero</v>
          </cell>
          <cell r="L157" t="str">
            <v>Rivero J.</v>
          </cell>
        </row>
        <row r="158">
          <cell r="B158" t="str">
            <v>Sorkin Roman</v>
          </cell>
          <cell r="C158" t="str">
            <v>Roman Sorkin</v>
          </cell>
          <cell r="D158" t="str">
            <v>PF</v>
          </cell>
          <cell r="E158" t="str">
            <v>ISR</v>
          </cell>
          <cell r="F158">
            <v>208</v>
          </cell>
          <cell r="G158">
            <v>28</v>
          </cell>
          <cell r="H158" t="str">
            <v>Maccabi Playtika Tel Aviv</v>
          </cell>
          <cell r="I158" t="str">
            <v>MTA</v>
          </cell>
          <cell r="J158" t="str">
            <v>MTA.SorkinRoman</v>
          </cell>
          <cell r="K158" t="str">
            <v>MTA.Roman Sorkin</v>
          </cell>
          <cell r="L158" t="str">
            <v>Sorkin R.</v>
          </cell>
        </row>
        <row r="159">
          <cell r="B159" t="str">
            <v>Webb James</v>
          </cell>
          <cell r="C159" t="str">
            <v>James Webb</v>
          </cell>
          <cell r="D159" t="str">
            <v>F/PF</v>
          </cell>
          <cell r="E159" t="str">
            <v>USA</v>
          </cell>
          <cell r="F159">
            <v>206</v>
          </cell>
          <cell r="G159">
            <v>31</v>
          </cell>
          <cell r="H159" t="str">
            <v>Maccabi Playtika Tel Aviv</v>
          </cell>
          <cell r="I159" t="str">
            <v>MTA</v>
          </cell>
          <cell r="J159" t="str">
            <v>MTA.WebbJames</v>
          </cell>
          <cell r="K159" t="str">
            <v>MTA.James Webb</v>
          </cell>
          <cell r="L159" t="str">
            <v>Webb J.</v>
          </cell>
        </row>
        <row r="160">
          <cell r="B160" t="str">
            <v>Abosi Veniamin</v>
          </cell>
          <cell r="C160" t="str">
            <v>Veniamin Abosi</v>
          </cell>
          <cell r="D160" t="str">
            <v>F</v>
          </cell>
          <cell r="E160" t="str">
            <v>GRE</v>
          </cell>
          <cell r="F160">
            <v>194</v>
          </cell>
          <cell r="G160">
            <v>18</v>
          </cell>
          <cell r="H160" t="str">
            <v>Olympiacos Piraeus</v>
          </cell>
          <cell r="I160" t="str">
            <v>OLY</v>
          </cell>
          <cell r="J160" t="str">
            <v>OLY.AbosiVeniamin</v>
          </cell>
          <cell r="K160" t="str">
            <v>OLY.Veniamin Abosi</v>
          </cell>
          <cell r="L160" t="str">
            <v>Abosi V.</v>
          </cell>
        </row>
        <row r="161">
          <cell r="B161" t="str">
            <v>Brazdeikis Ignas</v>
          </cell>
          <cell r="C161" t="str">
            <v>Ignas Brazdeikis</v>
          </cell>
          <cell r="D161" t="str">
            <v>F</v>
          </cell>
          <cell r="E161" t="str">
            <v>LTU</v>
          </cell>
          <cell r="F161">
            <v>198</v>
          </cell>
          <cell r="G161">
            <v>25</v>
          </cell>
          <cell r="H161" t="str">
            <v>Olympiacos Piraeus</v>
          </cell>
          <cell r="I161" t="str">
            <v>OLY</v>
          </cell>
          <cell r="J161" t="str">
            <v>OLY.BrazdeikisIgnas</v>
          </cell>
          <cell r="K161" t="str">
            <v>OLY.Ignas Brazdeikis</v>
          </cell>
          <cell r="L161" t="str">
            <v>Brazdeikis I.</v>
          </cell>
        </row>
        <row r="162">
          <cell r="B162" t="str">
            <v>Canaan Isaiah</v>
          </cell>
          <cell r="C162" t="str">
            <v>Isaiah Canaan</v>
          </cell>
          <cell r="D162" t="str">
            <v>PG</v>
          </cell>
          <cell r="E162" t="str">
            <v>USA</v>
          </cell>
          <cell r="F162">
            <v>183</v>
          </cell>
          <cell r="G162">
            <v>33</v>
          </cell>
          <cell r="H162" t="str">
            <v>Olympiacos Piraeus</v>
          </cell>
          <cell r="I162" t="str">
            <v>OLY</v>
          </cell>
          <cell r="J162" t="str">
            <v>OLY.CanaanIsaiah</v>
          </cell>
          <cell r="K162" t="str">
            <v>OLY.Isaiah Canaan</v>
          </cell>
          <cell r="L162" t="str">
            <v>Canaan I.</v>
          </cell>
        </row>
        <row r="163">
          <cell r="B163" t="str">
            <v>Fall Moustapha</v>
          </cell>
          <cell r="C163" t="str">
            <v>Moustapha Fall</v>
          </cell>
          <cell r="D163" t="str">
            <v>C</v>
          </cell>
          <cell r="E163" t="str">
            <v>FRA</v>
          </cell>
          <cell r="F163">
            <v>218.00000000000003</v>
          </cell>
          <cell r="G163">
            <v>32</v>
          </cell>
          <cell r="H163" t="str">
            <v>Olympiacos Piraeus</v>
          </cell>
          <cell r="I163" t="str">
            <v>OLY</v>
          </cell>
          <cell r="J163" t="str">
            <v>OLY.FallMoustapha</v>
          </cell>
          <cell r="K163" t="str">
            <v>OLY.Moustapha Fall</v>
          </cell>
          <cell r="L163" t="str">
            <v>Fall M.</v>
          </cell>
        </row>
        <row r="164">
          <cell r="B164" t="str">
            <v>Larentzakis Giannoulis</v>
          </cell>
          <cell r="C164" t="str">
            <v>Giannoulis Larentzakis</v>
          </cell>
          <cell r="D164" t="str">
            <v>SG</v>
          </cell>
          <cell r="E164" t="str">
            <v>GRE</v>
          </cell>
          <cell r="F164">
            <v>196</v>
          </cell>
          <cell r="G164">
            <v>31</v>
          </cell>
          <cell r="H164" t="str">
            <v>Olympiacos Piraeus</v>
          </cell>
          <cell r="I164" t="str">
            <v>OLY</v>
          </cell>
          <cell r="J164" t="str">
            <v>OLY.LarentzakisGiannoulis</v>
          </cell>
          <cell r="K164" t="str">
            <v>OLY.Giannoulis Larentzakis</v>
          </cell>
          <cell r="L164" t="str">
            <v>Larentzakis G.</v>
          </cell>
        </row>
        <row r="165">
          <cell r="B165" t="str">
            <v>Lountzis Michalis</v>
          </cell>
          <cell r="C165" t="str">
            <v>Michalis Lountzis</v>
          </cell>
          <cell r="D165" t="str">
            <v>PG</v>
          </cell>
          <cell r="E165" t="str">
            <v>GRE</v>
          </cell>
          <cell r="F165">
            <v>195</v>
          </cell>
          <cell r="G165">
            <v>26</v>
          </cell>
          <cell r="H165" t="str">
            <v>Olympiacos Piraeus</v>
          </cell>
          <cell r="I165" t="str">
            <v>OLY</v>
          </cell>
          <cell r="J165" t="str">
            <v>OLY.LountzisMichalis</v>
          </cell>
          <cell r="K165" t="str">
            <v>OLY.Michalis Lountzis</v>
          </cell>
          <cell r="L165" t="str">
            <v>Lountzis M.</v>
          </cell>
        </row>
        <row r="166">
          <cell r="B166" t="str">
            <v>McKissic Shaquielle</v>
          </cell>
          <cell r="C166" t="str">
            <v>Shaquielle McKissic</v>
          </cell>
          <cell r="D166" t="str">
            <v>SG</v>
          </cell>
          <cell r="E166" t="str">
            <v>USA</v>
          </cell>
          <cell r="F166">
            <v>196</v>
          </cell>
          <cell r="G166">
            <v>34</v>
          </cell>
          <cell r="H166" t="str">
            <v>Olympiacos Piraeus</v>
          </cell>
          <cell r="I166" t="str">
            <v>OLY</v>
          </cell>
          <cell r="J166" t="str">
            <v>OLY.McKissicShaquielle</v>
          </cell>
          <cell r="K166" t="str">
            <v>OLY.Shaquielle McKissic</v>
          </cell>
          <cell r="L166" t="str">
            <v>McKissic S.</v>
          </cell>
        </row>
        <row r="167">
          <cell r="B167" t="str">
            <v>Milutinov Nikola</v>
          </cell>
          <cell r="C167" t="str">
            <v>Nikola Milutinov</v>
          </cell>
          <cell r="D167" t="str">
            <v>C</v>
          </cell>
          <cell r="E167" t="str">
            <v>SRB</v>
          </cell>
          <cell r="F167">
            <v>213</v>
          </cell>
          <cell r="G167">
            <v>30</v>
          </cell>
          <cell r="H167" t="str">
            <v>Olympiacos Piraeus</v>
          </cell>
          <cell r="I167" t="str">
            <v>OLY</v>
          </cell>
          <cell r="J167" t="str">
            <v>OLY.MilutinovNikola</v>
          </cell>
          <cell r="K167" t="str">
            <v>OLY.Nikola Milutinov</v>
          </cell>
          <cell r="L167" t="str">
            <v>Milutinov N.</v>
          </cell>
        </row>
        <row r="168">
          <cell r="B168" t="str">
            <v>Papanikolaou Kostas</v>
          </cell>
          <cell r="C168" t="str">
            <v>Kostas Papanikolaou</v>
          </cell>
          <cell r="D168" t="str">
            <v>F/PF</v>
          </cell>
          <cell r="E168" t="str">
            <v>GRE</v>
          </cell>
          <cell r="F168">
            <v>204</v>
          </cell>
          <cell r="G168">
            <v>34</v>
          </cell>
          <cell r="H168" t="str">
            <v>Olympiacos Piraeus</v>
          </cell>
          <cell r="I168" t="str">
            <v>OLY</v>
          </cell>
          <cell r="J168" t="str">
            <v>OLY.PapanikolaouKostas</v>
          </cell>
          <cell r="K168" t="str">
            <v>OLY.Kostas Papanikolaou</v>
          </cell>
          <cell r="L168" t="str">
            <v>Papanikolaou K.</v>
          </cell>
        </row>
        <row r="169">
          <cell r="B169" t="str">
            <v>Papas George</v>
          </cell>
          <cell r="C169" t="str">
            <v>George Papas</v>
          </cell>
          <cell r="D169" t="str">
            <v>SG</v>
          </cell>
          <cell r="E169" t="str">
            <v>USA</v>
          </cell>
          <cell r="F169">
            <v>194</v>
          </cell>
          <cell r="G169">
            <v>26</v>
          </cell>
          <cell r="H169" t="str">
            <v>Olympiacos Piraeus</v>
          </cell>
          <cell r="I169" t="str">
            <v>OLY</v>
          </cell>
          <cell r="J169" t="str">
            <v>OLY.PapasGeorge</v>
          </cell>
          <cell r="K169" t="str">
            <v>OLY.George Papas</v>
          </cell>
          <cell r="L169" t="str">
            <v>Papas G.</v>
          </cell>
        </row>
        <row r="170">
          <cell r="B170" t="str">
            <v>Peters Alec</v>
          </cell>
          <cell r="C170" t="str">
            <v>Alec Peters</v>
          </cell>
          <cell r="D170" t="str">
            <v>PF</v>
          </cell>
          <cell r="E170" t="str">
            <v>USA</v>
          </cell>
          <cell r="F170">
            <v>206</v>
          </cell>
          <cell r="G170">
            <v>29</v>
          </cell>
          <cell r="H170" t="str">
            <v>Olympiacos Piraeus</v>
          </cell>
          <cell r="I170" t="str">
            <v>OLY</v>
          </cell>
          <cell r="J170" t="str">
            <v>OLY.PetersAlec</v>
          </cell>
          <cell r="K170" t="str">
            <v>OLY.Alec Peters</v>
          </cell>
          <cell r="L170" t="str">
            <v>Peters A.</v>
          </cell>
        </row>
        <row r="171">
          <cell r="B171" t="str">
            <v>Rozakeas Anastasios</v>
          </cell>
          <cell r="C171" t="str">
            <v>Anastasios Rozakeas</v>
          </cell>
          <cell r="D171" t="str">
            <v>F</v>
          </cell>
          <cell r="E171" t="str">
            <v>GRE</v>
          </cell>
          <cell r="F171">
            <v>200</v>
          </cell>
          <cell r="G171">
            <v>18</v>
          </cell>
          <cell r="H171" t="str">
            <v>Olympiacos Piraeus</v>
          </cell>
          <cell r="I171" t="str">
            <v>OLY</v>
          </cell>
          <cell r="J171" t="str">
            <v>OLY.RozakeasAnastasios</v>
          </cell>
          <cell r="K171" t="str">
            <v>OLY.Anastasios Rozakeas</v>
          </cell>
          <cell r="L171" t="str">
            <v>Rozakeas A.</v>
          </cell>
        </row>
        <row r="172">
          <cell r="B172" t="str">
            <v>Sikma Luke</v>
          </cell>
          <cell r="C172" t="str">
            <v>Luke Sikma</v>
          </cell>
          <cell r="D172" t="str">
            <v>F/PF</v>
          </cell>
          <cell r="E172" t="str">
            <v>USA</v>
          </cell>
          <cell r="F172">
            <v>202.99999999999997</v>
          </cell>
          <cell r="G172">
            <v>35</v>
          </cell>
          <cell r="H172" t="str">
            <v>Olympiacos Piraeus</v>
          </cell>
          <cell r="I172" t="str">
            <v>OLY</v>
          </cell>
          <cell r="J172" t="str">
            <v>OLY.SikmaLuke</v>
          </cell>
          <cell r="K172" t="str">
            <v>OLY.Luke Sikma</v>
          </cell>
          <cell r="L172" t="str">
            <v>Sikma L.</v>
          </cell>
        </row>
        <row r="173">
          <cell r="B173" t="str">
            <v>Tanoulis Georgios</v>
          </cell>
          <cell r="C173" t="str">
            <v>Georgios Tanoulis</v>
          </cell>
          <cell r="D173" t="str">
            <v>C</v>
          </cell>
          <cell r="E173" t="str">
            <v>GRE</v>
          </cell>
          <cell r="F173">
            <v>210</v>
          </cell>
          <cell r="G173">
            <v>22</v>
          </cell>
          <cell r="H173" t="str">
            <v>Olympiacos Piraeus</v>
          </cell>
          <cell r="I173" t="str">
            <v>OLY</v>
          </cell>
          <cell r="J173" t="str">
            <v>OLY.TanoulisGeorgios</v>
          </cell>
          <cell r="K173" t="str">
            <v>OLY.Georgios Tanoulis</v>
          </cell>
          <cell r="L173" t="str">
            <v>Tanoulis G.</v>
          </cell>
        </row>
        <row r="174">
          <cell r="B174" t="str">
            <v>Walkup Thomas</v>
          </cell>
          <cell r="C174" t="str">
            <v>Thomas Walkup</v>
          </cell>
          <cell r="D174" t="str">
            <v>PG/SG</v>
          </cell>
          <cell r="E174" t="str">
            <v>USA</v>
          </cell>
          <cell r="F174">
            <v>193</v>
          </cell>
          <cell r="G174">
            <v>32</v>
          </cell>
          <cell r="H174" t="str">
            <v>Olympiacos Piraeus</v>
          </cell>
          <cell r="I174" t="str">
            <v>OLY</v>
          </cell>
          <cell r="J174" t="str">
            <v>OLY.WalkupThomas</v>
          </cell>
          <cell r="K174" t="str">
            <v>OLY.Thomas Walkup</v>
          </cell>
          <cell r="L174" t="str">
            <v>Walkup T.</v>
          </cell>
        </row>
        <row r="175">
          <cell r="B175" t="str">
            <v>Williams Goss Nigel</v>
          </cell>
          <cell r="C175" t="str">
            <v>Nigel Williams Goss</v>
          </cell>
          <cell r="D175" t="str">
            <v>PG</v>
          </cell>
          <cell r="E175" t="str">
            <v>USA</v>
          </cell>
          <cell r="F175">
            <v>192</v>
          </cell>
          <cell r="G175">
            <v>30</v>
          </cell>
          <cell r="H175" t="str">
            <v>Olympiacos Piraeus</v>
          </cell>
          <cell r="I175" t="str">
            <v>OLY</v>
          </cell>
          <cell r="J175" t="str">
            <v>OLY.WilliamsGossNigel</v>
          </cell>
          <cell r="K175" t="str">
            <v>OLY.Nigel Williams Goss</v>
          </cell>
          <cell r="L175" t="str">
            <v>Williams Goss N.</v>
          </cell>
        </row>
        <row r="176">
          <cell r="B176" t="str">
            <v>Antetokounmpo Kostas</v>
          </cell>
          <cell r="C176" t="str">
            <v>Kostas Antetokounmpo</v>
          </cell>
          <cell r="D176" t="str">
            <v>F/PF</v>
          </cell>
          <cell r="E176" t="str">
            <v>GRE</v>
          </cell>
          <cell r="F176">
            <v>208</v>
          </cell>
          <cell r="G176">
            <v>27</v>
          </cell>
          <cell r="H176" t="str">
            <v>Panathinaikos Athens</v>
          </cell>
          <cell r="I176" t="str">
            <v>PAN</v>
          </cell>
          <cell r="J176" t="str">
            <v>PAN.AntetokounmpoKostas</v>
          </cell>
          <cell r="K176" t="str">
            <v>PAN.Kostas Antetokounmpo</v>
          </cell>
          <cell r="L176" t="str">
            <v>Antetokounmpo K.</v>
          </cell>
        </row>
        <row r="177">
          <cell r="B177" t="str">
            <v>Balcerowski Aleksander</v>
          </cell>
          <cell r="C177" t="str">
            <v>Aleksander Balcerowski</v>
          </cell>
          <cell r="D177" t="str">
            <v>C</v>
          </cell>
          <cell r="E177" t="str">
            <v>POL</v>
          </cell>
          <cell r="F177">
            <v>215</v>
          </cell>
          <cell r="G177">
            <v>24</v>
          </cell>
          <cell r="H177" t="str">
            <v>Panathinaikos Athens</v>
          </cell>
          <cell r="I177" t="str">
            <v>PAN</v>
          </cell>
          <cell r="J177" t="str">
            <v>PAN.BalcerowskiAleksander</v>
          </cell>
          <cell r="K177" t="str">
            <v>PAN.Aleksander Balcerowski</v>
          </cell>
          <cell r="L177" t="str">
            <v>Balcerowski A.</v>
          </cell>
        </row>
        <row r="178">
          <cell r="B178" t="str">
            <v>Grant Jerian</v>
          </cell>
          <cell r="C178" t="str">
            <v>Jerian Grant</v>
          </cell>
          <cell r="D178" t="str">
            <v>PG</v>
          </cell>
          <cell r="E178" t="str">
            <v>USA</v>
          </cell>
          <cell r="F178">
            <v>196</v>
          </cell>
          <cell r="G178">
            <v>32</v>
          </cell>
          <cell r="H178" t="str">
            <v>Panathinaikos Athens</v>
          </cell>
          <cell r="I178" t="str">
            <v>PAN</v>
          </cell>
          <cell r="J178" t="str">
            <v>PAN.GrantJerian</v>
          </cell>
          <cell r="K178" t="str">
            <v>PAN.Jerian Grant</v>
          </cell>
          <cell r="L178" t="str">
            <v>Grant J.</v>
          </cell>
        </row>
        <row r="179">
          <cell r="B179" t="str">
            <v>Grigonis Marius</v>
          </cell>
          <cell r="C179" t="str">
            <v>Marius Grigonis</v>
          </cell>
          <cell r="D179" t="str">
            <v>SG</v>
          </cell>
          <cell r="E179" t="str">
            <v>LTU</v>
          </cell>
          <cell r="F179">
            <v>198</v>
          </cell>
          <cell r="G179">
            <v>30</v>
          </cell>
          <cell r="H179" t="str">
            <v>Panathinaikos Athens</v>
          </cell>
          <cell r="I179" t="str">
            <v>PAN</v>
          </cell>
          <cell r="J179" t="str">
            <v>PAN.GrigonisMarius</v>
          </cell>
          <cell r="K179" t="str">
            <v>PAN.Marius Grigonis</v>
          </cell>
          <cell r="L179" t="str">
            <v>Grigonis M.</v>
          </cell>
        </row>
        <row r="180">
          <cell r="B180" t="str">
            <v>Guy Kyle</v>
          </cell>
          <cell r="C180" t="str">
            <v>Kyle Guy</v>
          </cell>
          <cell r="D180" t="str">
            <v>PG</v>
          </cell>
          <cell r="E180" t="str">
            <v>USA</v>
          </cell>
          <cell r="F180">
            <v>188</v>
          </cell>
          <cell r="G180">
            <v>27</v>
          </cell>
          <cell r="H180" t="str">
            <v>Panathinaikos Athens</v>
          </cell>
          <cell r="I180" t="str">
            <v>PAN</v>
          </cell>
          <cell r="J180" t="str">
            <v>PAN.GuyKyle</v>
          </cell>
          <cell r="K180" t="str">
            <v>PAN.Kyle Guy</v>
          </cell>
          <cell r="L180" t="str">
            <v>Guy K.</v>
          </cell>
        </row>
        <row r="181">
          <cell r="B181" t="str">
            <v>Hernangomez Juancho</v>
          </cell>
          <cell r="C181" t="str">
            <v>Juancho Hernangomez</v>
          </cell>
          <cell r="D181" t="str">
            <v>C</v>
          </cell>
          <cell r="E181" t="str">
            <v>ESP</v>
          </cell>
          <cell r="F181">
            <v>209</v>
          </cell>
          <cell r="G181">
            <v>30</v>
          </cell>
          <cell r="H181" t="str">
            <v>Panathinaikos Athens</v>
          </cell>
          <cell r="I181" t="str">
            <v>PAN</v>
          </cell>
          <cell r="J181" t="str">
            <v>PAN.HernangomezJuancho</v>
          </cell>
          <cell r="K181" t="str">
            <v>PAN.Juancho Hernangomez</v>
          </cell>
          <cell r="L181" t="str">
            <v>Hernangomez J.</v>
          </cell>
        </row>
        <row r="182">
          <cell r="B182" t="str">
            <v>Kalaitzakis Panagiotis</v>
          </cell>
          <cell r="C182" t="str">
            <v>Panagiotis Kalaitzakis</v>
          </cell>
          <cell r="D182" t="str">
            <v>F</v>
          </cell>
          <cell r="E182" t="str">
            <v>GRE</v>
          </cell>
          <cell r="F182">
            <v>200</v>
          </cell>
          <cell r="G182">
            <v>25</v>
          </cell>
          <cell r="H182" t="str">
            <v>Panathinaikos Athens</v>
          </cell>
          <cell r="I182" t="str">
            <v>PAN</v>
          </cell>
          <cell r="J182" t="str">
            <v>PAN.KalaitzakisPanagiotis</v>
          </cell>
          <cell r="K182" t="str">
            <v>PAN.Panagiotis Kalaitzakis</v>
          </cell>
          <cell r="L182" t="str">
            <v>Kalaitzakis P.</v>
          </cell>
        </row>
        <row r="183">
          <cell r="B183" t="str">
            <v>Lessort Mathias</v>
          </cell>
          <cell r="C183" t="str">
            <v>Mathias Lessort</v>
          </cell>
          <cell r="D183" t="str">
            <v>C</v>
          </cell>
          <cell r="E183" t="str">
            <v>FRA</v>
          </cell>
          <cell r="F183">
            <v>206</v>
          </cell>
          <cell r="G183">
            <v>29</v>
          </cell>
          <cell r="H183" t="str">
            <v>Panathinaikos Athens</v>
          </cell>
          <cell r="I183" t="str">
            <v>PAN</v>
          </cell>
          <cell r="J183" t="str">
            <v>PAN.LessortMathias</v>
          </cell>
          <cell r="K183" t="str">
            <v>PAN.Mathias Lessort</v>
          </cell>
          <cell r="L183" t="str">
            <v>Lessort M.</v>
          </cell>
        </row>
        <row r="184">
          <cell r="B184" t="str">
            <v>Mantzoukas Eleftherios</v>
          </cell>
          <cell r="C184" t="str">
            <v>Eleftherios Mantzoukas</v>
          </cell>
          <cell r="D184" t="str">
            <v>PF</v>
          </cell>
          <cell r="E184" t="str">
            <v>GRE</v>
          </cell>
          <cell r="F184">
            <v>206.99999999999997</v>
          </cell>
          <cell r="G184">
            <v>21</v>
          </cell>
          <cell r="H184" t="str">
            <v>Panathinaikos Athens</v>
          </cell>
          <cell r="I184" t="str">
            <v>PAN</v>
          </cell>
          <cell r="J184" t="str">
            <v>PAN.MantzoukasEleftherios</v>
          </cell>
          <cell r="K184" t="str">
            <v>PAN.Eleftherios Mantzoukas</v>
          </cell>
          <cell r="L184" t="str">
            <v>Mantzoukas E.</v>
          </cell>
        </row>
        <row r="185">
          <cell r="B185" t="str">
            <v>Mitoglou Konstantinos</v>
          </cell>
          <cell r="C185" t="str">
            <v>Konstantinos Mitoglou</v>
          </cell>
          <cell r="D185" t="str">
            <v>PF</v>
          </cell>
          <cell r="E185" t="str">
            <v>GRE</v>
          </cell>
          <cell r="F185">
            <v>210</v>
          </cell>
          <cell r="G185">
            <v>28</v>
          </cell>
          <cell r="H185" t="str">
            <v>Panathinaikos Athens</v>
          </cell>
          <cell r="I185" t="str">
            <v>PAN</v>
          </cell>
          <cell r="J185" t="str">
            <v>PAN.MitoglouKonstantinos</v>
          </cell>
          <cell r="K185" t="str">
            <v>PAN.Konstantinos Mitoglou</v>
          </cell>
          <cell r="L185" t="str">
            <v>Mitoglou K.</v>
          </cell>
        </row>
        <row r="186">
          <cell r="B186" t="str">
            <v>Moraitis Dimitris</v>
          </cell>
          <cell r="C186" t="str">
            <v>Dimitris Moraitis</v>
          </cell>
          <cell r="D186" t="str">
            <v>PG</v>
          </cell>
          <cell r="E186" t="str">
            <v>GRE</v>
          </cell>
          <cell r="F186">
            <v>190</v>
          </cell>
          <cell r="G186">
            <v>25</v>
          </cell>
          <cell r="H186" t="str">
            <v>Panathinaikos Athens</v>
          </cell>
          <cell r="I186" t="str">
            <v>PAN</v>
          </cell>
          <cell r="J186" t="str">
            <v>PAN.MoraitisDimitris</v>
          </cell>
          <cell r="K186" t="str">
            <v>PAN.Dimitris Moraitis</v>
          </cell>
          <cell r="L186" t="str">
            <v>Moraitis D.</v>
          </cell>
        </row>
        <row r="187">
          <cell r="B187" t="str">
            <v>Nunn Kendrick</v>
          </cell>
          <cell r="C187" t="str">
            <v>Kendrick Nunn</v>
          </cell>
          <cell r="D187" t="str">
            <v>SG</v>
          </cell>
          <cell r="E187" t="str">
            <v>USA</v>
          </cell>
          <cell r="F187">
            <v>189</v>
          </cell>
          <cell r="G187">
            <v>29</v>
          </cell>
          <cell r="H187" t="str">
            <v>Panathinaikos Athens</v>
          </cell>
          <cell r="I187" t="str">
            <v>PAN</v>
          </cell>
          <cell r="J187" t="str">
            <v>PAN.NunnKendrick</v>
          </cell>
          <cell r="K187" t="str">
            <v>PAN.Kendrick Nunn</v>
          </cell>
          <cell r="L187" t="str">
            <v>Nunn K.</v>
          </cell>
        </row>
        <row r="188">
          <cell r="B188" t="str">
            <v>Papapetrou Ioannis</v>
          </cell>
          <cell r="C188" t="str">
            <v>Ioannis Papapetrou</v>
          </cell>
          <cell r="D188" t="str">
            <v>PF</v>
          </cell>
          <cell r="E188" t="str">
            <v>GRE</v>
          </cell>
          <cell r="F188">
            <v>206.99999999999997</v>
          </cell>
          <cell r="G188">
            <v>30</v>
          </cell>
          <cell r="H188" t="str">
            <v>Panathinaikos Athens</v>
          </cell>
          <cell r="I188" t="str">
            <v>PAN</v>
          </cell>
          <cell r="J188" t="str">
            <v>PAN.PapapetrouIoannis</v>
          </cell>
          <cell r="K188" t="str">
            <v>PAN.Ioannis Papapetrou</v>
          </cell>
          <cell r="L188" t="str">
            <v>Papapetrou I.</v>
          </cell>
        </row>
        <row r="189">
          <cell r="B189" t="str">
            <v>Samodurov Alexandros</v>
          </cell>
          <cell r="C189" t="str">
            <v>Alexandros Samodurov</v>
          </cell>
          <cell r="D189" t="str">
            <v>PF/C</v>
          </cell>
          <cell r="E189" t="str">
            <v>GRE</v>
          </cell>
          <cell r="F189">
            <v>210</v>
          </cell>
          <cell r="G189">
            <v>19</v>
          </cell>
          <cell r="H189" t="str">
            <v>Panathinaikos Athens</v>
          </cell>
          <cell r="I189" t="str">
            <v>PAN</v>
          </cell>
          <cell r="J189" t="str">
            <v>PAN.SamodurovAlexandros</v>
          </cell>
          <cell r="K189" t="str">
            <v>PAN.Alexandros Samodurov</v>
          </cell>
          <cell r="L189" t="str">
            <v>Samodurov A.</v>
          </cell>
        </row>
        <row r="190">
          <cell r="B190" t="str">
            <v>Sloukas Kostas</v>
          </cell>
          <cell r="C190" t="str">
            <v>Kostas Sloukas</v>
          </cell>
          <cell r="D190" t="str">
            <v>PG</v>
          </cell>
          <cell r="E190" t="str">
            <v>GRE</v>
          </cell>
          <cell r="F190">
            <v>190</v>
          </cell>
          <cell r="G190">
            <v>34</v>
          </cell>
          <cell r="H190" t="str">
            <v>Panathinaikos Athens</v>
          </cell>
          <cell r="I190" t="str">
            <v>PAN</v>
          </cell>
          <cell r="J190" t="str">
            <v>PAN.SloukasKostas</v>
          </cell>
          <cell r="K190" t="str">
            <v>PAN.Kostas Sloukas</v>
          </cell>
          <cell r="L190" t="str">
            <v>Sloukas K.</v>
          </cell>
        </row>
        <row r="191">
          <cell r="B191" t="str">
            <v>Vildoza Luca</v>
          </cell>
          <cell r="C191" t="str">
            <v>Luca Vildoza</v>
          </cell>
          <cell r="D191" t="str">
            <v>PG</v>
          </cell>
          <cell r="E191" t="str">
            <v>ITA</v>
          </cell>
          <cell r="F191">
            <v>191</v>
          </cell>
          <cell r="G191">
            <v>29</v>
          </cell>
          <cell r="H191" t="str">
            <v>Panathinaikos Athens</v>
          </cell>
          <cell r="I191" t="str">
            <v>PAN</v>
          </cell>
          <cell r="J191" t="str">
            <v>PAN.VildozaLuca</v>
          </cell>
          <cell r="K191" t="str">
            <v>PAN.Luca Vildoza</v>
          </cell>
          <cell r="L191" t="str">
            <v>Vildoza L.</v>
          </cell>
        </row>
        <row r="192">
          <cell r="B192" t="str">
            <v>Andjusic Danilo</v>
          </cell>
          <cell r="C192" t="str">
            <v>Danilo Andjusic</v>
          </cell>
          <cell r="D192" t="str">
            <v>PG</v>
          </cell>
          <cell r="E192" t="str">
            <v>SRB</v>
          </cell>
          <cell r="F192">
            <v>194</v>
          </cell>
          <cell r="G192">
            <v>33</v>
          </cell>
          <cell r="H192" t="str">
            <v>Partizan Mozzart Bet Belgrade</v>
          </cell>
          <cell r="I192" t="str">
            <v>PAR</v>
          </cell>
          <cell r="J192" t="str">
            <v>PAR.AndjusicDanilo</v>
          </cell>
          <cell r="K192" t="str">
            <v>PAR.Danilo Andjusic</v>
          </cell>
          <cell r="L192" t="str">
            <v>Andjusic D.</v>
          </cell>
        </row>
        <row r="193">
          <cell r="B193" t="str">
            <v>Avramovic Aleksa</v>
          </cell>
          <cell r="C193" t="str">
            <v>Aleksa Avramovic</v>
          </cell>
          <cell r="D193" t="str">
            <v>SG</v>
          </cell>
          <cell r="E193" t="str">
            <v>SRB</v>
          </cell>
          <cell r="F193">
            <v>192</v>
          </cell>
          <cell r="G193">
            <v>30</v>
          </cell>
          <cell r="H193" t="str">
            <v>Partizan Mozzart Bet Belgrade</v>
          </cell>
          <cell r="I193" t="str">
            <v>PAR</v>
          </cell>
          <cell r="J193" t="str">
            <v>PAR.AvramovicAleksa</v>
          </cell>
          <cell r="K193" t="str">
            <v>PAR.Aleksa Avramovic</v>
          </cell>
          <cell r="L193" t="str">
            <v>Avramovic A.</v>
          </cell>
        </row>
        <row r="194">
          <cell r="B194" t="str">
            <v>Caboclo Bruno</v>
          </cell>
          <cell r="C194" t="str">
            <v>Bruno Caboclo</v>
          </cell>
          <cell r="D194" t="str">
            <v>C</v>
          </cell>
          <cell r="E194" t="str">
            <v>BRA</v>
          </cell>
          <cell r="F194">
            <v>206</v>
          </cell>
          <cell r="G194">
            <v>29</v>
          </cell>
          <cell r="H194" t="str">
            <v>Partizan Mozzart Bet Belgrade</v>
          </cell>
          <cell r="I194" t="str">
            <v>PAR</v>
          </cell>
          <cell r="J194" t="str">
            <v>PAR.CabocloBruno</v>
          </cell>
          <cell r="K194" t="str">
            <v>PAR.Bruno Caboclo</v>
          </cell>
          <cell r="L194" t="str">
            <v>Caboclo B.</v>
          </cell>
        </row>
        <row r="195">
          <cell r="B195" t="str">
            <v>Dozier Perry</v>
          </cell>
          <cell r="C195" t="str">
            <v>Perry Dozier</v>
          </cell>
          <cell r="D195" t="str">
            <v>SG/F</v>
          </cell>
          <cell r="E195" t="str">
            <v>USA</v>
          </cell>
          <cell r="F195">
            <v>198</v>
          </cell>
          <cell r="G195">
            <v>28</v>
          </cell>
          <cell r="H195" t="str">
            <v>Partizan Mozzart Bet Belgrade</v>
          </cell>
          <cell r="I195" t="str">
            <v>PAR</v>
          </cell>
          <cell r="J195" t="str">
            <v>PAR.DozierPerry</v>
          </cell>
          <cell r="K195" t="str">
            <v>PAR.Perry Dozier</v>
          </cell>
          <cell r="L195" t="str">
            <v>Dozier P.</v>
          </cell>
        </row>
        <row r="196">
          <cell r="B196" t="str">
            <v>Jaramaz Ognjen</v>
          </cell>
          <cell r="C196" t="str">
            <v>Ognjen Jaramaz</v>
          </cell>
          <cell r="D196" t="str">
            <v>SG</v>
          </cell>
          <cell r="E196" t="str">
            <v>SRB</v>
          </cell>
          <cell r="F196">
            <v>193</v>
          </cell>
          <cell r="G196">
            <v>29</v>
          </cell>
          <cell r="H196" t="str">
            <v>Partizan Mozzart Bet Belgrade</v>
          </cell>
          <cell r="I196" t="str">
            <v>PAR</v>
          </cell>
          <cell r="J196" t="str">
            <v>PAR.JaramazOgnjen</v>
          </cell>
          <cell r="K196" t="str">
            <v>PAR.Ognjen Jaramaz</v>
          </cell>
          <cell r="L196" t="str">
            <v>Jaramaz O.</v>
          </cell>
        </row>
        <row r="197">
          <cell r="B197" t="str">
            <v>Kaminsky Frank</v>
          </cell>
          <cell r="C197" t="str">
            <v>Frank Kaminsky</v>
          </cell>
          <cell r="D197" t="str">
            <v>C</v>
          </cell>
          <cell r="E197" t="str">
            <v>USA</v>
          </cell>
          <cell r="F197">
            <v>213</v>
          </cell>
          <cell r="G197">
            <v>31</v>
          </cell>
          <cell r="H197" t="str">
            <v>Partizan Mozzart Bet Belgrade</v>
          </cell>
          <cell r="I197" t="str">
            <v>PAR</v>
          </cell>
          <cell r="J197" t="str">
            <v>PAR.KaminskyFrank</v>
          </cell>
          <cell r="K197" t="str">
            <v>PAR.Frank Kaminsky</v>
          </cell>
          <cell r="L197" t="str">
            <v>Kaminsky F.</v>
          </cell>
        </row>
        <row r="198">
          <cell r="B198" t="str">
            <v>Koprivica Balsa</v>
          </cell>
          <cell r="C198" t="str">
            <v>Balsa Koprivica</v>
          </cell>
          <cell r="D198" t="str">
            <v>C</v>
          </cell>
          <cell r="E198" t="str">
            <v>SRB</v>
          </cell>
          <cell r="F198">
            <v>215</v>
          </cell>
          <cell r="G198">
            <v>24</v>
          </cell>
          <cell r="H198" t="str">
            <v>Partizan Mozzart Bet Belgrade</v>
          </cell>
          <cell r="I198" t="str">
            <v>PAR</v>
          </cell>
          <cell r="J198" t="str">
            <v>PAR.KoprivicaBalsa</v>
          </cell>
          <cell r="K198" t="str">
            <v>PAR.Balsa Koprivica</v>
          </cell>
          <cell r="L198" t="str">
            <v>Koprivica B.</v>
          </cell>
        </row>
        <row r="199">
          <cell r="B199" t="str">
            <v>Leday Zach</v>
          </cell>
          <cell r="C199" t="str">
            <v>Zach Leday</v>
          </cell>
          <cell r="D199" t="str">
            <v>PF/C</v>
          </cell>
          <cell r="E199" t="str">
            <v>USA</v>
          </cell>
          <cell r="F199">
            <v>200.99999999999997</v>
          </cell>
          <cell r="G199">
            <v>30</v>
          </cell>
          <cell r="H199" t="str">
            <v>Partizan Mozzart Bet Belgrade</v>
          </cell>
          <cell r="I199" t="str">
            <v>PAR</v>
          </cell>
          <cell r="J199" t="str">
            <v>PAR.LedayZach</v>
          </cell>
          <cell r="K199" t="str">
            <v>PAR.Zach Leday</v>
          </cell>
          <cell r="L199" t="str">
            <v>Leday Z.</v>
          </cell>
        </row>
        <row r="200">
          <cell r="B200" t="str">
            <v>Nunnally James</v>
          </cell>
          <cell r="C200" t="str">
            <v>James Nunnally</v>
          </cell>
          <cell r="D200" t="str">
            <v>F</v>
          </cell>
          <cell r="E200" t="str">
            <v>USA</v>
          </cell>
          <cell r="F200">
            <v>201</v>
          </cell>
          <cell r="G200">
            <v>34</v>
          </cell>
          <cell r="H200" t="str">
            <v>Partizan Mozzart Bet Belgrade</v>
          </cell>
          <cell r="I200" t="str">
            <v>PAR</v>
          </cell>
          <cell r="J200" t="str">
            <v>PAR.NunnallyJames</v>
          </cell>
          <cell r="K200" t="str">
            <v>PAR.James Nunnally</v>
          </cell>
          <cell r="L200" t="str">
            <v>Nunnally J.</v>
          </cell>
        </row>
        <row r="201">
          <cell r="B201" t="str">
            <v>Ponitka Mateusz</v>
          </cell>
          <cell r="C201" t="str">
            <v>Mateusz Ponitka</v>
          </cell>
          <cell r="D201" t="str">
            <v>SG/F</v>
          </cell>
          <cell r="E201" t="str">
            <v>POL</v>
          </cell>
          <cell r="F201">
            <v>198</v>
          </cell>
          <cell r="G201">
            <v>31</v>
          </cell>
          <cell r="H201" t="str">
            <v>Partizan Mozzart Bet Belgrade</v>
          </cell>
          <cell r="I201" t="str">
            <v>PAR</v>
          </cell>
          <cell r="J201" t="str">
            <v>PAR.PonitkaMateusz</v>
          </cell>
          <cell r="K201" t="str">
            <v>PAR.Mateusz Ponitka</v>
          </cell>
          <cell r="L201" t="str">
            <v>Ponitka M.</v>
          </cell>
        </row>
        <row r="202">
          <cell r="B202" t="str">
            <v>Punter Kevin</v>
          </cell>
          <cell r="C202" t="str">
            <v>Kevin Punter</v>
          </cell>
          <cell r="D202" t="str">
            <v>SG</v>
          </cell>
          <cell r="E202" t="str">
            <v>USA</v>
          </cell>
          <cell r="F202">
            <v>193</v>
          </cell>
          <cell r="G202">
            <v>31</v>
          </cell>
          <cell r="H202" t="str">
            <v>Partizan Mozzart Bet Belgrade</v>
          </cell>
          <cell r="I202" t="str">
            <v>PAR</v>
          </cell>
          <cell r="J202" t="str">
            <v>PAR.PunterKevin</v>
          </cell>
          <cell r="K202" t="str">
            <v>PAR.Kevin Punter</v>
          </cell>
          <cell r="L202" t="str">
            <v>Punter K.</v>
          </cell>
        </row>
        <row r="203">
          <cell r="B203" t="str">
            <v>Smailagic Alen</v>
          </cell>
          <cell r="C203" t="str">
            <v>Alen Smailagic</v>
          </cell>
          <cell r="D203" t="str">
            <v>C</v>
          </cell>
          <cell r="E203" t="str">
            <v>SRB</v>
          </cell>
          <cell r="F203">
            <v>208</v>
          </cell>
          <cell r="G203">
            <v>24</v>
          </cell>
          <cell r="H203" t="str">
            <v>Partizan Mozzart Bet Belgrade</v>
          </cell>
          <cell r="I203" t="str">
            <v>PAR</v>
          </cell>
          <cell r="J203" t="str">
            <v>PAR.SmailagicAlen</v>
          </cell>
          <cell r="K203" t="str">
            <v>PAR.Alen Smailagic</v>
          </cell>
          <cell r="L203" t="str">
            <v>Smailagic A.</v>
          </cell>
        </row>
        <row r="204">
          <cell r="B204" t="str">
            <v>Trifunovic Uros</v>
          </cell>
          <cell r="C204" t="str">
            <v>Uros Trifunovic</v>
          </cell>
          <cell r="D204" t="str">
            <v>F</v>
          </cell>
          <cell r="E204" t="str">
            <v>SRB</v>
          </cell>
          <cell r="F204">
            <v>200</v>
          </cell>
          <cell r="G204">
            <v>24</v>
          </cell>
          <cell r="H204" t="str">
            <v>Partizan Mozzart Bet Belgrade</v>
          </cell>
          <cell r="I204" t="str">
            <v>PAR</v>
          </cell>
          <cell r="J204" t="str">
            <v>PAR.TrifunovicUros</v>
          </cell>
          <cell r="K204" t="str">
            <v>PAR.Uros Trifunovic</v>
          </cell>
          <cell r="L204" t="str">
            <v>Trifunovic U.</v>
          </cell>
        </row>
        <row r="205">
          <cell r="B205" t="str">
            <v>Vukcevic Tristan</v>
          </cell>
          <cell r="C205" t="str">
            <v>Tristan Vukcevic</v>
          </cell>
          <cell r="D205" t="str">
            <v>PF/C</v>
          </cell>
          <cell r="E205" t="str">
            <v>SWE</v>
          </cell>
          <cell r="F205">
            <v>209</v>
          </cell>
          <cell r="G205">
            <v>21</v>
          </cell>
          <cell r="H205" t="str">
            <v>Partizan Mozzart Bet Belgrade</v>
          </cell>
          <cell r="I205" t="str">
            <v>PAR</v>
          </cell>
          <cell r="J205" t="str">
            <v>PAR.VukcevicTristan</v>
          </cell>
          <cell r="K205" t="str">
            <v>PAR.Tristan Vukcevic</v>
          </cell>
          <cell r="L205" t="str">
            <v>Vukcevic T.</v>
          </cell>
        </row>
        <row r="206">
          <cell r="B206" t="str">
            <v>Abalde Alberto</v>
          </cell>
          <cell r="C206" t="str">
            <v>Alberto Abalde</v>
          </cell>
          <cell r="D206" t="str">
            <v>F</v>
          </cell>
          <cell r="E206" t="str">
            <v>ESP</v>
          </cell>
          <cell r="F206">
            <v>202</v>
          </cell>
          <cell r="G206">
            <v>29</v>
          </cell>
          <cell r="H206" t="str">
            <v>Real Madrid</v>
          </cell>
          <cell r="I206" t="str">
            <v>RMB</v>
          </cell>
          <cell r="J206" t="str">
            <v>RMB.AbaldeAlberto</v>
          </cell>
          <cell r="K206" t="str">
            <v>RMB.Alberto Abalde</v>
          </cell>
          <cell r="L206" t="str">
            <v>Abalde A.</v>
          </cell>
        </row>
        <row r="207">
          <cell r="B207" t="str">
            <v>Campazzo Facundo</v>
          </cell>
          <cell r="C207" t="str">
            <v>Facundo Campazzo</v>
          </cell>
          <cell r="D207" t="str">
            <v>PG</v>
          </cell>
          <cell r="E207" t="str">
            <v>ARG</v>
          </cell>
          <cell r="F207">
            <v>179</v>
          </cell>
          <cell r="G207">
            <v>33</v>
          </cell>
          <cell r="H207" t="str">
            <v>Real Madrid</v>
          </cell>
          <cell r="I207" t="str">
            <v>RMB</v>
          </cell>
          <cell r="J207" t="str">
            <v>RMB.CampazzoFacundo</v>
          </cell>
          <cell r="K207" t="str">
            <v>RMB.Facundo Campazzo</v>
          </cell>
          <cell r="L207" t="str">
            <v>Campazzo F.</v>
          </cell>
        </row>
        <row r="208">
          <cell r="B208" t="str">
            <v>Causeur Fabien</v>
          </cell>
          <cell r="C208" t="str">
            <v>Fabien Causeur</v>
          </cell>
          <cell r="D208" t="str">
            <v>PG</v>
          </cell>
          <cell r="E208" t="str">
            <v>FRA</v>
          </cell>
          <cell r="F208">
            <v>195</v>
          </cell>
          <cell r="G208">
            <v>37</v>
          </cell>
          <cell r="H208" t="str">
            <v>Real Madrid</v>
          </cell>
          <cell r="I208" t="str">
            <v>RMB</v>
          </cell>
          <cell r="J208" t="str">
            <v>RMB.CauseurFabien</v>
          </cell>
          <cell r="K208" t="str">
            <v>RMB.Fabien Causeur</v>
          </cell>
          <cell r="L208" t="str">
            <v>Causeur F.</v>
          </cell>
        </row>
        <row r="209">
          <cell r="B209" t="str">
            <v>Deck Gabriel</v>
          </cell>
          <cell r="C209" t="str">
            <v>Gabriel Deck</v>
          </cell>
          <cell r="D209" t="str">
            <v>F</v>
          </cell>
          <cell r="E209" t="str">
            <v>ARG</v>
          </cell>
          <cell r="F209">
            <v>198</v>
          </cell>
          <cell r="G209">
            <v>29</v>
          </cell>
          <cell r="H209" t="str">
            <v>Real Madrid</v>
          </cell>
          <cell r="I209" t="str">
            <v>RMB</v>
          </cell>
          <cell r="J209" t="str">
            <v>RMB.DeckGabriel</v>
          </cell>
          <cell r="K209" t="str">
            <v>RMB.Gabriel Deck</v>
          </cell>
          <cell r="L209" t="str">
            <v>Deck G.</v>
          </cell>
        </row>
        <row r="210">
          <cell r="B210" t="str">
            <v>Diagne Ismaila</v>
          </cell>
          <cell r="C210" t="str">
            <v>Ismaila Diagne</v>
          </cell>
          <cell r="D210" t="str">
            <v>C</v>
          </cell>
          <cell r="E210" t="str">
            <v>SEN</v>
          </cell>
          <cell r="F210">
            <v>214</v>
          </cell>
          <cell r="G210">
            <v>18</v>
          </cell>
          <cell r="H210" t="str">
            <v>Real Madrid</v>
          </cell>
          <cell r="I210" t="str">
            <v>RMB</v>
          </cell>
          <cell r="J210" t="str">
            <v>RMB.DiagneIsmaila</v>
          </cell>
          <cell r="K210" t="str">
            <v>RMB.Ismaila Diagne</v>
          </cell>
          <cell r="L210" t="str">
            <v>Diagne I.</v>
          </cell>
        </row>
        <row r="211">
          <cell r="B211" t="str">
            <v>Fernandez Rudy</v>
          </cell>
          <cell r="C211" t="str">
            <v>Rudy Fernandez</v>
          </cell>
          <cell r="D211" t="str">
            <v>F</v>
          </cell>
          <cell r="E211" t="str">
            <v>ESP</v>
          </cell>
          <cell r="F211">
            <v>196</v>
          </cell>
          <cell r="G211">
            <v>39</v>
          </cell>
          <cell r="H211" t="str">
            <v>Real Madrid</v>
          </cell>
          <cell r="I211" t="str">
            <v>RMB</v>
          </cell>
          <cell r="J211" t="str">
            <v>RMB.FernandezRudy</v>
          </cell>
          <cell r="K211" t="str">
            <v>RMB.Rudy Fernandez</v>
          </cell>
          <cell r="L211" t="str">
            <v>Fernandez R.</v>
          </cell>
        </row>
        <row r="212">
          <cell r="B212" t="str">
            <v>Gonzalez Hugo</v>
          </cell>
          <cell r="C212" t="str">
            <v>Hugo Gonzalez</v>
          </cell>
          <cell r="D212" t="str">
            <v>F</v>
          </cell>
          <cell r="E212" t="str">
            <v>ESP</v>
          </cell>
          <cell r="F212">
            <v>198</v>
          </cell>
          <cell r="G212">
            <v>18</v>
          </cell>
          <cell r="H212" t="str">
            <v>Real Madrid</v>
          </cell>
          <cell r="I212" t="str">
            <v>RMB</v>
          </cell>
          <cell r="J212" t="str">
            <v>RMB.GonzalezHugo</v>
          </cell>
          <cell r="K212" t="str">
            <v>RMB.Hugo Gonzalez</v>
          </cell>
          <cell r="L212" t="str">
            <v>Gonzalez H.</v>
          </cell>
        </row>
        <row r="213">
          <cell r="B213" t="str">
            <v>Hezonja Mario</v>
          </cell>
          <cell r="C213" t="str">
            <v>Mario Hezonja</v>
          </cell>
          <cell r="D213" t="str">
            <v>F</v>
          </cell>
          <cell r="E213" t="str">
            <v>CRO</v>
          </cell>
          <cell r="F213">
            <v>198</v>
          </cell>
          <cell r="G213">
            <v>29</v>
          </cell>
          <cell r="H213" t="str">
            <v>Real Madrid</v>
          </cell>
          <cell r="I213" t="str">
            <v>RMB</v>
          </cell>
          <cell r="J213" t="str">
            <v>RMB.HezonjaMario</v>
          </cell>
          <cell r="K213" t="str">
            <v>RMB.Mario Hezonja</v>
          </cell>
          <cell r="L213" t="str">
            <v>Hezonja M.</v>
          </cell>
        </row>
        <row r="214">
          <cell r="B214" t="str">
            <v>Llull Sergio</v>
          </cell>
          <cell r="C214" t="str">
            <v>Sergio Llull</v>
          </cell>
          <cell r="D214" t="str">
            <v>PG</v>
          </cell>
          <cell r="E214" t="str">
            <v>ESP</v>
          </cell>
          <cell r="F214">
            <v>190</v>
          </cell>
          <cell r="G214">
            <v>37</v>
          </cell>
          <cell r="H214" t="str">
            <v>Real Madrid</v>
          </cell>
          <cell r="I214" t="str">
            <v>RMB</v>
          </cell>
          <cell r="J214" t="str">
            <v>RMB.LlullSergio</v>
          </cell>
          <cell r="K214" t="str">
            <v>RMB.Sergio Llull</v>
          </cell>
          <cell r="L214" t="str">
            <v>Llull S.</v>
          </cell>
        </row>
        <row r="215">
          <cell r="B215" t="str">
            <v>Musa Dzanan</v>
          </cell>
          <cell r="C215" t="str">
            <v>Dzanan Musa</v>
          </cell>
          <cell r="D215" t="str">
            <v>F</v>
          </cell>
          <cell r="E215" t="str">
            <v>BIH</v>
          </cell>
          <cell r="F215">
            <v>202.99999999999997</v>
          </cell>
          <cell r="G215">
            <v>25</v>
          </cell>
          <cell r="H215" t="str">
            <v>Real Madrid</v>
          </cell>
          <cell r="I215" t="str">
            <v>RMB</v>
          </cell>
          <cell r="J215" t="str">
            <v>RMB.MusaDzanan</v>
          </cell>
          <cell r="K215" t="str">
            <v>RMB.Dzanan Musa</v>
          </cell>
          <cell r="L215" t="str">
            <v>Musa D.</v>
          </cell>
        </row>
        <row r="216">
          <cell r="B216" t="str">
            <v>Ndiaye Eli</v>
          </cell>
          <cell r="C216" t="str">
            <v>Eli Ndiaye</v>
          </cell>
          <cell r="D216" t="str">
            <v>PF</v>
          </cell>
          <cell r="E216" t="str">
            <v>ESP</v>
          </cell>
          <cell r="F216">
            <v>204</v>
          </cell>
          <cell r="G216">
            <v>20</v>
          </cell>
          <cell r="H216" t="str">
            <v>Real Madrid</v>
          </cell>
          <cell r="I216" t="str">
            <v>RMB</v>
          </cell>
          <cell r="J216" t="str">
            <v>RMB.NdiayeEli</v>
          </cell>
          <cell r="K216" t="str">
            <v>RMB.Eli Ndiaye</v>
          </cell>
          <cell r="L216" t="str">
            <v>Ndiaye E.</v>
          </cell>
        </row>
        <row r="217">
          <cell r="B217" t="str">
            <v>Poirier Vincent</v>
          </cell>
          <cell r="C217" t="str">
            <v>Vincent Poirier</v>
          </cell>
          <cell r="D217" t="str">
            <v>C</v>
          </cell>
          <cell r="E217" t="str">
            <v>FRA</v>
          </cell>
          <cell r="F217">
            <v>213</v>
          </cell>
          <cell r="G217">
            <v>31</v>
          </cell>
          <cell r="H217" t="str">
            <v>Real Madrid</v>
          </cell>
          <cell r="I217" t="str">
            <v>RMB</v>
          </cell>
          <cell r="J217" t="str">
            <v>RMB.PoirierVincent</v>
          </cell>
          <cell r="K217" t="str">
            <v>RMB.Vincent Poirier</v>
          </cell>
          <cell r="L217" t="str">
            <v>Poirier V.</v>
          </cell>
        </row>
        <row r="218">
          <cell r="B218" t="str">
            <v>Rodriguez Sergio</v>
          </cell>
          <cell r="C218" t="str">
            <v>Sergio Rodriguez</v>
          </cell>
          <cell r="D218" t="str">
            <v>PG</v>
          </cell>
          <cell r="E218" t="str">
            <v>ESP</v>
          </cell>
          <cell r="F218">
            <v>191</v>
          </cell>
          <cell r="G218">
            <v>38</v>
          </cell>
          <cell r="H218" t="str">
            <v>Real Madrid</v>
          </cell>
          <cell r="I218" t="str">
            <v>RMB</v>
          </cell>
          <cell r="J218" t="str">
            <v>RMB.RodriguezSergio</v>
          </cell>
          <cell r="K218" t="str">
            <v>RMB.Sergio Rodriguez</v>
          </cell>
          <cell r="L218" t="str">
            <v>Rodriguez S.</v>
          </cell>
        </row>
        <row r="219">
          <cell r="B219" t="str">
            <v>Tavares Walter</v>
          </cell>
          <cell r="C219" t="str">
            <v>Walter Tavares</v>
          </cell>
          <cell r="D219" t="str">
            <v>C</v>
          </cell>
          <cell r="E219" t="str">
            <v>CAB</v>
          </cell>
          <cell r="F219">
            <v>220.00000000000003</v>
          </cell>
          <cell r="G219">
            <v>32</v>
          </cell>
          <cell r="H219" t="str">
            <v>Real Madrid</v>
          </cell>
          <cell r="I219" t="str">
            <v>RMB</v>
          </cell>
          <cell r="J219" t="str">
            <v>RMB.TavaresWalter</v>
          </cell>
          <cell r="K219" t="str">
            <v>RMB.Walter Tavares</v>
          </cell>
          <cell r="L219" t="str">
            <v>Tavares W.</v>
          </cell>
        </row>
        <row r="220">
          <cell r="B220" t="str">
            <v>Yabusele Guerschon</v>
          </cell>
          <cell r="C220" t="str">
            <v>Guerschon Yabusele</v>
          </cell>
          <cell r="D220" t="str">
            <v>PF</v>
          </cell>
          <cell r="E220" t="str">
            <v>FRA</v>
          </cell>
          <cell r="F220">
            <v>202</v>
          </cell>
          <cell r="G220">
            <v>29</v>
          </cell>
          <cell r="H220" t="str">
            <v>Real Madrid</v>
          </cell>
          <cell r="I220" t="str">
            <v>RMB</v>
          </cell>
          <cell r="J220" t="str">
            <v>RMB.YabuseleGuerschon</v>
          </cell>
          <cell r="K220" t="str">
            <v>RMB.Guerschon Yabusele</v>
          </cell>
          <cell r="L220" t="str">
            <v>Yabusele G.</v>
          </cell>
        </row>
        <row r="221">
          <cell r="B221" t="str">
            <v>Claver Victor</v>
          </cell>
          <cell r="C221" t="str">
            <v>Victor Claver</v>
          </cell>
          <cell r="D221" t="str">
            <v>F/PF</v>
          </cell>
          <cell r="E221" t="str">
            <v>ESP</v>
          </cell>
          <cell r="F221">
            <v>206.99999999999997</v>
          </cell>
          <cell r="G221">
            <v>36</v>
          </cell>
          <cell r="H221" t="str">
            <v>Valencia Basket</v>
          </cell>
          <cell r="I221" t="str">
            <v>VAL</v>
          </cell>
          <cell r="J221" t="str">
            <v>VAL.ClaverVictor</v>
          </cell>
          <cell r="K221" t="str">
            <v>VAL.Victor Claver</v>
          </cell>
          <cell r="L221" t="str">
            <v>Claver V.</v>
          </cell>
        </row>
        <row r="222">
          <cell r="B222" t="str">
            <v>Davies Brandon</v>
          </cell>
          <cell r="C222" t="str">
            <v>Brandon Davies</v>
          </cell>
          <cell r="D222" t="str">
            <v>C</v>
          </cell>
          <cell r="E222" t="str">
            <v>USA</v>
          </cell>
          <cell r="F222">
            <v>208</v>
          </cell>
          <cell r="G222">
            <v>33</v>
          </cell>
          <cell r="H222" t="str">
            <v>Valencia Basket</v>
          </cell>
          <cell r="I222" t="str">
            <v>VAL</v>
          </cell>
          <cell r="J222" t="str">
            <v>VAL.DaviesBrandon</v>
          </cell>
          <cell r="K222" t="str">
            <v>VAL.Brandon Davies</v>
          </cell>
          <cell r="L222" t="str">
            <v>Davies B.</v>
          </cell>
        </row>
        <row r="223">
          <cell r="B223" t="str">
            <v>Ferrando Guillem</v>
          </cell>
          <cell r="C223" t="str">
            <v>Guillem Ferrando Porro</v>
          </cell>
          <cell r="D223" t="str">
            <v>SG</v>
          </cell>
          <cell r="E223" t="str">
            <v>ESP</v>
          </cell>
          <cell r="F223">
            <v>185</v>
          </cell>
          <cell r="G223">
            <v>22</v>
          </cell>
          <cell r="H223" t="str">
            <v>Valencia Basket</v>
          </cell>
          <cell r="I223" t="str">
            <v>VAL</v>
          </cell>
          <cell r="J223" t="str">
            <v>VAL.FerrandoGuillem</v>
          </cell>
          <cell r="K223" t="str">
            <v>VAL.Guillem Ferrando Porro</v>
          </cell>
          <cell r="L223" t="str">
            <v>Ferrando G.</v>
          </cell>
        </row>
        <row r="224">
          <cell r="B224" t="str">
            <v>Harper Jared</v>
          </cell>
          <cell r="C224" t="str">
            <v>Jared Harper</v>
          </cell>
          <cell r="D224" t="str">
            <v>PG</v>
          </cell>
          <cell r="E224" t="str">
            <v>USA</v>
          </cell>
          <cell r="F224">
            <v>178</v>
          </cell>
          <cell r="G224">
            <v>27</v>
          </cell>
          <cell r="H224" t="str">
            <v>Valencia Basket</v>
          </cell>
          <cell r="I224" t="str">
            <v>VAL</v>
          </cell>
          <cell r="J224" t="str">
            <v>VAL.HarperJared</v>
          </cell>
          <cell r="K224" t="str">
            <v>VAL.Jared Harper</v>
          </cell>
          <cell r="L224" t="str">
            <v>Harper J.</v>
          </cell>
        </row>
        <row r="225">
          <cell r="B225" t="str">
            <v>Inglis Damien</v>
          </cell>
          <cell r="C225" t="str">
            <v>Damien Inglis</v>
          </cell>
          <cell r="D225" t="str">
            <v>PF</v>
          </cell>
          <cell r="E225" t="str">
            <v>FRA</v>
          </cell>
          <cell r="F225">
            <v>204</v>
          </cell>
          <cell r="G225">
            <v>29</v>
          </cell>
          <cell r="H225" t="str">
            <v>Valencia Basket</v>
          </cell>
          <cell r="I225" t="str">
            <v>VAL</v>
          </cell>
          <cell r="J225" t="str">
            <v>VAL.InglisDamien</v>
          </cell>
          <cell r="K225" t="str">
            <v>VAL.Damien Inglis</v>
          </cell>
          <cell r="L225" t="str">
            <v>Inglis D.</v>
          </cell>
        </row>
        <row r="226">
          <cell r="B226" t="str">
            <v>Jones Chris</v>
          </cell>
          <cell r="C226" t="str">
            <v>Chris Jones</v>
          </cell>
          <cell r="D226" t="str">
            <v>PG/SG</v>
          </cell>
          <cell r="E226" t="str">
            <v>USA</v>
          </cell>
          <cell r="F226">
            <v>188</v>
          </cell>
          <cell r="G226">
            <v>31</v>
          </cell>
          <cell r="H226" t="str">
            <v>Valencia Basket</v>
          </cell>
          <cell r="I226" t="str">
            <v>VAL</v>
          </cell>
          <cell r="J226" t="str">
            <v>VAL.JonesChris</v>
          </cell>
          <cell r="K226" t="str">
            <v>VAL.Chris Jones</v>
          </cell>
          <cell r="L226" t="str">
            <v>Jones C.</v>
          </cell>
        </row>
        <row r="227">
          <cell r="B227" t="str">
            <v>Jovic Stefan</v>
          </cell>
          <cell r="C227" t="str">
            <v>Stefan Jovic</v>
          </cell>
          <cell r="D227" t="str">
            <v>PG</v>
          </cell>
          <cell r="E227" t="str">
            <v>SRB</v>
          </cell>
          <cell r="F227">
            <v>198</v>
          </cell>
          <cell r="G227">
            <v>34</v>
          </cell>
          <cell r="H227" t="str">
            <v>Valencia Basket</v>
          </cell>
          <cell r="I227" t="str">
            <v>VAL</v>
          </cell>
          <cell r="J227" t="str">
            <v>VAL.JovicStefan</v>
          </cell>
          <cell r="K227" t="str">
            <v>VAL.Stefan Jovic</v>
          </cell>
          <cell r="L227" t="str">
            <v>Jovic S.</v>
          </cell>
        </row>
        <row r="228">
          <cell r="B228" t="str">
            <v>Lopez Arostegui Xabi</v>
          </cell>
          <cell r="C228" t="str">
            <v>Xabi Lopez Arostegui</v>
          </cell>
          <cell r="D228" t="str">
            <v>F/PF</v>
          </cell>
          <cell r="E228" t="str">
            <v>ESP</v>
          </cell>
          <cell r="F228">
            <v>200</v>
          </cell>
          <cell r="G228">
            <v>27</v>
          </cell>
          <cell r="H228" t="str">
            <v>Valencia Basket</v>
          </cell>
          <cell r="I228" t="str">
            <v>VAL</v>
          </cell>
          <cell r="J228" t="str">
            <v>VAL.LopezArosteguiXabi</v>
          </cell>
          <cell r="K228" t="str">
            <v>VAL.Xabi Lopez Arostegui</v>
          </cell>
          <cell r="L228" t="str">
            <v>Lopez Arostegui X.</v>
          </cell>
        </row>
        <row r="229">
          <cell r="B229" t="str">
            <v>Mari Lucas</v>
          </cell>
          <cell r="C229" t="str">
            <v>Lucas Mari</v>
          </cell>
          <cell r="D229" t="str">
            <v>SG</v>
          </cell>
          <cell r="E229" t="str">
            <v>ESP</v>
          </cell>
          <cell r="F229">
            <v>197</v>
          </cell>
          <cell r="G229">
            <v>19</v>
          </cell>
          <cell r="H229" t="str">
            <v>Valencia Basket</v>
          </cell>
          <cell r="I229" t="str">
            <v>VAL</v>
          </cell>
          <cell r="J229" t="str">
            <v>VAL.MariLucas</v>
          </cell>
          <cell r="K229" t="str">
            <v>VAL.Lucas Mari</v>
          </cell>
          <cell r="L229" t="str">
            <v>Mari L.</v>
          </cell>
        </row>
        <row r="230">
          <cell r="B230" t="str">
            <v>Ojeleye Semi</v>
          </cell>
          <cell r="C230" t="str">
            <v>Semi Ojeleye</v>
          </cell>
          <cell r="D230" t="str">
            <v>PF</v>
          </cell>
          <cell r="E230" t="str">
            <v>NGA</v>
          </cell>
          <cell r="F230">
            <v>201</v>
          </cell>
          <cell r="G230">
            <v>30</v>
          </cell>
          <cell r="H230" t="str">
            <v>Valencia Basket</v>
          </cell>
          <cell r="I230" t="str">
            <v>VAL</v>
          </cell>
          <cell r="J230" t="str">
            <v>VAL.OjeleyeSemi</v>
          </cell>
          <cell r="K230" t="str">
            <v>VAL.Semi Ojeleye</v>
          </cell>
          <cell r="L230" t="str">
            <v>Ojeleye S.</v>
          </cell>
        </row>
        <row r="231">
          <cell r="B231" t="str">
            <v>Pradilla Jaime</v>
          </cell>
          <cell r="C231" t="str">
            <v>Jaime Pradilla</v>
          </cell>
          <cell r="D231" t="str">
            <v>C</v>
          </cell>
          <cell r="E231" t="str">
            <v>ESP</v>
          </cell>
          <cell r="F231">
            <v>204.99999999999997</v>
          </cell>
          <cell r="G231">
            <v>23</v>
          </cell>
          <cell r="H231" t="str">
            <v>Valencia Basket</v>
          </cell>
          <cell r="I231" t="str">
            <v>VAL</v>
          </cell>
          <cell r="J231" t="str">
            <v>VAL.PradillaJaime</v>
          </cell>
          <cell r="K231" t="str">
            <v>VAL.Jaime Pradilla</v>
          </cell>
          <cell r="L231" t="str">
            <v>Pradilla J.</v>
          </cell>
        </row>
        <row r="232">
          <cell r="B232" t="str">
            <v>Puerto Josep</v>
          </cell>
          <cell r="C232" t="str">
            <v>Josep Puerto</v>
          </cell>
          <cell r="D232" t="str">
            <v>SG/F</v>
          </cell>
          <cell r="E232" t="str">
            <v>ESP</v>
          </cell>
          <cell r="F232">
            <v>199</v>
          </cell>
          <cell r="G232">
            <v>25</v>
          </cell>
          <cell r="H232" t="str">
            <v>Valencia Basket</v>
          </cell>
          <cell r="I232" t="str">
            <v>VAL</v>
          </cell>
          <cell r="J232" t="str">
            <v>VAL.PuertoJosep</v>
          </cell>
          <cell r="K232" t="str">
            <v>VAL.Josep Puerto</v>
          </cell>
          <cell r="L232" t="str">
            <v>Puerto J.</v>
          </cell>
        </row>
        <row r="233">
          <cell r="B233" t="str">
            <v>Reuvers Nathan</v>
          </cell>
          <cell r="C233" t="str">
            <v>Nathan Reuvers</v>
          </cell>
          <cell r="D233" t="str">
            <v>PF/C</v>
          </cell>
          <cell r="E233" t="str">
            <v>USA</v>
          </cell>
          <cell r="F233">
            <v>211</v>
          </cell>
          <cell r="G233">
            <v>26</v>
          </cell>
          <cell r="H233" t="str">
            <v>Valencia Basket</v>
          </cell>
          <cell r="I233" t="str">
            <v>VAL</v>
          </cell>
          <cell r="J233" t="str">
            <v>VAL.ReuversNathan</v>
          </cell>
          <cell r="K233" t="str">
            <v>VAL.Nathan Reuvers</v>
          </cell>
          <cell r="L233" t="str">
            <v>Reuvers N.</v>
          </cell>
        </row>
        <row r="234">
          <cell r="B234" t="str">
            <v>Robertson Kassius</v>
          </cell>
          <cell r="C234" t="str">
            <v>Kassius Robertson</v>
          </cell>
          <cell r="D234" t="str">
            <v>SG</v>
          </cell>
          <cell r="E234" t="str">
            <v>CAN</v>
          </cell>
          <cell r="F234">
            <v>191</v>
          </cell>
          <cell r="G234">
            <v>30</v>
          </cell>
          <cell r="H234" t="str">
            <v>Valencia Basket</v>
          </cell>
          <cell r="I234" t="str">
            <v>VAL</v>
          </cell>
          <cell r="J234" t="str">
            <v>VAL.RobertsonKassius</v>
          </cell>
          <cell r="K234" t="str">
            <v>VAL.Kassius Robertson</v>
          </cell>
          <cell r="L234" t="str">
            <v>Robertson K.</v>
          </cell>
        </row>
        <row r="235">
          <cell r="B235" t="str">
            <v>Toure Boubacar</v>
          </cell>
          <cell r="C235" t="str">
            <v>Boubacar Toure</v>
          </cell>
          <cell r="D235" t="str">
            <v>C</v>
          </cell>
          <cell r="E235" t="str">
            <v>SEN</v>
          </cell>
          <cell r="F235">
            <v>210</v>
          </cell>
          <cell r="G235">
            <v>29</v>
          </cell>
          <cell r="H235" t="str">
            <v>Valencia Basket</v>
          </cell>
          <cell r="I235" t="str">
            <v>VAL</v>
          </cell>
          <cell r="J235" t="str">
            <v>VAL.ToureBoubacar</v>
          </cell>
          <cell r="K235" t="str">
            <v>VAL.Boubacar Toure</v>
          </cell>
          <cell r="L235" t="str">
            <v>Toure B.</v>
          </cell>
        </row>
        <row r="236">
          <cell r="B236" t="str">
            <v>Abass Awudu</v>
          </cell>
          <cell r="C236" t="str">
            <v>Awudu Abass</v>
          </cell>
          <cell r="D236" t="str">
            <v>F</v>
          </cell>
          <cell r="E236" t="str">
            <v>ITA</v>
          </cell>
          <cell r="F236">
            <v>200</v>
          </cell>
          <cell r="G236">
            <v>31</v>
          </cell>
          <cell r="H236" t="str">
            <v>Virtus Segafredo Bologna</v>
          </cell>
          <cell r="I236" t="str">
            <v>VIR</v>
          </cell>
          <cell r="J236" t="str">
            <v>VIR.AbassAwudu</v>
          </cell>
          <cell r="K236" t="str">
            <v>VIR.Awudu Abass</v>
          </cell>
          <cell r="L236" t="str">
            <v>Abass A.</v>
          </cell>
        </row>
        <row r="237">
          <cell r="B237" t="str">
            <v>Belinelli Marco</v>
          </cell>
          <cell r="C237" t="str">
            <v>Marco Belinelli</v>
          </cell>
          <cell r="D237" t="str">
            <v>SG</v>
          </cell>
          <cell r="E237" t="str">
            <v>ITA</v>
          </cell>
          <cell r="F237">
            <v>195</v>
          </cell>
          <cell r="G237">
            <v>38</v>
          </cell>
          <cell r="H237" t="str">
            <v>Virtus Segafredo Bologna</v>
          </cell>
          <cell r="I237" t="str">
            <v>VIR</v>
          </cell>
          <cell r="J237" t="str">
            <v>VIR.BelinelliMarco</v>
          </cell>
          <cell r="K237" t="str">
            <v>VIR.Marco Belinelli</v>
          </cell>
          <cell r="L237" t="str">
            <v>Belinelli M.</v>
          </cell>
        </row>
        <row r="238">
          <cell r="B238" t="str">
            <v>Cacok Devontae</v>
          </cell>
          <cell r="C238" t="str">
            <v>Devontae Cacok</v>
          </cell>
          <cell r="D238" t="str">
            <v>C</v>
          </cell>
          <cell r="E238" t="str">
            <v>USA</v>
          </cell>
          <cell r="F238">
            <v>204</v>
          </cell>
          <cell r="G238">
            <v>28</v>
          </cell>
          <cell r="H238" t="str">
            <v>Virtus Segafredo Bologna</v>
          </cell>
          <cell r="I238" t="str">
            <v>VIR</v>
          </cell>
          <cell r="J238" t="str">
            <v>VIR.CacokDevontae</v>
          </cell>
          <cell r="K238" t="str">
            <v>VIR.Devontae Cacok</v>
          </cell>
          <cell r="L238" t="str">
            <v>Cacok D.</v>
          </cell>
        </row>
        <row r="239">
          <cell r="B239" t="str">
            <v>Cordinier Isaia</v>
          </cell>
          <cell r="C239" t="str">
            <v>Isaia Cordinier</v>
          </cell>
          <cell r="D239" t="str">
            <v>F</v>
          </cell>
          <cell r="E239" t="str">
            <v>FRA</v>
          </cell>
          <cell r="F239">
            <v>194</v>
          </cell>
          <cell r="G239">
            <v>28</v>
          </cell>
          <cell r="H239" t="str">
            <v>Virtus Segafredo Bologna</v>
          </cell>
          <cell r="I239" t="str">
            <v>VIR</v>
          </cell>
          <cell r="J239" t="str">
            <v>VIR.CordinierIsaia</v>
          </cell>
          <cell r="K239" t="str">
            <v>VIR.Isaia Cordinier</v>
          </cell>
          <cell r="L239" t="str">
            <v>Cordinier I.</v>
          </cell>
        </row>
        <row r="240">
          <cell r="B240" t="str">
            <v>Dobric Ognjen</v>
          </cell>
          <cell r="C240" t="str">
            <v>Ognjen Dobric</v>
          </cell>
          <cell r="D240" t="str">
            <v>SG/F</v>
          </cell>
          <cell r="E240" t="str">
            <v>SRB</v>
          </cell>
          <cell r="F240">
            <v>200</v>
          </cell>
          <cell r="G240">
            <v>30</v>
          </cell>
          <cell r="H240" t="str">
            <v>Virtus Segafredo Bologna</v>
          </cell>
          <cell r="I240" t="str">
            <v>VIR</v>
          </cell>
          <cell r="J240" t="str">
            <v>VIR.DobricOgnjen</v>
          </cell>
          <cell r="K240" t="str">
            <v>VIR.Ognjen Dobric</v>
          </cell>
          <cell r="L240" t="str">
            <v>Dobric O.</v>
          </cell>
        </row>
        <row r="241">
          <cell r="B241" t="str">
            <v>Dunston Bryant</v>
          </cell>
          <cell r="C241" t="str">
            <v>Bryant Dunston</v>
          </cell>
          <cell r="D241" t="str">
            <v>C</v>
          </cell>
          <cell r="E241" t="str">
            <v>USA</v>
          </cell>
          <cell r="F241">
            <v>202.99999999999997</v>
          </cell>
          <cell r="G241">
            <v>38</v>
          </cell>
          <cell r="H241" t="str">
            <v>Virtus Segafredo Bologna</v>
          </cell>
          <cell r="I241" t="str">
            <v>VIR</v>
          </cell>
          <cell r="J241" t="str">
            <v>VIR.DunstonBryant</v>
          </cell>
          <cell r="K241" t="str">
            <v>VIR.Bryant Dunston</v>
          </cell>
          <cell r="L241" t="str">
            <v>Dunston B.</v>
          </cell>
        </row>
        <row r="242">
          <cell r="B242" t="str">
            <v>Hackett Daniel</v>
          </cell>
          <cell r="C242" t="str">
            <v>Daniel Hackett</v>
          </cell>
          <cell r="D242" t="str">
            <v>PG</v>
          </cell>
          <cell r="E242" t="str">
            <v>ITA</v>
          </cell>
          <cell r="F242">
            <v>197</v>
          </cell>
          <cell r="G242">
            <v>37</v>
          </cell>
          <cell r="H242" t="str">
            <v>Virtus Segafredo Bologna</v>
          </cell>
          <cell r="I242" t="str">
            <v>VIR</v>
          </cell>
          <cell r="J242" t="str">
            <v>VIR.HackettDaniel</v>
          </cell>
          <cell r="K242" t="str">
            <v>VIR.Daniel Hackett</v>
          </cell>
          <cell r="L242" t="str">
            <v>Hackett D.</v>
          </cell>
        </row>
        <row r="243">
          <cell r="B243" t="str">
            <v>Lundberg Iffe</v>
          </cell>
          <cell r="C243" t="str">
            <v>Iffe Lundberg</v>
          </cell>
          <cell r="D243" t="str">
            <v>PG</v>
          </cell>
          <cell r="E243" t="str">
            <v>DEN</v>
          </cell>
          <cell r="F243">
            <v>193</v>
          </cell>
          <cell r="G243">
            <v>30</v>
          </cell>
          <cell r="H243" t="str">
            <v>Virtus Segafredo Bologna</v>
          </cell>
          <cell r="I243" t="str">
            <v>VIR</v>
          </cell>
          <cell r="J243" t="str">
            <v>VIR.LundbergIffe</v>
          </cell>
          <cell r="K243" t="str">
            <v>VIR.Iffe Lundberg</v>
          </cell>
          <cell r="L243" t="str">
            <v>Lundberg I.</v>
          </cell>
        </row>
        <row r="244">
          <cell r="B244" t="str">
            <v>Mascolo Bruno</v>
          </cell>
          <cell r="C244" t="str">
            <v>Bruno Mascolo</v>
          </cell>
          <cell r="D244" t="str">
            <v>SG</v>
          </cell>
          <cell r="E244" t="str">
            <v>ITA</v>
          </cell>
          <cell r="F244">
            <v>190</v>
          </cell>
          <cell r="G244">
            <v>28</v>
          </cell>
          <cell r="H244" t="str">
            <v>Virtus Segafredo Bologna</v>
          </cell>
          <cell r="I244" t="str">
            <v>VIR</v>
          </cell>
          <cell r="J244" t="str">
            <v>VIR.MascoloBruno</v>
          </cell>
          <cell r="K244" t="str">
            <v>VIR.Bruno Mascolo</v>
          </cell>
          <cell r="L244" t="str">
            <v>Mascolo B.</v>
          </cell>
        </row>
        <row r="245">
          <cell r="B245" t="str">
            <v>Mickey Jordan</v>
          </cell>
          <cell r="C245" t="str">
            <v>Jordan Mickey</v>
          </cell>
          <cell r="D245" t="str">
            <v>PF/C</v>
          </cell>
          <cell r="E245" t="str">
            <v>USA</v>
          </cell>
          <cell r="F245">
            <v>202.99999999999997</v>
          </cell>
          <cell r="G245">
            <v>30</v>
          </cell>
          <cell r="H245" t="str">
            <v>Virtus Segafredo Bologna</v>
          </cell>
          <cell r="I245" t="str">
            <v>VIR</v>
          </cell>
          <cell r="J245" t="str">
            <v>VIR.MickeyJordan</v>
          </cell>
          <cell r="K245" t="str">
            <v>VIR.Jordan Mickey</v>
          </cell>
          <cell r="L245" t="str">
            <v>Mickey J.</v>
          </cell>
        </row>
        <row r="246">
          <cell r="B246" t="str">
            <v>Pajola Alessandro</v>
          </cell>
          <cell r="C246" t="str">
            <v>Alessandro Pajola</v>
          </cell>
          <cell r="D246" t="str">
            <v>PG</v>
          </cell>
          <cell r="E246" t="str">
            <v>ITA</v>
          </cell>
          <cell r="F246">
            <v>194</v>
          </cell>
          <cell r="G246">
            <v>25</v>
          </cell>
          <cell r="H246" t="str">
            <v>Virtus Segafredo Bologna</v>
          </cell>
          <cell r="I246" t="str">
            <v>VIR</v>
          </cell>
          <cell r="J246" t="str">
            <v>VIR.PajolaAlessandro</v>
          </cell>
          <cell r="K246" t="str">
            <v>VIR.Alessandro Pajola</v>
          </cell>
          <cell r="L246" t="str">
            <v>Pajola A.</v>
          </cell>
        </row>
        <row r="247">
          <cell r="B247" t="str">
            <v>Polonara Achille</v>
          </cell>
          <cell r="C247" t="str">
            <v>Achille Polonara</v>
          </cell>
          <cell r="D247" t="str">
            <v>PF</v>
          </cell>
          <cell r="E247" t="str">
            <v>ITA</v>
          </cell>
          <cell r="F247">
            <v>202</v>
          </cell>
          <cell r="G247">
            <v>33</v>
          </cell>
          <cell r="H247" t="str">
            <v>Virtus Segafredo Bologna</v>
          </cell>
          <cell r="I247" t="str">
            <v>VIR</v>
          </cell>
          <cell r="J247" t="str">
            <v>VIR.PolonaraAchille</v>
          </cell>
          <cell r="K247" t="str">
            <v>VIR.Achille Polonara</v>
          </cell>
          <cell r="L247" t="str">
            <v>Polonara A.</v>
          </cell>
        </row>
        <row r="248">
          <cell r="B248" t="str">
            <v>Shengelia Tornike</v>
          </cell>
          <cell r="C248" t="str">
            <v>Tornike Shengelia</v>
          </cell>
          <cell r="D248" t="str">
            <v>PF</v>
          </cell>
          <cell r="E248" t="str">
            <v>GEO</v>
          </cell>
          <cell r="F248">
            <v>202.99999999999997</v>
          </cell>
          <cell r="G248">
            <v>33</v>
          </cell>
          <cell r="H248" t="str">
            <v>Virtus Segafredo Bologna</v>
          </cell>
          <cell r="I248" t="str">
            <v>VIR</v>
          </cell>
          <cell r="J248" t="str">
            <v>VIR.ShengeliaTornike</v>
          </cell>
          <cell r="K248" t="str">
            <v>VIR.Tornike Shengelia</v>
          </cell>
          <cell r="L248" t="str">
            <v>Shengelia T.</v>
          </cell>
        </row>
        <row r="249">
          <cell r="B249" t="str">
            <v>Smith Jaleen</v>
          </cell>
          <cell r="C249" t="str">
            <v>Jaleen Smith</v>
          </cell>
          <cell r="D249" t="str">
            <v>PG</v>
          </cell>
          <cell r="E249" t="str">
            <v>USA</v>
          </cell>
          <cell r="F249">
            <v>190</v>
          </cell>
          <cell r="G249">
            <v>30</v>
          </cell>
          <cell r="H249" t="str">
            <v>Virtus Segafredo Bologna</v>
          </cell>
          <cell r="I249" t="str">
            <v>VIR</v>
          </cell>
          <cell r="J249" t="str">
            <v>VIR.SmithJaleen</v>
          </cell>
          <cell r="K249" t="str">
            <v>VIR.Jaleen Smith</v>
          </cell>
          <cell r="L249" t="str">
            <v>Smith J.</v>
          </cell>
        </row>
        <row r="250">
          <cell r="B250" t="str">
            <v>Birutis Laurynas</v>
          </cell>
          <cell r="C250" t="str">
            <v>Laurynas Birutis</v>
          </cell>
          <cell r="D250" t="str">
            <v>C</v>
          </cell>
          <cell r="E250" t="str">
            <v>LTU</v>
          </cell>
          <cell r="F250">
            <v>213</v>
          </cell>
          <cell r="G250">
            <v>27</v>
          </cell>
          <cell r="H250" t="str">
            <v>Zalgiris Kaunas</v>
          </cell>
          <cell r="I250" t="str">
            <v>ZAL</v>
          </cell>
          <cell r="J250" t="str">
            <v>ZAL.BirutisLaurynas</v>
          </cell>
          <cell r="K250" t="str">
            <v>ZAL.Laurynas Birutis</v>
          </cell>
          <cell r="L250" t="str">
            <v>Birutis L.</v>
          </cell>
        </row>
        <row r="251">
          <cell r="B251" t="str">
            <v>Butka Dovydas</v>
          </cell>
          <cell r="C251" t="str">
            <v>Dovydas Butka</v>
          </cell>
          <cell r="D251" t="str">
            <v>PF</v>
          </cell>
          <cell r="E251" t="str">
            <v>LTU</v>
          </cell>
          <cell r="F251">
            <v>204</v>
          </cell>
          <cell r="G251">
            <v>21</v>
          </cell>
          <cell r="H251" t="str">
            <v>Zalgiris Kaunas</v>
          </cell>
          <cell r="I251" t="str">
            <v>ZAL</v>
          </cell>
          <cell r="J251" t="str">
            <v>ZAL.ButkaDovydas</v>
          </cell>
          <cell r="K251" t="str">
            <v>ZAL.Dovydas Butka</v>
          </cell>
          <cell r="L251" t="str">
            <v>Butka D.</v>
          </cell>
        </row>
        <row r="252">
          <cell r="B252" t="str">
            <v>Butkevicius Arnas</v>
          </cell>
          <cell r="C252" t="str">
            <v>Arnas Butkevicius</v>
          </cell>
          <cell r="D252" t="str">
            <v>SG</v>
          </cell>
          <cell r="E252" t="str">
            <v>LTU</v>
          </cell>
          <cell r="F252">
            <v>197</v>
          </cell>
          <cell r="G252">
            <v>32</v>
          </cell>
          <cell r="H252" t="str">
            <v>Zalgiris Kaunas</v>
          </cell>
          <cell r="I252" t="str">
            <v>ZAL</v>
          </cell>
          <cell r="J252" t="str">
            <v>ZAL.ButkeviciusArnas</v>
          </cell>
          <cell r="K252" t="str">
            <v>ZAL.Arnas Butkevicius</v>
          </cell>
          <cell r="L252" t="str">
            <v>Butkevicius A.</v>
          </cell>
        </row>
        <row r="253">
          <cell r="B253" t="str">
            <v>Dimsa Tomas</v>
          </cell>
          <cell r="C253" t="str">
            <v>Tomas Dimsa</v>
          </cell>
          <cell r="D253" t="str">
            <v>PG</v>
          </cell>
          <cell r="E253" t="str">
            <v>LTU</v>
          </cell>
          <cell r="F253">
            <v>195</v>
          </cell>
          <cell r="G253">
            <v>30</v>
          </cell>
          <cell r="H253" t="str">
            <v>Zalgiris Kaunas</v>
          </cell>
          <cell r="I253" t="str">
            <v>ZAL</v>
          </cell>
          <cell r="J253" t="str">
            <v>ZAL.DimsaTomas</v>
          </cell>
          <cell r="K253" t="str">
            <v>ZAL.Tomas Dimsa</v>
          </cell>
          <cell r="L253" t="str">
            <v>Dimsa T.</v>
          </cell>
        </row>
        <row r="254">
          <cell r="B254" t="str">
            <v>Evans Keenan</v>
          </cell>
          <cell r="C254" t="str">
            <v>Keenan Evans</v>
          </cell>
          <cell r="D254" t="str">
            <v>PG/SG</v>
          </cell>
          <cell r="E254" t="str">
            <v>USA</v>
          </cell>
          <cell r="F254">
            <v>190</v>
          </cell>
          <cell r="G254">
            <v>28</v>
          </cell>
          <cell r="H254" t="str">
            <v>Zalgiris Kaunas</v>
          </cell>
          <cell r="I254" t="str">
            <v>ZAL</v>
          </cell>
          <cell r="J254" t="str">
            <v>ZAL.EvansKeenan</v>
          </cell>
          <cell r="K254" t="str">
            <v>ZAL.Keenan Evans</v>
          </cell>
          <cell r="L254" t="str">
            <v>Evans K.</v>
          </cell>
        </row>
        <row r="255">
          <cell r="B255" t="str">
            <v>Giedraitis Dovydas</v>
          </cell>
          <cell r="C255" t="str">
            <v>Dovydas Giedraitis</v>
          </cell>
          <cell r="D255" t="str">
            <v>SG</v>
          </cell>
          <cell r="E255" t="str">
            <v>LTU</v>
          </cell>
          <cell r="F255">
            <v>185</v>
          </cell>
          <cell r="G255">
            <v>24</v>
          </cell>
          <cell r="H255" t="str">
            <v>Zalgiris Kaunas</v>
          </cell>
          <cell r="I255" t="str">
            <v>ZAL</v>
          </cell>
          <cell r="J255" t="str">
            <v>ZAL.GiedraitisDovydas</v>
          </cell>
          <cell r="K255" t="str">
            <v>ZAL.Dovydas Giedraitis</v>
          </cell>
          <cell r="L255" t="str">
            <v>Giedraitis D.</v>
          </cell>
        </row>
        <row r="256">
          <cell r="B256" t="str">
            <v>Hayes Kevarrius</v>
          </cell>
          <cell r="C256" t="str">
            <v>Kevarrius Hayes</v>
          </cell>
          <cell r="D256" t="str">
            <v>C</v>
          </cell>
          <cell r="E256" t="str">
            <v>USA</v>
          </cell>
          <cell r="F256">
            <v>206</v>
          </cell>
          <cell r="G256">
            <v>27</v>
          </cell>
          <cell r="H256" t="str">
            <v>Zalgiris Kaunas</v>
          </cell>
          <cell r="I256" t="str">
            <v>ZAL</v>
          </cell>
          <cell r="J256" t="str">
            <v>ZAL.HayesKevarrius</v>
          </cell>
          <cell r="K256" t="str">
            <v>ZAL.Kevarrius Hayes</v>
          </cell>
          <cell r="L256" t="str">
            <v>Hayes K.</v>
          </cell>
        </row>
        <row r="257">
          <cell r="B257" t="str">
            <v>Lavrinovicius Danielius</v>
          </cell>
          <cell r="C257" t="str">
            <v>Danielius Lavrinovicius</v>
          </cell>
          <cell r="D257" t="str">
            <v>C</v>
          </cell>
          <cell r="E257" t="str">
            <v>LTU</v>
          </cell>
          <cell r="F257">
            <v>205</v>
          </cell>
          <cell r="G257">
            <v>25</v>
          </cell>
          <cell r="H257" t="str">
            <v>Zalgiris Kaunas</v>
          </cell>
          <cell r="I257" t="str">
            <v>ZAL</v>
          </cell>
          <cell r="J257" t="str">
            <v>ZAL.LavrinoviciusDanielius</v>
          </cell>
          <cell r="K257" t="str">
            <v>ZAL.Danielius Lavrinovicius</v>
          </cell>
          <cell r="L257" t="str">
            <v>Lavrinovicius D.</v>
          </cell>
        </row>
        <row r="258">
          <cell r="B258" t="str">
            <v>Lekavicius Lukas</v>
          </cell>
          <cell r="C258" t="str">
            <v>Lukas Lekavicius</v>
          </cell>
          <cell r="D258" t="str">
            <v>SG</v>
          </cell>
          <cell r="E258" t="str">
            <v>LTU</v>
          </cell>
          <cell r="F258">
            <v>183</v>
          </cell>
          <cell r="G258">
            <v>30</v>
          </cell>
          <cell r="H258" t="str">
            <v>Zalgiris Kaunas</v>
          </cell>
          <cell r="I258" t="str">
            <v>ZAL</v>
          </cell>
          <cell r="J258" t="str">
            <v>ZAL.LekaviciusLukas</v>
          </cell>
          <cell r="K258" t="str">
            <v>ZAL.Lukas Lekavicius</v>
          </cell>
          <cell r="L258" t="str">
            <v>Lekavicius L.</v>
          </cell>
        </row>
        <row r="259">
          <cell r="B259" t="str">
            <v>Manek Brady</v>
          </cell>
          <cell r="C259" t="str">
            <v>Brady Manek</v>
          </cell>
          <cell r="D259" t="str">
            <v>PF</v>
          </cell>
          <cell r="E259" t="str">
            <v>USA</v>
          </cell>
          <cell r="F259">
            <v>206</v>
          </cell>
          <cell r="G259">
            <v>26</v>
          </cell>
          <cell r="H259" t="str">
            <v>Zalgiris Kaunas</v>
          </cell>
          <cell r="I259" t="str">
            <v>ZAL</v>
          </cell>
          <cell r="J259" t="str">
            <v>ZAL.ManekBrady</v>
          </cell>
          <cell r="K259" t="str">
            <v>ZAL.Brady Manek</v>
          </cell>
          <cell r="L259" t="str">
            <v>Manek B.</v>
          </cell>
        </row>
        <row r="260">
          <cell r="B260" t="str">
            <v>Mitrou Long Naz</v>
          </cell>
          <cell r="C260" t="str">
            <v>Naz Mitrou Long</v>
          </cell>
          <cell r="D260" t="str">
            <v>PG/SG</v>
          </cell>
          <cell r="E260" t="str">
            <v>CAN</v>
          </cell>
          <cell r="F260">
            <v>193</v>
          </cell>
          <cell r="G260">
            <v>31</v>
          </cell>
          <cell r="H260" t="str">
            <v>Zalgiris Kaunas</v>
          </cell>
          <cell r="I260" t="str">
            <v>ZAL</v>
          </cell>
          <cell r="J260" t="str">
            <v>ZAL.MitrouLongNaz</v>
          </cell>
          <cell r="K260" t="str">
            <v>ZAL.Naz Mitrou Long</v>
          </cell>
          <cell r="L260" t="str">
            <v>Mitrou Long N.</v>
          </cell>
        </row>
        <row r="261">
          <cell r="B261" t="str">
            <v>Smits Rolands</v>
          </cell>
          <cell r="C261" t="str">
            <v>Rolands Smits</v>
          </cell>
          <cell r="D261" t="str">
            <v>PF</v>
          </cell>
          <cell r="E261" t="str">
            <v>LAT</v>
          </cell>
          <cell r="F261">
            <v>206.99999999999997</v>
          </cell>
          <cell r="G261">
            <v>29</v>
          </cell>
          <cell r="H261" t="str">
            <v>Zalgiris Kaunas</v>
          </cell>
          <cell r="I261" t="str">
            <v>ZAL</v>
          </cell>
          <cell r="J261" t="str">
            <v>ZAL.SmitsRolands</v>
          </cell>
          <cell r="K261" t="str">
            <v>ZAL.Rolands Smits</v>
          </cell>
          <cell r="L261" t="str">
            <v>Smits R.</v>
          </cell>
        </row>
        <row r="262">
          <cell r="B262" t="str">
            <v>Ulanovas Edgaras</v>
          </cell>
          <cell r="C262" t="str">
            <v>Edgaras Ulanovas</v>
          </cell>
          <cell r="D262" t="str">
            <v>F</v>
          </cell>
          <cell r="E262" t="str">
            <v>LTU</v>
          </cell>
          <cell r="F262">
            <v>198</v>
          </cell>
          <cell r="G262">
            <v>32</v>
          </cell>
          <cell r="H262" t="str">
            <v>Zalgiris Kaunas</v>
          </cell>
          <cell r="I262" t="str">
            <v>ZAL</v>
          </cell>
          <cell r="J262" t="str">
            <v>ZAL.UlanovasEdgaras</v>
          </cell>
          <cell r="K262" t="str">
            <v>ZAL.Edgaras Ulanovas</v>
          </cell>
          <cell r="L262" t="str">
            <v>Ulanovas E.</v>
          </cell>
        </row>
        <row r="263">
          <cell r="B263"/>
          <cell r="C263"/>
          <cell r="D263"/>
          <cell r="E263"/>
          <cell r="F263"/>
          <cell r="G263"/>
          <cell r="H263"/>
          <cell r="I263" t="str">
            <v/>
          </cell>
          <cell r="J263" t="str">
            <v/>
          </cell>
          <cell r="K263" t="str">
            <v/>
          </cell>
          <cell r="L263"/>
        </row>
        <row r="264">
          <cell r="B264"/>
          <cell r="C264"/>
          <cell r="D264"/>
          <cell r="E264"/>
          <cell r="F264"/>
          <cell r="G264"/>
          <cell r="H264"/>
          <cell r="I264" t="str">
            <v/>
          </cell>
          <cell r="J264" t="str">
            <v/>
          </cell>
          <cell r="K264" t="str">
            <v/>
          </cell>
          <cell r="L264"/>
        </row>
        <row r="265">
          <cell r="B265"/>
          <cell r="C265"/>
          <cell r="D265"/>
          <cell r="E265"/>
          <cell r="F265"/>
          <cell r="G265"/>
          <cell r="H265"/>
          <cell r="I265" t="str">
            <v/>
          </cell>
          <cell r="J265" t="str">
            <v/>
          </cell>
          <cell r="K265" t="str">
            <v/>
          </cell>
          <cell r="L265"/>
        </row>
        <row r="266">
          <cell r="B266"/>
          <cell r="C266"/>
          <cell r="D266"/>
          <cell r="E266"/>
          <cell r="F266"/>
          <cell r="G266"/>
          <cell r="H266"/>
          <cell r="I266" t="str">
            <v/>
          </cell>
          <cell r="J266" t="str">
            <v/>
          </cell>
          <cell r="K266" t="str">
            <v/>
          </cell>
          <cell r="L266"/>
        </row>
        <row r="267">
          <cell r="B267"/>
          <cell r="C267"/>
          <cell r="D267"/>
          <cell r="E267"/>
          <cell r="F267"/>
          <cell r="G267"/>
          <cell r="H267"/>
          <cell r="I267" t="str">
            <v/>
          </cell>
          <cell r="J267" t="str">
            <v/>
          </cell>
          <cell r="K267" t="str">
            <v/>
          </cell>
          <cell r="L267"/>
        </row>
        <row r="268">
          <cell r="B268"/>
          <cell r="C268"/>
          <cell r="D268"/>
          <cell r="E268"/>
          <cell r="F268"/>
          <cell r="G268"/>
          <cell r="H268"/>
          <cell r="I268" t="str">
            <v/>
          </cell>
          <cell r="J268" t="str">
            <v/>
          </cell>
          <cell r="K268" t="str">
            <v/>
          </cell>
          <cell r="L268"/>
        </row>
        <row r="269">
          <cell r="B269"/>
          <cell r="C269"/>
          <cell r="D269"/>
          <cell r="E269"/>
          <cell r="F269"/>
          <cell r="G269"/>
          <cell r="H269"/>
          <cell r="I269" t="str">
            <v/>
          </cell>
          <cell r="J269" t="str">
            <v/>
          </cell>
          <cell r="K269" t="str">
            <v/>
          </cell>
          <cell r="L269"/>
        </row>
        <row r="270">
          <cell r="B270"/>
          <cell r="C270"/>
          <cell r="D270"/>
          <cell r="E270"/>
          <cell r="F270"/>
          <cell r="G270"/>
          <cell r="H270"/>
          <cell r="I270" t="str">
            <v/>
          </cell>
          <cell r="J270" t="str">
            <v/>
          </cell>
          <cell r="K270" t="str">
            <v/>
          </cell>
          <cell r="L270"/>
        </row>
        <row r="271">
          <cell r="B271"/>
          <cell r="C271"/>
          <cell r="D271"/>
          <cell r="E271"/>
          <cell r="F271"/>
          <cell r="G271"/>
          <cell r="H271"/>
          <cell r="I271" t="str">
            <v/>
          </cell>
          <cell r="J271" t="str">
            <v/>
          </cell>
          <cell r="K271" t="str">
            <v/>
          </cell>
          <cell r="L271"/>
        </row>
        <row r="272">
          <cell r="B272"/>
          <cell r="C272"/>
          <cell r="D272"/>
          <cell r="E272"/>
          <cell r="F272"/>
          <cell r="G272"/>
          <cell r="H272"/>
          <cell r="I272" t="str">
            <v/>
          </cell>
          <cell r="J272" t="str">
            <v/>
          </cell>
          <cell r="K272" t="str">
            <v/>
          </cell>
          <cell r="L272"/>
        </row>
        <row r="273">
          <cell r="B273"/>
          <cell r="C273"/>
          <cell r="D273"/>
          <cell r="E273"/>
          <cell r="F273"/>
          <cell r="G273"/>
          <cell r="H273"/>
          <cell r="I273" t="str">
            <v/>
          </cell>
          <cell r="J273" t="str">
            <v/>
          </cell>
          <cell r="K273" t="str">
            <v/>
          </cell>
          <cell r="L273"/>
        </row>
        <row r="274">
          <cell r="B274"/>
          <cell r="C274"/>
          <cell r="D274"/>
          <cell r="E274"/>
          <cell r="F274"/>
          <cell r="G274"/>
          <cell r="H274"/>
          <cell r="I274" t="str">
            <v/>
          </cell>
          <cell r="J274" t="str">
            <v/>
          </cell>
          <cell r="K274" t="str">
            <v/>
          </cell>
          <cell r="L274"/>
        </row>
        <row r="275">
          <cell r="B275"/>
          <cell r="C275"/>
          <cell r="D275"/>
          <cell r="E275"/>
          <cell r="F275"/>
          <cell r="G275"/>
          <cell r="H275"/>
          <cell r="I275" t="str">
            <v/>
          </cell>
          <cell r="J275" t="str">
            <v/>
          </cell>
          <cell r="K275" t="str">
            <v/>
          </cell>
          <cell r="L275"/>
        </row>
        <row r="276">
          <cell r="B276"/>
          <cell r="C276"/>
          <cell r="D276"/>
          <cell r="E276"/>
          <cell r="F276"/>
          <cell r="G276"/>
          <cell r="H276"/>
          <cell r="I276" t="str">
            <v/>
          </cell>
          <cell r="J276" t="str">
            <v/>
          </cell>
          <cell r="K276" t="str">
            <v/>
          </cell>
          <cell r="L276"/>
        </row>
        <row r="277">
          <cell r="B277"/>
          <cell r="C277"/>
          <cell r="D277"/>
          <cell r="E277"/>
          <cell r="F277"/>
          <cell r="G277"/>
          <cell r="H277"/>
          <cell r="I277" t="str">
            <v/>
          </cell>
          <cell r="J277" t="str">
            <v/>
          </cell>
          <cell r="K277" t="str">
            <v/>
          </cell>
          <cell r="L277"/>
        </row>
        <row r="278">
          <cell r="B278"/>
          <cell r="C278"/>
          <cell r="D278"/>
          <cell r="E278"/>
          <cell r="F278"/>
          <cell r="G278"/>
          <cell r="H278"/>
          <cell r="I278" t="str">
            <v/>
          </cell>
          <cell r="J278" t="str">
            <v/>
          </cell>
          <cell r="K278" t="str">
            <v/>
          </cell>
          <cell r="L278"/>
        </row>
        <row r="279">
          <cell r="B279"/>
          <cell r="C279"/>
          <cell r="D279"/>
          <cell r="E279"/>
          <cell r="F279"/>
          <cell r="G279"/>
          <cell r="H279"/>
          <cell r="I279" t="str">
            <v/>
          </cell>
          <cell r="J279" t="str">
            <v/>
          </cell>
          <cell r="K279" t="str">
            <v/>
          </cell>
          <cell r="L279"/>
        </row>
        <row r="280">
          <cell r="B280"/>
          <cell r="C280"/>
          <cell r="D280"/>
          <cell r="E280"/>
          <cell r="F280"/>
          <cell r="G280"/>
          <cell r="H280"/>
          <cell r="I280" t="str">
            <v/>
          </cell>
          <cell r="J280" t="str">
            <v/>
          </cell>
          <cell r="K280" t="str">
            <v/>
          </cell>
          <cell r="L280"/>
        </row>
        <row r="281">
          <cell r="B281"/>
          <cell r="C281"/>
          <cell r="D281"/>
          <cell r="E281"/>
          <cell r="F281"/>
          <cell r="G281"/>
          <cell r="H281"/>
          <cell r="I281" t="str">
            <v/>
          </cell>
          <cell r="J281" t="str">
            <v/>
          </cell>
          <cell r="K281" t="str">
            <v/>
          </cell>
          <cell r="L281"/>
        </row>
        <row r="282">
          <cell r="B282"/>
          <cell r="C282"/>
          <cell r="D282"/>
          <cell r="E282"/>
          <cell r="F282"/>
          <cell r="G282"/>
          <cell r="H282"/>
          <cell r="I282" t="str">
            <v/>
          </cell>
          <cell r="J282" t="str">
            <v/>
          </cell>
          <cell r="K282" t="str">
            <v/>
          </cell>
          <cell r="L282"/>
        </row>
        <row r="283">
          <cell r="B283"/>
          <cell r="C283"/>
          <cell r="D283"/>
          <cell r="E283"/>
          <cell r="F283"/>
          <cell r="G283"/>
          <cell r="H283"/>
          <cell r="I283" t="str">
            <v/>
          </cell>
          <cell r="J283" t="str">
            <v/>
          </cell>
          <cell r="K283" t="str">
            <v/>
          </cell>
          <cell r="L283"/>
        </row>
        <row r="284">
          <cell r="B284"/>
          <cell r="C284"/>
          <cell r="D284"/>
          <cell r="E284"/>
          <cell r="F284"/>
          <cell r="G284"/>
          <cell r="H284"/>
          <cell r="I284" t="str">
            <v/>
          </cell>
          <cell r="J284" t="str">
            <v/>
          </cell>
          <cell r="K284" t="str">
            <v/>
          </cell>
          <cell r="L284"/>
        </row>
        <row r="285">
          <cell r="B285"/>
          <cell r="C285"/>
          <cell r="D285"/>
          <cell r="E285"/>
          <cell r="F285"/>
          <cell r="G285"/>
          <cell r="H285"/>
          <cell r="I285" t="str">
            <v/>
          </cell>
          <cell r="J285" t="str">
            <v/>
          </cell>
          <cell r="K285" t="str">
            <v/>
          </cell>
          <cell r="L285"/>
        </row>
        <row r="286">
          <cell r="B286"/>
          <cell r="C286"/>
          <cell r="D286"/>
          <cell r="E286"/>
          <cell r="F286"/>
          <cell r="G286"/>
          <cell r="H286"/>
          <cell r="I286" t="str">
            <v/>
          </cell>
          <cell r="J286" t="str">
            <v/>
          </cell>
          <cell r="K286" t="str">
            <v/>
          </cell>
          <cell r="L286"/>
        </row>
        <row r="287">
          <cell r="B287"/>
          <cell r="C287"/>
          <cell r="D287"/>
          <cell r="E287"/>
          <cell r="F287"/>
          <cell r="G287"/>
          <cell r="H287"/>
          <cell r="I287" t="str">
            <v/>
          </cell>
          <cell r="J287" t="str">
            <v/>
          </cell>
          <cell r="K287" t="str">
            <v/>
          </cell>
          <cell r="L287"/>
        </row>
        <row r="288">
          <cell r="B288"/>
          <cell r="C288"/>
          <cell r="D288"/>
          <cell r="E288"/>
          <cell r="F288"/>
          <cell r="G288"/>
          <cell r="H288"/>
          <cell r="I288" t="str">
            <v/>
          </cell>
          <cell r="J288" t="str">
            <v/>
          </cell>
          <cell r="K288" t="str">
            <v/>
          </cell>
          <cell r="L288"/>
        </row>
        <row r="289">
          <cell r="B289"/>
          <cell r="C289"/>
          <cell r="D289"/>
          <cell r="E289"/>
          <cell r="F289"/>
          <cell r="G289"/>
          <cell r="H289"/>
          <cell r="I289" t="str">
            <v/>
          </cell>
          <cell r="J289" t="str">
            <v/>
          </cell>
          <cell r="K289" t="str">
            <v/>
          </cell>
          <cell r="L289"/>
        </row>
        <row r="290">
          <cell r="B290"/>
          <cell r="C290"/>
          <cell r="D290"/>
          <cell r="E290"/>
          <cell r="F290"/>
          <cell r="G290"/>
          <cell r="H290"/>
          <cell r="I290" t="str">
            <v/>
          </cell>
          <cell r="J290" t="str">
            <v/>
          </cell>
          <cell r="K290" t="str">
            <v/>
          </cell>
          <cell r="L290"/>
        </row>
        <row r="291">
          <cell r="B291"/>
          <cell r="C291"/>
          <cell r="D291"/>
          <cell r="E291"/>
          <cell r="F291"/>
          <cell r="G291"/>
          <cell r="H291"/>
          <cell r="I291" t="str">
            <v/>
          </cell>
          <cell r="J291" t="str">
            <v/>
          </cell>
          <cell r="K291" t="str">
            <v/>
          </cell>
          <cell r="L291"/>
        </row>
        <row r="292">
          <cell r="B292"/>
          <cell r="C292"/>
          <cell r="D292"/>
          <cell r="E292"/>
          <cell r="F292"/>
          <cell r="G292"/>
          <cell r="H292"/>
          <cell r="I292" t="str">
            <v/>
          </cell>
          <cell r="J292" t="str">
            <v/>
          </cell>
          <cell r="K292" t="str">
            <v/>
          </cell>
          <cell r="L292"/>
        </row>
        <row r="293">
          <cell r="B293"/>
          <cell r="C293"/>
          <cell r="D293"/>
          <cell r="E293"/>
          <cell r="F293"/>
          <cell r="G293"/>
          <cell r="H293"/>
          <cell r="I293" t="str">
            <v/>
          </cell>
          <cell r="J293" t="str">
            <v/>
          </cell>
          <cell r="K293" t="str">
            <v/>
          </cell>
          <cell r="L293"/>
        </row>
        <row r="294">
          <cell r="B294"/>
          <cell r="C294"/>
          <cell r="D294"/>
          <cell r="E294"/>
          <cell r="F294"/>
          <cell r="G294"/>
          <cell r="H294"/>
          <cell r="I294" t="str">
            <v/>
          </cell>
          <cell r="J294" t="str">
            <v/>
          </cell>
          <cell r="K294" t="str">
            <v/>
          </cell>
          <cell r="L294"/>
        </row>
        <row r="295">
          <cell r="B295"/>
          <cell r="C295"/>
          <cell r="D295"/>
          <cell r="E295"/>
          <cell r="F295"/>
          <cell r="G295"/>
          <cell r="H295"/>
          <cell r="I295" t="str">
            <v/>
          </cell>
          <cell r="J295" t="str">
            <v/>
          </cell>
          <cell r="K295" t="str">
            <v/>
          </cell>
          <cell r="L295"/>
        </row>
        <row r="296">
          <cell r="B296"/>
          <cell r="C296"/>
          <cell r="D296"/>
          <cell r="E296"/>
          <cell r="F296"/>
          <cell r="G296"/>
          <cell r="H296"/>
          <cell r="I296" t="str">
            <v/>
          </cell>
          <cell r="J296" t="str">
            <v/>
          </cell>
          <cell r="K296" t="str">
            <v/>
          </cell>
          <cell r="L296"/>
        </row>
        <row r="297">
          <cell r="B297"/>
          <cell r="C297"/>
          <cell r="D297"/>
          <cell r="E297"/>
          <cell r="F297"/>
          <cell r="G297"/>
          <cell r="H297"/>
          <cell r="I297" t="str">
            <v/>
          </cell>
          <cell r="J297" t="str">
            <v/>
          </cell>
          <cell r="K297" t="str">
            <v/>
          </cell>
          <cell r="L297"/>
        </row>
        <row r="298">
          <cell r="B298"/>
          <cell r="C298"/>
          <cell r="D298"/>
          <cell r="E298"/>
          <cell r="F298"/>
          <cell r="G298"/>
          <cell r="H298"/>
          <cell r="I298" t="str">
            <v/>
          </cell>
          <cell r="J298" t="str">
            <v/>
          </cell>
          <cell r="K298" t="str">
            <v/>
          </cell>
          <cell r="L298"/>
        </row>
        <row r="299">
          <cell r="B299"/>
          <cell r="C299"/>
          <cell r="D299"/>
          <cell r="E299"/>
          <cell r="F299"/>
          <cell r="G299"/>
          <cell r="H299"/>
          <cell r="I299" t="str">
            <v/>
          </cell>
          <cell r="J299" t="str">
            <v/>
          </cell>
          <cell r="K299" t="str">
            <v/>
          </cell>
          <cell r="L299"/>
        </row>
        <row r="300">
          <cell r="B300"/>
          <cell r="C300"/>
          <cell r="D300"/>
          <cell r="E300"/>
          <cell r="F300"/>
          <cell r="G300"/>
          <cell r="H300"/>
          <cell r="I300" t="str">
            <v/>
          </cell>
          <cell r="J300" t="str">
            <v/>
          </cell>
          <cell r="K300" t="str">
            <v/>
          </cell>
          <cell r="L300"/>
        </row>
        <row r="301">
          <cell r="B301"/>
          <cell r="C301"/>
          <cell r="D301"/>
          <cell r="E301"/>
          <cell r="F301"/>
          <cell r="G301"/>
          <cell r="H301"/>
          <cell r="I301" t="str">
            <v/>
          </cell>
          <cell r="J301" t="str">
            <v/>
          </cell>
          <cell r="K301" t="str">
            <v/>
          </cell>
          <cell r="L301"/>
        </row>
        <row r="302">
          <cell r="B302"/>
          <cell r="C302"/>
          <cell r="D302"/>
          <cell r="E302"/>
          <cell r="F302"/>
          <cell r="G302"/>
          <cell r="H302"/>
          <cell r="I302" t="str">
            <v/>
          </cell>
          <cell r="J302" t="str">
            <v/>
          </cell>
          <cell r="K302" t="str">
            <v/>
          </cell>
          <cell r="L302"/>
        </row>
        <row r="303">
          <cell r="B303"/>
          <cell r="C303"/>
          <cell r="D303"/>
          <cell r="E303"/>
          <cell r="F303"/>
          <cell r="G303"/>
          <cell r="H303"/>
          <cell r="I303" t="str">
            <v/>
          </cell>
          <cell r="J303" t="str">
            <v/>
          </cell>
          <cell r="K303" t="str">
            <v/>
          </cell>
          <cell r="L303"/>
        </row>
        <row r="304">
          <cell r="B304"/>
          <cell r="C304"/>
          <cell r="D304"/>
          <cell r="E304"/>
          <cell r="F304"/>
          <cell r="G304"/>
          <cell r="H304"/>
          <cell r="I304" t="str">
            <v/>
          </cell>
          <cell r="J304" t="str">
            <v/>
          </cell>
          <cell r="K304" t="str">
            <v/>
          </cell>
          <cell r="L304"/>
        </row>
        <row r="305">
          <cell r="B305"/>
          <cell r="C305"/>
          <cell r="D305"/>
          <cell r="E305"/>
          <cell r="F305"/>
          <cell r="G305"/>
          <cell r="H305"/>
          <cell r="I305" t="str">
            <v/>
          </cell>
          <cell r="J305" t="str">
            <v/>
          </cell>
          <cell r="K305" t="str">
            <v/>
          </cell>
          <cell r="L305"/>
        </row>
        <row r="306">
          <cell r="B306"/>
          <cell r="C306"/>
          <cell r="D306"/>
          <cell r="E306"/>
          <cell r="F306"/>
          <cell r="G306"/>
          <cell r="H306"/>
          <cell r="I306" t="str">
            <v/>
          </cell>
          <cell r="J306" t="str">
            <v/>
          </cell>
          <cell r="K306" t="str">
            <v/>
          </cell>
          <cell r="L306"/>
        </row>
        <row r="307">
          <cell r="B307"/>
          <cell r="C307"/>
          <cell r="D307"/>
          <cell r="E307"/>
          <cell r="F307"/>
          <cell r="G307"/>
          <cell r="H307"/>
          <cell r="I307" t="str">
            <v/>
          </cell>
          <cell r="J307" t="str">
            <v/>
          </cell>
          <cell r="K307" t="str">
            <v/>
          </cell>
          <cell r="L307"/>
        </row>
        <row r="308">
          <cell r="B308"/>
          <cell r="C308"/>
          <cell r="D308"/>
          <cell r="E308"/>
          <cell r="F308"/>
          <cell r="G308"/>
          <cell r="H308"/>
          <cell r="I308" t="str">
            <v/>
          </cell>
          <cell r="J308" t="str">
            <v/>
          </cell>
          <cell r="K308" t="str">
            <v/>
          </cell>
          <cell r="L308"/>
        </row>
        <row r="309">
          <cell r="B309"/>
          <cell r="C309"/>
          <cell r="D309"/>
          <cell r="E309"/>
          <cell r="F309"/>
          <cell r="G309"/>
          <cell r="H309"/>
          <cell r="I309" t="str">
            <v/>
          </cell>
          <cell r="J309" t="str">
            <v/>
          </cell>
          <cell r="K309" t="str">
            <v/>
          </cell>
          <cell r="L309"/>
        </row>
        <row r="310">
          <cell r="B310"/>
          <cell r="C310"/>
          <cell r="D310"/>
          <cell r="E310"/>
          <cell r="F310"/>
          <cell r="G310"/>
          <cell r="H310"/>
          <cell r="I310" t="str">
            <v/>
          </cell>
          <cell r="J310" t="str">
            <v/>
          </cell>
          <cell r="K310" t="str">
            <v/>
          </cell>
          <cell r="L310"/>
        </row>
        <row r="311">
          <cell r="B311"/>
          <cell r="C311"/>
          <cell r="D311"/>
          <cell r="E311"/>
          <cell r="F311"/>
          <cell r="G311"/>
          <cell r="H311"/>
          <cell r="I311" t="str">
            <v/>
          </cell>
          <cell r="J311" t="str">
            <v/>
          </cell>
          <cell r="K311" t="str">
            <v/>
          </cell>
          <cell r="L311"/>
        </row>
        <row r="312">
          <cell r="B312"/>
          <cell r="C312"/>
          <cell r="D312"/>
          <cell r="E312"/>
          <cell r="F312"/>
          <cell r="G312"/>
          <cell r="H312"/>
          <cell r="I312" t="str">
            <v/>
          </cell>
          <cell r="J312" t="str">
            <v/>
          </cell>
          <cell r="K312" t="str">
            <v/>
          </cell>
          <cell r="L312"/>
        </row>
        <row r="313">
          <cell r="B313"/>
          <cell r="C313"/>
          <cell r="D313"/>
          <cell r="E313"/>
          <cell r="F313"/>
          <cell r="G313"/>
          <cell r="H313"/>
          <cell r="I313" t="str">
            <v/>
          </cell>
          <cell r="J313" t="str">
            <v/>
          </cell>
          <cell r="K313" t="str">
            <v/>
          </cell>
          <cell r="L313"/>
        </row>
        <row r="314">
          <cell r="B314"/>
          <cell r="C314"/>
          <cell r="D314"/>
          <cell r="E314"/>
          <cell r="F314"/>
          <cell r="G314"/>
          <cell r="H314"/>
          <cell r="I314" t="str">
            <v/>
          </cell>
          <cell r="J314" t="str">
            <v/>
          </cell>
          <cell r="K314" t="str">
            <v/>
          </cell>
          <cell r="L314"/>
        </row>
        <row r="315">
          <cell r="B315"/>
          <cell r="C315"/>
          <cell r="D315"/>
          <cell r="E315"/>
          <cell r="F315"/>
          <cell r="G315"/>
          <cell r="H315"/>
          <cell r="I315" t="str">
            <v/>
          </cell>
          <cell r="J315" t="str">
            <v/>
          </cell>
          <cell r="K315" t="str">
            <v/>
          </cell>
          <cell r="L315"/>
        </row>
        <row r="316">
          <cell r="B316"/>
          <cell r="C316"/>
          <cell r="D316"/>
          <cell r="E316"/>
          <cell r="F316"/>
          <cell r="G316"/>
          <cell r="H316"/>
          <cell r="I316" t="str">
            <v/>
          </cell>
          <cell r="J316" t="str">
            <v/>
          </cell>
          <cell r="K316" t="str">
            <v/>
          </cell>
          <cell r="L316"/>
        </row>
        <row r="317">
          <cell r="B317"/>
          <cell r="C317"/>
          <cell r="D317"/>
          <cell r="E317"/>
          <cell r="F317"/>
          <cell r="G317"/>
          <cell r="H317"/>
          <cell r="I317" t="str">
            <v/>
          </cell>
          <cell r="J317" t="str">
            <v/>
          </cell>
          <cell r="K317" t="str">
            <v/>
          </cell>
          <cell r="L317"/>
        </row>
        <row r="318">
          <cell r="B318"/>
          <cell r="C318"/>
          <cell r="D318"/>
          <cell r="E318"/>
          <cell r="F318"/>
          <cell r="G318"/>
          <cell r="H318"/>
          <cell r="I318" t="str">
            <v/>
          </cell>
          <cell r="J318" t="str">
            <v/>
          </cell>
          <cell r="K318" t="str">
            <v/>
          </cell>
          <cell r="L318"/>
        </row>
        <row r="319">
          <cell r="B319"/>
          <cell r="C319"/>
          <cell r="D319"/>
          <cell r="E319"/>
          <cell r="F319"/>
          <cell r="G319"/>
          <cell r="H319"/>
          <cell r="I319" t="str">
            <v/>
          </cell>
          <cell r="J319" t="str">
            <v/>
          </cell>
          <cell r="K319" t="str">
            <v/>
          </cell>
          <cell r="L319"/>
        </row>
        <row r="320">
          <cell r="B320"/>
          <cell r="C320"/>
          <cell r="D320"/>
          <cell r="E320"/>
          <cell r="F320"/>
          <cell r="G320"/>
          <cell r="H320"/>
          <cell r="I320" t="str">
            <v/>
          </cell>
          <cell r="J320" t="str">
            <v/>
          </cell>
          <cell r="K320" t="str">
            <v/>
          </cell>
          <cell r="L320"/>
        </row>
        <row r="321">
          <cell r="B321"/>
          <cell r="C321"/>
          <cell r="D321"/>
          <cell r="E321"/>
          <cell r="F321"/>
          <cell r="G321"/>
          <cell r="H321"/>
          <cell r="I321" t="str">
            <v/>
          </cell>
          <cell r="J321" t="str">
            <v/>
          </cell>
          <cell r="K321" t="str">
            <v/>
          </cell>
          <cell r="L321"/>
        </row>
        <row r="322">
          <cell r="B322"/>
          <cell r="C322"/>
          <cell r="D322"/>
          <cell r="E322"/>
          <cell r="F322"/>
          <cell r="G322"/>
          <cell r="H322"/>
          <cell r="I322" t="str">
            <v/>
          </cell>
          <cell r="J322" t="str">
            <v/>
          </cell>
          <cell r="K322" t="str">
            <v/>
          </cell>
          <cell r="L322"/>
        </row>
        <row r="323">
          <cell r="B323"/>
          <cell r="C323"/>
          <cell r="D323"/>
          <cell r="E323"/>
          <cell r="F323"/>
          <cell r="G323"/>
          <cell r="H323"/>
          <cell r="I323" t="str">
            <v/>
          </cell>
          <cell r="J323" t="str">
            <v/>
          </cell>
          <cell r="K323" t="str">
            <v/>
          </cell>
          <cell r="L323"/>
        </row>
        <row r="324">
          <cell r="B324"/>
          <cell r="C324"/>
          <cell r="D324"/>
          <cell r="E324"/>
          <cell r="F324"/>
          <cell r="G324"/>
          <cell r="H324"/>
          <cell r="I324" t="str">
            <v/>
          </cell>
          <cell r="J324" t="str">
            <v/>
          </cell>
          <cell r="K324" t="str">
            <v/>
          </cell>
          <cell r="L324"/>
        </row>
        <row r="325">
          <cell r="B325"/>
          <cell r="C325"/>
          <cell r="D325"/>
          <cell r="E325"/>
          <cell r="F325"/>
          <cell r="G325"/>
          <cell r="H325"/>
          <cell r="I325" t="str">
            <v/>
          </cell>
          <cell r="J325" t="str">
            <v/>
          </cell>
          <cell r="K325" t="str">
            <v/>
          </cell>
          <cell r="L325"/>
        </row>
        <row r="326">
          <cell r="B326"/>
          <cell r="C326"/>
          <cell r="D326"/>
          <cell r="E326"/>
          <cell r="F326"/>
          <cell r="G326"/>
          <cell r="H326"/>
          <cell r="I326" t="str">
            <v/>
          </cell>
          <cell r="J326" t="str">
            <v/>
          </cell>
          <cell r="K326" t="str">
            <v/>
          </cell>
          <cell r="L326"/>
        </row>
        <row r="327">
          <cell r="B327"/>
          <cell r="C327"/>
          <cell r="D327"/>
          <cell r="E327"/>
          <cell r="F327"/>
          <cell r="G327"/>
          <cell r="H327"/>
          <cell r="I327" t="str">
            <v/>
          </cell>
          <cell r="J327" t="str">
            <v/>
          </cell>
          <cell r="K327" t="str">
            <v/>
          </cell>
          <cell r="L327"/>
        </row>
        <row r="328">
          <cell r="B328"/>
          <cell r="C328"/>
          <cell r="D328"/>
          <cell r="E328"/>
          <cell r="F328"/>
          <cell r="G328"/>
          <cell r="H328"/>
          <cell r="I328" t="str">
            <v/>
          </cell>
          <cell r="J328" t="str">
            <v/>
          </cell>
          <cell r="K328" t="str">
            <v/>
          </cell>
          <cell r="L328"/>
        </row>
        <row r="329">
          <cell r="B329"/>
          <cell r="C329"/>
          <cell r="D329"/>
          <cell r="E329"/>
          <cell r="F329"/>
          <cell r="G329"/>
          <cell r="H329"/>
          <cell r="I329" t="str">
            <v/>
          </cell>
          <cell r="J329" t="str">
            <v/>
          </cell>
          <cell r="K329" t="str">
            <v/>
          </cell>
          <cell r="L329"/>
        </row>
        <row r="330">
          <cell r="B330"/>
          <cell r="C330"/>
          <cell r="D330"/>
          <cell r="E330"/>
          <cell r="F330"/>
          <cell r="G330"/>
          <cell r="H330"/>
          <cell r="I330" t="str">
            <v/>
          </cell>
          <cell r="J330" t="str">
            <v/>
          </cell>
          <cell r="K330" t="str">
            <v/>
          </cell>
          <cell r="L330"/>
        </row>
        <row r="331">
          <cell r="B331"/>
          <cell r="C331"/>
          <cell r="D331"/>
          <cell r="E331"/>
          <cell r="F331"/>
          <cell r="G331"/>
          <cell r="H331"/>
          <cell r="I331" t="str">
            <v/>
          </cell>
          <cell r="J331" t="str">
            <v/>
          </cell>
          <cell r="K331" t="str">
            <v/>
          </cell>
          <cell r="L331"/>
        </row>
        <row r="332">
          <cell r="I332" t="str">
            <v/>
          </cell>
          <cell r="J332" t="str">
            <v/>
          </cell>
          <cell r="K332" t="str">
            <v/>
          </cell>
          <cell r="L332"/>
        </row>
        <row r="333">
          <cell r="I333" t="str">
            <v/>
          </cell>
          <cell r="J333" t="str">
            <v/>
          </cell>
          <cell r="K333" t="str">
            <v/>
          </cell>
          <cell r="L333"/>
        </row>
        <row r="334">
          <cell r="I334" t="str">
            <v/>
          </cell>
          <cell r="J334" t="str">
            <v/>
          </cell>
          <cell r="K334" t="str">
            <v/>
          </cell>
          <cell r="L334"/>
        </row>
        <row r="335">
          <cell r="I335" t="str">
            <v/>
          </cell>
          <cell r="J335" t="str">
            <v/>
          </cell>
          <cell r="K335" t="str">
            <v/>
          </cell>
          <cell r="L335"/>
        </row>
        <row r="336">
          <cell r="I336" t="str">
            <v/>
          </cell>
          <cell r="J336" t="str">
            <v/>
          </cell>
          <cell r="K336" t="str">
            <v/>
          </cell>
          <cell r="L336"/>
        </row>
        <row r="337">
          <cell r="I337" t="str">
            <v/>
          </cell>
          <cell r="J337" t="str">
            <v/>
          </cell>
          <cell r="K337" t="str">
            <v/>
          </cell>
          <cell r="L337"/>
        </row>
        <row r="338">
          <cell r="I338" t="str">
            <v/>
          </cell>
          <cell r="J338" t="str">
            <v/>
          </cell>
          <cell r="K338" t="str">
            <v/>
          </cell>
          <cell r="L338"/>
        </row>
        <row r="339">
          <cell r="I339" t="str">
            <v/>
          </cell>
          <cell r="J339" t="str">
            <v/>
          </cell>
          <cell r="K339" t="str">
            <v/>
          </cell>
          <cell r="L339"/>
        </row>
        <row r="340">
          <cell r="I340" t="str">
            <v/>
          </cell>
          <cell r="J340" t="str">
            <v/>
          </cell>
          <cell r="K340" t="str">
            <v/>
          </cell>
          <cell r="L340"/>
        </row>
        <row r="341">
          <cell r="I341" t="str">
            <v/>
          </cell>
          <cell r="J341" t="str">
            <v/>
          </cell>
          <cell r="K341" t="str">
            <v/>
          </cell>
          <cell r="L341"/>
        </row>
        <row r="342">
          <cell r="I342" t="str">
            <v/>
          </cell>
          <cell r="J342" t="str">
            <v/>
          </cell>
          <cell r="K342" t="str">
            <v/>
          </cell>
          <cell r="L342"/>
        </row>
        <row r="343">
          <cell r="I343" t="str">
            <v/>
          </cell>
          <cell r="J343" t="str">
            <v/>
          </cell>
          <cell r="K343" t="str">
            <v/>
          </cell>
          <cell r="L343"/>
        </row>
        <row r="344">
          <cell r="I344" t="str">
            <v/>
          </cell>
          <cell r="J344" t="str">
            <v/>
          </cell>
          <cell r="K344" t="str">
            <v/>
          </cell>
          <cell r="L344"/>
        </row>
        <row r="345">
          <cell r="I345" t="str">
            <v/>
          </cell>
          <cell r="J345" t="str">
            <v/>
          </cell>
          <cell r="K345" t="str">
            <v/>
          </cell>
          <cell r="L345"/>
        </row>
        <row r="346">
          <cell r="I346" t="str">
            <v/>
          </cell>
          <cell r="J346" t="str">
            <v/>
          </cell>
          <cell r="K346" t="str">
            <v/>
          </cell>
          <cell r="L346"/>
        </row>
        <row r="347">
          <cell r="I347" t="str">
            <v/>
          </cell>
          <cell r="J347" t="str">
            <v/>
          </cell>
          <cell r="K347" t="str">
            <v/>
          </cell>
          <cell r="L347"/>
        </row>
        <row r="348">
          <cell r="I348" t="str">
            <v/>
          </cell>
          <cell r="J348" t="str">
            <v/>
          </cell>
          <cell r="K348" t="str">
            <v/>
          </cell>
          <cell r="L348"/>
        </row>
        <row r="349">
          <cell r="I349" t="str">
            <v/>
          </cell>
          <cell r="J349" t="str">
            <v/>
          </cell>
          <cell r="K349" t="str">
            <v/>
          </cell>
          <cell r="L349"/>
        </row>
        <row r="350">
          <cell r="I350" t="str">
            <v/>
          </cell>
          <cell r="J350" t="str">
            <v/>
          </cell>
          <cell r="K350" t="str">
            <v/>
          </cell>
          <cell r="L350"/>
        </row>
        <row r="351">
          <cell r="I351" t="str">
            <v/>
          </cell>
          <cell r="J351" t="str">
            <v/>
          </cell>
          <cell r="K351" t="str">
            <v/>
          </cell>
          <cell r="L351"/>
        </row>
        <row r="352">
          <cell r="I352" t="str">
            <v/>
          </cell>
          <cell r="J352" t="str">
            <v/>
          </cell>
          <cell r="K352" t="str">
            <v/>
          </cell>
          <cell r="L352"/>
        </row>
        <row r="353">
          <cell r="I353" t="str">
            <v/>
          </cell>
          <cell r="J353" t="str">
            <v/>
          </cell>
          <cell r="K353" t="str">
            <v/>
          </cell>
          <cell r="L353"/>
        </row>
        <row r="354">
          <cell r="I354" t="str">
            <v/>
          </cell>
          <cell r="J354" t="str">
            <v/>
          </cell>
          <cell r="K354" t="str">
            <v/>
          </cell>
          <cell r="L354"/>
        </row>
        <row r="355">
          <cell r="I355" t="str">
            <v/>
          </cell>
          <cell r="J355" t="str">
            <v/>
          </cell>
          <cell r="K355" t="str">
            <v/>
          </cell>
          <cell r="L355"/>
        </row>
        <row r="356">
          <cell r="I356" t="str">
            <v/>
          </cell>
          <cell r="J356" t="str">
            <v/>
          </cell>
          <cell r="K356" t="str">
            <v/>
          </cell>
          <cell r="L356"/>
        </row>
        <row r="357">
          <cell r="I357" t="str">
            <v/>
          </cell>
          <cell r="J357" t="str">
            <v/>
          </cell>
          <cell r="K357" t="str">
            <v/>
          </cell>
          <cell r="L357"/>
        </row>
        <row r="358">
          <cell r="I358" t="str">
            <v/>
          </cell>
          <cell r="J358" t="str">
            <v/>
          </cell>
          <cell r="K358" t="str">
            <v/>
          </cell>
          <cell r="L358"/>
        </row>
        <row r="359">
          <cell r="I359" t="str">
            <v/>
          </cell>
          <cell r="J359" t="str">
            <v/>
          </cell>
          <cell r="K359" t="str">
            <v/>
          </cell>
          <cell r="L359"/>
        </row>
        <row r="360">
          <cell r="I360" t="str">
            <v/>
          </cell>
          <cell r="J360" t="str">
            <v/>
          </cell>
          <cell r="K360" t="str">
            <v/>
          </cell>
          <cell r="L360"/>
        </row>
        <row r="361">
          <cell r="I361" t="str">
            <v/>
          </cell>
          <cell r="J361" t="str">
            <v/>
          </cell>
          <cell r="K361" t="str">
            <v/>
          </cell>
          <cell r="L361"/>
        </row>
        <row r="362">
          <cell r="I362" t="str">
            <v/>
          </cell>
          <cell r="J362" t="str">
            <v/>
          </cell>
          <cell r="K362" t="str">
            <v/>
          </cell>
          <cell r="L362"/>
        </row>
        <row r="363">
          <cell r="I363" t="str">
            <v/>
          </cell>
          <cell r="J363" t="str">
            <v/>
          </cell>
          <cell r="K363" t="str">
            <v/>
          </cell>
          <cell r="L363"/>
        </row>
        <row r="364">
          <cell r="I364" t="str">
            <v/>
          </cell>
          <cell r="J364" t="str">
            <v/>
          </cell>
          <cell r="K364" t="str">
            <v/>
          </cell>
          <cell r="L364"/>
        </row>
        <row r="365">
          <cell r="I365" t="str">
            <v/>
          </cell>
          <cell r="J365" t="str">
            <v/>
          </cell>
          <cell r="K365" t="str">
            <v/>
          </cell>
          <cell r="L365"/>
        </row>
        <row r="366">
          <cell r="I366" t="str">
            <v/>
          </cell>
          <cell r="J366" t="str">
            <v/>
          </cell>
          <cell r="K366" t="str">
            <v/>
          </cell>
          <cell r="L366"/>
        </row>
        <row r="367">
          <cell r="I367" t="str">
            <v/>
          </cell>
          <cell r="J367" t="str">
            <v/>
          </cell>
          <cell r="K367" t="str">
            <v/>
          </cell>
          <cell r="L367"/>
        </row>
        <row r="368">
          <cell r="I368" t="str">
            <v/>
          </cell>
          <cell r="J368" t="str">
            <v/>
          </cell>
          <cell r="K368" t="str">
            <v/>
          </cell>
          <cell r="L368"/>
        </row>
        <row r="369">
          <cell r="I369" t="str">
            <v/>
          </cell>
          <cell r="J369" t="str">
            <v/>
          </cell>
          <cell r="K369" t="str">
            <v/>
          </cell>
          <cell r="L369"/>
        </row>
        <row r="370">
          <cell r="I370" t="str">
            <v/>
          </cell>
          <cell r="J370" t="str">
            <v/>
          </cell>
          <cell r="K370" t="str">
            <v/>
          </cell>
          <cell r="L370"/>
        </row>
        <row r="371">
          <cell r="I371" t="str">
            <v/>
          </cell>
          <cell r="J371" t="str">
            <v/>
          </cell>
          <cell r="K371" t="str">
            <v/>
          </cell>
          <cell r="L371"/>
        </row>
        <row r="372">
          <cell r="I372" t="str">
            <v/>
          </cell>
          <cell r="J372" t="str">
            <v/>
          </cell>
          <cell r="K372" t="str">
            <v/>
          </cell>
          <cell r="L372"/>
        </row>
        <row r="373">
          <cell r="I373" t="str">
            <v/>
          </cell>
          <cell r="J373" t="str">
            <v/>
          </cell>
          <cell r="K373" t="str">
            <v/>
          </cell>
          <cell r="L373"/>
        </row>
        <row r="374">
          <cell r="I374" t="str">
            <v/>
          </cell>
          <cell r="J374" t="str">
            <v/>
          </cell>
          <cell r="K374" t="str">
            <v/>
          </cell>
          <cell r="L374"/>
        </row>
        <row r="375">
          <cell r="I375" t="str">
            <v/>
          </cell>
          <cell r="J375" t="str">
            <v/>
          </cell>
          <cell r="K375" t="str">
            <v/>
          </cell>
          <cell r="L375"/>
        </row>
        <row r="376">
          <cell r="I376" t="str">
            <v/>
          </cell>
          <cell r="J376" t="str">
            <v/>
          </cell>
          <cell r="K376" t="str">
            <v/>
          </cell>
          <cell r="L376"/>
        </row>
        <row r="377">
          <cell r="I377" t="str">
            <v/>
          </cell>
          <cell r="J377" t="str">
            <v/>
          </cell>
          <cell r="K377" t="str">
            <v/>
          </cell>
          <cell r="L377"/>
        </row>
        <row r="378">
          <cell r="I378" t="str">
            <v/>
          </cell>
          <cell r="J378" t="str">
            <v/>
          </cell>
          <cell r="K378" t="str">
            <v/>
          </cell>
          <cell r="L378"/>
        </row>
        <row r="379">
          <cell r="I379" t="str">
            <v/>
          </cell>
          <cell r="J379" t="str">
            <v/>
          </cell>
          <cell r="K379" t="str">
            <v/>
          </cell>
          <cell r="L379"/>
        </row>
        <row r="380">
          <cell r="I380" t="str">
            <v/>
          </cell>
          <cell r="J380" t="str">
            <v/>
          </cell>
          <cell r="K380" t="str">
            <v/>
          </cell>
          <cell r="L380"/>
        </row>
        <row r="381">
          <cell r="I381" t="str">
            <v/>
          </cell>
          <cell r="J381" t="str">
            <v/>
          </cell>
          <cell r="K381" t="str">
            <v/>
          </cell>
          <cell r="L381"/>
        </row>
        <row r="382">
          <cell r="I382" t="str">
            <v/>
          </cell>
          <cell r="J382" t="str">
            <v/>
          </cell>
          <cell r="K382" t="str">
            <v/>
          </cell>
          <cell r="L382"/>
        </row>
        <row r="383">
          <cell r="I383" t="str">
            <v/>
          </cell>
          <cell r="J383" t="str">
            <v/>
          </cell>
          <cell r="K383" t="str">
            <v/>
          </cell>
          <cell r="L383"/>
        </row>
        <row r="384">
          <cell r="I384" t="str">
            <v/>
          </cell>
          <cell r="J384" t="str">
            <v/>
          </cell>
          <cell r="K384" t="str">
            <v/>
          </cell>
          <cell r="L384"/>
        </row>
        <row r="385">
          <cell r="I385" t="str">
            <v/>
          </cell>
          <cell r="J385" t="str">
            <v/>
          </cell>
          <cell r="K385" t="str">
            <v/>
          </cell>
          <cell r="L385"/>
        </row>
        <row r="386">
          <cell r="I386" t="str">
            <v/>
          </cell>
          <cell r="J386" t="str">
            <v/>
          </cell>
          <cell r="K386" t="str">
            <v/>
          </cell>
          <cell r="L386"/>
        </row>
      </sheetData>
      <sheetData sheetId="2">
        <row r="3">
          <cell r="B3" t="str">
            <v>BER</v>
          </cell>
          <cell r="C3">
            <v>1</v>
          </cell>
          <cell r="D3" t="str">
            <v>ALBA Berlin</v>
          </cell>
          <cell r="E3" t="str">
            <v>FC Bayern Munich</v>
          </cell>
          <cell r="F3">
            <v>45204</v>
          </cell>
          <cell r="G3" t="str">
            <v>A</v>
          </cell>
          <cell r="H3" t="str">
            <v>BAY</v>
          </cell>
          <cell r="I3" t="str">
            <v>1.BER</v>
          </cell>
          <cell r="J3" t="str">
            <v>1.BAY</v>
          </cell>
        </row>
        <row r="4">
          <cell r="B4" t="str">
            <v>BER</v>
          </cell>
          <cell r="C4">
            <v>2</v>
          </cell>
          <cell r="D4" t="str">
            <v>ALBA Berlin</v>
          </cell>
          <cell r="E4" t="str">
            <v>Baskonia Vitoria-Gasteiz</v>
          </cell>
          <cell r="F4">
            <v>45211</v>
          </cell>
          <cell r="G4" t="str">
            <v>H</v>
          </cell>
          <cell r="H4" t="str">
            <v>BAS</v>
          </cell>
          <cell r="I4" t="str">
            <v>2.BER</v>
          </cell>
          <cell r="J4" t="str">
            <v>2.BAS</v>
          </cell>
        </row>
        <row r="5">
          <cell r="B5" t="str">
            <v>BER</v>
          </cell>
          <cell r="C5">
            <v>3</v>
          </cell>
          <cell r="D5" t="str">
            <v>ALBA Berlin</v>
          </cell>
          <cell r="E5" t="str">
            <v>Virtus Segafredo Bologna</v>
          </cell>
          <cell r="F5">
            <v>45217</v>
          </cell>
          <cell r="G5" t="str">
            <v>A</v>
          </cell>
          <cell r="H5" t="str">
            <v>VIR</v>
          </cell>
          <cell r="I5" t="str">
            <v>3.BER</v>
          </cell>
          <cell r="J5" t="str">
            <v>3.VIR</v>
          </cell>
        </row>
        <row r="6">
          <cell r="B6" t="str">
            <v>BER</v>
          </cell>
          <cell r="C6">
            <v>4</v>
          </cell>
          <cell r="D6" t="str">
            <v>ALBA Berlin</v>
          </cell>
          <cell r="E6" t="str">
            <v>AS Monaco</v>
          </cell>
          <cell r="F6">
            <v>45219</v>
          </cell>
          <cell r="G6" t="str">
            <v>A</v>
          </cell>
          <cell r="H6" t="str">
            <v>ASM</v>
          </cell>
          <cell r="I6" t="str">
            <v>4.BER</v>
          </cell>
          <cell r="J6" t="str">
            <v>4.ASM</v>
          </cell>
        </row>
        <row r="7">
          <cell r="B7" t="str">
            <v>BER</v>
          </cell>
          <cell r="C7">
            <v>5</v>
          </cell>
          <cell r="D7" t="str">
            <v>ALBA Berlin</v>
          </cell>
          <cell r="E7" t="str">
            <v>EA7 Emporio Armani Milan</v>
          </cell>
          <cell r="F7">
            <v>45225</v>
          </cell>
          <cell r="G7" t="str">
            <v>H</v>
          </cell>
          <cell r="H7" t="str">
            <v>MIL</v>
          </cell>
          <cell r="I7" t="str">
            <v>5.BER</v>
          </cell>
          <cell r="J7" t="str">
            <v>5.MIL</v>
          </cell>
        </row>
        <row r="8">
          <cell r="B8" t="str">
            <v>BER</v>
          </cell>
          <cell r="C8">
            <v>6</v>
          </cell>
          <cell r="D8" t="str">
            <v>ALBA Berlin</v>
          </cell>
          <cell r="E8" t="str">
            <v>Valencia Basket</v>
          </cell>
          <cell r="F8">
            <v>45232</v>
          </cell>
          <cell r="G8" t="str">
            <v>A</v>
          </cell>
          <cell r="H8" t="str">
            <v>VAL</v>
          </cell>
          <cell r="I8" t="str">
            <v>6.BER</v>
          </cell>
          <cell r="J8" t="str">
            <v>6.VAL</v>
          </cell>
        </row>
        <row r="9">
          <cell r="B9" t="str">
            <v>BER</v>
          </cell>
          <cell r="C9">
            <v>7</v>
          </cell>
          <cell r="D9" t="str">
            <v>ALBA Berlin</v>
          </cell>
          <cell r="E9" t="str">
            <v>Panathinaikos Athens</v>
          </cell>
          <cell r="F9">
            <v>45240</v>
          </cell>
          <cell r="G9" t="str">
            <v>H</v>
          </cell>
          <cell r="H9" t="str">
            <v>PAN</v>
          </cell>
          <cell r="I9" t="str">
            <v>7.BER</v>
          </cell>
          <cell r="J9" t="str">
            <v>7.PAN</v>
          </cell>
        </row>
        <row r="10">
          <cell r="B10" t="str">
            <v>BER</v>
          </cell>
          <cell r="C10">
            <v>8</v>
          </cell>
          <cell r="D10" t="str">
            <v>ALBA Berlin</v>
          </cell>
          <cell r="E10" t="str">
            <v>LDLC ASVEL Villeurbanne</v>
          </cell>
          <cell r="F10">
            <v>45245</v>
          </cell>
          <cell r="G10" t="str">
            <v>H</v>
          </cell>
          <cell r="H10" t="str">
            <v>ASV</v>
          </cell>
          <cell r="I10" t="str">
            <v>8.BER</v>
          </cell>
          <cell r="J10" t="str">
            <v>8.ASV</v>
          </cell>
        </row>
        <row r="11">
          <cell r="B11" t="str">
            <v>BER</v>
          </cell>
          <cell r="C11">
            <v>9</v>
          </cell>
          <cell r="D11" t="str">
            <v>ALBA Berlin</v>
          </cell>
          <cell r="E11" t="str">
            <v>Partizan Mozzart Bet Belgrade</v>
          </cell>
          <cell r="F11">
            <v>45247</v>
          </cell>
          <cell r="G11" t="str">
            <v>A</v>
          </cell>
          <cell r="H11" t="str">
            <v>PAR</v>
          </cell>
          <cell r="I11" t="str">
            <v>9.BER</v>
          </cell>
          <cell r="J11" t="str">
            <v>9.PAR</v>
          </cell>
        </row>
        <row r="12">
          <cell r="B12" t="str">
            <v>BER</v>
          </cell>
          <cell r="C12">
            <v>10</v>
          </cell>
          <cell r="D12" t="str">
            <v>ALBA Berlin</v>
          </cell>
          <cell r="E12" t="str">
            <v>Real Madrid</v>
          </cell>
          <cell r="F12">
            <v>45253</v>
          </cell>
          <cell r="G12" t="str">
            <v>A</v>
          </cell>
          <cell r="H12" t="str">
            <v>RMB</v>
          </cell>
          <cell r="I12" t="str">
            <v>10.BER</v>
          </cell>
          <cell r="J12" t="str">
            <v>10.RMB</v>
          </cell>
        </row>
        <row r="13">
          <cell r="B13" t="str">
            <v>BER</v>
          </cell>
          <cell r="C13">
            <v>11</v>
          </cell>
          <cell r="D13" t="str">
            <v>ALBA Berlin</v>
          </cell>
          <cell r="E13" t="str">
            <v>Maccabi Playtika Tel Aviv</v>
          </cell>
          <cell r="F13">
            <v>45260</v>
          </cell>
          <cell r="G13" t="str">
            <v>A</v>
          </cell>
          <cell r="H13" t="str">
            <v>MTA</v>
          </cell>
          <cell r="I13" t="str">
            <v>11.BER</v>
          </cell>
          <cell r="J13" t="str">
            <v>11.MTA</v>
          </cell>
        </row>
        <row r="14">
          <cell r="B14" t="str">
            <v>BER</v>
          </cell>
          <cell r="C14">
            <v>12</v>
          </cell>
          <cell r="D14" t="str">
            <v>ALBA Berlin</v>
          </cell>
          <cell r="E14" t="str">
            <v>Zalgiris Kaunas</v>
          </cell>
          <cell r="F14">
            <v>45265</v>
          </cell>
          <cell r="G14" t="str">
            <v>H</v>
          </cell>
          <cell r="H14" t="str">
            <v>ZAL</v>
          </cell>
          <cell r="I14" t="str">
            <v>12.BER</v>
          </cell>
          <cell r="J14" t="str">
            <v>12.ZAL</v>
          </cell>
        </row>
        <row r="15">
          <cell r="B15" t="str">
            <v>BER</v>
          </cell>
          <cell r="C15">
            <v>13</v>
          </cell>
          <cell r="D15" t="str">
            <v>ALBA Berlin</v>
          </cell>
          <cell r="E15" t="str">
            <v>Anadolu Efes Istanbul</v>
          </cell>
          <cell r="F15">
            <v>45267</v>
          </cell>
          <cell r="G15" t="str">
            <v>H</v>
          </cell>
          <cell r="H15" t="str">
            <v>EFE</v>
          </cell>
          <cell r="I15" t="str">
            <v>13.BER</v>
          </cell>
          <cell r="J15" t="str">
            <v>13.EFE</v>
          </cell>
        </row>
        <row r="16">
          <cell r="B16" t="str">
            <v>BER</v>
          </cell>
          <cell r="C16">
            <v>14</v>
          </cell>
          <cell r="D16" t="str">
            <v>ALBA Berlin</v>
          </cell>
          <cell r="E16" t="str">
            <v>Crvena Zvezda Meridianbet Belgrade</v>
          </cell>
          <cell r="F16">
            <v>45275</v>
          </cell>
          <cell r="G16" t="str">
            <v>A</v>
          </cell>
          <cell r="H16" t="str">
            <v>CZB</v>
          </cell>
          <cell r="I16" t="str">
            <v>14.BER</v>
          </cell>
          <cell r="J16" t="str">
            <v>14.CZB</v>
          </cell>
        </row>
        <row r="17">
          <cell r="B17" t="str">
            <v>BER</v>
          </cell>
          <cell r="C17">
            <v>15</v>
          </cell>
          <cell r="D17" t="str">
            <v>ALBA Berlin</v>
          </cell>
          <cell r="E17" t="str">
            <v>FC Barcelona</v>
          </cell>
          <cell r="F17">
            <v>45279</v>
          </cell>
          <cell r="G17" t="str">
            <v>H</v>
          </cell>
          <cell r="H17" t="str">
            <v>FCB</v>
          </cell>
          <cell r="I17" t="str">
            <v>15.BER</v>
          </cell>
          <cell r="J17" t="str">
            <v>15.FCB</v>
          </cell>
        </row>
        <row r="18">
          <cell r="B18" t="str">
            <v>BER</v>
          </cell>
          <cell r="C18">
            <v>16</v>
          </cell>
          <cell r="D18" t="str">
            <v>ALBA Berlin</v>
          </cell>
          <cell r="E18" t="str">
            <v>Fenerbahce Beko Istanbul</v>
          </cell>
          <cell r="F18">
            <v>45282</v>
          </cell>
          <cell r="G18" t="str">
            <v>H</v>
          </cell>
          <cell r="H18" t="str">
            <v>FEN</v>
          </cell>
          <cell r="I18" t="str">
            <v>16.BER</v>
          </cell>
          <cell r="J18" t="str">
            <v>16.FEN</v>
          </cell>
        </row>
        <row r="19">
          <cell r="B19" t="str">
            <v>BER</v>
          </cell>
          <cell r="C19">
            <v>17</v>
          </cell>
          <cell r="D19" t="str">
            <v>ALBA Berlin</v>
          </cell>
          <cell r="E19" t="str">
            <v>Olympiacos Piraeus</v>
          </cell>
          <cell r="F19">
            <v>45289</v>
          </cell>
          <cell r="G19" t="str">
            <v>H</v>
          </cell>
          <cell r="H19" t="str">
            <v>OLY</v>
          </cell>
          <cell r="I19" t="str">
            <v>17.BER</v>
          </cell>
          <cell r="J19" t="str">
            <v>17.OLY</v>
          </cell>
        </row>
        <row r="20">
          <cell r="B20" t="str">
            <v>BER</v>
          </cell>
          <cell r="C20">
            <v>18</v>
          </cell>
          <cell r="D20" t="str">
            <v>ALBA Berlin</v>
          </cell>
          <cell r="E20" t="str">
            <v>Zalgiris Kaunas</v>
          </cell>
          <cell r="F20">
            <v>45293</v>
          </cell>
          <cell r="G20" t="str">
            <v>A</v>
          </cell>
          <cell r="H20" t="str">
            <v>ZAL</v>
          </cell>
          <cell r="I20" t="str">
            <v>18.BER</v>
          </cell>
          <cell r="J20" t="str">
            <v>18.ZAL</v>
          </cell>
        </row>
        <row r="21">
          <cell r="B21" t="str">
            <v>BER</v>
          </cell>
          <cell r="C21">
            <v>19</v>
          </cell>
          <cell r="D21" t="str">
            <v>ALBA Berlin</v>
          </cell>
          <cell r="E21" t="str">
            <v>Virtus Segafredo Bologna</v>
          </cell>
          <cell r="F21">
            <v>45296</v>
          </cell>
          <cell r="G21" t="str">
            <v>H</v>
          </cell>
          <cell r="H21" t="str">
            <v>VIR</v>
          </cell>
          <cell r="I21" t="str">
            <v>19.BER</v>
          </cell>
          <cell r="J21" t="str">
            <v>19.VIR</v>
          </cell>
        </row>
        <row r="22">
          <cell r="B22" t="str">
            <v>BER</v>
          </cell>
          <cell r="C22">
            <v>20</v>
          </cell>
          <cell r="D22" t="str">
            <v>ALBA Berlin</v>
          </cell>
          <cell r="E22" t="str">
            <v>EA7 Emporio Armani Milan</v>
          </cell>
          <cell r="F22">
            <v>45300</v>
          </cell>
          <cell r="G22" t="str">
            <v>A</v>
          </cell>
          <cell r="H22" t="str">
            <v>MIL</v>
          </cell>
          <cell r="I22" t="str">
            <v>20.BER</v>
          </cell>
          <cell r="J22" t="str">
            <v>20.MIL</v>
          </cell>
        </row>
        <row r="23">
          <cell r="B23" t="str">
            <v>BER</v>
          </cell>
          <cell r="C23">
            <v>21</v>
          </cell>
          <cell r="D23" t="str">
            <v>ALBA Berlin</v>
          </cell>
          <cell r="E23" t="str">
            <v>LDLC ASVEL Villeurbanne</v>
          </cell>
          <cell r="F23">
            <v>45303</v>
          </cell>
          <cell r="G23" t="str">
            <v>A</v>
          </cell>
          <cell r="H23" t="str">
            <v>ASV</v>
          </cell>
          <cell r="I23" t="str">
            <v>21.BER</v>
          </cell>
          <cell r="J23" t="str">
            <v>21.ASV</v>
          </cell>
        </row>
        <row r="24">
          <cell r="B24" t="str">
            <v>BER</v>
          </cell>
          <cell r="C24">
            <v>22</v>
          </cell>
          <cell r="D24" t="str">
            <v>ALBA Berlin</v>
          </cell>
          <cell r="E24" t="str">
            <v>FC Bayern Munich</v>
          </cell>
          <cell r="F24">
            <v>45309</v>
          </cell>
          <cell r="G24" t="str">
            <v>H</v>
          </cell>
          <cell r="H24" t="str">
            <v>BAY</v>
          </cell>
          <cell r="I24" t="str">
            <v>22.BER</v>
          </cell>
          <cell r="J24" t="str">
            <v>22.BAY</v>
          </cell>
        </row>
        <row r="25">
          <cell r="B25" t="str">
            <v>BER</v>
          </cell>
          <cell r="C25">
            <v>23</v>
          </cell>
          <cell r="D25" t="str">
            <v>ALBA Berlin</v>
          </cell>
          <cell r="E25" t="str">
            <v>Crvena Zvezda Meridianbet Belgrade</v>
          </cell>
          <cell r="F25">
            <v>45316</v>
          </cell>
          <cell r="G25" t="str">
            <v>H</v>
          </cell>
          <cell r="H25" t="str">
            <v>CZB</v>
          </cell>
          <cell r="I25" t="str">
            <v>23.BER</v>
          </cell>
          <cell r="J25" t="str">
            <v>23.CZB</v>
          </cell>
        </row>
        <row r="26">
          <cell r="B26" t="str">
            <v>BER</v>
          </cell>
          <cell r="C26">
            <v>24</v>
          </cell>
          <cell r="D26" t="str">
            <v>ALBA Berlin</v>
          </cell>
          <cell r="E26" t="str">
            <v>Olympiacos Piraeus</v>
          </cell>
          <cell r="F26">
            <v>45321</v>
          </cell>
          <cell r="G26" t="str">
            <v>A</v>
          </cell>
          <cell r="H26" t="str">
            <v>OLY</v>
          </cell>
          <cell r="I26" t="str">
            <v>24.BER</v>
          </cell>
          <cell r="J26" t="str">
            <v>24.OLY</v>
          </cell>
        </row>
        <row r="27">
          <cell r="B27" t="str">
            <v>BER</v>
          </cell>
          <cell r="C27">
            <v>25</v>
          </cell>
          <cell r="D27" t="str">
            <v>ALBA Berlin</v>
          </cell>
          <cell r="E27" t="str">
            <v>Valencia Basket</v>
          </cell>
          <cell r="F27">
            <v>45323</v>
          </cell>
          <cell r="G27" t="str">
            <v>H</v>
          </cell>
          <cell r="H27" t="str">
            <v>VAL</v>
          </cell>
          <cell r="I27" t="str">
            <v>25.BER</v>
          </cell>
          <cell r="J27" t="str">
            <v>25.VAL</v>
          </cell>
        </row>
        <row r="28">
          <cell r="B28" t="str">
            <v>BER</v>
          </cell>
          <cell r="C28">
            <v>26</v>
          </cell>
          <cell r="D28" t="str">
            <v>ALBA Berlin</v>
          </cell>
          <cell r="E28" t="str">
            <v>FC Barcelona</v>
          </cell>
          <cell r="F28">
            <v>45331</v>
          </cell>
          <cell r="G28" t="str">
            <v>A</v>
          </cell>
          <cell r="H28" t="str">
            <v>FCB</v>
          </cell>
          <cell r="I28" t="str">
            <v>26.BER</v>
          </cell>
          <cell r="J28" t="str">
            <v>26.FCB</v>
          </cell>
        </row>
        <row r="29">
          <cell r="B29" t="str">
            <v>BER</v>
          </cell>
          <cell r="C29">
            <v>27</v>
          </cell>
          <cell r="D29" t="str">
            <v>ALBA Berlin</v>
          </cell>
          <cell r="E29" t="str">
            <v>Maccabi Playtika Tel Aviv</v>
          </cell>
          <cell r="F29">
            <v>45351</v>
          </cell>
          <cell r="G29" t="str">
            <v>H</v>
          </cell>
          <cell r="H29" t="str">
            <v>MTA</v>
          </cell>
          <cell r="I29" t="str">
            <v>27.BER</v>
          </cell>
          <cell r="J29" t="str">
            <v>27.MTA</v>
          </cell>
        </row>
        <row r="30">
          <cell r="B30" t="str">
            <v>BER</v>
          </cell>
          <cell r="C30">
            <v>28</v>
          </cell>
          <cell r="D30" t="str">
            <v>ALBA Berlin</v>
          </cell>
          <cell r="E30" t="str">
            <v>Baskonia Vitoria-Gasteiz</v>
          </cell>
          <cell r="F30">
            <v>45359</v>
          </cell>
          <cell r="G30" t="str">
            <v>A</v>
          </cell>
          <cell r="H30" t="str">
            <v>BAS</v>
          </cell>
          <cell r="I30" t="str">
            <v>28.BER</v>
          </cell>
          <cell r="J30" t="str">
            <v>28.BAS</v>
          </cell>
        </row>
        <row r="31">
          <cell r="B31" t="str">
            <v>BER</v>
          </cell>
          <cell r="C31">
            <v>29</v>
          </cell>
          <cell r="D31" t="str">
            <v>ALBA Berlin</v>
          </cell>
          <cell r="E31" t="str">
            <v>AS Monaco</v>
          </cell>
          <cell r="F31">
            <v>45365</v>
          </cell>
          <cell r="G31" t="str">
            <v>H</v>
          </cell>
          <cell r="H31" t="str">
            <v>ASM</v>
          </cell>
          <cell r="I31" t="str">
            <v>29.BER</v>
          </cell>
          <cell r="J31" t="str">
            <v>29.ASM</v>
          </cell>
        </row>
        <row r="32">
          <cell r="B32" t="str">
            <v>BER</v>
          </cell>
          <cell r="C32">
            <v>30</v>
          </cell>
          <cell r="D32" t="str">
            <v>ALBA Berlin</v>
          </cell>
          <cell r="E32" t="str">
            <v>Real Madrid</v>
          </cell>
          <cell r="F32">
            <v>45370</v>
          </cell>
          <cell r="G32" t="str">
            <v>H</v>
          </cell>
          <cell r="H32" t="str">
            <v>RMB</v>
          </cell>
          <cell r="I32" t="str">
            <v>30.BER</v>
          </cell>
          <cell r="J32" t="str">
            <v>30.RMB</v>
          </cell>
        </row>
        <row r="33">
          <cell r="B33" t="str">
            <v>BER</v>
          </cell>
          <cell r="C33">
            <v>31</v>
          </cell>
          <cell r="D33" t="str">
            <v>ALBA Berlin</v>
          </cell>
          <cell r="E33" t="str">
            <v>Anadolu Efes Istanbul</v>
          </cell>
          <cell r="F33">
            <v>45372</v>
          </cell>
          <cell r="G33" t="str">
            <v>A</v>
          </cell>
          <cell r="H33" t="str">
            <v>EFE</v>
          </cell>
          <cell r="I33" t="str">
            <v>31.BER</v>
          </cell>
          <cell r="J33" t="str">
            <v>31.EFE</v>
          </cell>
        </row>
        <row r="34">
          <cell r="B34" t="str">
            <v>BER</v>
          </cell>
          <cell r="C34">
            <v>32</v>
          </cell>
          <cell r="D34" t="str">
            <v>ALBA Berlin</v>
          </cell>
          <cell r="E34" t="str">
            <v>Fenerbahce Beko Istanbul</v>
          </cell>
          <cell r="F34">
            <v>45380</v>
          </cell>
          <cell r="G34" t="str">
            <v>A</v>
          </cell>
          <cell r="H34" t="str">
            <v>FEN</v>
          </cell>
          <cell r="I34" t="str">
            <v>32.BER</v>
          </cell>
          <cell r="J34" t="str">
            <v>32.FEN</v>
          </cell>
        </row>
        <row r="35">
          <cell r="B35" t="str">
            <v>BER</v>
          </cell>
          <cell r="C35">
            <v>33</v>
          </cell>
          <cell r="D35" t="str">
            <v>ALBA Berlin</v>
          </cell>
          <cell r="E35" t="str">
            <v>Partizan Mozzart Bet Belgrade</v>
          </cell>
          <cell r="F35">
            <v>45386</v>
          </cell>
          <cell r="G35" t="str">
            <v>H</v>
          </cell>
          <cell r="H35" t="str">
            <v>PAR</v>
          </cell>
          <cell r="I35" t="str">
            <v>33.BER</v>
          </cell>
          <cell r="J35" t="str">
            <v>33.PAR</v>
          </cell>
        </row>
        <row r="36">
          <cell r="B36" t="str">
            <v>BER</v>
          </cell>
          <cell r="C36">
            <v>34</v>
          </cell>
          <cell r="D36" t="str">
            <v>ALBA Berlin</v>
          </cell>
          <cell r="E36" t="str">
            <v>Panathinaikos Athens</v>
          </cell>
          <cell r="F36">
            <v>45393</v>
          </cell>
          <cell r="G36" t="str">
            <v>A</v>
          </cell>
          <cell r="H36" t="str">
            <v>PAN</v>
          </cell>
          <cell r="I36" t="str">
            <v>34.BER</v>
          </cell>
          <cell r="J36" t="str">
            <v>34.PAN</v>
          </cell>
        </row>
        <row r="37">
          <cell r="B37" t="str">
            <v>BER</v>
          </cell>
          <cell r="C37">
            <v>35</v>
          </cell>
          <cell r="D37" t="str">
            <v>ALBA Berlin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</row>
        <row r="38">
          <cell r="B38" t="str">
            <v>BER</v>
          </cell>
          <cell r="C38">
            <v>36</v>
          </cell>
          <cell r="D38" t="str">
            <v>ALBA Berlin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</row>
        <row r="39">
          <cell r="B39" t="str">
            <v>BER</v>
          </cell>
          <cell r="C39">
            <v>37</v>
          </cell>
          <cell r="D39" t="str">
            <v>ALBA Berlin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</row>
        <row r="40">
          <cell r="B40" t="str">
            <v>BER</v>
          </cell>
          <cell r="C40">
            <v>38</v>
          </cell>
          <cell r="D40" t="str">
            <v>ALBA Berlin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</row>
        <row r="41">
          <cell r="B41" t="str">
            <v>BER</v>
          </cell>
          <cell r="C41">
            <v>39</v>
          </cell>
          <cell r="D41" t="str">
            <v>ALBA Berlin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</row>
        <row r="42">
          <cell r="B42" t="str">
            <v>BER</v>
          </cell>
          <cell r="C42">
            <v>40</v>
          </cell>
          <cell r="D42" t="str">
            <v>ALBA Berlin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</row>
        <row r="43">
          <cell r="B43" t="str">
            <v>BER</v>
          </cell>
          <cell r="C43">
            <v>41</v>
          </cell>
          <cell r="D43" t="str">
            <v>ALBA Berlin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</row>
        <row r="44">
          <cell r="B44" t="str">
            <v>BER</v>
          </cell>
          <cell r="C44">
            <v>42</v>
          </cell>
          <cell r="D44" t="str">
            <v>ALBA Berlin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</row>
        <row r="45">
          <cell r="B45" t="str">
            <v>BER</v>
          </cell>
          <cell r="C45">
            <v>43</v>
          </cell>
          <cell r="D45" t="str">
            <v>ALBA Berlin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</row>
        <row r="46">
          <cell r="B46" t="str">
            <v>BER</v>
          </cell>
          <cell r="C46">
            <v>44</v>
          </cell>
          <cell r="D46" t="str">
            <v>ALBA Berlin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</row>
        <row r="47">
          <cell r="B47" t="str">
            <v>BER</v>
          </cell>
          <cell r="C47">
            <v>45</v>
          </cell>
          <cell r="D47" t="str">
            <v>ALBA Berlin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</row>
        <row r="48">
          <cell r="B48" t="str">
            <v>BER</v>
          </cell>
          <cell r="C48">
            <v>46</v>
          </cell>
          <cell r="D48" t="str">
            <v>ALBA Berlin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</row>
        <row r="49">
          <cell r="B49" t="str">
            <v>BER</v>
          </cell>
          <cell r="C49">
            <v>47</v>
          </cell>
          <cell r="D49" t="str">
            <v>ALBA Berlin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</row>
        <row r="50">
          <cell r="B50" t="str">
            <v>BER</v>
          </cell>
          <cell r="C50">
            <v>48</v>
          </cell>
          <cell r="D50" t="str">
            <v>ALBA Berlin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</row>
        <row r="51">
          <cell r="B51" t="str">
            <v>BER</v>
          </cell>
          <cell r="C51">
            <v>49</v>
          </cell>
          <cell r="D51" t="str">
            <v>ALBA Berlin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</row>
        <row r="52">
          <cell r="B52" t="str">
            <v>BER</v>
          </cell>
          <cell r="C52">
            <v>50</v>
          </cell>
          <cell r="D52" t="str">
            <v>ALBA Berlin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</row>
        <row r="53">
          <cell r="B53" t="str">
            <v>BER</v>
          </cell>
          <cell r="C53">
            <v>51</v>
          </cell>
          <cell r="D53" t="str">
            <v>ALBA Berlin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</row>
        <row r="54">
          <cell r="B54" t="str">
            <v>EFE</v>
          </cell>
          <cell r="C54">
            <v>1</v>
          </cell>
          <cell r="D54" t="str">
            <v>Anadolu Efes Istanbul</v>
          </cell>
          <cell r="E54" t="str">
            <v>FC Barcelona</v>
          </cell>
          <cell r="F54">
            <v>45204</v>
          </cell>
          <cell r="G54" t="str">
            <v>A</v>
          </cell>
          <cell r="H54" t="str">
            <v>FCB</v>
          </cell>
          <cell r="I54" t="str">
            <v>1.EFE</v>
          </cell>
          <cell r="J54" t="str">
            <v>1.FCB</v>
          </cell>
        </row>
        <row r="55">
          <cell r="B55" t="str">
            <v>EFE</v>
          </cell>
          <cell r="C55">
            <v>2</v>
          </cell>
          <cell r="D55" t="str">
            <v>Anadolu Efes Istanbul</v>
          </cell>
          <cell r="E55" t="str">
            <v>Real Madrid</v>
          </cell>
          <cell r="F55">
            <v>45211</v>
          </cell>
          <cell r="G55" t="str">
            <v>H</v>
          </cell>
          <cell r="H55" t="str">
            <v>RMB</v>
          </cell>
          <cell r="I55" t="str">
            <v>2.EFE</v>
          </cell>
          <cell r="J55" t="str">
            <v>2.RMB</v>
          </cell>
        </row>
        <row r="56">
          <cell r="B56" t="str">
            <v>EFE</v>
          </cell>
          <cell r="C56">
            <v>3</v>
          </cell>
          <cell r="D56" t="str">
            <v>Anadolu Efes Istanbul</v>
          </cell>
          <cell r="E56" t="str">
            <v>LDLC ASVEL Villeurbanne</v>
          </cell>
          <cell r="F56">
            <v>45216</v>
          </cell>
          <cell r="G56" t="str">
            <v>H</v>
          </cell>
          <cell r="H56" t="str">
            <v>ASV</v>
          </cell>
          <cell r="I56" t="str">
            <v>3.EFE</v>
          </cell>
          <cell r="J56" t="str">
            <v>3.ASV</v>
          </cell>
        </row>
        <row r="57">
          <cell r="B57" t="str">
            <v>EFE</v>
          </cell>
          <cell r="C57">
            <v>4</v>
          </cell>
          <cell r="D57" t="str">
            <v>Anadolu Efes Istanbul</v>
          </cell>
          <cell r="E57" t="str">
            <v>Valencia Basket</v>
          </cell>
          <cell r="F57">
            <v>45219</v>
          </cell>
          <cell r="G57" t="str">
            <v>H</v>
          </cell>
          <cell r="H57" t="str">
            <v>VAL</v>
          </cell>
          <cell r="I57" t="str">
            <v>4.EFE</v>
          </cell>
          <cell r="J57" t="str">
            <v>4.VAL</v>
          </cell>
        </row>
        <row r="58">
          <cell r="B58" t="str">
            <v>EFE</v>
          </cell>
          <cell r="C58">
            <v>5</v>
          </cell>
          <cell r="D58" t="str">
            <v>Anadolu Efes Istanbul</v>
          </cell>
          <cell r="E58" t="str">
            <v>Olympiacos Piraeus</v>
          </cell>
          <cell r="F58">
            <v>45225</v>
          </cell>
          <cell r="G58" t="str">
            <v>A</v>
          </cell>
          <cell r="H58" t="str">
            <v>OLY</v>
          </cell>
          <cell r="I58" t="str">
            <v>5.EFE</v>
          </cell>
          <cell r="J58" t="str">
            <v>5.OLY</v>
          </cell>
        </row>
        <row r="59">
          <cell r="B59" t="str">
            <v>EFE</v>
          </cell>
          <cell r="C59">
            <v>6</v>
          </cell>
          <cell r="D59" t="str">
            <v>Anadolu Efes Istanbul</v>
          </cell>
          <cell r="E59" t="str">
            <v>Virtus Segafredo Bologna</v>
          </cell>
          <cell r="F59">
            <v>45233</v>
          </cell>
          <cell r="G59" t="str">
            <v>A</v>
          </cell>
          <cell r="H59" t="str">
            <v>VIR</v>
          </cell>
          <cell r="I59" t="str">
            <v>6.EFE</v>
          </cell>
          <cell r="J59" t="str">
            <v>6.VIR</v>
          </cell>
        </row>
        <row r="60">
          <cell r="B60" t="str">
            <v>EFE</v>
          </cell>
          <cell r="C60">
            <v>7</v>
          </cell>
          <cell r="D60" t="str">
            <v>Anadolu Efes Istanbul</v>
          </cell>
          <cell r="E60" t="str">
            <v>Zalgiris Kaunas</v>
          </cell>
          <cell r="F60">
            <v>45239</v>
          </cell>
          <cell r="G60" t="str">
            <v>H</v>
          </cell>
          <cell r="H60" t="str">
            <v>ZAL</v>
          </cell>
          <cell r="I60" t="str">
            <v>7.EFE</v>
          </cell>
          <cell r="J60" t="str">
            <v>7.ZAL</v>
          </cell>
        </row>
        <row r="61">
          <cell r="B61" t="str">
            <v>EFE</v>
          </cell>
          <cell r="C61">
            <v>8</v>
          </cell>
          <cell r="D61" t="str">
            <v>Anadolu Efes Istanbul</v>
          </cell>
          <cell r="E61" t="str">
            <v>AS Monaco</v>
          </cell>
          <cell r="F61">
            <v>45244</v>
          </cell>
          <cell r="G61" t="str">
            <v>A</v>
          </cell>
          <cell r="H61" t="str">
            <v>ASM</v>
          </cell>
          <cell r="I61" t="str">
            <v>8.EFE</v>
          </cell>
          <cell r="J61" t="str">
            <v>8.ASM</v>
          </cell>
        </row>
        <row r="62">
          <cell r="B62" t="str">
            <v>EFE</v>
          </cell>
          <cell r="C62">
            <v>9</v>
          </cell>
          <cell r="D62" t="str">
            <v>Anadolu Efes Istanbul</v>
          </cell>
          <cell r="E62" t="str">
            <v>EA7 Emporio Armani Milan</v>
          </cell>
          <cell r="F62">
            <v>45246</v>
          </cell>
          <cell r="G62" t="str">
            <v>A</v>
          </cell>
          <cell r="H62" t="str">
            <v>MIL</v>
          </cell>
          <cell r="I62" t="str">
            <v>9.EFE</v>
          </cell>
          <cell r="J62" t="str">
            <v>9.MIL</v>
          </cell>
        </row>
        <row r="63">
          <cell r="B63" t="str">
            <v>EFE</v>
          </cell>
          <cell r="C63">
            <v>10</v>
          </cell>
          <cell r="D63" t="str">
            <v>Anadolu Efes Istanbul</v>
          </cell>
          <cell r="E63" t="str">
            <v>Partizan Mozzart Bet Belgrade</v>
          </cell>
          <cell r="F63">
            <v>45254</v>
          </cell>
          <cell r="G63" t="str">
            <v>H</v>
          </cell>
          <cell r="H63" t="str">
            <v>PAR</v>
          </cell>
          <cell r="I63" t="str">
            <v>10.EFE</v>
          </cell>
          <cell r="J63" t="str">
            <v>10.PAR</v>
          </cell>
        </row>
        <row r="64">
          <cell r="B64" t="str">
            <v>EFE</v>
          </cell>
          <cell r="C64">
            <v>11</v>
          </cell>
          <cell r="D64" t="str">
            <v>Anadolu Efes Istanbul</v>
          </cell>
          <cell r="E64" t="str">
            <v>Crvena Zvezda Meridianbet Belgrade</v>
          </cell>
          <cell r="F64">
            <v>45261</v>
          </cell>
          <cell r="G64" t="str">
            <v>A</v>
          </cell>
          <cell r="H64" t="str">
            <v>CZB</v>
          </cell>
          <cell r="I64" t="str">
            <v>11.EFE</v>
          </cell>
          <cell r="J64" t="str">
            <v>11.CZB</v>
          </cell>
        </row>
        <row r="65">
          <cell r="B65" t="str">
            <v>EFE</v>
          </cell>
          <cell r="C65">
            <v>12</v>
          </cell>
          <cell r="D65" t="str">
            <v>Anadolu Efes Istanbul</v>
          </cell>
          <cell r="E65" t="str">
            <v>Panathinaikos Athens</v>
          </cell>
          <cell r="F65">
            <v>45265</v>
          </cell>
          <cell r="G65" t="str">
            <v>H</v>
          </cell>
          <cell r="H65" t="str">
            <v>PAN</v>
          </cell>
          <cell r="I65" t="str">
            <v>12.EFE</v>
          </cell>
          <cell r="J65" t="str">
            <v>12.PAN</v>
          </cell>
        </row>
        <row r="66">
          <cell r="B66" t="str">
            <v>EFE</v>
          </cell>
          <cell r="C66">
            <v>13</v>
          </cell>
          <cell r="D66" t="str">
            <v>Anadolu Efes Istanbul</v>
          </cell>
          <cell r="E66" t="str">
            <v>ALBA Berlin</v>
          </cell>
          <cell r="F66">
            <v>45267</v>
          </cell>
          <cell r="G66" t="str">
            <v>A</v>
          </cell>
          <cell r="H66" t="str">
            <v>BER</v>
          </cell>
          <cell r="I66" t="str">
            <v>13.EFE</v>
          </cell>
          <cell r="J66" t="str">
            <v>13.BER</v>
          </cell>
        </row>
        <row r="67">
          <cell r="B67" t="str">
            <v>EFE</v>
          </cell>
          <cell r="C67">
            <v>14</v>
          </cell>
          <cell r="D67" t="str">
            <v>Anadolu Efes Istanbul</v>
          </cell>
          <cell r="E67" t="str">
            <v>Maccabi Playtika Tel Aviv</v>
          </cell>
          <cell r="F67">
            <v>45274</v>
          </cell>
          <cell r="G67" t="str">
            <v>H</v>
          </cell>
          <cell r="H67" t="str">
            <v>MTA</v>
          </cell>
          <cell r="I67" t="str">
            <v>14.EFE</v>
          </cell>
          <cell r="J67" t="str">
            <v>14.MTA</v>
          </cell>
        </row>
        <row r="68">
          <cell r="B68" t="str">
            <v>EFE</v>
          </cell>
          <cell r="C68">
            <v>15</v>
          </cell>
          <cell r="D68" t="str">
            <v>Anadolu Efes Istanbul</v>
          </cell>
          <cell r="E68" t="str">
            <v>FC Bayern Munich</v>
          </cell>
          <cell r="F68">
            <v>45280</v>
          </cell>
          <cell r="G68" t="str">
            <v>A</v>
          </cell>
          <cell r="H68" t="str">
            <v>BAY</v>
          </cell>
          <cell r="I68" t="str">
            <v>15.EFE</v>
          </cell>
          <cell r="J68" t="str">
            <v>15.BAY</v>
          </cell>
        </row>
        <row r="69">
          <cell r="B69" t="str">
            <v>EFE</v>
          </cell>
          <cell r="C69">
            <v>16</v>
          </cell>
          <cell r="D69" t="str">
            <v>Anadolu Efes Istanbul</v>
          </cell>
          <cell r="E69" t="str">
            <v>Baskonia Vitoria-Gasteiz</v>
          </cell>
          <cell r="F69">
            <v>45282</v>
          </cell>
          <cell r="G69" t="str">
            <v>H</v>
          </cell>
          <cell r="H69" t="str">
            <v>BAS</v>
          </cell>
          <cell r="I69" t="str">
            <v>16.EFE</v>
          </cell>
          <cell r="J69" t="str">
            <v>16.BAS</v>
          </cell>
        </row>
        <row r="70">
          <cell r="B70" t="str">
            <v>EFE</v>
          </cell>
          <cell r="C70">
            <v>17</v>
          </cell>
          <cell r="D70" t="str">
            <v>Anadolu Efes Istanbul</v>
          </cell>
          <cell r="E70" t="str">
            <v>Fenerbahce Beko Istanbul</v>
          </cell>
          <cell r="F70">
            <v>45288</v>
          </cell>
          <cell r="G70" t="str">
            <v>H</v>
          </cell>
          <cell r="H70" t="str">
            <v>FEN</v>
          </cell>
          <cell r="I70" t="str">
            <v>17.EFE</v>
          </cell>
          <cell r="J70" t="str">
            <v>17.FEN</v>
          </cell>
        </row>
        <row r="71">
          <cell r="B71" t="str">
            <v>EFE</v>
          </cell>
          <cell r="C71">
            <v>18</v>
          </cell>
          <cell r="D71" t="str">
            <v>Anadolu Efes Istanbul</v>
          </cell>
          <cell r="E71" t="str">
            <v>Valencia Basket</v>
          </cell>
          <cell r="F71">
            <v>45294</v>
          </cell>
          <cell r="G71" t="str">
            <v>A</v>
          </cell>
          <cell r="H71" t="str">
            <v>VAL</v>
          </cell>
          <cell r="I71" t="str">
            <v>18.EFE</v>
          </cell>
          <cell r="J71" t="str">
            <v>18.VAL</v>
          </cell>
        </row>
        <row r="72">
          <cell r="B72" t="str">
            <v>EFE</v>
          </cell>
          <cell r="C72">
            <v>19</v>
          </cell>
          <cell r="D72" t="str">
            <v>Anadolu Efes Istanbul</v>
          </cell>
          <cell r="E72" t="str">
            <v>Real Madrid</v>
          </cell>
          <cell r="F72">
            <v>45296</v>
          </cell>
          <cell r="G72" t="str">
            <v>A</v>
          </cell>
          <cell r="H72" t="str">
            <v>RMB</v>
          </cell>
          <cell r="I72" t="str">
            <v>19.EFE</v>
          </cell>
          <cell r="J72" t="str">
            <v>19.RMB</v>
          </cell>
        </row>
        <row r="73">
          <cell r="B73" t="str">
            <v>EFE</v>
          </cell>
          <cell r="C73">
            <v>20</v>
          </cell>
          <cell r="D73" t="str">
            <v>Anadolu Efes Istanbul</v>
          </cell>
          <cell r="E73" t="str">
            <v>Panathinaikos Athens</v>
          </cell>
          <cell r="F73">
            <v>45300</v>
          </cell>
          <cell r="G73" t="str">
            <v>A</v>
          </cell>
          <cell r="H73" t="str">
            <v>PAN</v>
          </cell>
          <cell r="I73" t="str">
            <v>20.EFE</v>
          </cell>
          <cell r="J73" t="str">
            <v>20.PAN</v>
          </cell>
        </row>
        <row r="74">
          <cell r="B74" t="str">
            <v>EFE</v>
          </cell>
          <cell r="C74">
            <v>21</v>
          </cell>
          <cell r="D74" t="str">
            <v>Anadolu Efes Istanbul</v>
          </cell>
          <cell r="E74" t="str">
            <v>Virtus Segafredo Bologna</v>
          </cell>
          <cell r="F74">
            <v>45303</v>
          </cell>
          <cell r="G74" t="str">
            <v>H</v>
          </cell>
          <cell r="H74" t="str">
            <v>VIR</v>
          </cell>
          <cell r="I74" t="str">
            <v>21.EFE</v>
          </cell>
          <cell r="J74" t="str">
            <v>21.VIR</v>
          </cell>
        </row>
        <row r="75">
          <cell r="B75" t="str">
            <v>EFE</v>
          </cell>
          <cell r="C75">
            <v>22</v>
          </cell>
          <cell r="D75" t="str">
            <v>Anadolu Efes Istanbul</v>
          </cell>
          <cell r="E75" t="str">
            <v>FC Barcelona</v>
          </cell>
          <cell r="F75">
            <v>45309</v>
          </cell>
          <cell r="G75" t="str">
            <v>H</v>
          </cell>
          <cell r="H75" t="str">
            <v>FCB</v>
          </cell>
          <cell r="I75" t="str">
            <v>22.EFE</v>
          </cell>
          <cell r="J75" t="str">
            <v>22.FCB</v>
          </cell>
        </row>
        <row r="76">
          <cell r="B76" t="str">
            <v>EFE</v>
          </cell>
          <cell r="C76">
            <v>23</v>
          </cell>
          <cell r="D76" t="str">
            <v>Anadolu Efes Istanbul</v>
          </cell>
          <cell r="E76" t="str">
            <v>AS Monaco</v>
          </cell>
          <cell r="F76">
            <v>45317</v>
          </cell>
          <cell r="G76" t="str">
            <v>H</v>
          </cell>
          <cell r="H76" t="str">
            <v>ASM</v>
          </cell>
          <cell r="I76" t="str">
            <v>23.EFE</v>
          </cell>
          <cell r="J76" t="str">
            <v>23.ASM</v>
          </cell>
        </row>
        <row r="77">
          <cell r="B77" t="str">
            <v>EFE</v>
          </cell>
          <cell r="C77">
            <v>24</v>
          </cell>
          <cell r="D77" t="str">
            <v>Anadolu Efes Istanbul</v>
          </cell>
          <cell r="E77" t="str">
            <v>Zalgiris Kaunas</v>
          </cell>
          <cell r="F77">
            <v>45322</v>
          </cell>
          <cell r="G77" t="str">
            <v>A</v>
          </cell>
          <cell r="H77" t="str">
            <v>ZAL</v>
          </cell>
          <cell r="I77" t="str">
            <v>24.EFE</v>
          </cell>
          <cell r="J77" t="str">
            <v>24.ZAL</v>
          </cell>
        </row>
        <row r="78">
          <cell r="B78" t="str">
            <v>EFE</v>
          </cell>
          <cell r="C78">
            <v>25</v>
          </cell>
          <cell r="D78" t="str">
            <v>Anadolu Efes Istanbul</v>
          </cell>
          <cell r="E78" t="str">
            <v>EA7 Emporio Armani Milan</v>
          </cell>
          <cell r="F78">
            <v>45324</v>
          </cell>
          <cell r="G78" t="str">
            <v>H</v>
          </cell>
          <cell r="H78" t="str">
            <v>MIL</v>
          </cell>
          <cell r="I78" t="str">
            <v>25.EFE</v>
          </cell>
          <cell r="J78" t="str">
            <v>25.MIL</v>
          </cell>
        </row>
        <row r="79">
          <cell r="B79" t="str">
            <v>EFE</v>
          </cell>
          <cell r="C79">
            <v>26</v>
          </cell>
          <cell r="D79" t="str">
            <v>Anadolu Efes Istanbul</v>
          </cell>
          <cell r="E79" t="str">
            <v>Maccabi Playtika Tel Aviv</v>
          </cell>
          <cell r="F79">
            <v>45330</v>
          </cell>
          <cell r="G79" t="str">
            <v>A</v>
          </cell>
          <cell r="H79" t="str">
            <v>MTA</v>
          </cell>
          <cell r="I79" t="str">
            <v>26.EFE</v>
          </cell>
          <cell r="J79" t="str">
            <v>26.MTA</v>
          </cell>
        </row>
        <row r="80">
          <cell r="B80" t="str">
            <v>EFE</v>
          </cell>
          <cell r="C80">
            <v>27</v>
          </cell>
          <cell r="D80" t="str">
            <v>Anadolu Efes Istanbul</v>
          </cell>
          <cell r="E80" t="str">
            <v>Partizan Mozzart Bet Belgrade</v>
          </cell>
          <cell r="F80">
            <v>45351</v>
          </cell>
          <cell r="G80" t="str">
            <v>A</v>
          </cell>
          <cell r="H80" t="str">
            <v>PAR</v>
          </cell>
          <cell r="I80" t="str">
            <v>27.EFE</v>
          </cell>
          <cell r="J80" t="str">
            <v>27.PAR</v>
          </cell>
        </row>
        <row r="81">
          <cell r="B81" t="str">
            <v>EFE</v>
          </cell>
          <cell r="C81">
            <v>28</v>
          </cell>
          <cell r="D81" t="str">
            <v>Anadolu Efes Istanbul</v>
          </cell>
          <cell r="E81" t="str">
            <v>FC Bayern Munich</v>
          </cell>
          <cell r="F81">
            <v>45358</v>
          </cell>
          <cell r="G81" t="str">
            <v>H</v>
          </cell>
          <cell r="H81" t="str">
            <v>BAY</v>
          </cell>
          <cell r="I81" t="str">
            <v>28.EFE</v>
          </cell>
          <cell r="J81" t="str">
            <v>28.BAY</v>
          </cell>
        </row>
        <row r="82">
          <cell r="B82" t="str">
            <v>EFE</v>
          </cell>
          <cell r="C82">
            <v>29</v>
          </cell>
          <cell r="D82" t="str">
            <v>Anadolu Efes Istanbul</v>
          </cell>
          <cell r="E82" t="str">
            <v>LDLC ASVEL Villeurbanne</v>
          </cell>
          <cell r="F82">
            <v>45366</v>
          </cell>
          <cell r="G82" t="str">
            <v>A</v>
          </cell>
          <cell r="H82" t="str">
            <v>ASV</v>
          </cell>
          <cell r="I82" t="str">
            <v>29.EFE</v>
          </cell>
          <cell r="J82" t="str">
            <v>29.ASV</v>
          </cell>
        </row>
        <row r="83">
          <cell r="B83" t="str">
            <v>EFE</v>
          </cell>
          <cell r="C83">
            <v>30</v>
          </cell>
          <cell r="D83" t="str">
            <v>Anadolu Efes Istanbul</v>
          </cell>
          <cell r="E83" t="str">
            <v>Olympiacos Piraeus</v>
          </cell>
          <cell r="F83">
            <v>45370</v>
          </cell>
          <cell r="G83" t="str">
            <v>H</v>
          </cell>
          <cell r="H83" t="str">
            <v>OLY</v>
          </cell>
          <cell r="I83" t="str">
            <v>30.EFE</v>
          </cell>
          <cell r="J83" t="str">
            <v>30.OLY</v>
          </cell>
        </row>
        <row r="84">
          <cell r="B84" t="str">
            <v>EFE</v>
          </cell>
          <cell r="C84">
            <v>31</v>
          </cell>
          <cell r="D84" t="str">
            <v>Anadolu Efes Istanbul</v>
          </cell>
          <cell r="E84" t="str">
            <v>ALBA Berlin</v>
          </cell>
          <cell r="F84">
            <v>45372</v>
          </cell>
          <cell r="G84" t="str">
            <v>H</v>
          </cell>
          <cell r="H84" t="str">
            <v>BER</v>
          </cell>
          <cell r="I84" t="str">
            <v>31.EFE</v>
          </cell>
          <cell r="J84" t="str">
            <v>31.BER</v>
          </cell>
        </row>
        <row r="85">
          <cell r="B85" t="str">
            <v>EFE</v>
          </cell>
          <cell r="C85">
            <v>32</v>
          </cell>
          <cell r="D85" t="str">
            <v>Anadolu Efes Istanbul</v>
          </cell>
          <cell r="E85" t="str">
            <v>Baskonia Vitoria-Gasteiz</v>
          </cell>
          <cell r="F85">
            <v>45379</v>
          </cell>
          <cell r="G85" t="str">
            <v>A</v>
          </cell>
          <cell r="H85" t="str">
            <v>BAS</v>
          </cell>
          <cell r="I85" t="str">
            <v>32.EFE</v>
          </cell>
          <cell r="J85" t="str">
            <v>32.BAS</v>
          </cell>
        </row>
        <row r="86">
          <cell r="B86" t="str">
            <v>EFE</v>
          </cell>
          <cell r="C86">
            <v>33</v>
          </cell>
          <cell r="D86" t="str">
            <v>Anadolu Efes Istanbul</v>
          </cell>
          <cell r="E86" t="str">
            <v>Fenerbahce Beko Istanbul</v>
          </cell>
          <cell r="F86">
            <v>45387</v>
          </cell>
          <cell r="G86" t="str">
            <v>A</v>
          </cell>
          <cell r="H86" t="str">
            <v>FEN</v>
          </cell>
          <cell r="I86" t="str">
            <v>33.EFE</v>
          </cell>
          <cell r="J86" t="str">
            <v>33.FEN</v>
          </cell>
        </row>
        <row r="87">
          <cell r="B87" t="str">
            <v>EFE</v>
          </cell>
          <cell r="C87">
            <v>34</v>
          </cell>
          <cell r="D87" t="str">
            <v>Anadolu Efes Istanbul</v>
          </cell>
          <cell r="E87" t="str">
            <v>Crvena Zvezda Meridianbet Belgrade</v>
          </cell>
          <cell r="F87">
            <v>45393</v>
          </cell>
          <cell r="G87" t="str">
            <v>H</v>
          </cell>
          <cell r="H87" t="str">
            <v>CZB</v>
          </cell>
          <cell r="I87" t="str">
            <v>34.EFE</v>
          </cell>
          <cell r="J87" t="str">
            <v>34.CZB</v>
          </cell>
        </row>
        <row r="88">
          <cell r="B88" t="str">
            <v>EFE</v>
          </cell>
          <cell r="C88">
            <v>35</v>
          </cell>
          <cell r="D88" t="str">
            <v>Anadolu Efes Istanbul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</row>
        <row r="89">
          <cell r="B89" t="str">
            <v>EFE</v>
          </cell>
          <cell r="C89">
            <v>36</v>
          </cell>
          <cell r="D89" t="str">
            <v>Anadolu Efes Istanbul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</row>
        <row r="90">
          <cell r="B90" t="str">
            <v>EFE</v>
          </cell>
          <cell r="C90">
            <v>37</v>
          </cell>
          <cell r="D90" t="str">
            <v>Anadolu Efes Istanbul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</row>
        <row r="91">
          <cell r="B91" t="str">
            <v>EFE</v>
          </cell>
          <cell r="C91">
            <v>38</v>
          </cell>
          <cell r="D91" t="str">
            <v>Anadolu Efes Istanbul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</row>
        <row r="92">
          <cell r="B92" t="str">
            <v>EFE</v>
          </cell>
          <cell r="C92">
            <v>39</v>
          </cell>
          <cell r="D92" t="str">
            <v>Anadolu Efes Istanbul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</row>
        <row r="93">
          <cell r="B93" t="str">
            <v>EFE</v>
          </cell>
          <cell r="C93">
            <v>40</v>
          </cell>
          <cell r="D93" t="str">
            <v>Anadolu Efes Istanbul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</row>
        <row r="94">
          <cell r="B94" t="str">
            <v>EFE</v>
          </cell>
          <cell r="C94">
            <v>41</v>
          </cell>
          <cell r="D94" t="str">
            <v>Anadolu Efes Istanbul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</row>
        <row r="95">
          <cell r="B95" t="str">
            <v>EFE</v>
          </cell>
          <cell r="C95">
            <v>42</v>
          </cell>
          <cell r="D95" t="str">
            <v>Anadolu Efes Istanbul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</row>
        <row r="96">
          <cell r="B96" t="str">
            <v>EFE</v>
          </cell>
          <cell r="C96">
            <v>43</v>
          </cell>
          <cell r="D96" t="str">
            <v>Anadolu Efes Istanbul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</row>
        <row r="97">
          <cell r="B97" t="str">
            <v>EFE</v>
          </cell>
          <cell r="C97">
            <v>44</v>
          </cell>
          <cell r="D97" t="str">
            <v>Anadolu Efes Istanbul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</row>
        <row r="98">
          <cell r="B98" t="str">
            <v>EFE</v>
          </cell>
          <cell r="C98">
            <v>45</v>
          </cell>
          <cell r="D98" t="str">
            <v>Anadolu Efes Istanbul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</row>
        <row r="99">
          <cell r="B99" t="str">
            <v>EFE</v>
          </cell>
          <cell r="C99">
            <v>46</v>
          </cell>
          <cell r="D99" t="str">
            <v>Anadolu Efes Istanbul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</row>
        <row r="100">
          <cell r="B100" t="str">
            <v>EFE</v>
          </cell>
          <cell r="C100">
            <v>47</v>
          </cell>
          <cell r="D100" t="str">
            <v>Anadolu Efes Istanbul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</row>
        <row r="101">
          <cell r="B101" t="str">
            <v>EFE</v>
          </cell>
          <cell r="C101">
            <v>48</v>
          </cell>
          <cell r="D101" t="str">
            <v>Anadolu Efes Istanbul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</row>
        <row r="102">
          <cell r="B102" t="str">
            <v>EFE</v>
          </cell>
          <cell r="C102">
            <v>49</v>
          </cell>
          <cell r="D102" t="str">
            <v>Anadolu Efes Istanbul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</row>
        <row r="103">
          <cell r="B103" t="str">
            <v>EFE</v>
          </cell>
          <cell r="C103">
            <v>50</v>
          </cell>
          <cell r="D103" t="str">
            <v>Anadolu Efes Istanbul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</row>
        <row r="104">
          <cell r="B104" t="str">
            <v>EFE</v>
          </cell>
          <cell r="C104">
            <v>51</v>
          </cell>
          <cell r="D104" t="str">
            <v>Anadolu Efes Istanbul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</row>
        <row r="105">
          <cell r="B105" t="str">
            <v>ASM</v>
          </cell>
          <cell r="C105">
            <v>1</v>
          </cell>
          <cell r="D105" t="str">
            <v>AS Monaco</v>
          </cell>
          <cell r="E105" t="str">
            <v>Valencia Basket</v>
          </cell>
          <cell r="F105">
            <v>45205</v>
          </cell>
          <cell r="G105" t="str">
            <v>A</v>
          </cell>
          <cell r="H105" t="str">
            <v>VAL</v>
          </cell>
          <cell r="I105" t="str">
            <v>1.ASM</v>
          </cell>
          <cell r="J105" t="str">
            <v>1.VAL</v>
          </cell>
        </row>
        <row r="106">
          <cell r="B106" t="str">
            <v>ASM</v>
          </cell>
          <cell r="C106">
            <v>2</v>
          </cell>
          <cell r="D106" t="str">
            <v>AS Monaco</v>
          </cell>
          <cell r="E106" t="str">
            <v>Virtus Segafredo Bologna</v>
          </cell>
          <cell r="F106">
            <v>45212</v>
          </cell>
          <cell r="G106" t="str">
            <v>H</v>
          </cell>
          <cell r="H106" t="str">
            <v>VIR</v>
          </cell>
          <cell r="I106" t="str">
            <v>2.ASM</v>
          </cell>
          <cell r="J106" t="str">
            <v>2.VIR</v>
          </cell>
        </row>
        <row r="107">
          <cell r="B107" t="str">
            <v>ASM</v>
          </cell>
          <cell r="C107">
            <v>3</v>
          </cell>
          <cell r="D107" t="str">
            <v>AS Monaco</v>
          </cell>
          <cell r="E107" t="str">
            <v>Crvena Zvezda Meridianbet Belgrade</v>
          </cell>
          <cell r="F107">
            <v>45217</v>
          </cell>
          <cell r="G107" t="str">
            <v>A</v>
          </cell>
          <cell r="H107" t="str">
            <v>CZB</v>
          </cell>
          <cell r="I107" t="str">
            <v>3.ASM</v>
          </cell>
          <cell r="J107" t="str">
            <v>3.CZB</v>
          </cell>
        </row>
        <row r="108">
          <cell r="B108" t="str">
            <v>ASM</v>
          </cell>
          <cell r="C108">
            <v>4</v>
          </cell>
          <cell r="D108" t="str">
            <v>AS Monaco</v>
          </cell>
          <cell r="E108" t="str">
            <v>ALBA Berlin</v>
          </cell>
          <cell r="F108">
            <v>45219</v>
          </cell>
          <cell r="G108" t="str">
            <v>H</v>
          </cell>
          <cell r="H108" t="str">
            <v>BER</v>
          </cell>
          <cell r="I108" t="str">
            <v>4.ASM</v>
          </cell>
          <cell r="J108" t="str">
            <v>4.BER</v>
          </cell>
        </row>
        <row r="109">
          <cell r="B109" t="str">
            <v>ASM</v>
          </cell>
          <cell r="C109">
            <v>5</v>
          </cell>
          <cell r="D109" t="str">
            <v>AS Monaco</v>
          </cell>
          <cell r="E109" t="str">
            <v>Maccabi Playtika Tel Aviv</v>
          </cell>
          <cell r="F109">
            <v>45225</v>
          </cell>
          <cell r="G109" t="str">
            <v>H</v>
          </cell>
          <cell r="H109" t="str">
            <v>MTA</v>
          </cell>
          <cell r="I109" t="str">
            <v>5.ASM</v>
          </cell>
          <cell r="J109" t="str">
            <v>5.MTA</v>
          </cell>
        </row>
        <row r="110">
          <cell r="B110" t="str">
            <v>ASM</v>
          </cell>
          <cell r="C110">
            <v>6</v>
          </cell>
          <cell r="D110" t="str">
            <v>AS Monaco</v>
          </cell>
          <cell r="E110" t="str">
            <v>EA7 Emporio Armani Milan</v>
          </cell>
          <cell r="F110">
            <v>45232</v>
          </cell>
          <cell r="G110" t="str">
            <v>A</v>
          </cell>
          <cell r="H110" t="str">
            <v>MIL</v>
          </cell>
          <cell r="I110" t="str">
            <v>6.ASM</v>
          </cell>
          <cell r="J110" t="str">
            <v>6.MIL</v>
          </cell>
        </row>
        <row r="111">
          <cell r="B111" t="str">
            <v>ASM</v>
          </cell>
          <cell r="C111">
            <v>7</v>
          </cell>
          <cell r="D111" t="str">
            <v>AS Monaco</v>
          </cell>
          <cell r="E111" t="str">
            <v>LDLC ASVEL Villeurbanne</v>
          </cell>
          <cell r="F111">
            <v>45240</v>
          </cell>
          <cell r="G111" t="str">
            <v>H</v>
          </cell>
          <cell r="H111" t="str">
            <v>ASV</v>
          </cell>
          <cell r="I111" t="str">
            <v>7.ASM</v>
          </cell>
          <cell r="J111" t="str">
            <v>7.ASV</v>
          </cell>
        </row>
        <row r="112">
          <cell r="B112" t="str">
            <v>ASM</v>
          </cell>
          <cell r="C112">
            <v>8</v>
          </cell>
          <cell r="D112" t="str">
            <v>AS Monaco</v>
          </cell>
          <cell r="E112" t="str">
            <v>Anadolu Efes Istanbul</v>
          </cell>
          <cell r="F112">
            <v>45244</v>
          </cell>
          <cell r="G112" t="str">
            <v>H</v>
          </cell>
          <cell r="H112" t="str">
            <v>EFE</v>
          </cell>
          <cell r="I112" t="str">
            <v>8.ASM</v>
          </cell>
          <cell r="J112" t="str">
            <v>8.EFE</v>
          </cell>
        </row>
        <row r="113">
          <cell r="B113" t="str">
            <v>ASM</v>
          </cell>
          <cell r="C113">
            <v>9</v>
          </cell>
          <cell r="D113" t="str">
            <v>AS Monaco</v>
          </cell>
          <cell r="E113" t="str">
            <v>Real Madrid</v>
          </cell>
          <cell r="F113">
            <v>45246</v>
          </cell>
          <cell r="G113" t="str">
            <v>A</v>
          </cell>
          <cell r="H113" t="str">
            <v>RMB</v>
          </cell>
          <cell r="I113" t="str">
            <v>9.ASM</v>
          </cell>
          <cell r="J113" t="str">
            <v>9.RMB</v>
          </cell>
        </row>
        <row r="114">
          <cell r="B114" t="str">
            <v>ASM</v>
          </cell>
          <cell r="C114">
            <v>10</v>
          </cell>
          <cell r="D114" t="str">
            <v>AS Monaco</v>
          </cell>
          <cell r="E114" t="str">
            <v>Baskonia Vitoria-Gasteiz</v>
          </cell>
          <cell r="F114">
            <v>45254</v>
          </cell>
          <cell r="G114" t="str">
            <v>A</v>
          </cell>
          <cell r="H114" t="str">
            <v>BAS</v>
          </cell>
          <cell r="I114" t="str">
            <v>10.ASM</v>
          </cell>
          <cell r="J114" t="str">
            <v>10.BAS</v>
          </cell>
        </row>
        <row r="115">
          <cell r="B115" t="str">
            <v>ASM</v>
          </cell>
          <cell r="C115">
            <v>11</v>
          </cell>
          <cell r="D115" t="str">
            <v>AS Monaco</v>
          </cell>
          <cell r="E115" t="str">
            <v>Olympiacos Piraeus</v>
          </cell>
          <cell r="F115">
            <v>45260</v>
          </cell>
          <cell r="G115" t="str">
            <v>H</v>
          </cell>
          <cell r="H115" t="str">
            <v>OLY</v>
          </cell>
          <cell r="I115" t="str">
            <v>11.ASM</v>
          </cell>
          <cell r="J115" t="str">
            <v>11.OLY</v>
          </cell>
        </row>
        <row r="116">
          <cell r="B116" t="str">
            <v>ASM</v>
          </cell>
          <cell r="C116">
            <v>12</v>
          </cell>
          <cell r="D116" t="str">
            <v>AS Monaco</v>
          </cell>
          <cell r="E116" t="str">
            <v>Partizan Mozzart Bet Belgrade</v>
          </cell>
          <cell r="F116">
            <v>45265</v>
          </cell>
          <cell r="G116" t="str">
            <v>A</v>
          </cell>
          <cell r="H116" t="str">
            <v>PAR</v>
          </cell>
          <cell r="I116" t="str">
            <v>12.ASM</v>
          </cell>
          <cell r="J116" t="str">
            <v>12.PAR</v>
          </cell>
        </row>
        <row r="117">
          <cell r="B117" t="str">
            <v>ASM</v>
          </cell>
          <cell r="C117">
            <v>13</v>
          </cell>
          <cell r="D117" t="str">
            <v>AS Monaco</v>
          </cell>
          <cell r="E117" t="str">
            <v>Zalgiris Kaunas</v>
          </cell>
          <cell r="F117">
            <v>45268</v>
          </cell>
          <cell r="G117" t="str">
            <v>A</v>
          </cell>
          <cell r="H117" t="str">
            <v>ZAL</v>
          </cell>
          <cell r="I117" t="str">
            <v>13.ASM</v>
          </cell>
          <cell r="J117" t="str">
            <v>13.ZAL</v>
          </cell>
        </row>
        <row r="118">
          <cell r="B118" t="str">
            <v>ASM</v>
          </cell>
          <cell r="C118">
            <v>14</v>
          </cell>
          <cell r="D118" t="str">
            <v>AS Monaco</v>
          </cell>
          <cell r="E118" t="str">
            <v>Fenerbahce Beko Istanbul</v>
          </cell>
          <cell r="F118">
            <v>45275</v>
          </cell>
          <cell r="G118" t="str">
            <v>A</v>
          </cell>
          <cell r="H118" t="str">
            <v>FEN</v>
          </cell>
          <cell r="I118" t="str">
            <v>14.ASM</v>
          </cell>
          <cell r="J118" t="str">
            <v>14.FEN</v>
          </cell>
        </row>
        <row r="119">
          <cell r="B119" t="str">
            <v>ASM</v>
          </cell>
          <cell r="C119">
            <v>15</v>
          </cell>
          <cell r="D119" t="str">
            <v>AS Monaco</v>
          </cell>
          <cell r="E119" t="str">
            <v>Panathinaikos Athens</v>
          </cell>
          <cell r="F119">
            <v>45280</v>
          </cell>
          <cell r="G119" t="str">
            <v>H</v>
          </cell>
          <cell r="H119" t="str">
            <v>PAN</v>
          </cell>
          <cell r="I119" t="str">
            <v>15.ASM</v>
          </cell>
          <cell r="J119" t="str">
            <v>15.PAN</v>
          </cell>
        </row>
        <row r="120">
          <cell r="B120" t="str">
            <v>ASM</v>
          </cell>
          <cell r="C120">
            <v>16</v>
          </cell>
          <cell r="D120" t="str">
            <v>AS Monaco</v>
          </cell>
          <cell r="E120" t="str">
            <v>FC Bayern Munich</v>
          </cell>
          <cell r="F120">
            <v>45282</v>
          </cell>
          <cell r="G120" t="str">
            <v>A</v>
          </cell>
          <cell r="H120" t="str">
            <v>BAY</v>
          </cell>
          <cell r="I120" t="str">
            <v>16.ASM</v>
          </cell>
          <cell r="J120" t="str">
            <v>16.BAY</v>
          </cell>
        </row>
        <row r="121">
          <cell r="B121" t="str">
            <v>ASM</v>
          </cell>
          <cell r="C121">
            <v>17</v>
          </cell>
          <cell r="D121" t="str">
            <v>AS Monaco</v>
          </cell>
          <cell r="E121" t="str">
            <v>FC Barcelona</v>
          </cell>
          <cell r="F121">
            <v>45289</v>
          </cell>
          <cell r="G121" t="str">
            <v>H</v>
          </cell>
          <cell r="H121" t="str">
            <v>FCB</v>
          </cell>
          <cell r="I121" t="str">
            <v>17.ASM</v>
          </cell>
          <cell r="J121" t="str">
            <v>17.FCB</v>
          </cell>
        </row>
        <row r="122">
          <cell r="B122" t="str">
            <v>ASM</v>
          </cell>
          <cell r="C122">
            <v>18</v>
          </cell>
          <cell r="D122" t="str">
            <v>AS Monaco</v>
          </cell>
          <cell r="E122" t="str">
            <v>Maccabi Playtika Tel Aviv</v>
          </cell>
          <cell r="F122">
            <v>45293</v>
          </cell>
          <cell r="G122" t="str">
            <v>A</v>
          </cell>
          <cell r="H122" t="str">
            <v>MTA</v>
          </cell>
          <cell r="I122" t="str">
            <v>18.ASM</v>
          </cell>
          <cell r="J122" t="str">
            <v>18.MTA</v>
          </cell>
        </row>
        <row r="123">
          <cell r="B123" t="str">
            <v>ASM</v>
          </cell>
          <cell r="C123">
            <v>19</v>
          </cell>
          <cell r="D123" t="str">
            <v>AS Monaco</v>
          </cell>
          <cell r="E123" t="str">
            <v>Olympiacos Piraeus</v>
          </cell>
          <cell r="F123">
            <v>45295</v>
          </cell>
          <cell r="G123" t="str">
            <v>A</v>
          </cell>
          <cell r="H123" t="str">
            <v>OLY</v>
          </cell>
          <cell r="I123" t="str">
            <v>19.ASM</v>
          </cell>
          <cell r="J123" t="str">
            <v>19.OLY</v>
          </cell>
        </row>
        <row r="124">
          <cell r="B124" t="str">
            <v>ASM</v>
          </cell>
          <cell r="C124">
            <v>20</v>
          </cell>
          <cell r="D124" t="str">
            <v>AS Monaco</v>
          </cell>
          <cell r="E124" t="str">
            <v>Baskonia Vitoria-Gasteiz</v>
          </cell>
          <cell r="F124">
            <v>45300</v>
          </cell>
          <cell r="G124" t="str">
            <v>H</v>
          </cell>
          <cell r="H124" t="str">
            <v>BAS</v>
          </cell>
          <cell r="I124" t="str">
            <v>20.ASM</v>
          </cell>
          <cell r="J124" t="str">
            <v>20.BAS</v>
          </cell>
        </row>
        <row r="125">
          <cell r="B125" t="str">
            <v>ASM</v>
          </cell>
          <cell r="C125">
            <v>21</v>
          </cell>
          <cell r="D125" t="str">
            <v>AS Monaco</v>
          </cell>
          <cell r="E125" t="str">
            <v>Panathinaikos Athens</v>
          </cell>
          <cell r="F125">
            <v>45302</v>
          </cell>
          <cell r="G125" t="str">
            <v>A</v>
          </cell>
          <cell r="H125" t="str">
            <v>PAN</v>
          </cell>
          <cell r="I125" t="str">
            <v>21.ASM</v>
          </cell>
          <cell r="J125" t="str">
            <v>21.PAN</v>
          </cell>
        </row>
        <row r="126">
          <cell r="B126" t="str">
            <v>ASM</v>
          </cell>
          <cell r="C126">
            <v>22</v>
          </cell>
          <cell r="D126" t="str">
            <v>AS Monaco</v>
          </cell>
          <cell r="E126" t="str">
            <v>Real Madrid</v>
          </cell>
          <cell r="F126">
            <v>45310</v>
          </cell>
          <cell r="G126" t="str">
            <v>H</v>
          </cell>
          <cell r="H126" t="str">
            <v>RMB</v>
          </cell>
          <cell r="I126" t="str">
            <v>22.ASM</v>
          </cell>
          <cell r="J126" t="str">
            <v>22.RMB</v>
          </cell>
        </row>
        <row r="127">
          <cell r="B127" t="str">
            <v>ASM</v>
          </cell>
          <cell r="C127">
            <v>23</v>
          </cell>
          <cell r="D127" t="str">
            <v>AS Monaco</v>
          </cell>
          <cell r="E127" t="str">
            <v>Anadolu Efes Istanbul</v>
          </cell>
          <cell r="F127">
            <v>45317</v>
          </cell>
          <cell r="G127" t="str">
            <v>A</v>
          </cell>
          <cell r="H127" t="str">
            <v>EFE</v>
          </cell>
          <cell r="I127" t="str">
            <v>23.ASM</v>
          </cell>
          <cell r="J127" t="str">
            <v>23.EFE</v>
          </cell>
        </row>
        <row r="128">
          <cell r="B128" t="str">
            <v>ASM</v>
          </cell>
          <cell r="C128">
            <v>24</v>
          </cell>
          <cell r="D128" t="str">
            <v>AS Monaco</v>
          </cell>
          <cell r="E128" t="str">
            <v>Partizan Mozzart Bet Belgrade</v>
          </cell>
          <cell r="F128">
            <v>45322</v>
          </cell>
          <cell r="G128" t="str">
            <v>H</v>
          </cell>
          <cell r="H128" t="str">
            <v>PAR</v>
          </cell>
          <cell r="I128" t="str">
            <v>24.ASM</v>
          </cell>
          <cell r="J128" t="str">
            <v>24.PAR</v>
          </cell>
        </row>
        <row r="129">
          <cell r="B129" t="str">
            <v>ASM</v>
          </cell>
          <cell r="C129">
            <v>25</v>
          </cell>
          <cell r="D129" t="str">
            <v>AS Monaco</v>
          </cell>
          <cell r="E129" t="str">
            <v>Fenerbahce Beko Istanbul</v>
          </cell>
          <cell r="F129">
            <v>45324</v>
          </cell>
          <cell r="G129" t="str">
            <v>H</v>
          </cell>
          <cell r="H129" t="str">
            <v>FEN</v>
          </cell>
          <cell r="I129" t="str">
            <v>25.ASM</v>
          </cell>
          <cell r="J129" t="str">
            <v>25.FEN</v>
          </cell>
        </row>
        <row r="130">
          <cell r="B130" t="str">
            <v>ASM</v>
          </cell>
          <cell r="C130">
            <v>26</v>
          </cell>
          <cell r="D130" t="str">
            <v>AS Monaco</v>
          </cell>
          <cell r="E130" t="str">
            <v>Virtus Segafredo Bologna</v>
          </cell>
          <cell r="F130">
            <v>45331</v>
          </cell>
          <cell r="G130" t="str">
            <v>A</v>
          </cell>
          <cell r="H130" t="str">
            <v>VIR</v>
          </cell>
          <cell r="I130" t="str">
            <v>26.ASM</v>
          </cell>
          <cell r="J130" t="str">
            <v>26.VIR</v>
          </cell>
        </row>
        <row r="131">
          <cell r="B131" t="str">
            <v>ASM</v>
          </cell>
          <cell r="C131">
            <v>27</v>
          </cell>
          <cell r="D131" t="str">
            <v>AS Monaco</v>
          </cell>
          <cell r="E131" t="str">
            <v>FC Barcelona</v>
          </cell>
          <cell r="F131">
            <v>45352</v>
          </cell>
          <cell r="G131" t="str">
            <v>A</v>
          </cell>
          <cell r="H131" t="str">
            <v>FCB</v>
          </cell>
          <cell r="I131" t="str">
            <v>27.ASM</v>
          </cell>
          <cell r="J131" t="str">
            <v>27.FCB</v>
          </cell>
        </row>
        <row r="132">
          <cell r="B132" t="str">
            <v>ASM</v>
          </cell>
          <cell r="C132">
            <v>28</v>
          </cell>
          <cell r="D132" t="str">
            <v>AS Monaco</v>
          </cell>
          <cell r="E132" t="str">
            <v>Crvena Zvezda Meridianbet Belgrade</v>
          </cell>
          <cell r="F132">
            <v>45358</v>
          </cell>
          <cell r="G132" t="str">
            <v>H</v>
          </cell>
          <cell r="H132" t="str">
            <v>CZB</v>
          </cell>
          <cell r="I132" t="str">
            <v>28.ASM</v>
          </cell>
          <cell r="J132" t="str">
            <v>28.CZB</v>
          </cell>
        </row>
        <row r="133">
          <cell r="B133" t="str">
            <v>ASM</v>
          </cell>
          <cell r="C133">
            <v>29</v>
          </cell>
          <cell r="D133" t="str">
            <v>AS Monaco</v>
          </cell>
          <cell r="E133" t="str">
            <v>ALBA Berlin</v>
          </cell>
          <cell r="F133">
            <v>45365</v>
          </cell>
          <cell r="G133" t="str">
            <v>A</v>
          </cell>
          <cell r="H133" t="str">
            <v>BER</v>
          </cell>
          <cell r="I133" t="str">
            <v>29.ASM</v>
          </cell>
          <cell r="J133" t="str">
            <v>29.BER</v>
          </cell>
        </row>
        <row r="134">
          <cell r="B134" t="str">
            <v>ASM</v>
          </cell>
          <cell r="C134">
            <v>30</v>
          </cell>
          <cell r="D134" t="str">
            <v>AS Monaco</v>
          </cell>
          <cell r="E134" t="str">
            <v>EA7 Emporio Armani Milan</v>
          </cell>
          <cell r="F134">
            <v>45371</v>
          </cell>
          <cell r="G134" t="str">
            <v>H</v>
          </cell>
          <cell r="H134" t="str">
            <v>MIL</v>
          </cell>
          <cell r="I134" t="str">
            <v>30.ASM</v>
          </cell>
          <cell r="J134" t="str">
            <v>30.MIL</v>
          </cell>
        </row>
        <row r="135">
          <cell r="B135" t="str">
            <v>ASM</v>
          </cell>
          <cell r="C135">
            <v>31</v>
          </cell>
          <cell r="D135" t="str">
            <v>AS Monaco</v>
          </cell>
          <cell r="E135" t="str">
            <v>Valencia Basket</v>
          </cell>
          <cell r="F135">
            <v>45373</v>
          </cell>
          <cell r="G135" t="str">
            <v>H</v>
          </cell>
          <cell r="H135" t="str">
            <v>VAL</v>
          </cell>
          <cell r="I135" t="str">
            <v>31.ASM</v>
          </cell>
          <cell r="J135" t="str">
            <v>31.VAL</v>
          </cell>
        </row>
        <row r="136">
          <cell r="B136" t="str">
            <v>ASM</v>
          </cell>
          <cell r="C136">
            <v>32</v>
          </cell>
          <cell r="D136" t="str">
            <v>AS Monaco</v>
          </cell>
          <cell r="E136" t="str">
            <v>LDLC ASVEL Villeurbanne</v>
          </cell>
          <cell r="F136">
            <v>45379</v>
          </cell>
          <cell r="G136" t="str">
            <v>A</v>
          </cell>
          <cell r="H136" t="str">
            <v>ASV</v>
          </cell>
          <cell r="I136" t="str">
            <v>32.ASM</v>
          </cell>
          <cell r="J136" t="str">
            <v>32.ASV</v>
          </cell>
        </row>
        <row r="137">
          <cell r="B137" t="str">
            <v>ASM</v>
          </cell>
          <cell r="C137">
            <v>33</v>
          </cell>
          <cell r="D137" t="str">
            <v>AS Monaco</v>
          </cell>
          <cell r="E137" t="str">
            <v>Zalgiris Kaunas</v>
          </cell>
          <cell r="F137">
            <v>45386</v>
          </cell>
          <cell r="G137" t="str">
            <v>H</v>
          </cell>
          <cell r="H137" t="str">
            <v>ZAL</v>
          </cell>
          <cell r="I137" t="str">
            <v>33.ASM</v>
          </cell>
          <cell r="J137" t="str">
            <v>33.ZAL</v>
          </cell>
        </row>
        <row r="138">
          <cell r="B138" t="str">
            <v>ASM</v>
          </cell>
          <cell r="C138">
            <v>34</v>
          </cell>
          <cell r="D138" t="str">
            <v>AS Monaco</v>
          </cell>
          <cell r="E138" t="str">
            <v>FC Bayern Munich</v>
          </cell>
          <cell r="F138">
            <v>45393</v>
          </cell>
          <cell r="G138" t="str">
            <v>H</v>
          </cell>
          <cell r="H138" t="str">
            <v>BAY</v>
          </cell>
          <cell r="I138" t="str">
            <v>34.ASM</v>
          </cell>
          <cell r="J138" t="str">
            <v>34.BAY</v>
          </cell>
        </row>
        <row r="139">
          <cell r="B139" t="str">
            <v>ASM</v>
          </cell>
          <cell r="C139">
            <v>35</v>
          </cell>
          <cell r="D139" t="str">
            <v>AS Monaco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</row>
        <row r="140">
          <cell r="B140" t="str">
            <v>ASM</v>
          </cell>
          <cell r="C140">
            <v>36</v>
          </cell>
          <cell r="D140" t="str">
            <v>AS Monaco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</row>
        <row r="141">
          <cell r="B141" t="str">
            <v>ASM</v>
          </cell>
          <cell r="C141">
            <v>37</v>
          </cell>
          <cell r="D141" t="str">
            <v>AS Monaco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</row>
        <row r="142">
          <cell r="B142" t="str">
            <v>ASM</v>
          </cell>
          <cell r="C142">
            <v>38</v>
          </cell>
          <cell r="D142" t="str">
            <v>AS Monaco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</row>
        <row r="143">
          <cell r="B143" t="str">
            <v>ASM</v>
          </cell>
          <cell r="C143">
            <v>39</v>
          </cell>
          <cell r="D143" t="str">
            <v>AS Monaco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</row>
        <row r="144">
          <cell r="B144" t="str">
            <v>ASM</v>
          </cell>
          <cell r="C144">
            <v>40</v>
          </cell>
          <cell r="D144" t="str">
            <v>AS Monaco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</row>
        <row r="145">
          <cell r="B145" t="str">
            <v>ASM</v>
          </cell>
          <cell r="C145">
            <v>41</v>
          </cell>
          <cell r="D145" t="str">
            <v>AS Monaco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</row>
        <row r="146">
          <cell r="B146" t="str">
            <v>ASM</v>
          </cell>
          <cell r="C146">
            <v>42</v>
          </cell>
          <cell r="D146" t="str">
            <v>AS Monaco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</row>
        <row r="147">
          <cell r="B147" t="str">
            <v>ASM</v>
          </cell>
          <cell r="C147">
            <v>43</v>
          </cell>
          <cell r="D147" t="str">
            <v>AS Monaco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</row>
        <row r="148">
          <cell r="B148" t="str">
            <v>ASM</v>
          </cell>
          <cell r="C148">
            <v>44</v>
          </cell>
          <cell r="D148" t="str">
            <v>AS Monaco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</row>
        <row r="149">
          <cell r="B149" t="str">
            <v>ASM</v>
          </cell>
          <cell r="C149">
            <v>45</v>
          </cell>
          <cell r="D149" t="str">
            <v>AS Monaco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</row>
        <row r="150">
          <cell r="B150" t="str">
            <v>ASM</v>
          </cell>
          <cell r="C150">
            <v>46</v>
          </cell>
          <cell r="D150" t="str">
            <v>AS Monaco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</row>
        <row r="151">
          <cell r="B151" t="str">
            <v>ASM</v>
          </cell>
          <cell r="C151">
            <v>47</v>
          </cell>
          <cell r="D151" t="str">
            <v>AS Monaco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</row>
        <row r="152">
          <cell r="B152" t="str">
            <v>ASM</v>
          </cell>
          <cell r="C152">
            <v>48</v>
          </cell>
          <cell r="D152" t="str">
            <v>AS Monaco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</row>
        <row r="153">
          <cell r="B153" t="str">
            <v>ASM</v>
          </cell>
          <cell r="C153">
            <v>49</v>
          </cell>
          <cell r="D153" t="str">
            <v>AS Monaco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</row>
        <row r="154">
          <cell r="B154" t="str">
            <v>ASM</v>
          </cell>
          <cell r="C154">
            <v>50</v>
          </cell>
          <cell r="D154" t="str">
            <v>AS Monaco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</row>
        <row r="155">
          <cell r="B155" t="str">
            <v>ASM</v>
          </cell>
          <cell r="C155">
            <v>51</v>
          </cell>
          <cell r="D155" t="str">
            <v>AS Monaco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</row>
        <row r="156">
          <cell r="B156" t="str">
            <v>BAS</v>
          </cell>
          <cell r="C156">
            <v>1</v>
          </cell>
          <cell r="D156" t="str">
            <v>Baskonia Vitoria-Gasteiz</v>
          </cell>
          <cell r="E156" t="str">
            <v>Real Madrid</v>
          </cell>
          <cell r="F156">
            <v>45205</v>
          </cell>
          <cell r="G156" t="str">
            <v>H</v>
          </cell>
          <cell r="H156" t="str">
            <v>RMB</v>
          </cell>
          <cell r="I156" t="str">
            <v>1.BAS</v>
          </cell>
          <cell r="J156" t="str">
            <v>1.RMB</v>
          </cell>
        </row>
        <row r="157">
          <cell r="B157" t="str">
            <v>BAS</v>
          </cell>
          <cell r="C157">
            <v>2</v>
          </cell>
          <cell r="D157" t="str">
            <v>Baskonia Vitoria-Gasteiz</v>
          </cell>
          <cell r="E157" t="str">
            <v>ALBA Berlin</v>
          </cell>
          <cell r="F157">
            <v>45211</v>
          </cell>
          <cell r="G157" t="str">
            <v>A</v>
          </cell>
          <cell r="H157" t="str">
            <v>BER</v>
          </cell>
          <cell r="I157" t="str">
            <v>2.BAS</v>
          </cell>
          <cell r="J157" t="str">
            <v>2.BER</v>
          </cell>
        </row>
        <row r="158">
          <cell r="B158" t="str">
            <v>BAS</v>
          </cell>
          <cell r="C158">
            <v>3</v>
          </cell>
          <cell r="D158" t="str">
            <v>Baskonia Vitoria-Gasteiz</v>
          </cell>
          <cell r="E158" t="str">
            <v>FC Bayern Munich</v>
          </cell>
          <cell r="F158">
            <v>45216</v>
          </cell>
          <cell r="G158" t="str">
            <v>H</v>
          </cell>
          <cell r="H158" t="str">
            <v>BAY</v>
          </cell>
          <cell r="I158" t="str">
            <v>3.BAS</v>
          </cell>
          <cell r="J158" t="str">
            <v>3.BAY</v>
          </cell>
        </row>
        <row r="159">
          <cell r="B159" t="str">
            <v>BAS</v>
          </cell>
          <cell r="C159">
            <v>4</v>
          </cell>
          <cell r="D159" t="str">
            <v>Baskonia Vitoria-Gasteiz</v>
          </cell>
          <cell r="E159" t="str">
            <v>Zalgiris Kaunas</v>
          </cell>
          <cell r="F159">
            <v>45218</v>
          </cell>
          <cell r="G159" t="str">
            <v>H</v>
          </cell>
          <cell r="H159" t="str">
            <v>ZAL</v>
          </cell>
          <cell r="I159" t="str">
            <v>4.BAS</v>
          </cell>
          <cell r="J159" t="str">
            <v>4.ZAL</v>
          </cell>
        </row>
        <row r="160">
          <cell r="B160" t="str">
            <v>BAS</v>
          </cell>
          <cell r="C160">
            <v>5</v>
          </cell>
          <cell r="D160" t="str">
            <v>Baskonia Vitoria-Gasteiz</v>
          </cell>
          <cell r="E160" t="str">
            <v>Panathinaikos Athens</v>
          </cell>
          <cell r="F160">
            <v>45226</v>
          </cell>
          <cell r="G160" t="str">
            <v>A</v>
          </cell>
          <cell r="H160" t="str">
            <v>PAN</v>
          </cell>
          <cell r="I160" t="str">
            <v>5.BAS</v>
          </cell>
          <cell r="J160" t="str">
            <v>5.PAN</v>
          </cell>
        </row>
        <row r="161">
          <cell r="B161" t="str">
            <v>BAS</v>
          </cell>
          <cell r="C161">
            <v>6</v>
          </cell>
          <cell r="D161" t="str">
            <v>Baskonia Vitoria-Gasteiz</v>
          </cell>
          <cell r="E161" t="str">
            <v>Partizan Mozzart Bet Belgrade</v>
          </cell>
          <cell r="F161">
            <v>45233</v>
          </cell>
          <cell r="G161" t="str">
            <v>H</v>
          </cell>
          <cell r="H161" t="str">
            <v>PAR</v>
          </cell>
          <cell r="I161" t="str">
            <v>6.BAS</v>
          </cell>
          <cell r="J161" t="str">
            <v>6.PAR</v>
          </cell>
        </row>
        <row r="162">
          <cell r="B162" t="str">
            <v>BAS</v>
          </cell>
          <cell r="C162">
            <v>7</v>
          </cell>
          <cell r="D162" t="str">
            <v>Baskonia Vitoria-Gasteiz</v>
          </cell>
          <cell r="E162" t="str">
            <v>Olympiacos Piraeus</v>
          </cell>
          <cell r="F162">
            <v>45239</v>
          </cell>
          <cell r="G162" t="str">
            <v>A</v>
          </cell>
          <cell r="H162" t="str">
            <v>OLY</v>
          </cell>
          <cell r="I162" t="str">
            <v>7.BAS</v>
          </cell>
          <cell r="J162" t="str">
            <v>7.OLY</v>
          </cell>
        </row>
        <row r="163">
          <cell r="B163" t="str">
            <v>BAS</v>
          </cell>
          <cell r="C163">
            <v>8</v>
          </cell>
          <cell r="D163" t="str">
            <v>Baskonia Vitoria-Gasteiz</v>
          </cell>
          <cell r="E163" t="str">
            <v>FC Barcelona</v>
          </cell>
          <cell r="F163">
            <v>45245</v>
          </cell>
          <cell r="G163" t="str">
            <v>H</v>
          </cell>
          <cell r="H163" t="str">
            <v>FCB</v>
          </cell>
          <cell r="I163" t="str">
            <v>8.BAS</v>
          </cell>
          <cell r="J163" t="str">
            <v>8.FCB</v>
          </cell>
        </row>
        <row r="164">
          <cell r="B164" t="str">
            <v>BAS</v>
          </cell>
          <cell r="C164">
            <v>9</v>
          </cell>
          <cell r="D164" t="str">
            <v>Baskonia Vitoria-Gasteiz</v>
          </cell>
          <cell r="E164" t="str">
            <v>LDLC ASVEL Villeurbanne</v>
          </cell>
          <cell r="F164">
            <v>45247</v>
          </cell>
          <cell r="G164" t="str">
            <v>A</v>
          </cell>
          <cell r="H164" t="str">
            <v>ASV</v>
          </cell>
          <cell r="I164" t="str">
            <v>9.BAS</v>
          </cell>
          <cell r="J164" t="str">
            <v>9.ASV</v>
          </cell>
        </row>
        <row r="165">
          <cell r="B165" t="str">
            <v>BAS</v>
          </cell>
          <cell r="C165">
            <v>10</v>
          </cell>
          <cell r="D165" t="str">
            <v>Baskonia Vitoria-Gasteiz</v>
          </cell>
          <cell r="E165" t="str">
            <v>AS Monaco</v>
          </cell>
          <cell r="F165">
            <v>45254</v>
          </cell>
          <cell r="G165" t="str">
            <v>H</v>
          </cell>
          <cell r="H165" t="str">
            <v>ASM</v>
          </cell>
          <cell r="I165" t="str">
            <v>10.BAS</v>
          </cell>
          <cell r="J165" t="str">
            <v>10.ASM</v>
          </cell>
        </row>
        <row r="166">
          <cell r="B166" t="str">
            <v>BAS</v>
          </cell>
          <cell r="C166">
            <v>11</v>
          </cell>
          <cell r="D166" t="str">
            <v>Baskonia Vitoria-Gasteiz</v>
          </cell>
          <cell r="E166" t="str">
            <v>Valencia Basket</v>
          </cell>
          <cell r="F166">
            <v>45261</v>
          </cell>
          <cell r="G166" t="str">
            <v>A</v>
          </cell>
          <cell r="H166" t="str">
            <v>VAL</v>
          </cell>
          <cell r="I166" t="str">
            <v>11.BAS</v>
          </cell>
          <cell r="J166" t="str">
            <v>11.VAL</v>
          </cell>
        </row>
        <row r="167">
          <cell r="B167" t="str">
            <v>BAS</v>
          </cell>
          <cell r="C167">
            <v>12</v>
          </cell>
          <cell r="D167" t="str">
            <v>Baskonia Vitoria-Gasteiz</v>
          </cell>
          <cell r="E167" t="str">
            <v>Fenerbahce Beko Istanbul</v>
          </cell>
          <cell r="F167">
            <v>45266</v>
          </cell>
          <cell r="G167" t="str">
            <v>H</v>
          </cell>
          <cell r="H167" t="str">
            <v>FEN</v>
          </cell>
          <cell r="I167" t="str">
            <v>12.BAS</v>
          </cell>
          <cell r="J167" t="str">
            <v>12.FEN</v>
          </cell>
        </row>
        <row r="168">
          <cell r="B168" t="str">
            <v>BAS</v>
          </cell>
          <cell r="C168">
            <v>13</v>
          </cell>
          <cell r="D168" t="str">
            <v>Baskonia Vitoria-Gasteiz</v>
          </cell>
          <cell r="E168" t="str">
            <v>Crvena Zvezda Meridianbet Belgrade</v>
          </cell>
          <cell r="F168">
            <v>45268</v>
          </cell>
          <cell r="G168" t="str">
            <v>H</v>
          </cell>
          <cell r="H168" t="str">
            <v>CZB</v>
          </cell>
          <cell r="I168" t="str">
            <v>13.BAS</v>
          </cell>
          <cell r="J168" t="str">
            <v>13.CZB</v>
          </cell>
        </row>
        <row r="169">
          <cell r="B169" t="str">
            <v>BAS</v>
          </cell>
          <cell r="C169">
            <v>14</v>
          </cell>
          <cell r="D169" t="str">
            <v>Baskonia Vitoria-Gasteiz</v>
          </cell>
          <cell r="E169" t="str">
            <v>Virtus Segafredo Bologna</v>
          </cell>
          <cell r="F169">
            <v>45274</v>
          </cell>
          <cell r="G169" t="str">
            <v>H</v>
          </cell>
          <cell r="H169" t="str">
            <v>VIR</v>
          </cell>
          <cell r="I169" t="str">
            <v>14.BAS</v>
          </cell>
          <cell r="J169" t="str">
            <v>14.VIR</v>
          </cell>
        </row>
        <row r="170">
          <cell r="B170" t="str">
            <v>BAS</v>
          </cell>
          <cell r="C170">
            <v>15</v>
          </cell>
          <cell r="D170" t="str">
            <v>Baskonia Vitoria-Gasteiz</v>
          </cell>
          <cell r="E170" t="str">
            <v>Maccabi Playtika Tel Aviv</v>
          </cell>
          <cell r="F170">
            <v>45279</v>
          </cell>
          <cell r="G170" t="str">
            <v>A</v>
          </cell>
          <cell r="H170" t="str">
            <v>MTA</v>
          </cell>
          <cell r="I170" t="str">
            <v>15.BAS</v>
          </cell>
          <cell r="J170" t="str">
            <v>15.MTA</v>
          </cell>
        </row>
        <row r="171">
          <cell r="B171" t="str">
            <v>BAS</v>
          </cell>
          <cell r="C171">
            <v>16</v>
          </cell>
          <cell r="D171" t="str">
            <v>Baskonia Vitoria-Gasteiz</v>
          </cell>
          <cell r="E171" t="str">
            <v>Anadolu Efes Istanbul</v>
          </cell>
          <cell r="F171">
            <v>45282</v>
          </cell>
          <cell r="G171" t="str">
            <v>A</v>
          </cell>
          <cell r="H171" t="str">
            <v>EFE</v>
          </cell>
          <cell r="I171" t="str">
            <v>16.BAS</v>
          </cell>
          <cell r="J171" t="str">
            <v>16.EFE</v>
          </cell>
        </row>
        <row r="172">
          <cell r="B172" t="str">
            <v>BAS</v>
          </cell>
          <cell r="C172">
            <v>17</v>
          </cell>
          <cell r="D172" t="str">
            <v>Baskonia Vitoria-Gasteiz</v>
          </cell>
          <cell r="E172" t="str">
            <v>EA7 Emporio Armani Milan</v>
          </cell>
          <cell r="F172">
            <v>45288</v>
          </cell>
          <cell r="G172" t="str">
            <v>A</v>
          </cell>
          <cell r="H172" t="str">
            <v>MIL</v>
          </cell>
          <cell r="I172" t="str">
            <v>17.BAS</v>
          </cell>
          <cell r="J172" t="str">
            <v>17.MIL</v>
          </cell>
        </row>
        <row r="173">
          <cell r="B173" t="str">
            <v>BAS</v>
          </cell>
          <cell r="C173">
            <v>18</v>
          </cell>
          <cell r="D173" t="str">
            <v>Baskonia Vitoria-Gasteiz</v>
          </cell>
          <cell r="E173" t="str">
            <v>Panathinaikos Athens</v>
          </cell>
          <cell r="F173">
            <v>45294</v>
          </cell>
          <cell r="G173" t="str">
            <v>H</v>
          </cell>
          <cell r="H173" t="str">
            <v>PAN</v>
          </cell>
          <cell r="I173" t="str">
            <v>18.BAS</v>
          </cell>
          <cell r="J173" t="str">
            <v>18.PAN</v>
          </cell>
        </row>
        <row r="174">
          <cell r="B174" t="str">
            <v>BAS</v>
          </cell>
          <cell r="C174">
            <v>19</v>
          </cell>
          <cell r="D174" t="str">
            <v>Baskonia Vitoria-Gasteiz</v>
          </cell>
          <cell r="E174" t="str">
            <v>FC Barcelona</v>
          </cell>
          <cell r="F174">
            <v>45296</v>
          </cell>
          <cell r="G174" t="str">
            <v>A</v>
          </cell>
          <cell r="H174" t="str">
            <v>FCB</v>
          </cell>
          <cell r="I174" t="str">
            <v>19.BAS</v>
          </cell>
          <cell r="J174" t="str">
            <v>19.FCB</v>
          </cell>
        </row>
        <row r="175">
          <cell r="B175" t="str">
            <v>BAS</v>
          </cell>
          <cell r="C175">
            <v>20</v>
          </cell>
          <cell r="D175" t="str">
            <v>Baskonia Vitoria-Gasteiz</v>
          </cell>
          <cell r="E175" t="str">
            <v>AS Monaco</v>
          </cell>
          <cell r="F175">
            <v>45300</v>
          </cell>
          <cell r="G175" t="str">
            <v>A</v>
          </cell>
          <cell r="H175" t="str">
            <v>ASM</v>
          </cell>
          <cell r="I175" t="str">
            <v>20.BAS</v>
          </cell>
          <cell r="J175" t="str">
            <v>20.ASM</v>
          </cell>
        </row>
        <row r="176">
          <cell r="B176" t="str">
            <v>BAS</v>
          </cell>
          <cell r="C176">
            <v>21</v>
          </cell>
          <cell r="D176" t="str">
            <v>Baskonia Vitoria-Gasteiz</v>
          </cell>
          <cell r="E176" t="str">
            <v>Olympiacos Piraeus</v>
          </cell>
          <cell r="F176">
            <v>45303</v>
          </cell>
          <cell r="G176" t="str">
            <v>H</v>
          </cell>
          <cell r="H176" t="str">
            <v>OLY</v>
          </cell>
          <cell r="I176" t="str">
            <v>21.BAS</v>
          </cell>
          <cell r="J176" t="str">
            <v>21.OLY</v>
          </cell>
        </row>
        <row r="177">
          <cell r="B177" t="str">
            <v>BAS</v>
          </cell>
          <cell r="C177">
            <v>22</v>
          </cell>
          <cell r="D177" t="str">
            <v>Baskonia Vitoria-Gasteiz</v>
          </cell>
          <cell r="E177" t="str">
            <v>Crvena Zvezda Meridianbet Belgrade</v>
          </cell>
          <cell r="F177">
            <v>45309</v>
          </cell>
          <cell r="G177" t="str">
            <v>A</v>
          </cell>
          <cell r="H177" t="str">
            <v>CZB</v>
          </cell>
          <cell r="I177" t="str">
            <v>22.BAS</v>
          </cell>
          <cell r="J177" t="str">
            <v>22.CZB</v>
          </cell>
        </row>
        <row r="178">
          <cell r="B178" t="str">
            <v>BAS</v>
          </cell>
          <cell r="C178">
            <v>23</v>
          </cell>
          <cell r="D178" t="str">
            <v>Baskonia Vitoria-Gasteiz</v>
          </cell>
          <cell r="E178" t="str">
            <v>Valencia Basket</v>
          </cell>
          <cell r="F178">
            <v>45317</v>
          </cell>
          <cell r="G178" t="str">
            <v>H</v>
          </cell>
          <cell r="H178" t="str">
            <v>VAL</v>
          </cell>
          <cell r="I178" t="str">
            <v>23.BAS</v>
          </cell>
          <cell r="J178" t="str">
            <v>23.VAL</v>
          </cell>
        </row>
        <row r="179">
          <cell r="B179" t="str">
            <v>BAS</v>
          </cell>
          <cell r="C179">
            <v>24</v>
          </cell>
          <cell r="D179" t="str">
            <v>Baskonia Vitoria-Gasteiz</v>
          </cell>
          <cell r="E179" t="str">
            <v>FC Bayern Munich</v>
          </cell>
          <cell r="F179">
            <v>45321</v>
          </cell>
          <cell r="G179" t="str">
            <v>A</v>
          </cell>
          <cell r="H179" t="str">
            <v>BAY</v>
          </cell>
          <cell r="I179" t="str">
            <v>24.BAS</v>
          </cell>
          <cell r="J179" t="str">
            <v>24.BAY</v>
          </cell>
        </row>
        <row r="180">
          <cell r="B180" t="str">
            <v>BAS</v>
          </cell>
          <cell r="C180">
            <v>25</v>
          </cell>
          <cell r="D180" t="str">
            <v>Baskonia Vitoria-Gasteiz</v>
          </cell>
          <cell r="E180" t="str">
            <v>Maccabi Playtika Tel Aviv</v>
          </cell>
          <cell r="F180">
            <v>45323</v>
          </cell>
          <cell r="G180" t="str">
            <v>H</v>
          </cell>
          <cell r="H180" t="str">
            <v>MTA</v>
          </cell>
          <cell r="I180" t="str">
            <v>25.BAS</v>
          </cell>
          <cell r="J180" t="str">
            <v>25.MTA</v>
          </cell>
        </row>
        <row r="181">
          <cell r="B181" t="str">
            <v>BAS</v>
          </cell>
          <cell r="C181">
            <v>26</v>
          </cell>
          <cell r="D181" t="str">
            <v>Baskonia Vitoria-Gasteiz</v>
          </cell>
          <cell r="E181" t="str">
            <v>LDLC ASVEL Villeurbanne</v>
          </cell>
          <cell r="F181">
            <v>45330</v>
          </cell>
          <cell r="G181" t="str">
            <v>H</v>
          </cell>
          <cell r="H181" t="str">
            <v>ASV</v>
          </cell>
          <cell r="I181" t="str">
            <v>26.BAS</v>
          </cell>
          <cell r="J181" t="str">
            <v>26.ASV</v>
          </cell>
        </row>
        <row r="182">
          <cell r="B182" t="str">
            <v>BAS</v>
          </cell>
          <cell r="C182">
            <v>27</v>
          </cell>
          <cell r="D182" t="str">
            <v>Baskonia Vitoria-Gasteiz</v>
          </cell>
          <cell r="E182" t="str">
            <v>Fenerbahce Beko Istanbul</v>
          </cell>
          <cell r="F182">
            <v>45352</v>
          </cell>
          <cell r="G182" t="str">
            <v>A</v>
          </cell>
          <cell r="H182" t="str">
            <v>FEN</v>
          </cell>
          <cell r="I182" t="str">
            <v>27.BAS</v>
          </cell>
          <cell r="J182" t="str">
            <v>27.FEN</v>
          </cell>
        </row>
        <row r="183">
          <cell r="B183" t="str">
            <v>BAS</v>
          </cell>
          <cell r="C183">
            <v>28</v>
          </cell>
          <cell r="D183" t="str">
            <v>Baskonia Vitoria-Gasteiz</v>
          </cell>
          <cell r="E183" t="str">
            <v>ALBA Berlin</v>
          </cell>
          <cell r="F183">
            <v>45359</v>
          </cell>
          <cell r="G183" t="str">
            <v>H</v>
          </cell>
          <cell r="H183" t="str">
            <v>BER</v>
          </cell>
          <cell r="I183" t="str">
            <v>28.BAS</v>
          </cell>
          <cell r="J183" t="str">
            <v>28.BER</v>
          </cell>
        </row>
        <row r="184">
          <cell r="B184" t="str">
            <v>BAS</v>
          </cell>
          <cell r="C184">
            <v>29</v>
          </cell>
          <cell r="D184" t="str">
            <v>Baskonia Vitoria-Gasteiz</v>
          </cell>
          <cell r="E184" t="str">
            <v>EA7 Emporio Armani Milan</v>
          </cell>
          <cell r="F184">
            <v>45365</v>
          </cell>
          <cell r="G184" t="str">
            <v>H</v>
          </cell>
          <cell r="H184" t="str">
            <v>MIL</v>
          </cell>
          <cell r="I184" t="str">
            <v>29.BAS</v>
          </cell>
          <cell r="J184" t="str">
            <v>29.MIL</v>
          </cell>
        </row>
        <row r="185">
          <cell r="B185" t="str">
            <v>BAS</v>
          </cell>
          <cell r="C185">
            <v>30</v>
          </cell>
          <cell r="D185" t="str">
            <v>Baskonia Vitoria-Gasteiz</v>
          </cell>
          <cell r="E185" t="str">
            <v>Partizan Mozzart Bet Belgrade</v>
          </cell>
          <cell r="F185">
            <v>45370</v>
          </cell>
          <cell r="G185" t="str">
            <v>A</v>
          </cell>
          <cell r="H185" t="str">
            <v>PAR</v>
          </cell>
          <cell r="I185" t="str">
            <v>30.BAS</v>
          </cell>
          <cell r="J185" t="str">
            <v>30.PAR</v>
          </cell>
        </row>
        <row r="186">
          <cell r="B186" t="str">
            <v>BAS</v>
          </cell>
          <cell r="C186">
            <v>31</v>
          </cell>
          <cell r="D186" t="str">
            <v>Baskonia Vitoria-Gasteiz</v>
          </cell>
          <cell r="E186" t="str">
            <v>Zalgiris Kaunas</v>
          </cell>
          <cell r="F186">
            <v>45372</v>
          </cell>
          <cell r="G186" t="str">
            <v>A</v>
          </cell>
          <cell r="H186" t="str">
            <v>ZAL</v>
          </cell>
          <cell r="I186" t="str">
            <v>31.BAS</v>
          </cell>
          <cell r="J186" t="str">
            <v>31.ZAL</v>
          </cell>
        </row>
        <row r="187">
          <cell r="B187" t="str">
            <v>BAS</v>
          </cell>
          <cell r="C187">
            <v>32</v>
          </cell>
          <cell r="D187" t="str">
            <v>Baskonia Vitoria-Gasteiz</v>
          </cell>
          <cell r="E187" t="str">
            <v>Anadolu Efes Istanbul</v>
          </cell>
          <cell r="F187">
            <v>45379</v>
          </cell>
          <cell r="G187" t="str">
            <v>H</v>
          </cell>
          <cell r="H187" t="str">
            <v>EFE</v>
          </cell>
          <cell r="I187" t="str">
            <v>32.BAS</v>
          </cell>
          <cell r="J187" t="str">
            <v>32.EFE</v>
          </cell>
        </row>
        <row r="188">
          <cell r="B188" t="str">
            <v>BAS</v>
          </cell>
          <cell r="C188">
            <v>33</v>
          </cell>
          <cell r="D188" t="str">
            <v>Baskonia Vitoria-Gasteiz</v>
          </cell>
          <cell r="E188" t="str">
            <v>Real Madrid</v>
          </cell>
          <cell r="F188">
            <v>45387</v>
          </cell>
          <cell r="G188" t="str">
            <v>A</v>
          </cell>
          <cell r="H188" t="str">
            <v>RMB</v>
          </cell>
          <cell r="I188" t="str">
            <v>33.BAS</v>
          </cell>
          <cell r="J188" t="str">
            <v>33.RMB</v>
          </cell>
        </row>
        <row r="189">
          <cell r="B189" t="str">
            <v>BAS</v>
          </cell>
          <cell r="C189">
            <v>34</v>
          </cell>
          <cell r="D189" t="str">
            <v>Baskonia Vitoria-Gasteiz</v>
          </cell>
          <cell r="E189" t="str">
            <v>Virtus Segafredo Bologna</v>
          </cell>
          <cell r="F189">
            <v>45394</v>
          </cell>
          <cell r="G189" t="str">
            <v>A</v>
          </cell>
          <cell r="H189" t="str">
            <v>VIR</v>
          </cell>
          <cell r="I189" t="str">
            <v>34.BAS</v>
          </cell>
          <cell r="J189" t="str">
            <v>34.VIR</v>
          </cell>
        </row>
        <row r="190">
          <cell r="B190" t="str">
            <v>BAS</v>
          </cell>
          <cell r="C190">
            <v>35</v>
          </cell>
          <cell r="D190" t="str">
            <v>Baskonia Vitoria-Gasteiz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  <cell r="J190" t="str">
            <v/>
          </cell>
        </row>
        <row r="191">
          <cell r="B191" t="str">
            <v>BAS</v>
          </cell>
          <cell r="C191">
            <v>36</v>
          </cell>
          <cell r="D191" t="str">
            <v>Baskonia Vitoria-Gasteiz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</row>
        <row r="192">
          <cell r="B192" t="str">
            <v>BAS</v>
          </cell>
          <cell r="C192">
            <v>37</v>
          </cell>
          <cell r="D192" t="str">
            <v>Baskonia Vitoria-Gasteiz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  <cell r="J192" t="str">
            <v/>
          </cell>
        </row>
        <row r="193">
          <cell r="B193" t="str">
            <v>BAS</v>
          </cell>
          <cell r="C193">
            <v>38</v>
          </cell>
          <cell r="D193" t="str">
            <v>Baskonia Vitoria-Gasteiz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</row>
        <row r="194">
          <cell r="B194" t="str">
            <v>BAS</v>
          </cell>
          <cell r="C194">
            <v>39</v>
          </cell>
          <cell r="D194" t="str">
            <v>Baskonia Vitoria-Gasteiz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</row>
        <row r="195">
          <cell r="B195" t="str">
            <v>BAS</v>
          </cell>
          <cell r="C195">
            <v>40</v>
          </cell>
          <cell r="D195" t="str">
            <v>Baskonia Vitoria-Gasteiz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</row>
        <row r="196">
          <cell r="B196" t="str">
            <v>BAS</v>
          </cell>
          <cell r="C196">
            <v>41</v>
          </cell>
          <cell r="D196" t="str">
            <v>Baskonia Vitoria-Gasteiz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</row>
        <row r="197">
          <cell r="B197" t="str">
            <v>BAS</v>
          </cell>
          <cell r="C197">
            <v>42</v>
          </cell>
          <cell r="D197" t="str">
            <v>Baskonia Vitoria-Gasteiz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</row>
        <row r="198">
          <cell r="B198" t="str">
            <v>BAS</v>
          </cell>
          <cell r="C198">
            <v>43</v>
          </cell>
          <cell r="D198" t="str">
            <v>Baskonia Vitoria-Gasteiz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</row>
        <row r="199">
          <cell r="B199" t="str">
            <v>BAS</v>
          </cell>
          <cell r="C199">
            <v>44</v>
          </cell>
          <cell r="D199" t="str">
            <v>Baskonia Vitoria-Gasteiz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</row>
        <row r="200">
          <cell r="B200" t="str">
            <v>BAS</v>
          </cell>
          <cell r="C200">
            <v>45</v>
          </cell>
          <cell r="D200" t="str">
            <v>Baskonia Vitoria-Gasteiz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</row>
        <row r="201">
          <cell r="B201" t="str">
            <v>BAS</v>
          </cell>
          <cell r="C201">
            <v>46</v>
          </cell>
          <cell r="D201" t="str">
            <v>Baskonia Vitoria-Gasteiz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</row>
        <row r="202">
          <cell r="B202" t="str">
            <v>BAS</v>
          </cell>
          <cell r="C202">
            <v>47</v>
          </cell>
          <cell r="D202" t="str">
            <v>Baskonia Vitoria-Gasteiz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</row>
        <row r="203">
          <cell r="B203" t="str">
            <v>BAS</v>
          </cell>
          <cell r="C203">
            <v>48</v>
          </cell>
          <cell r="D203" t="str">
            <v>Baskonia Vitoria-Gasteiz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</row>
        <row r="204">
          <cell r="B204" t="str">
            <v>BAS</v>
          </cell>
          <cell r="C204">
            <v>49</v>
          </cell>
          <cell r="D204" t="str">
            <v>Baskonia Vitoria-Gasteiz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</row>
        <row r="205">
          <cell r="B205" t="str">
            <v>BAS</v>
          </cell>
          <cell r="C205">
            <v>50</v>
          </cell>
          <cell r="D205" t="str">
            <v>Baskonia Vitoria-Gasteiz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</row>
        <row r="206">
          <cell r="B206" t="str">
            <v>BAS</v>
          </cell>
          <cell r="C206">
            <v>51</v>
          </cell>
          <cell r="D206" t="str">
            <v>Baskonia Vitoria-Gasteiz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</row>
        <row r="207">
          <cell r="B207" t="str">
            <v>CZB</v>
          </cell>
          <cell r="C207">
            <v>1</v>
          </cell>
          <cell r="D207" t="str">
            <v>Crvena Zvezda Meridianbet Belgrade</v>
          </cell>
          <cell r="E207" t="str">
            <v>LDLC ASVEL Villeurbanne</v>
          </cell>
          <cell r="F207">
            <v>45204</v>
          </cell>
          <cell r="G207" t="str">
            <v>H</v>
          </cell>
          <cell r="H207" t="str">
            <v>ASV</v>
          </cell>
          <cell r="I207" t="str">
            <v>1.CZB</v>
          </cell>
          <cell r="J207" t="str">
            <v>1.ASV</v>
          </cell>
        </row>
        <row r="208">
          <cell r="B208" t="str">
            <v>CZB</v>
          </cell>
          <cell r="C208">
            <v>2</v>
          </cell>
          <cell r="D208" t="str">
            <v>Crvena Zvezda Meridianbet Belgrade</v>
          </cell>
          <cell r="E208" t="str">
            <v>Zalgiris Kaunas</v>
          </cell>
          <cell r="F208">
            <v>45212</v>
          </cell>
          <cell r="G208" t="str">
            <v>A</v>
          </cell>
          <cell r="H208" t="str">
            <v>ZAL</v>
          </cell>
          <cell r="I208" t="str">
            <v>2.CZB</v>
          </cell>
          <cell r="J208" t="str">
            <v>2.ZAL</v>
          </cell>
        </row>
        <row r="209">
          <cell r="B209" t="str">
            <v>CZB</v>
          </cell>
          <cell r="C209">
            <v>3</v>
          </cell>
          <cell r="D209" t="str">
            <v>Crvena Zvezda Meridianbet Belgrade</v>
          </cell>
          <cell r="E209" t="str">
            <v>AS Monaco</v>
          </cell>
          <cell r="F209">
            <v>45217</v>
          </cell>
          <cell r="G209" t="str">
            <v>H</v>
          </cell>
          <cell r="H209" t="str">
            <v>ASM</v>
          </cell>
          <cell r="I209" t="str">
            <v>3.CZB</v>
          </cell>
          <cell r="J209" t="str">
            <v>3.ASM</v>
          </cell>
        </row>
        <row r="210">
          <cell r="B210" t="str">
            <v>CZB</v>
          </cell>
          <cell r="C210">
            <v>4</v>
          </cell>
          <cell r="D210" t="str">
            <v>Crvena Zvezda Meridianbet Belgrade</v>
          </cell>
          <cell r="E210" t="str">
            <v>Virtus Segafredo Bologna</v>
          </cell>
          <cell r="F210">
            <v>45219</v>
          </cell>
          <cell r="G210" t="str">
            <v>A</v>
          </cell>
          <cell r="H210" t="str">
            <v>VIR</v>
          </cell>
          <cell r="I210" t="str">
            <v>4.CZB</v>
          </cell>
          <cell r="J210" t="str">
            <v>4.VIR</v>
          </cell>
        </row>
        <row r="211">
          <cell r="B211" t="str">
            <v>CZB</v>
          </cell>
          <cell r="C211">
            <v>5</v>
          </cell>
          <cell r="D211" t="str">
            <v>Crvena Zvezda Meridianbet Belgrade</v>
          </cell>
          <cell r="E211" t="str">
            <v>Partizan Mozzart Bet Belgrade</v>
          </cell>
          <cell r="F211">
            <v>45225</v>
          </cell>
          <cell r="G211" t="str">
            <v>A</v>
          </cell>
          <cell r="H211" t="str">
            <v>PAR</v>
          </cell>
          <cell r="I211" t="str">
            <v>5.CZB</v>
          </cell>
          <cell r="J211" t="str">
            <v>5.PAR</v>
          </cell>
        </row>
        <row r="212">
          <cell r="B212" t="str">
            <v>CZB</v>
          </cell>
          <cell r="C212">
            <v>6</v>
          </cell>
          <cell r="D212" t="str">
            <v>Crvena Zvezda Meridianbet Belgrade</v>
          </cell>
          <cell r="E212" t="str">
            <v>FC Bayern Munich</v>
          </cell>
          <cell r="F212">
            <v>45232</v>
          </cell>
          <cell r="G212" t="str">
            <v>H</v>
          </cell>
          <cell r="H212" t="str">
            <v>BAY</v>
          </cell>
          <cell r="I212" t="str">
            <v>6.CZB</v>
          </cell>
          <cell r="J212" t="str">
            <v>6.BAY</v>
          </cell>
        </row>
        <row r="213">
          <cell r="B213" t="str">
            <v>CZB</v>
          </cell>
          <cell r="C213">
            <v>7</v>
          </cell>
          <cell r="D213" t="str">
            <v>Crvena Zvezda Meridianbet Belgrade</v>
          </cell>
          <cell r="E213" t="str">
            <v>FC Barcelona</v>
          </cell>
          <cell r="F213">
            <v>45240</v>
          </cell>
          <cell r="G213" t="str">
            <v>A</v>
          </cell>
          <cell r="H213" t="str">
            <v>FCB</v>
          </cell>
          <cell r="I213" t="str">
            <v>7.CZB</v>
          </cell>
          <cell r="J213" t="str">
            <v>7.FCB</v>
          </cell>
        </row>
        <row r="214">
          <cell r="B214" t="str">
            <v>CZB</v>
          </cell>
          <cell r="C214">
            <v>8</v>
          </cell>
          <cell r="D214" t="str">
            <v>Crvena Zvezda Meridianbet Belgrade</v>
          </cell>
          <cell r="E214" t="str">
            <v>Fenerbahce Beko Istanbul</v>
          </cell>
          <cell r="F214">
            <v>45244</v>
          </cell>
          <cell r="G214" t="str">
            <v>H</v>
          </cell>
          <cell r="H214" t="str">
            <v>FEN</v>
          </cell>
          <cell r="I214" t="str">
            <v>8.CZB</v>
          </cell>
          <cell r="J214" t="str">
            <v>8.FEN</v>
          </cell>
        </row>
        <row r="215">
          <cell r="B215" t="str">
            <v>CZB</v>
          </cell>
          <cell r="C215">
            <v>9</v>
          </cell>
          <cell r="D215" t="str">
            <v>Crvena Zvezda Meridianbet Belgrade</v>
          </cell>
          <cell r="E215" t="str">
            <v>Olympiacos Piraeus</v>
          </cell>
          <cell r="F215">
            <v>45246</v>
          </cell>
          <cell r="G215" t="str">
            <v>A</v>
          </cell>
          <cell r="H215" t="str">
            <v>OLY</v>
          </cell>
          <cell r="I215" t="str">
            <v>9.CZB</v>
          </cell>
          <cell r="J215" t="str">
            <v>9.OLY</v>
          </cell>
        </row>
        <row r="216">
          <cell r="B216" t="str">
            <v>CZB</v>
          </cell>
          <cell r="C216">
            <v>10</v>
          </cell>
          <cell r="D216" t="str">
            <v>Crvena Zvezda Meridianbet Belgrade</v>
          </cell>
          <cell r="E216" t="str">
            <v>EA7 Emporio Armani Milan</v>
          </cell>
          <cell r="F216">
            <v>45254</v>
          </cell>
          <cell r="G216" t="str">
            <v>H</v>
          </cell>
          <cell r="H216" t="str">
            <v>MIL</v>
          </cell>
          <cell r="I216" t="str">
            <v>10.CZB</v>
          </cell>
          <cell r="J216" t="str">
            <v>10.MIL</v>
          </cell>
        </row>
        <row r="217">
          <cell r="B217" t="str">
            <v>CZB</v>
          </cell>
          <cell r="C217">
            <v>11</v>
          </cell>
          <cell r="D217" t="str">
            <v>Crvena Zvezda Meridianbet Belgrade</v>
          </cell>
          <cell r="E217" t="str">
            <v>Anadolu Efes Istanbul</v>
          </cell>
          <cell r="F217">
            <v>45261</v>
          </cell>
          <cell r="G217" t="str">
            <v>H</v>
          </cell>
          <cell r="H217" t="str">
            <v>EFE</v>
          </cell>
          <cell r="I217" t="str">
            <v>11.CZB</v>
          </cell>
          <cell r="J217" t="str">
            <v>11.EFE</v>
          </cell>
        </row>
        <row r="218">
          <cell r="B218" t="str">
            <v>CZB</v>
          </cell>
          <cell r="C218">
            <v>12</v>
          </cell>
          <cell r="D218" t="str">
            <v>Crvena Zvezda Meridianbet Belgrade</v>
          </cell>
          <cell r="E218" t="str">
            <v>Valencia Basket</v>
          </cell>
          <cell r="F218">
            <v>45266</v>
          </cell>
          <cell r="G218" t="str">
            <v>A</v>
          </cell>
          <cell r="H218" t="str">
            <v>VAL</v>
          </cell>
          <cell r="I218" t="str">
            <v>12.CZB</v>
          </cell>
          <cell r="J218" t="str">
            <v>12.VAL</v>
          </cell>
        </row>
        <row r="219">
          <cell r="B219" t="str">
            <v>CZB</v>
          </cell>
          <cell r="C219">
            <v>13</v>
          </cell>
          <cell r="D219" t="str">
            <v>Crvena Zvezda Meridianbet Belgrade</v>
          </cell>
          <cell r="E219" t="str">
            <v>Baskonia Vitoria-Gasteiz</v>
          </cell>
          <cell r="F219">
            <v>45268</v>
          </cell>
          <cell r="G219" t="str">
            <v>A</v>
          </cell>
          <cell r="H219" t="str">
            <v>BAS</v>
          </cell>
          <cell r="I219" t="str">
            <v>13.CZB</v>
          </cell>
          <cell r="J219" t="str">
            <v>13.BAS</v>
          </cell>
        </row>
        <row r="220">
          <cell r="B220" t="str">
            <v>CZB</v>
          </cell>
          <cell r="C220">
            <v>14</v>
          </cell>
          <cell r="D220" t="str">
            <v>Crvena Zvezda Meridianbet Belgrade</v>
          </cell>
          <cell r="E220" t="str">
            <v>ALBA Berlin</v>
          </cell>
          <cell r="F220">
            <v>45275</v>
          </cell>
          <cell r="G220" t="str">
            <v>H</v>
          </cell>
          <cell r="H220" t="str">
            <v>BER</v>
          </cell>
          <cell r="I220" t="str">
            <v>14.CZB</v>
          </cell>
          <cell r="J220" t="str">
            <v>14.BER</v>
          </cell>
        </row>
        <row r="221">
          <cell r="B221" t="str">
            <v>CZB</v>
          </cell>
          <cell r="C221">
            <v>15</v>
          </cell>
          <cell r="D221" t="str">
            <v>Crvena Zvezda Meridianbet Belgrade</v>
          </cell>
          <cell r="E221" t="str">
            <v>Real Madrid</v>
          </cell>
          <cell r="F221">
            <v>45279</v>
          </cell>
          <cell r="G221" t="str">
            <v>H</v>
          </cell>
          <cell r="H221" t="str">
            <v>RMB</v>
          </cell>
          <cell r="I221" t="str">
            <v>15.CZB</v>
          </cell>
          <cell r="J221" t="str">
            <v>15.RMB</v>
          </cell>
        </row>
        <row r="222">
          <cell r="B222" t="str">
            <v>CZB</v>
          </cell>
          <cell r="C222">
            <v>16</v>
          </cell>
          <cell r="D222" t="str">
            <v>Crvena Zvezda Meridianbet Belgrade</v>
          </cell>
          <cell r="E222" t="str">
            <v>Maccabi Playtika Tel Aviv</v>
          </cell>
          <cell r="F222">
            <v>45281</v>
          </cell>
          <cell r="G222" t="str">
            <v>A</v>
          </cell>
          <cell r="H222" t="str">
            <v>MTA</v>
          </cell>
          <cell r="I222" t="str">
            <v>16.CZB</v>
          </cell>
          <cell r="J222" t="str">
            <v>16.MTA</v>
          </cell>
        </row>
        <row r="223">
          <cell r="B223" t="str">
            <v>CZB</v>
          </cell>
          <cell r="C223">
            <v>17</v>
          </cell>
          <cell r="D223" t="str">
            <v>Crvena Zvezda Meridianbet Belgrade</v>
          </cell>
          <cell r="E223" t="str">
            <v>Panathinaikos Athens</v>
          </cell>
          <cell r="F223">
            <v>45288</v>
          </cell>
          <cell r="G223" t="str">
            <v>A</v>
          </cell>
          <cell r="H223" t="str">
            <v>PAN</v>
          </cell>
          <cell r="I223" t="str">
            <v>17.CZB</v>
          </cell>
          <cell r="J223" t="str">
            <v>17.PAN</v>
          </cell>
        </row>
        <row r="224">
          <cell r="B224" t="str">
            <v>CZB</v>
          </cell>
          <cell r="C224">
            <v>18</v>
          </cell>
          <cell r="D224" t="str">
            <v>Crvena Zvezda Meridianbet Belgrade</v>
          </cell>
          <cell r="E224" t="str">
            <v>Fenerbahce Beko Istanbul</v>
          </cell>
          <cell r="F224">
            <v>45293</v>
          </cell>
          <cell r="G224" t="str">
            <v>A</v>
          </cell>
          <cell r="H224" t="str">
            <v>FEN</v>
          </cell>
          <cell r="I224" t="str">
            <v>18.CZB</v>
          </cell>
          <cell r="J224" t="str">
            <v>18.FEN</v>
          </cell>
        </row>
        <row r="225">
          <cell r="B225" t="str">
            <v>CZB</v>
          </cell>
          <cell r="C225">
            <v>19</v>
          </cell>
          <cell r="D225" t="str">
            <v>Crvena Zvezda Meridianbet Belgrade</v>
          </cell>
          <cell r="E225" t="str">
            <v>Partizan Mozzart Bet Belgrade</v>
          </cell>
          <cell r="F225">
            <v>45295</v>
          </cell>
          <cell r="G225" t="str">
            <v>H</v>
          </cell>
          <cell r="H225" t="str">
            <v>PAR</v>
          </cell>
          <cell r="I225" t="str">
            <v>19.CZB</v>
          </cell>
          <cell r="J225" t="str">
            <v>19.PAR</v>
          </cell>
        </row>
        <row r="226">
          <cell r="B226" t="str">
            <v>CZB</v>
          </cell>
          <cell r="C226">
            <v>20</v>
          </cell>
          <cell r="D226" t="str">
            <v>Crvena Zvezda Meridianbet Belgrade</v>
          </cell>
          <cell r="E226" t="str">
            <v>LDLC ASVEL Villeurbanne</v>
          </cell>
          <cell r="F226">
            <v>45300</v>
          </cell>
          <cell r="G226" t="str">
            <v>A</v>
          </cell>
          <cell r="H226" t="str">
            <v>ASV</v>
          </cell>
          <cell r="I226" t="str">
            <v>20.CZB</v>
          </cell>
          <cell r="J226" t="str">
            <v>20.ASV</v>
          </cell>
        </row>
        <row r="227">
          <cell r="B227" t="str">
            <v>CZB</v>
          </cell>
          <cell r="C227">
            <v>21</v>
          </cell>
          <cell r="D227" t="str">
            <v>Crvena Zvezda Meridianbet Belgrade</v>
          </cell>
          <cell r="E227" t="str">
            <v>EA7 Emporio Armani Milan</v>
          </cell>
          <cell r="F227">
            <v>45302</v>
          </cell>
          <cell r="G227" t="str">
            <v>A</v>
          </cell>
          <cell r="H227" t="str">
            <v>MIL</v>
          </cell>
          <cell r="I227" t="str">
            <v>21.CZB</v>
          </cell>
          <cell r="J227" t="str">
            <v>21.MIL</v>
          </cell>
        </row>
        <row r="228">
          <cell r="B228" t="str">
            <v>CZB</v>
          </cell>
          <cell r="C228">
            <v>22</v>
          </cell>
          <cell r="D228" t="str">
            <v>Crvena Zvezda Meridianbet Belgrade</v>
          </cell>
          <cell r="E228" t="str">
            <v>Baskonia Vitoria-Gasteiz</v>
          </cell>
          <cell r="F228">
            <v>45309</v>
          </cell>
          <cell r="G228" t="str">
            <v>H</v>
          </cell>
          <cell r="H228" t="str">
            <v>BAS</v>
          </cell>
          <cell r="I228" t="str">
            <v>22.CZB</v>
          </cell>
          <cell r="J228" t="str">
            <v>22.BAS</v>
          </cell>
        </row>
        <row r="229">
          <cell r="B229" t="str">
            <v>CZB</v>
          </cell>
          <cell r="C229">
            <v>23</v>
          </cell>
          <cell r="D229" t="str">
            <v>Crvena Zvezda Meridianbet Belgrade</v>
          </cell>
          <cell r="E229" t="str">
            <v>ALBA Berlin</v>
          </cell>
          <cell r="F229">
            <v>45316</v>
          </cell>
          <cell r="G229" t="str">
            <v>A</v>
          </cell>
          <cell r="H229" t="str">
            <v>BER</v>
          </cell>
          <cell r="I229" t="str">
            <v>23.CZB</v>
          </cell>
          <cell r="J229" t="str">
            <v>23.BER</v>
          </cell>
        </row>
        <row r="230">
          <cell r="B230" t="str">
            <v>CZB</v>
          </cell>
          <cell r="C230">
            <v>24</v>
          </cell>
          <cell r="D230" t="str">
            <v>Crvena Zvezda Meridianbet Belgrade</v>
          </cell>
          <cell r="E230" t="str">
            <v>Valencia Basket</v>
          </cell>
          <cell r="F230">
            <v>45321</v>
          </cell>
          <cell r="G230" t="str">
            <v>H</v>
          </cell>
          <cell r="H230" t="str">
            <v>VAL</v>
          </cell>
          <cell r="I230" t="str">
            <v>24.CZB</v>
          </cell>
          <cell r="J230" t="str">
            <v>24.VAL</v>
          </cell>
        </row>
        <row r="231">
          <cell r="B231" t="str">
            <v>CZB</v>
          </cell>
          <cell r="C231">
            <v>25</v>
          </cell>
          <cell r="D231" t="str">
            <v>Crvena Zvezda Meridianbet Belgrade</v>
          </cell>
          <cell r="E231" t="str">
            <v>FC Barcelona</v>
          </cell>
          <cell r="F231">
            <v>45324</v>
          </cell>
          <cell r="G231" t="str">
            <v>H</v>
          </cell>
          <cell r="H231" t="str">
            <v>FCB</v>
          </cell>
          <cell r="I231" t="str">
            <v>25.CZB</v>
          </cell>
          <cell r="J231" t="str">
            <v>25.FCB</v>
          </cell>
        </row>
        <row r="232">
          <cell r="B232" t="str">
            <v>CZB</v>
          </cell>
          <cell r="C232">
            <v>26</v>
          </cell>
          <cell r="D232" t="str">
            <v>Crvena Zvezda Meridianbet Belgrade</v>
          </cell>
          <cell r="E232" t="str">
            <v>Zalgiris Kaunas</v>
          </cell>
          <cell r="F232">
            <v>45331</v>
          </cell>
          <cell r="G232" t="str">
            <v>H</v>
          </cell>
          <cell r="H232" t="str">
            <v>ZAL</v>
          </cell>
          <cell r="I232" t="str">
            <v>26.CZB</v>
          </cell>
          <cell r="J232" t="str">
            <v>26.ZAL</v>
          </cell>
        </row>
        <row r="233">
          <cell r="B233" t="str">
            <v>CZB</v>
          </cell>
          <cell r="C233">
            <v>27</v>
          </cell>
          <cell r="D233" t="str">
            <v>Crvena Zvezda Meridianbet Belgrade</v>
          </cell>
          <cell r="E233" t="str">
            <v>FC Bayern Munich</v>
          </cell>
          <cell r="F233">
            <v>45352</v>
          </cell>
          <cell r="G233" t="str">
            <v>A</v>
          </cell>
          <cell r="H233" t="str">
            <v>BAY</v>
          </cell>
          <cell r="I233" t="str">
            <v>27.CZB</v>
          </cell>
          <cell r="J233" t="str">
            <v>27.BAY</v>
          </cell>
        </row>
        <row r="234">
          <cell r="B234" t="str">
            <v>CZB</v>
          </cell>
          <cell r="C234">
            <v>28</v>
          </cell>
          <cell r="D234" t="str">
            <v>Crvena Zvezda Meridianbet Belgrade</v>
          </cell>
          <cell r="E234" t="str">
            <v>AS Monaco</v>
          </cell>
          <cell r="F234">
            <v>45358</v>
          </cell>
          <cell r="G234" t="str">
            <v>A</v>
          </cell>
          <cell r="H234" t="str">
            <v>ASM</v>
          </cell>
          <cell r="I234" t="str">
            <v>28.CZB</v>
          </cell>
          <cell r="J234" t="str">
            <v>28.ASM</v>
          </cell>
        </row>
        <row r="235">
          <cell r="B235" t="str">
            <v>CZB</v>
          </cell>
          <cell r="C235">
            <v>29</v>
          </cell>
          <cell r="D235" t="str">
            <v>Crvena Zvezda Meridianbet Belgrade</v>
          </cell>
          <cell r="E235" t="str">
            <v>Maccabi Playtika Tel Aviv</v>
          </cell>
          <cell r="F235">
            <v>45365</v>
          </cell>
          <cell r="G235" t="str">
            <v>H</v>
          </cell>
          <cell r="H235" t="str">
            <v>MTA</v>
          </cell>
          <cell r="I235" t="str">
            <v>29.CZB</v>
          </cell>
          <cell r="J235" t="str">
            <v>29.MTA</v>
          </cell>
        </row>
        <row r="236">
          <cell r="B236" t="str">
            <v>CZB</v>
          </cell>
          <cell r="C236">
            <v>30</v>
          </cell>
          <cell r="D236" t="str">
            <v>Crvena Zvezda Meridianbet Belgrade</v>
          </cell>
          <cell r="E236" t="str">
            <v>Panathinaikos Athens</v>
          </cell>
          <cell r="F236">
            <v>45371</v>
          </cell>
          <cell r="G236" t="str">
            <v>H</v>
          </cell>
          <cell r="H236" t="str">
            <v>PAN</v>
          </cell>
          <cell r="I236" t="str">
            <v>30.CZB</v>
          </cell>
          <cell r="J236" t="str">
            <v>30.PAN</v>
          </cell>
        </row>
        <row r="237">
          <cell r="B237" t="str">
            <v>CZB</v>
          </cell>
          <cell r="C237">
            <v>31</v>
          </cell>
          <cell r="D237" t="str">
            <v>Crvena Zvezda Meridianbet Belgrade</v>
          </cell>
          <cell r="E237" t="str">
            <v>Virtus Segafredo Bologna</v>
          </cell>
          <cell r="F237">
            <v>45373</v>
          </cell>
          <cell r="G237" t="str">
            <v>H</v>
          </cell>
          <cell r="H237" t="str">
            <v>VIR</v>
          </cell>
          <cell r="I237" t="str">
            <v>31.CZB</v>
          </cell>
          <cell r="J237" t="str">
            <v>31.VIR</v>
          </cell>
        </row>
        <row r="238">
          <cell r="B238" t="str">
            <v>CZB</v>
          </cell>
          <cell r="C238">
            <v>32</v>
          </cell>
          <cell r="D238" t="str">
            <v>Crvena Zvezda Meridianbet Belgrade</v>
          </cell>
          <cell r="E238" t="str">
            <v>Real Madrid</v>
          </cell>
          <cell r="F238">
            <v>45380</v>
          </cell>
          <cell r="G238" t="str">
            <v>A</v>
          </cell>
          <cell r="H238" t="str">
            <v>RMB</v>
          </cell>
          <cell r="I238" t="str">
            <v>32.CZB</v>
          </cell>
          <cell r="J238" t="str">
            <v>32.RMB</v>
          </cell>
        </row>
        <row r="239">
          <cell r="B239" t="str">
            <v>CZB</v>
          </cell>
          <cell r="C239">
            <v>33</v>
          </cell>
          <cell r="D239" t="str">
            <v>Crvena Zvezda Meridianbet Belgrade</v>
          </cell>
          <cell r="E239" t="str">
            <v>Olympiacos Piraeus</v>
          </cell>
          <cell r="F239">
            <v>45386</v>
          </cell>
          <cell r="G239" t="str">
            <v>H</v>
          </cell>
          <cell r="H239" t="str">
            <v>OLY</v>
          </cell>
          <cell r="I239" t="str">
            <v>33.CZB</v>
          </cell>
          <cell r="J239" t="str">
            <v>33.OLY</v>
          </cell>
        </row>
        <row r="240">
          <cell r="B240" t="str">
            <v>CZB</v>
          </cell>
          <cell r="C240">
            <v>34</v>
          </cell>
          <cell r="D240" t="str">
            <v>Crvena Zvezda Meridianbet Belgrade</v>
          </cell>
          <cell r="E240" t="str">
            <v>Anadolu Efes Istanbul</v>
          </cell>
          <cell r="F240">
            <v>45393</v>
          </cell>
          <cell r="G240" t="str">
            <v>A</v>
          </cell>
          <cell r="H240" t="str">
            <v>EFE</v>
          </cell>
          <cell r="I240" t="str">
            <v>34.CZB</v>
          </cell>
          <cell r="J240" t="str">
            <v>34.EFE</v>
          </cell>
        </row>
        <row r="241">
          <cell r="B241" t="str">
            <v>CZB</v>
          </cell>
          <cell r="C241">
            <v>35</v>
          </cell>
          <cell r="D241" t="str">
            <v>Crvena Zvezda Meridianbet Belgrade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</row>
        <row r="242">
          <cell r="B242" t="str">
            <v>CZB</v>
          </cell>
          <cell r="C242">
            <v>36</v>
          </cell>
          <cell r="D242" t="str">
            <v>Crvena Zvezda Meridianbet Belgrade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</row>
        <row r="243">
          <cell r="B243" t="str">
            <v>CZB</v>
          </cell>
          <cell r="C243">
            <v>37</v>
          </cell>
          <cell r="D243" t="str">
            <v>Crvena Zvezda Meridianbet Belgrade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</row>
        <row r="244">
          <cell r="B244" t="str">
            <v>CZB</v>
          </cell>
          <cell r="C244">
            <v>38</v>
          </cell>
          <cell r="D244" t="str">
            <v>Crvena Zvezda Meridianbet Belgrade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</row>
        <row r="245">
          <cell r="B245" t="str">
            <v>CZB</v>
          </cell>
          <cell r="C245">
            <v>39</v>
          </cell>
          <cell r="D245" t="str">
            <v>Crvena Zvezda Meridianbet Belgrade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</row>
        <row r="246">
          <cell r="B246" t="str">
            <v>CZB</v>
          </cell>
          <cell r="C246">
            <v>40</v>
          </cell>
          <cell r="D246" t="str">
            <v>Crvena Zvezda Meridianbet Belgrade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</row>
        <row r="247">
          <cell r="B247" t="str">
            <v>CZB</v>
          </cell>
          <cell r="C247">
            <v>41</v>
          </cell>
          <cell r="D247" t="str">
            <v>Crvena Zvezda Meridianbet Belgrade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</row>
        <row r="248">
          <cell r="B248" t="str">
            <v>CZB</v>
          </cell>
          <cell r="C248">
            <v>42</v>
          </cell>
          <cell r="D248" t="str">
            <v>Crvena Zvezda Meridianbet Belgrade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</row>
        <row r="249">
          <cell r="B249" t="str">
            <v>CZB</v>
          </cell>
          <cell r="C249">
            <v>43</v>
          </cell>
          <cell r="D249" t="str">
            <v>Crvena Zvezda Meridianbet Belgrade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</row>
        <row r="250">
          <cell r="B250" t="str">
            <v>CZB</v>
          </cell>
          <cell r="C250">
            <v>44</v>
          </cell>
          <cell r="D250" t="str">
            <v>Crvena Zvezda Meridianbet Belgrade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</row>
        <row r="251">
          <cell r="B251" t="str">
            <v>CZB</v>
          </cell>
          <cell r="C251">
            <v>45</v>
          </cell>
          <cell r="D251" t="str">
            <v>Crvena Zvezda Meridianbet Belgrade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</row>
        <row r="252">
          <cell r="B252" t="str">
            <v>CZB</v>
          </cell>
          <cell r="C252">
            <v>46</v>
          </cell>
          <cell r="D252" t="str">
            <v>Crvena Zvezda Meridianbet Belgrade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</row>
        <row r="253">
          <cell r="B253" t="str">
            <v>CZB</v>
          </cell>
          <cell r="C253">
            <v>47</v>
          </cell>
          <cell r="D253" t="str">
            <v>Crvena Zvezda Meridianbet Belgrade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</row>
        <row r="254">
          <cell r="B254" t="str">
            <v>CZB</v>
          </cell>
          <cell r="C254">
            <v>48</v>
          </cell>
          <cell r="D254" t="str">
            <v>Crvena Zvezda Meridianbet Belgrade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</row>
        <row r="255">
          <cell r="B255" t="str">
            <v>CZB</v>
          </cell>
          <cell r="C255">
            <v>49</v>
          </cell>
          <cell r="D255" t="str">
            <v>Crvena Zvezda Meridianbet Belgrade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</row>
        <row r="256">
          <cell r="B256" t="str">
            <v>CZB</v>
          </cell>
          <cell r="C256">
            <v>50</v>
          </cell>
          <cell r="D256" t="str">
            <v>Crvena Zvezda Meridianbet Belgrade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</row>
        <row r="257">
          <cell r="B257" t="str">
            <v>CZB</v>
          </cell>
          <cell r="C257">
            <v>51</v>
          </cell>
          <cell r="D257" t="str">
            <v>Crvena Zvezda Meridianbet Belgrade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</row>
        <row r="258">
          <cell r="B258" t="str">
            <v>MIL</v>
          </cell>
          <cell r="C258">
            <v>1</v>
          </cell>
          <cell r="D258" t="str">
            <v>EA7 Emporio Armani Milan</v>
          </cell>
          <cell r="E258" t="str">
            <v>Fenerbahce Beko Istanbul</v>
          </cell>
          <cell r="F258">
            <v>45205</v>
          </cell>
          <cell r="G258" t="str">
            <v>A</v>
          </cell>
          <cell r="H258" t="str">
            <v>FEN</v>
          </cell>
          <cell r="I258" t="str">
            <v>1.MIL</v>
          </cell>
          <cell r="J258" t="str">
            <v>1.FEN</v>
          </cell>
        </row>
        <row r="259">
          <cell r="B259" t="str">
            <v>MIL</v>
          </cell>
          <cell r="C259">
            <v>2</v>
          </cell>
          <cell r="D259" t="str">
            <v>EA7 Emporio Armani Milan</v>
          </cell>
          <cell r="E259" t="str">
            <v>Maccabi Playtika Tel Aviv</v>
          </cell>
          <cell r="F259">
            <v>45230</v>
          </cell>
          <cell r="G259" t="str">
            <v>H</v>
          </cell>
          <cell r="H259" t="str">
            <v>MTA</v>
          </cell>
          <cell r="I259" t="str">
            <v>2.MIL</v>
          </cell>
          <cell r="J259" t="str">
            <v>2.MTA</v>
          </cell>
        </row>
        <row r="260">
          <cell r="B260" t="str">
            <v>MIL</v>
          </cell>
          <cell r="C260">
            <v>3</v>
          </cell>
          <cell r="D260" t="str">
            <v>EA7 Emporio Armani Milan</v>
          </cell>
          <cell r="E260" t="str">
            <v>Olympiacos Piraeus</v>
          </cell>
          <cell r="F260">
            <v>45216</v>
          </cell>
          <cell r="G260" t="str">
            <v>H</v>
          </cell>
          <cell r="H260" t="str">
            <v>OLY</v>
          </cell>
          <cell r="I260" t="str">
            <v>3.MIL</v>
          </cell>
          <cell r="J260" t="str">
            <v>3.OLY</v>
          </cell>
        </row>
        <row r="261">
          <cell r="B261" t="str">
            <v>MIL</v>
          </cell>
          <cell r="C261">
            <v>4</v>
          </cell>
          <cell r="D261" t="str">
            <v>EA7 Emporio Armani Milan</v>
          </cell>
          <cell r="E261" t="str">
            <v>Real Madrid</v>
          </cell>
          <cell r="F261">
            <v>45218</v>
          </cell>
          <cell r="G261" t="str">
            <v>A</v>
          </cell>
          <cell r="H261" t="str">
            <v>RMB</v>
          </cell>
          <cell r="I261" t="str">
            <v>4.MIL</v>
          </cell>
          <cell r="J261" t="str">
            <v>4.RMB</v>
          </cell>
        </row>
        <row r="262">
          <cell r="B262" t="str">
            <v>MIL</v>
          </cell>
          <cell r="C262">
            <v>5</v>
          </cell>
          <cell r="D262" t="str">
            <v>EA7 Emporio Armani Milan</v>
          </cell>
          <cell r="E262" t="str">
            <v>ALBA Berlin</v>
          </cell>
          <cell r="F262">
            <v>45225</v>
          </cell>
          <cell r="G262" t="str">
            <v>A</v>
          </cell>
          <cell r="H262" t="str">
            <v>BER</v>
          </cell>
          <cell r="I262" t="str">
            <v>5.MIL</v>
          </cell>
          <cell r="J262" t="str">
            <v>5.BER</v>
          </cell>
        </row>
        <row r="263">
          <cell r="B263" t="str">
            <v>MIL</v>
          </cell>
          <cell r="C263">
            <v>6</v>
          </cell>
          <cell r="D263" t="str">
            <v>EA7 Emporio Armani Milan</v>
          </cell>
          <cell r="E263" t="str">
            <v>AS Monaco</v>
          </cell>
          <cell r="F263">
            <v>45232</v>
          </cell>
          <cell r="G263" t="str">
            <v>H</v>
          </cell>
          <cell r="H263" t="str">
            <v>ASM</v>
          </cell>
          <cell r="I263" t="str">
            <v>6.MIL</v>
          </cell>
          <cell r="J263" t="str">
            <v>6.ASM</v>
          </cell>
        </row>
        <row r="264">
          <cell r="B264" t="str">
            <v>MIL</v>
          </cell>
          <cell r="C264">
            <v>7</v>
          </cell>
          <cell r="D264" t="str">
            <v>EA7 Emporio Armani Milan</v>
          </cell>
          <cell r="E264" t="str">
            <v>Valencia Basket</v>
          </cell>
          <cell r="F264">
            <v>45239</v>
          </cell>
          <cell r="G264" t="str">
            <v>H</v>
          </cell>
          <cell r="H264" t="str">
            <v>VAL</v>
          </cell>
          <cell r="I264" t="str">
            <v>7.MIL</v>
          </cell>
          <cell r="J264" t="str">
            <v>7.VAL</v>
          </cell>
        </row>
        <row r="265">
          <cell r="B265" t="str">
            <v>MIL</v>
          </cell>
          <cell r="C265">
            <v>8</v>
          </cell>
          <cell r="D265" t="str">
            <v>EA7 Emporio Armani Milan</v>
          </cell>
          <cell r="E265" t="str">
            <v>Virtus Segafredo Bologna</v>
          </cell>
          <cell r="F265">
            <v>45244</v>
          </cell>
          <cell r="G265" t="str">
            <v>A</v>
          </cell>
          <cell r="H265" t="str">
            <v>VIR</v>
          </cell>
          <cell r="I265" t="str">
            <v>8.MIL</v>
          </cell>
          <cell r="J265" t="str">
            <v>8.VIR</v>
          </cell>
        </row>
        <row r="266">
          <cell r="B266" t="str">
            <v>MIL</v>
          </cell>
          <cell r="C266">
            <v>9</v>
          </cell>
          <cell r="D266" t="str">
            <v>EA7 Emporio Armani Milan</v>
          </cell>
          <cell r="E266" t="str">
            <v>Anadolu Efes Istanbul</v>
          </cell>
          <cell r="F266">
            <v>45246</v>
          </cell>
          <cell r="G266" t="str">
            <v>H</v>
          </cell>
          <cell r="H266" t="str">
            <v>EFE</v>
          </cell>
          <cell r="I266" t="str">
            <v>9.MIL</v>
          </cell>
          <cell r="J266" t="str">
            <v>9.EFE</v>
          </cell>
        </row>
        <row r="267">
          <cell r="B267" t="str">
            <v>MIL</v>
          </cell>
          <cell r="C267">
            <v>10</v>
          </cell>
          <cell r="D267" t="str">
            <v>EA7 Emporio Armani Milan</v>
          </cell>
          <cell r="E267" t="str">
            <v>Crvena Zvezda Meridianbet Belgrade</v>
          </cell>
          <cell r="F267">
            <v>45254</v>
          </cell>
          <cell r="G267" t="str">
            <v>A</v>
          </cell>
          <cell r="H267" t="str">
            <v>CZB</v>
          </cell>
          <cell r="I267" t="str">
            <v>10.MIL</v>
          </cell>
          <cell r="J267" t="str">
            <v>10.CZB</v>
          </cell>
        </row>
        <row r="268">
          <cell r="B268" t="str">
            <v>MIL</v>
          </cell>
          <cell r="C268">
            <v>11</v>
          </cell>
          <cell r="D268" t="str">
            <v>EA7 Emporio Armani Milan</v>
          </cell>
          <cell r="E268" t="str">
            <v>Zalgiris Kaunas</v>
          </cell>
          <cell r="F268">
            <v>45260</v>
          </cell>
          <cell r="G268" t="str">
            <v>H</v>
          </cell>
          <cell r="H268" t="str">
            <v>ZAL</v>
          </cell>
          <cell r="I268" t="str">
            <v>11.MIL</v>
          </cell>
          <cell r="J268" t="str">
            <v>11.ZAL</v>
          </cell>
        </row>
        <row r="269">
          <cell r="B269" t="str">
            <v>MIL</v>
          </cell>
          <cell r="C269">
            <v>12</v>
          </cell>
          <cell r="D269" t="str">
            <v>EA7 Emporio Armani Milan</v>
          </cell>
          <cell r="E269" t="str">
            <v>FC Bayern Munich</v>
          </cell>
          <cell r="F269">
            <v>45265</v>
          </cell>
          <cell r="G269" t="str">
            <v>A</v>
          </cell>
          <cell r="H269" t="str">
            <v>BAY</v>
          </cell>
          <cell r="I269" t="str">
            <v>12.MIL</v>
          </cell>
          <cell r="J269" t="str">
            <v>12.BAY</v>
          </cell>
        </row>
        <row r="270">
          <cell r="B270" t="str">
            <v>MIL</v>
          </cell>
          <cell r="C270">
            <v>13</v>
          </cell>
          <cell r="D270" t="str">
            <v>EA7 Emporio Armani Milan</v>
          </cell>
          <cell r="E270" t="str">
            <v>Partizan Mozzart Bet Belgrade</v>
          </cell>
          <cell r="F270">
            <v>45267</v>
          </cell>
          <cell r="G270" t="str">
            <v>A</v>
          </cell>
          <cell r="H270" t="str">
            <v>PAR</v>
          </cell>
          <cell r="I270" t="str">
            <v>13.MIL</v>
          </cell>
          <cell r="J270" t="str">
            <v>13.PAR</v>
          </cell>
        </row>
        <row r="271">
          <cell r="B271" t="str">
            <v>MIL</v>
          </cell>
          <cell r="C271">
            <v>14</v>
          </cell>
          <cell r="D271" t="str">
            <v>EA7 Emporio Armani Milan</v>
          </cell>
          <cell r="E271" t="str">
            <v>FC Barcelona</v>
          </cell>
          <cell r="F271">
            <v>45275</v>
          </cell>
          <cell r="G271" t="str">
            <v>A</v>
          </cell>
          <cell r="H271" t="str">
            <v>FCB</v>
          </cell>
          <cell r="I271" t="str">
            <v>14.MIL</v>
          </cell>
          <cell r="J271" t="str">
            <v>14.FCB</v>
          </cell>
        </row>
        <row r="272">
          <cell r="B272" t="str">
            <v>MIL</v>
          </cell>
          <cell r="C272">
            <v>15</v>
          </cell>
          <cell r="D272" t="str">
            <v>EA7 Emporio Armani Milan</v>
          </cell>
          <cell r="E272" t="str">
            <v>LDLC ASVEL Villeurbanne</v>
          </cell>
          <cell r="F272">
            <v>45280</v>
          </cell>
          <cell r="G272" t="str">
            <v>H</v>
          </cell>
          <cell r="H272" t="str">
            <v>ASV</v>
          </cell>
          <cell r="I272" t="str">
            <v>15.MIL</v>
          </cell>
          <cell r="J272" t="str">
            <v>15.ASV</v>
          </cell>
        </row>
        <row r="273">
          <cell r="B273" t="str">
            <v>MIL</v>
          </cell>
          <cell r="C273">
            <v>16</v>
          </cell>
          <cell r="D273" t="str">
            <v>EA7 Emporio Armani Milan</v>
          </cell>
          <cell r="E273" t="str">
            <v>Panathinaikos Athens</v>
          </cell>
          <cell r="F273">
            <v>45282</v>
          </cell>
          <cell r="G273" t="str">
            <v>H</v>
          </cell>
          <cell r="H273" t="str">
            <v>PAN</v>
          </cell>
          <cell r="I273" t="str">
            <v>16.MIL</v>
          </cell>
          <cell r="J273" t="str">
            <v>16.PAN</v>
          </cell>
        </row>
        <row r="274">
          <cell r="B274" t="str">
            <v>MIL</v>
          </cell>
          <cell r="C274">
            <v>17</v>
          </cell>
          <cell r="D274" t="str">
            <v>EA7 Emporio Armani Milan</v>
          </cell>
          <cell r="E274" t="str">
            <v>Baskonia Vitoria-Gasteiz</v>
          </cell>
          <cell r="F274">
            <v>45288</v>
          </cell>
          <cell r="G274" t="str">
            <v>H</v>
          </cell>
          <cell r="H274" t="str">
            <v>BAS</v>
          </cell>
          <cell r="I274" t="str">
            <v>17.MIL</v>
          </cell>
          <cell r="J274" t="str">
            <v>17.BAS</v>
          </cell>
        </row>
        <row r="275">
          <cell r="B275" t="str">
            <v>MIL</v>
          </cell>
          <cell r="C275">
            <v>18</v>
          </cell>
          <cell r="D275" t="str">
            <v>EA7 Emporio Armani Milan</v>
          </cell>
          <cell r="E275" t="str">
            <v>Olympiacos Piraeus</v>
          </cell>
          <cell r="F275">
            <v>45293</v>
          </cell>
          <cell r="G275" t="str">
            <v>A</v>
          </cell>
          <cell r="H275" t="str">
            <v>OLY</v>
          </cell>
          <cell r="I275" t="str">
            <v>18.MIL</v>
          </cell>
          <cell r="J275" t="str">
            <v>18.OLY</v>
          </cell>
        </row>
        <row r="276">
          <cell r="B276" t="str">
            <v>MIL</v>
          </cell>
          <cell r="C276">
            <v>19</v>
          </cell>
          <cell r="D276" t="str">
            <v>EA7 Emporio Armani Milan</v>
          </cell>
          <cell r="E276" t="str">
            <v>FC Bayern Munich</v>
          </cell>
          <cell r="F276">
            <v>45296</v>
          </cell>
          <cell r="G276" t="str">
            <v>H</v>
          </cell>
          <cell r="H276" t="str">
            <v>BAY</v>
          </cell>
          <cell r="I276" t="str">
            <v>19.MIL</v>
          </cell>
          <cell r="J276" t="str">
            <v>19.BAY</v>
          </cell>
        </row>
        <row r="277">
          <cell r="B277" t="str">
            <v>MIL</v>
          </cell>
          <cell r="C277">
            <v>20</v>
          </cell>
          <cell r="D277" t="str">
            <v>EA7 Emporio Armani Milan</v>
          </cell>
          <cell r="E277" t="str">
            <v>ALBA Berlin</v>
          </cell>
          <cell r="F277">
            <v>45300</v>
          </cell>
          <cell r="G277" t="str">
            <v>H</v>
          </cell>
          <cell r="H277" t="str">
            <v>BER</v>
          </cell>
          <cell r="I277" t="str">
            <v>20.MIL</v>
          </cell>
          <cell r="J277" t="str">
            <v>20.BER</v>
          </cell>
        </row>
        <row r="278">
          <cell r="B278" t="str">
            <v>MIL</v>
          </cell>
          <cell r="C278">
            <v>21</v>
          </cell>
          <cell r="D278" t="str">
            <v>EA7 Emporio Armani Milan</v>
          </cell>
          <cell r="E278" t="str">
            <v>Crvena Zvezda Meridianbet Belgrade</v>
          </cell>
          <cell r="F278">
            <v>45302</v>
          </cell>
          <cell r="G278" t="str">
            <v>H</v>
          </cell>
          <cell r="H278" t="str">
            <v>CZB</v>
          </cell>
          <cell r="I278" t="str">
            <v>21.MIL</v>
          </cell>
          <cell r="J278" t="str">
            <v>21.CZB</v>
          </cell>
        </row>
        <row r="279">
          <cell r="B279" t="str">
            <v>MIL</v>
          </cell>
          <cell r="C279">
            <v>22</v>
          </cell>
          <cell r="D279" t="str">
            <v>EA7 Emporio Armani Milan</v>
          </cell>
          <cell r="E279" t="str">
            <v>Valencia Basket</v>
          </cell>
          <cell r="F279">
            <v>45310</v>
          </cell>
          <cell r="G279" t="str">
            <v>A</v>
          </cell>
          <cell r="H279" t="str">
            <v>VAL</v>
          </cell>
          <cell r="I279" t="str">
            <v>22.MIL</v>
          </cell>
          <cell r="J279" t="str">
            <v>22.VAL</v>
          </cell>
        </row>
        <row r="280">
          <cell r="B280" t="str">
            <v>MIL</v>
          </cell>
          <cell r="C280">
            <v>23</v>
          </cell>
          <cell r="D280" t="str">
            <v>EA7 Emporio Armani Milan</v>
          </cell>
          <cell r="E280" t="str">
            <v>FC Barcelona</v>
          </cell>
          <cell r="F280">
            <v>45317</v>
          </cell>
          <cell r="G280" t="str">
            <v>H</v>
          </cell>
          <cell r="H280" t="str">
            <v>FCB</v>
          </cell>
          <cell r="I280" t="str">
            <v>23.MIL</v>
          </cell>
          <cell r="J280" t="str">
            <v>23.FCB</v>
          </cell>
        </row>
        <row r="281">
          <cell r="B281" t="str">
            <v>MIL</v>
          </cell>
          <cell r="C281">
            <v>24</v>
          </cell>
          <cell r="D281" t="str">
            <v>EA7 Emporio Armani Milan</v>
          </cell>
          <cell r="E281" t="str">
            <v>Panathinaikos Athens</v>
          </cell>
          <cell r="F281">
            <v>45322</v>
          </cell>
          <cell r="G281" t="str">
            <v>A</v>
          </cell>
          <cell r="H281" t="str">
            <v>PAN</v>
          </cell>
          <cell r="I281" t="str">
            <v>24.MIL</v>
          </cell>
          <cell r="J281" t="str">
            <v>24.PAN</v>
          </cell>
        </row>
        <row r="282">
          <cell r="B282" t="str">
            <v>MIL</v>
          </cell>
          <cell r="C282">
            <v>25</v>
          </cell>
          <cell r="D282" t="str">
            <v>EA7 Emporio Armani Milan</v>
          </cell>
          <cell r="E282" t="str">
            <v>Anadolu Efes Istanbul</v>
          </cell>
          <cell r="F282">
            <v>45324</v>
          </cell>
          <cell r="G282" t="str">
            <v>A</v>
          </cell>
          <cell r="H282" t="str">
            <v>EFE</v>
          </cell>
          <cell r="I282" t="str">
            <v>25.MIL</v>
          </cell>
          <cell r="J282" t="str">
            <v>25.EFE</v>
          </cell>
        </row>
        <row r="283">
          <cell r="B283" t="str">
            <v>MIL</v>
          </cell>
          <cell r="C283">
            <v>26</v>
          </cell>
          <cell r="D283" t="str">
            <v>EA7 Emporio Armani Milan</v>
          </cell>
          <cell r="E283" t="str">
            <v>Real Madrid</v>
          </cell>
          <cell r="F283">
            <v>45330</v>
          </cell>
          <cell r="G283" t="str">
            <v>H</v>
          </cell>
          <cell r="H283" t="str">
            <v>RMB</v>
          </cell>
          <cell r="I283" t="str">
            <v>26.MIL</v>
          </cell>
          <cell r="J283" t="str">
            <v>26.RMB</v>
          </cell>
        </row>
        <row r="284">
          <cell r="B284" t="str">
            <v>MIL</v>
          </cell>
          <cell r="C284">
            <v>27</v>
          </cell>
          <cell r="D284" t="str">
            <v>EA7 Emporio Armani Milan</v>
          </cell>
          <cell r="E284" t="str">
            <v>LDLC ASVEL Villeurbanne</v>
          </cell>
          <cell r="F284">
            <v>45352</v>
          </cell>
          <cell r="G284" t="str">
            <v>A</v>
          </cell>
          <cell r="H284" t="str">
            <v>ASV</v>
          </cell>
          <cell r="I284" t="str">
            <v>27.MIL</v>
          </cell>
          <cell r="J284" t="str">
            <v>27.ASV</v>
          </cell>
        </row>
        <row r="285">
          <cell r="B285" t="str">
            <v>MIL</v>
          </cell>
          <cell r="C285">
            <v>28</v>
          </cell>
          <cell r="D285" t="str">
            <v>EA7 Emporio Armani Milan</v>
          </cell>
          <cell r="E285" t="str">
            <v>Partizan Mozzart Bet Belgrade</v>
          </cell>
          <cell r="F285">
            <v>45359</v>
          </cell>
          <cell r="G285" t="str">
            <v>H</v>
          </cell>
          <cell r="H285" t="str">
            <v>PAR</v>
          </cell>
          <cell r="I285" t="str">
            <v>28.MIL</v>
          </cell>
          <cell r="J285" t="str">
            <v>28.PAR</v>
          </cell>
        </row>
        <row r="286">
          <cell r="B286" t="str">
            <v>MIL</v>
          </cell>
          <cell r="C286">
            <v>29</v>
          </cell>
          <cell r="D286" t="str">
            <v>EA7 Emporio Armani Milan</v>
          </cell>
          <cell r="E286" t="str">
            <v>Baskonia Vitoria-Gasteiz</v>
          </cell>
          <cell r="F286">
            <v>45365</v>
          </cell>
          <cell r="G286" t="str">
            <v>A</v>
          </cell>
          <cell r="H286" t="str">
            <v>BAS</v>
          </cell>
          <cell r="I286" t="str">
            <v>29.MIL</v>
          </cell>
          <cell r="J286" t="str">
            <v>29.BAS</v>
          </cell>
        </row>
        <row r="287">
          <cell r="B287" t="str">
            <v>MIL</v>
          </cell>
          <cell r="C287">
            <v>30</v>
          </cell>
          <cell r="D287" t="str">
            <v>EA7 Emporio Armani Milan</v>
          </cell>
          <cell r="E287" t="str">
            <v>AS Monaco</v>
          </cell>
          <cell r="F287">
            <v>45371</v>
          </cell>
          <cell r="G287" t="str">
            <v>A</v>
          </cell>
          <cell r="H287" t="str">
            <v>ASM</v>
          </cell>
          <cell r="I287" t="str">
            <v>30.MIL</v>
          </cell>
          <cell r="J287" t="str">
            <v>30.ASM</v>
          </cell>
        </row>
        <row r="288">
          <cell r="B288" t="str">
            <v>MIL</v>
          </cell>
          <cell r="C288">
            <v>31</v>
          </cell>
          <cell r="D288" t="str">
            <v>EA7 Emporio Armani Milan</v>
          </cell>
          <cell r="E288" t="str">
            <v>Fenerbahce Beko Istanbul</v>
          </cell>
          <cell r="F288">
            <v>45373</v>
          </cell>
          <cell r="G288" t="str">
            <v>H</v>
          </cell>
          <cell r="H288" t="str">
            <v>FEN</v>
          </cell>
          <cell r="I288" t="str">
            <v>31.MIL</v>
          </cell>
          <cell r="J288" t="str">
            <v>31.FEN</v>
          </cell>
        </row>
        <row r="289">
          <cell r="B289" t="str">
            <v>MIL</v>
          </cell>
          <cell r="C289">
            <v>32</v>
          </cell>
          <cell r="D289" t="str">
            <v>EA7 Emporio Armani Milan</v>
          </cell>
          <cell r="E289" t="str">
            <v>Zalgiris Kaunas</v>
          </cell>
          <cell r="F289">
            <v>45379</v>
          </cell>
          <cell r="G289" t="str">
            <v>A</v>
          </cell>
          <cell r="H289" t="str">
            <v>ZAL</v>
          </cell>
          <cell r="I289" t="str">
            <v>32.MIL</v>
          </cell>
          <cell r="J289" t="str">
            <v>32.ZAL</v>
          </cell>
        </row>
        <row r="290">
          <cell r="B290" t="str">
            <v>MIL</v>
          </cell>
          <cell r="C290">
            <v>33</v>
          </cell>
          <cell r="D290" t="str">
            <v>EA7 Emporio Armani Milan</v>
          </cell>
          <cell r="E290" t="str">
            <v>Virtus Segafredo Bologna</v>
          </cell>
          <cell r="F290">
            <v>45387</v>
          </cell>
          <cell r="G290" t="str">
            <v>H</v>
          </cell>
          <cell r="H290" t="str">
            <v>VIR</v>
          </cell>
          <cell r="I290" t="str">
            <v>33.MIL</v>
          </cell>
          <cell r="J290" t="str">
            <v>33.VIR</v>
          </cell>
        </row>
        <row r="291">
          <cell r="B291" t="str">
            <v>MIL</v>
          </cell>
          <cell r="C291">
            <v>34</v>
          </cell>
          <cell r="D291" t="str">
            <v>EA7 Emporio Armani Milan</v>
          </cell>
          <cell r="E291" t="str">
            <v>Maccabi Playtika Tel Aviv</v>
          </cell>
          <cell r="F291">
            <v>45393</v>
          </cell>
          <cell r="G291" t="str">
            <v>A</v>
          </cell>
          <cell r="H291" t="str">
            <v>MTA</v>
          </cell>
          <cell r="I291" t="str">
            <v>34.MIL</v>
          </cell>
          <cell r="J291" t="str">
            <v>34.MTA</v>
          </cell>
        </row>
        <row r="292">
          <cell r="B292" t="str">
            <v>MIL</v>
          </cell>
          <cell r="C292">
            <v>35</v>
          </cell>
          <cell r="D292" t="str">
            <v>EA7 Emporio Armani Milan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</row>
        <row r="293">
          <cell r="B293" t="str">
            <v>MIL</v>
          </cell>
          <cell r="C293">
            <v>36</v>
          </cell>
          <cell r="D293" t="str">
            <v>EA7 Emporio Armani Milan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</row>
        <row r="294">
          <cell r="B294" t="str">
            <v>MIL</v>
          </cell>
          <cell r="C294">
            <v>37</v>
          </cell>
          <cell r="D294" t="str">
            <v>EA7 Emporio Armani Milan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</row>
        <row r="295">
          <cell r="B295" t="str">
            <v>MIL</v>
          </cell>
          <cell r="C295">
            <v>38</v>
          </cell>
          <cell r="D295" t="str">
            <v>EA7 Emporio Armani Milan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</row>
        <row r="296">
          <cell r="B296" t="str">
            <v>MIL</v>
          </cell>
          <cell r="C296">
            <v>39</v>
          </cell>
          <cell r="D296" t="str">
            <v>EA7 Emporio Armani Milan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</row>
        <row r="297">
          <cell r="B297" t="str">
            <v>MIL</v>
          </cell>
          <cell r="C297">
            <v>40</v>
          </cell>
          <cell r="D297" t="str">
            <v>EA7 Emporio Armani Milan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</row>
        <row r="298">
          <cell r="B298" t="str">
            <v>MIL</v>
          </cell>
          <cell r="C298">
            <v>41</v>
          </cell>
          <cell r="D298" t="str">
            <v>EA7 Emporio Armani Milan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</row>
        <row r="299">
          <cell r="B299" t="str">
            <v>MIL</v>
          </cell>
          <cell r="C299">
            <v>42</v>
          </cell>
          <cell r="D299" t="str">
            <v>EA7 Emporio Armani Milan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</row>
        <row r="300">
          <cell r="B300" t="str">
            <v>MIL</v>
          </cell>
          <cell r="C300">
            <v>43</v>
          </cell>
          <cell r="D300" t="str">
            <v>EA7 Emporio Armani Milan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</row>
        <row r="301">
          <cell r="B301" t="str">
            <v>MIL</v>
          </cell>
          <cell r="C301">
            <v>44</v>
          </cell>
          <cell r="D301" t="str">
            <v>EA7 Emporio Armani Milan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</row>
        <row r="302">
          <cell r="B302" t="str">
            <v>MIL</v>
          </cell>
          <cell r="C302">
            <v>45</v>
          </cell>
          <cell r="D302" t="str">
            <v>EA7 Emporio Armani Milan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</row>
        <row r="303">
          <cell r="B303" t="str">
            <v>MIL</v>
          </cell>
          <cell r="C303">
            <v>46</v>
          </cell>
          <cell r="D303" t="str">
            <v>EA7 Emporio Armani Milan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</row>
        <row r="304">
          <cell r="B304" t="str">
            <v>MIL</v>
          </cell>
          <cell r="C304">
            <v>47</v>
          </cell>
          <cell r="D304" t="str">
            <v>EA7 Emporio Armani Milan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</row>
        <row r="305">
          <cell r="B305" t="str">
            <v>MIL</v>
          </cell>
          <cell r="C305">
            <v>48</v>
          </cell>
          <cell r="D305" t="str">
            <v>EA7 Emporio Armani Milan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</row>
        <row r="306">
          <cell r="B306" t="str">
            <v>MIL</v>
          </cell>
          <cell r="C306">
            <v>49</v>
          </cell>
          <cell r="D306" t="str">
            <v>EA7 Emporio Armani Milan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</row>
        <row r="307">
          <cell r="B307" t="str">
            <v>MIL</v>
          </cell>
          <cell r="C307">
            <v>50</v>
          </cell>
          <cell r="D307" t="str">
            <v>EA7 Emporio Armani Milan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</row>
        <row r="308">
          <cell r="B308" t="str">
            <v>MIL</v>
          </cell>
          <cell r="C308">
            <v>51</v>
          </cell>
          <cell r="D308" t="str">
            <v>EA7 Emporio Armani Milan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</row>
        <row r="309">
          <cell r="B309" t="str">
            <v>FCB</v>
          </cell>
          <cell r="C309">
            <v>1</v>
          </cell>
          <cell r="D309" t="str">
            <v>FC Barcelona</v>
          </cell>
          <cell r="E309" t="str">
            <v>Anadolu Efes Istanbul</v>
          </cell>
          <cell r="F309">
            <v>45204</v>
          </cell>
          <cell r="G309" t="str">
            <v>H</v>
          </cell>
          <cell r="H309" t="str">
            <v>EFE</v>
          </cell>
          <cell r="I309" t="str">
            <v>1.FCB</v>
          </cell>
          <cell r="J309" t="str">
            <v>1.EFE</v>
          </cell>
        </row>
        <row r="310">
          <cell r="B310" t="str">
            <v>FCB</v>
          </cell>
          <cell r="C310">
            <v>2</v>
          </cell>
          <cell r="D310" t="str">
            <v>FC Barcelona</v>
          </cell>
          <cell r="E310" t="str">
            <v>Olympiacos Piraeus</v>
          </cell>
          <cell r="F310">
            <v>45212</v>
          </cell>
          <cell r="G310" t="str">
            <v>A</v>
          </cell>
          <cell r="H310" t="str">
            <v>OLY</v>
          </cell>
          <cell r="I310" t="str">
            <v>2.FCB</v>
          </cell>
          <cell r="J310" t="str">
            <v>2.OLY</v>
          </cell>
        </row>
        <row r="311">
          <cell r="B311" t="str">
            <v>FCB</v>
          </cell>
          <cell r="C311">
            <v>3</v>
          </cell>
          <cell r="D311" t="str">
            <v>FC Barcelona</v>
          </cell>
          <cell r="E311" t="str">
            <v>Partizan Mozzart Bet Belgrade</v>
          </cell>
          <cell r="F311">
            <v>45216</v>
          </cell>
          <cell r="G311" t="str">
            <v>A</v>
          </cell>
          <cell r="H311" t="str">
            <v>PAR</v>
          </cell>
          <cell r="I311" t="str">
            <v>3.FCB</v>
          </cell>
          <cell r="J311" t="str">
            <v>3.PAR</v>
          </cell>
        </row>
        <row r="312">
          <cell r="B312" t="str">
            <v>FCB</v>
          </cell>
          <cell r="C312">
            <v>4</v>
          </cell>
          <cell r="D312" t="str">
            <v>FC Barcelona</v>
          </cell>
          <cell r="E312" t="str">
            <v>FC Bayern Munich</v>
          </cell>
          <cell r="F312">
            <v>45219</v>
          </cell>
          <cell r="G312" t="str">
            <v>H</v>
          </cell>
          <cell r="H312" t="str">
            <v>BAY</v>
          </cell>
          <cell r="I312" t="str">
            <v>4.FCB</v>
          </cell>
          <cell r="J312" t="str">
            <v>4.BAY</v>
          </cell>
        </row>
        <row r="313">
          <cell r="B313" t="str">
            <v>FCB</v>
          </cell>
          <cell r="C313">
            <v>5</v>
          </cell>
          <cell r="D313" t="str">
            <v>FC Barcelona</v>
          </cell>
          <cell r="E313" t="str">
            <v>Real Madrid</v>
          </cell>
          <cell r="F313">
            <v>45225</v>
          </cell>
          <cell r="G313" t="str">
            <v>A</v>
          </cell>
          <cell r="H313" t="str">
            <v>RMB</v>
          </cell>
          <cell r="I313" t="str">
            <v>5.FCB</v>
          </cell>
          <cell r="J313" t="str">
            <v>5.RMB</v>
          </cell>
        </row>
        <row r="314">
          <cell r="B314" t="str">
            <v>FCB</v>
          </cell>
          <cell r="C314">
            <v>6</v>
          </cell>
          <cell r="D314" t="str">
            <v>FC Barcelona</v>
          </cell>
          <cell r="E314" t="str">
            <v>Panathinaikos Athens</v>
          </cell>
          <cell r="F314">
            <v>45233</v>
          </cell>
          <cell r="G314" t="str">
            <v>H</v>
          </cell>
          <cell r="H314" t="str">
            <v>PAN</v>
          </cell>
          <cell r="I314" t="str">
            <v>6.FCB</v>
          </cell>
          <cell r="J314" t="str">
            <v>6.PAN</v>
          </cell>
        </row>
        <row r="315">
          <cell r="B315" t="str">
            <v>FCB</v>
          </cell>
          <cell r="C315">
            <v>7</v>
          </cell>
          <cell r="D315" t="str">
            <v>FC Barcelona</v>
          </cell>
          <cell r="E315" t="str">
            <v>Crvena Zvezda Meridianbet Belgrade</v>
          </cell>
          <cell r="F315">
            <v>45240</v>
          </cell>
          <cell r="G315" t="str">
            <v>H</v>
          </cell>
          <cell r="H315" t="str">
            <v>CZB</v>
          </cell>
          <cell r="I315" t="str">
            <v>7.FCB</v>
          </cell>
          <cell r="J315" t="str">
            <v>7.CZB</v>
          </cell>
        </row>
        <row r="316">
          <cell r="B316" t="str">
            <v>FCB</v>
          </cell>
          <cell r="C316">
            <v>8</v>
          </cell>
          <cell r="D316" t="str">
            <v>FC Barcelona</v>
          </cell>
          <cell r="E316" t="str">
            <v>Baskonia Vitoria-Gasteiz</v>
          </cell>
          <cell r="F316">
            <v>45245</v>
          </cell>
          <cell r="G316" t="str">
            <v>A</v>
          </cell>
          <cell r="H316" t="str">
            <v>BAS</v>
          </cell>
          <cell r="I316" t="str">
            <v>8.FCB</v>
          </cell>
          <cell r="J316" t="str">
            <v>8.BAS</v>
          </cell>
        </row>
        <row r="317">
          <cell r="B317" t="str">
            <v>FCB</v>
          </cell>
          <cell r="C317">
            <v>9</v>
          </cell>
          <cell r="D317" t="str">
            <v>FC Barcelona</v>
          </cell>
          <cell r="E317" t="str">
            <v>Valencia Basket</v>
          </cell>
          <cell r="F317">
            <v>45247</v>
          </cell>
          <cell r="G317" t="str">
            <v>H</v>
          </cell>
          <cell r="H317" t="str">
            <v>VAL</v>
          </cell>
          <cell r="I317" t="str">
            <v>9.FCB</v>
          </cell>
          <cell r="J317" t="str">
            <v>9.VAL</v>
          </cell>
        </row>
        <row r="318">
          <cell r="B318" t="str">
            <v>FCB</v>
          </cell>
          <cell r="C318">
            <v>10</v>
          </cell>
          <cell r="D318" t="str">
            <v>FC Barcelona</v>
          </cell>
          <cell r="E318" t="str">
            <v>Maccabi Playtika Tel Aviv</v>
          </cell>
          <cell r="F318">
            <v>45253</v>
          </cell>
          <cell r="G318" t="str">
            <v>A</v>
          </cell>
          <cell r="H318" t="str">
            <v>MTA</v>
          </cell>
          <cell r="I318" t="str">
            <v>10.FCB</v>
          </cell>
          <cell r="J318" t="str">
            <v>10.MTA</v>
          </cell>
        </row>
        <row r="319">
          <cell r="B319" t="str">
            <v>FCB</v>
          </cell>
          <cell r="C319">
            <v>11</v>
          </cell>
          <cell r="D319" t="str">
            <v>FC Barcelona</v>
          </cell>
          <cell r="E319" t="str">
            <v>LDLC ASVEL Villeurbanne</v>
          </cell>
          <cell r="F319">
            <v>45261</v>
          </cell>
          <cell r="G319" t="str">
            <v>H</v>
          </cell>
          <cell r="H319" t="str">
            <v>ASV</v>
          </cell>
          <cell r="I319" t="str">
            <v>11.FCB</v>
          </cell>
          <cell r="J319" t="str">
            <v>11.ASV</v>
          </cell>
        </row>
        <row r="320">
          <cell r="B320" t="str">
            <v>FCB</v>
          </cell>
          <cell r="C320">
            <v>12</v>
          </cell>
          <cell r="D320" t="str">
            <v>FC Barcelona</v>
          </cell>
          <cell r="E320" t="str">
            <v>Virtus Segafredo Bologna</v>
          </cell>
          <cell r="F320">
            <v>45266</v>
          </cell>
          <cell r="G320" t="str">
            <v>A</v>
          </cell>
          <cell r="H320" t="str">
            <v>VIR</v>
          </cell>
          <cell r="I320" t="str">
            <v>12.FCB</v>
          </cell>
          <cell r="J320" t="str">
            <v>12.VIR</v>
          </cell>
        </row>
        <row r="321">
          <cell r="B321" t="str">
            <v>FCB</v>
          </cell>
          <cell r="C321">
            <v>13</v>
          </cell>
          <cell r="D321" t="str">
            <v>FC Barcelona</v>
          </cell>
          <cell r="E321" t="str">
            <v>Fenerbahce Beko Istanbul</v>
          </cell>
          <cell r="F321">
            <v>45268</v>
          </cell>
          <cell r="G321" t="str">
            <v>H</v>
          </cell>
          <cell r="H321" t="str">
            <v>FEN</v>
          </cell>
          <cell r="I321" t="str">
            <v>13.FCB</v>
          </cell>
          <cell r="J321" t="str">
            <v>13.FEN</v>
          </cell>
        </row>
        <row r="322">
          <cell r="B322" t="str">
            <v>FCB</v>
          </cell>
          <cell r="C322">
            <v>14</v>
          </cell>
          <cell r="D322" t="str">
            <v>FC Barcelona</v>
          </cell>
          <cell r="E322" t="str">
            <v>EA7 Emporio Armani Milan</v>
          </cell>
          <cell r="F322">
            <v>45275</v>
          </cell>
          <cell r="G322" t="str">
            <v>H</v>
          </cell>
          <cell r="H322" t="str">
            <v>MIL</v>
          </cell>
          <cell r="I322" t="str">
            <v>14.FCB</v>
          </cell>
          <cell r="J322" t="str">
            <v>14.MIL</v>
          </cell>
        </row>
        <row r="323">
          <cell r="B323" t="str">
            <v>FCB</v>
          </cell>
          <cell r="C323">
            <v>15</v>
          </cell>
          <cell r="D323" t="str">
            <v>FC Barcelona</v>
          </cell>
          <cell r="E323" t="str">
            <v>ALBA Berlin</v>
          </cell>
          <cell r="F323">
            <v>45279</v>
          </cell>
          <cell r="G323" t="str">
            <v>A</v>
          </cell>
          <cell r="H323" t="str">
            <v>BER</v>
          </cell>
          <cell r="I323" t="str">
            <v>15.FCB</v>
          </cell>
          <cell r="J323" t="str">
            <v>15.BER</v>
          </cell>
        </row>
        <row r="324">
          <cell r="B324" t="str">
            <v>FCB</v>
          </cell>
          <cell r="C324">
            <v>16</v>
          </cell>
          <cell r="D324" t="str">
            <v>FC Barcelona</v>
          </cell>
          <cell r="E324" t="str">
            <v>Zalgiris Kaunas</v>
          </cell>
          <cell r="F324">
            <v>45282</v>
          </cell>
          <cell r="G324" t="str">
            <v>A</v>
          </cell>
          <cell r="H324" t="str">
            <v>ZAL</v>
          </cell>
          <cell r="I324" t="str">
            <v>16.FCB</v>
          </cell>
          <cell r="J324" t="str">
            <v>16.ZAL</v>
          </cell>
        </row>
        <row r="325">
          <cell r="B325" t="str">
            <v>FCB</v>
          </cell>
          <cell r="C325">
            <v>17</v>
          </cell>
          <cell r="D325" t="str">
            <v>FC Barcelona</v>
          </cell>
          <cell r="E325" t="str">
            <v>AS Monaco</v>
          </cell>
          <cell r="F325">
            <v>45289</v>
          </cell>
          <cell r="G325" t="str">
            <v>A</v>
          </cell>
          <cell r="H325" t="str">
            <v>ASM</v>
          </cell>
          <cell r="I325" t="str">
            <v>17.FCB</v>
          </cell>
          <cell r="J325" t="str">
            <v>17.ASM</v>
          </cell>
        </row>
        <row r="326">
          <cell r="B326" t="str">
            <v>FCB</v>
          </cell>
          <cell r="C326">
            <v>18</v>
          </cell>
          <cell r="D326" t="str">
            <v>FC Barcelona</v>
          </cell>
          <cell r="E326" t="str">
            <v>Real Madrid</v>
          </cell>
          <cell r="F326">
            <v>45294</v>
          </cell>
          <cell r="G326" t="str">
            <v>H</v>
          </cell>
          <cell r="H326" t="str">
            <v>RMB</v>
          </cell>
          <cell r="I326" t="str">
            <v>18.FCB</v>
          </cell>
          <cell r="J326" t="str">
            <v>18.RMB</v>
          </cell>
        </row>
        <row r="327">
          <cell r="B327" t="str">
            <v>FCB</v>
          </cell>
          <cell r="C327">
            <v>19</v>
          </cell>
          <cell r="D327" t="str">
            <v>FC Barcelona</v>
          </cell>
          <cell r="E327" t="str">
            <v>Baskonia Vitoria-Gasteiz</v>
          </cell>
          <cell r="F327">
            <v>45296</v>
          </cell>
          <cell r="G327" t="str">
            <v>H</v>
          </cell>
          <cell r="H327" t="str">
            <v>BAS</v>
          </cell>
          <cell r="I327" t="str">
            <v>19.FCB</v>
          </cell>
          <cell r="J327" t="str">
            <v>19.BAS</v>
          </cell>
        </row>
        <row r="328">
          <cell r="B328" t="str">
            <v>FCB</v>
          </cell>
          <cell r="C328">
            <v>20</v>
          </cell>
          <cell r="D328" t="str">
            <v>FC Barcelona</v>
          </cell>
          <cell r="E328" t="str">
            <v>Olympiacos Piraeus</v>
          </cell>
          <cell r="F328">
            <v>45301</v>
          </cell>
          <cell r="G328" t="str">
            <v>H</v>
          </cell>
          <cell r="H328" t="str">
            <v>OLY</v>
          </cell>
          <cell r="I328" t="str">
            <v>20.FCB</v>
          </cell>
          <cell r="J328" t="str">
            <v>20.OLY</v>
          </cell>
        </row>
        <row r="329">
          <cell r="B329" t="str">
            <v>FCB</v>
          </cell>
          <cell r="C329">
            <v>21</v>
          </cell>
          <cell r="D329" t="str">
            <v>FC Barcelona</v>
          </cell>
          <cell r="E329" t="str">
            <v>Zalgiris Kaunas</v>
          </cell>
          <cell r="F329">
            <v>45303</v>
          </cell>
          <cell r="G329" t="str">
            <v>H</v>
          </cell>
          <cell r="H329" t="str">
            <v>ZAL</v>
          </cell>
          <cell r="I329" t="str">
            <v>21.FCB</v>
          </cell>
          <cell r="J329" t="str">
            <v>21.ZAL</v>
          </cell>
        </row>
        <row r="330">
          <cell r="B330" t="str">
            <v>FCB</v>
          </cell>
          <cell r="C330">
            <v>22</v>
          </cell>
          <cell r="D330" t="str">
            <v>FC Barcelona</v>
          </cell>
          <cell r="E330" t="str">
            <v>Anadolu Efes Istanbul</v>
          </cell>
          <cell r="F330">
            <v>45309</v>
          </cell>
          <cell r="G330" t="str">
            <v>A</v>
          </cell>
          <cell r="H330" t="str">
            <v>EFE</v>
          </cell>
          <cell r="I330" t="str">
            <v>22.FCB</v>
          </cell>
          <cell r="J330" t="str">
            <v>22.EFE</v>
          </cell>
        </row>
        <row r="331">
          <cell r="B331" t="str">
            <v>FCB</v>
          </cell>
          <cell r="C331">
            <v>23</v>
          </cell>
          <cell r="D331" t="str">
            <v>FC Barcelona</v>
          </cell>
          <cell r="E331" t="str">
            <v>EA7 Emporio Armani Milan</v>
          </cell>
          <cell r="F331">
            <v>45317</v>
          </cell>
          <cell r="G331" t="str">
            <v>A</v>
          </cell>
          <cell r="H331" t="str">
            <v>MIL</v>
          </cell>
          <cell r="I331" t="str">
            <v>23.FCB</v>
          </cell>
          <cell r="J331" t="str">
            <v>23.MIL</v>
          </cell>
        </row>
        <row r="332">
          <cell r="B332" t="str">
            <v>FCB</v>
          </cell>
          <cell r="C332">
            <v>24</v>
          </cell>
          <cell r="D332" t="str">
            <v>FC Barcelona</v>
          </cell>
          <cell r="E332" t="str">
            <v>Virtus Segafredo Bologna</v>
          </cell>
          <cell r="F332">
            <v>45322</v>
          </cell>
          <cell r="G332" t="str">
            <v>H</v>
          </cell>
          <cell r="H332" t="str">
            <v>VIR</v>
          </cell>
          <cell r="I332" t="str">
            <v>24.FCB</v>
          </cell>
          <cell r="J332" t="str">
            <v>24.VIR</v>
          </cell>
        </row>
        <row r="333">
          <cell r="B333" t="str">
            <v>FCB</v>
          </cell>
          <cell r="C333">
            <v>25</v>
          </cell>
          <cell r="D333" t="str">
            <v>FC Barcelona</v>
          </cell>
          <cell r="E333" t="str">
            <v>Crvena Zvezda Meridianbet Belgrade</v>
          </cell>
          <cell r="F333">
            <v>45324</v>
          </cell>
          <cell r="G333" t="str">
            <v>A</v>
          </cell>
          <cell r="H333" t="str">
            <v>CZB</v>
          </cell>
          <cell r="I333" t="str">
            <v>25.FCB</v>
          </cell>
          <cell r="J333" t="str">
            <v>25.CZB</v>
          </cell>
        </row>
        <row r="334">
          <cell r="B334" t="str">
            <v>FCB</v>
          </cell>
          <cell r="C334">
            <v>26</v>
          </cell>
          <cell r="D334" t="str">
            <v>FC Barcelona</v>
          </cell>
          <cell r="E334" t="str">
            <v>ALBA Berlin</v>
          </cell>
          <cell r="F334">
            <v>45331</v>
          </cell>
          <cell r="G334" t="str">
            <v>H</v>
          </cell>
          <cell r="H334" t="str">
            <v>BER</v>
          </cell>
          <cell r="I334" t="str">
            <v>26.FCB</v>
          </cell>
          <cell r="J334" t="str">
            <v>26.BER</v>
          </cell>
        </row>
        <row r="335">
          <cell r="B335" t="str">
            <v>FCB</v>
          </cell>
          <cell r="C335">
            <v>27</v>
          </cell>
          <cell r="D335" t="str">
            <v>FC Barcelona</v>
          </cell>
          <cell r="E335" t="str">
            <v>AS Monaco</v>
          </cell>
          <cell r="F335">
            <v>45352</v>
          </cell>
          <cell r="G335" t="str">
            <v>H</v>
          </cell>
          <cell r="H335" t="str">
            <v>ASM</v>
          </cell>
          <cell r="I335" t="str">
            <v>27.FCB</v>
          </cell>
          <cell r="J335" t="str">
            <v>27.ASM</v>
          </cell>
        </row>
        <row r="336">
          <cell r="B336" t="str">
            <v>FCB</v>
          </cell>
          <cell r="C336">
            <v>28</v>
          </cell>
          <cell r="D336" t="str">
            <v>FC Barcelona</v>
          </cell>
          <cell r="E336" t="str">
            <v>Valencia Basket</v>
          </cell>
          <cell r="F336">
            <v>45358</v>
          </cell>
          <cell r="G336" t="str">
            <v>A</v>
          </cell>
          <cell r="H336" t="str">
            <v>VAL</v>
          </cell>
          <cell r="I336" t="str">
            <v>28.FCB</v>
          </cell>
          <cell r="J336" t="str">
            <v>28.VAL</v>
          </cell>
        </row>
        <row r="337">
          <cell r="B337" t="str">
            <v>FCB</v>
          </cell>
          <cell r="C337">
            <v>29</v>
          </cell>
          <cell r="D337" t="str">
            <v>FC Barcelona</v>
          </cell>
          <cell r="E337" t="str">
            <v>Partizan Mozzart Bet Belgrade</v>
          </cell>
          <cell r="F337">
            <v>45365</v>
          </cell>
          <cell r="G337" t="str">
            <v>H</v>
          </cell>
          <cell r="H337" t="str">
            <v>PAR</v>
          </cell>
          <cell r="I337" t="str">
            <v>29.FCB</v>
          </cell>
          <cell r="J337" t="str">
            <v>29.PAR</v>
          </cell>
        </row>
        <row r="338">
          <cell r="B338" t="str">
            <v>FCB</v>
          </cell>
          <cell r="C338">
            <v>30</v>
          </cell>
          <cell r="D338" t="str">
            <v>FC Barcelona</v>
          </cell>
          <cell r="E338" t="str">
            <v>Fenerbahce Beko Istanbul</v>
          </cell>
          <cell r="F338">
            <v>45371</v>
          </cell>
          <cell r="G338" t="str">
            <v>A</v>
          </cell>
          <cell r="H338" t="str">
            <v>FEN</v>
          </cell>
          <cell r="I338" t="str">
            <v>30.FCB</v>
          </cell>
          <cell r="J338" t="str">
            <v>30.FEN</v>
          </cell>
        </row>
        <row r="339">
          <cell r="B339" t="str">
            <v>FCB</v>
          </cell>
          <cell r="C339">
            <v>31</v>
          </cell>
          <cell r="D339" t="str">
            <v>FC Barcelona</v>
          </cell>
          <cell r="E339" t="str">
            <v>Panathinaikos Athens</v>
          </cell>
          <cell r="F339">
            <v>45373</v>
          </cell>
          <cell r="G339" t="str">
            <v>A</v>
          </cell>
          <cell r="H339" t="str">
            <v>PAN</v>
          </cell>
          <cell r="I339" t="str">
            <v>31.FCB</v>
          </cell>
          <cell r="J339" t="str">
            <v>31.PAN</v>
          </cell>
        </row>
        <row r="340">
          <cell r="B340" t="str">
            <v>FCB</v>
          </cell>
          <cell r="C340">
            <v>32</v>
          </cell>
          <cell r="D340" t="str">
            <v>FC Barcelona</v>
          </cell>
          <cell r="E340" t="str">
            <v>FC Bayern Munich</v>
          </cell>
          <cell r="F340">
            <v>45379</v>
          </cell>
          <cell r="G340" t="str">
            <v>A</v>
          </cell>
          <cell r="H340" t="str">
            <v>BAY</v>
          </cell>
          <cell r="I340" t="str">
            <v>32.FCB</v>
          </cell>
          <cell r="J340" t="str">
            <v>32.BAY</v>
          </cell>
        </row>
        <row r="341">
          <cell r="B341" t="str">
            <v>FCB</v>
          </cell>
          <cell r="C341">
            <v>33</v>
          </cell>
          <cell r="D341" t="str">
            <v>FC Barcelona</v>
          </cell>
          <cell r="E341" t="str">
            <v>Maccabi Playtika Tel Aviv</v>
          </cell>
          <cell r="F341">
            <v>45386</v>
          </cell>
          <cell r="G341" t="str">
            <v>H</v>
          </cell>
          <cell r="H341" t="str">
            <v>MTA</v>
          </cell>
          <cell r="I341" t="str">
            <v>33.FCB</v>
          </cell>
          <cell r="J341" t="str">
            <v>33.MTA</v>
          </cell>
        </row>
        <row r="342">
          <cell r="B342" t="str">
            <v>FCB</v>
          </cell>
          <cell r="C342">
            <v>34</v>
          </cell>
          <cell r="D342" t="str">
            <v>FC Barcelona</v>
          </cell>
          <cell r="E342" t="str">
            <v>LDLC ASVEL Villeurbanne</v>
          </cell>
          <cell r="F342">
            <v>45394</v>
          </cell>
          <cell r="G342" t="str">
            <v>A</v>
          </cell>
          <cell r="H342" t="str">
            <v>ASV</v>
          </cell>
          <cell r="I342" t="str">
            <v>34.FCB</v>
          </cell>
          <cell r="J342" t="str">
            <v>34.ASV</v>
          </cell>
        </row>
        <row r="343">
          <cell r="B343" t="str">
            <v>FCB</v>
          </cell>
          <cell r="C343">
            <v>35</v>
          </cell>
          <cell r="D343" t="str">
            <v>FC Barcelona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</row>
        <row r="344">
          <cell r="B344" t="str">
            <v>FCB</v>
          </cell>
          <cell r="C344">
            <v>36</v>
          </cell>
          <cell r="D344" t="str">
            <v>FC Barcelona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</row>
        <row r="345">
          <cell r="B345" t="str">
            <v>FCB</v>
          </cell>
          <cell r="C345">
            <v>37</v>
          </cell>
          <cell r="D345" t="str">
            <v>FC Barcelona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</row>
        <row r="346">
          <cell r="B346" t="str">
            <v>FCB</v>
          </cell>
          <cell r="C346">
            <v>38</v>
          </cell>
          <cell r="D346" t="str">
            <v>FC Barcelona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</row>
        <row r="347">
          <cell r="B347" t="str">
            <v>FCB</v>
          </cell>
          <cell r="C347">
            <v>39</v>
          </cell>
          <cell r="D347" t="str">
            <v>FC Barcelona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</row>
        <row r="348">
          <cell r="B348" t="str">
            <v>FCB</v>
          </cell>
          <cell r="C348">
            <v>40</v>
          </cell>
          <cell r="D348" t="str">
            <v>FC Barcelona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</row>
        <row r="349">
          <cell r="B349" t="str">
            <v>FCB</v>
          </cell>
          <cell r="C349">
            <v>41</v>
          </cell>
          <cell r="D349" t="str">
            <v>FC Barcelona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</row>
        <row r="350">
          <cell r="B350" t="str">
            <v>FCB</v>
          </cell>
          <cell r="C350">
            <v>42</v>
          </cell>
          <cell r="D350" t="str">
            <v>FC Barcelona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</row>
        <row r="351">
          <cell r="B351" t="str">
            <v>FCB</v>
          </cell>
          <cell r="C351">
            <v>43</v>
          </cell>
          <cell r="D351" t="str">
            <v>FC Barcelona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</row>
        <row r="352">
          <cell r="B352" t="str">
            <v>FCB</v>
          </cell>
          <cell r="C352">
            <v>44</v>
          </cell>
          <cell r="D352" t="str">
            <v>FC Barcelona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</row>
        <row r="353">
          <cell r="B353" t="str">
            <v>FCB</v>
          </cell>
          <cell r="C353">
            <v>45</v>
          </cell>
          <cell r="D353" t="str">
            <v>FC Barcelona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</row>
        <row r="354">
          <cell r="B354" t="str">
            <v>FCB</v>
          </cell>
          <cell r="C354">
            <v>46</v>
          </cell>
          <cell r="D354" t="str">
            <v>FC Barcelona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</row>
        <row r="355">
          <cell r="B355" t="str">
            <v>FCB</v>
          </cell>
          <cell r="C355">
            <v>47</v>
          </cell>
          <cell r="D355" t="str">
            <v>FC Barcelona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</row>
        <row r="356">
          <cell r="B356" t="str">
            <v>FCB</v>
          </cell>
          <cell r="C356">
            <v>48</v>
          </cell>
          <cell r="D356" t="str">
            <v>FC Barcelona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</row>
        <row r="357">
          <cell r="B357" t="str">
            <v>FCB</v>
          </cell>
          <cell r="C357">
            <v>49</v>
          </cell>
          <cell r="D357" t="str">
            <v>FC Barcelona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</row>
        <row r="358">
          <cell r="B358" t="str">
            <v>FCB</v>
          </cell>
          <cell r="C358">
            <v>50</v>
          </cell>
          <cell r="D358" t="str">
            <v>FC Barcelona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</row>
        <row r="359">
          <cell r="B359" t="str">
            <v>FCB</v>
          </cell>
          <cell r="C359">
            <v>51</v>
          </cell>
          <cell r="D359" t="str">
            <v>FC Barcelona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</row>
        <row r="360">
          <cell r="B360" t="str">
            <v>BAY</v>
          </cell>
          <cell r="C360">
            <v>1</v>
          </cell>
          <cell r="D360" t="str">
            <v>FC Bayern Munich</v>
          </cell>
          <cell r="E360" t="str">
            <v>ALBA Berlin</v>
          </cell>
          <cell r="F360">
            <v>45204</v>
          </cell>
          <cell r="G360" t="str">
            <v>H</v>
          </cell>
          <cell r="H360" t="str">
            <v>BER</v>
          </cell>
          <cell r="I360" t="str">
            <v>1.BAY</v>
          </cell>
          <cell r="J360" t="str">
            <v>1.BER</v>
          </cell>
        </row>
        <row r="361">
          <cell r="B361" t="str">
            <v>BAY</v>
          </cell>
          <cell r="C361">
            <v>2</v>
          </cell>
          <cell r="D361" t="str">
            <v>FC Bayern Munich</v>
          </cell>
          <cell r="E361" t="str">
            <v>Panathinaikos Athens</v>
          </cell>
          <cell r="F361">
            <v>45211</v>
          </cell>
          <cell r="G361" t="str">
            <v>A</v>
          </cell>
          <cell r="H361" t="str">
            <v>PAN</v>
          </cell>
          <cell r="I361" t="str">
            <v>2.BAY</v>
          </cell>
          <cell r="J361" t="str">
            <v>2.PAN</v>
          </cell>
        </row>
        <row r="362">
          <cell r="B362" t="str">
            <v>BAY</v>
          </cell>
          <cell r="C362">
            <v>3</v>
          </cell>
          <cell r="D362" t="str">
            <v>FC Bayern Munich</v>
          </cell>
          <cell r="E362" t="str">
            <v>Baskonia Vitoria-Gasteiz</v>
          </cell>
          <cell r="F362">
            <v>45216</v>
          </cell>
          <cell r="G362" t="str">
            <v>A</v>
          </cell>
          <cell r="H362" t="str">
            <v>BAS</v>
          </cell>
          <cell r="I362" t="str">
            <v>3.BAY</v>
          </cell>
          <cell r="J362" t="str">
            <v>3.BAS</v>
          </cell>
        </row>
        <row r="363">
          <cell r="B363" t="str">
            <v>BAY</v>
          </cell>
          <cell r="C363">
            <v>4</v>
          </cell>
          <cell r="D363" t="str">
            <v>FC Bayern Munich</v>
          </cell>
          <cell r="E363" t="str">
            <v>FC Barcelona</v>
          </cell>
          <cell r="F363">
            <v>45219</v>
          </cell>
          <cell r="G363" t="str">
            <v>A</v>
          </cell>
          <cell r="H363" t="str">
            <v>FCB</v>
          </cell>
          <cell r="I363" t="str">
            <v>4.BAY</v>
          </cell>
          <cell r="J363" t="str">
            <v>4.FCB</v>
          </cell>
        </row>
        <row r="364">
          <cell r="B364" t="str">
            <v>BAY</v>
          </cell>
          <cell r="C364">
            <v>5</v>
          </cell>
          <cell r="D364" t="str">
            <v>FC Bayern Munich</v>
          </cell>
          <cell r="E364" t="str">
            <v>Fenerbahce Beko Istanbul</v>
          </cell>
          <cell r="F364">
            <v>45226</v>
          </cell>
          <cell r="G364" t="str">
            <v>H</v>
          </cell>
          <cell r="H364" t="str">
            <v>FEN</v>
          </cell>
          <cell r="I364" t="str">
            <v>5.BAY</v>
          </cell>
          <cell r="J364" t="str">
            <v>5.FEN</v>
          </cell>
        </row>
        <row r="365">
          <cell r="B365" t="str">
            <v>BAY</v>
          </cell>
          <cell r="C365">
            <v>6</v>
          </cell>
          <cell r="D365" t="str">
            <v>FC Bayern Munich</v>
          </cell>
          <cell r="E365" t="str">
            <v>Crvena Zvezda Meridianbet Belgrade</v>
          </cell>
          <cell r="F365">
            <v>45232</v>
          </cell>
          <cell r="G365" t="str">
            <v>A</v>
          </cell>
          <cell r="H365" t="str">
            <v>CZB</v>
          </cell>
          <cell r="I365" t="str">
            <v>6.BAY</v>
          </cell>
          <cell r="J365" t="str">
            <v>6.CZB</v>
          </cell>
        </row>
        <row r="366">
          <cell r="B366" t="str">
            <v>BAY</v>
          </cell>
          <cell r="C366">
            <v>7</v>
          </cell>
          <cell r="D366" t="str">
            <v>FC Bayern Munich</v>
          </cell>
          <cell r="E366" t="str">
            <v>Maccabi Playtika Tel Aviv</v>
          </cell>
          <cell r="F366">
            <v>45239</v>
          </cell>
          <cell r="G366" t="str">
            <v>A</v>
          </cell>
          <cell r="H366" t="str">
            <v>MTA</v>
          </cell>
          <cell r="I366" t="str">
            <v>7.BAY</v>
          </cell>
          <cell r="J366" t="str">
            <v>7.MTA</v>
          </cell>
        </row>
        <row r="367">
          <cell r="B367" t="str">
            <v>BAY</v>
          </cell>
          <cell r="C367">
            <v>8</v>
          </cell>
          <cell r="D367" t="str">
            <v>FC Bayern Munich</v>
          </cell>
          <cell r="E367" t="str">
            <v>Partizan Mozzart Bet Belgrade</v>
          </cell>
          <cell r="F367">
            <v>45245</v>
          </cell>
          <cell r="G367" t="str">
            <v>H</v>
          </cell>
          <cell r="H367" t="str">
            <v>PAR</v>
          </cell>
          <cell r="I367" t="str">
            <v>8.BAY</v>
          </cell>
          <cell r="J367" t="str">
            <v>8.PAR</v>
          </cell>
        </row>
        <row r="368">
          <cell r="B368" t="str">
            <v>BAY</v>
          </cell>
          <cell r="C368">
            <v>9</v>
          </cell>
          <cell r="D368" t="str">
            <v>FC Bayern Munich</v>
          </cell>
          <cell r="E368" t="str">
            <v>Zalgiris Kaunas</v>
          </cell>
          <cell r="F368">
            <v>45247</v>
          </cell>
          <cell r="G368" t="str">
            <v>A</v>
          </cell>
          <cell r="H368" t="str">
            <v>ZAL</v>
          </cell>
          <cell r="I368" t="str">
            <v>9.BAY</v>
          </cell>
          <cell r="J368" t="str">
            <v>9.ZAL</v>
          </cell>
        </row>
        <row r="369">
          <cell r="B369" t="str">
            <v>BAY</v>
          </cell>
          <cell r="C369">
            <v>10</v>
          </cell>
          <cell r="D369" t="str">
            <v>FC Bayern Munich</v>
          </cell>
          <cell r="E369" t="str">
            <v>LDLC ASVEL Villeurbanne</v>
          </cell>
          <cell r="F369">
            <v>45253</v>
          </cell>
          <cell r="G369" t="str">
            <v>A</v>
          </cell>
          <cell r="H369" t="str">
            <v>ASV</v>
          </cell>
          <cell r="I369" t="str">
            <v>10.BAY</v>
          </cell>
          <cell r="J369" t="str">
            <v>10.ASV</v>
          </cell>
        </row>
        <row r="370">
          <cell r="B370" t="str">
            <v>BAY</v>
          </cell>
          <cell r="C370">
            <v>11</v>
          </cell>
          <cell r="D370" t="str">
            <v>FC Bayern Munich</v>
          </cell>
          <cell r="E370" t="str">
            <v>Virtus Segafredo Bologna</v>
          </cell>
          <cell r="F370">
            <v>45260</v>
          </cell>
          <cell r="G370" t="str">
            <v>H</v>
          </cell>
          <cell r="H370" t="str">
            <v>VIR</v>
          </cell>
          <cell r="I370" t="str">
            <v>11.BAY</v>
          </cell>
          <cell r="J370" t="str">
            <v>11.VIR</v>
          </cell>
        </row>
        <row r="371">
          <cell r="B371" t="str">
            <v>BAY</v>
          </cell>
          <cell r="C371">
            <v>12</v>
          </cell>
          <cell r="D371" t="str">
            <v>FC Bayern Munich</v>
          </cell>
          <cell r="E371" t="str">
            <v>EA7 Emporio Armani Milan</v>
          </cell>
          <cell r="F371">
            <v>45265</v>
          </cell>
          <cell r="G371" t="str">
            <v>H</v>
          </cell>
          <cell r="H371" t="str">
            <v>MIL</v>
          </cell>
          <cell r="I371" t="str">
            <v>12.BAY</v>
          </cell>
          <cell r="J371" t="str">
            <v>12.MIL</v>
          </cell>
        </row>
        <row r="372">
          <cell r="B372" t="str">
            <v>BAY</v>
          </cell>
          <cell r="C372">
            <v>13</v>
          </cell>
          <cell r="D372" t="str">
            <v>FC Bayern Munich</v>
          </cell>
          <cell r="E372" t="str">
            <v>Olympiacos Piraeus</v>
          </cell>
          <cell r="F372">
            <v>45268</v>
          </cell>
          <cell r="G372" t="str">
            <v>A</v>
          </cell>
          <cell r="H372" t="str">
            <v>OLY</v>
          </cell>
          <cell r="I372" t="str">
            <v>13.BAY</v>
          </cell>
          <cell r="J372" t="str">
            <v>13.OLY</v>
          </cell>
        </row>
        <row r="373">
          <cell r="B373" t="str">
            <v>BAY</v>
          </cell>
          <cell r="C373">
            <v>14</v>
          </cell>
          <cell r="D373" t="str">
            <v>FC Bayern Munich</v>
          </cell>
          <cell r="E373" t="str">
            <v>Real Madrid</v>
          </cell>
          <cell r="F373">
            <v>45274</v>
          </cell>
          <cell r="G373" t="str">
            <v>A</v>
          </cell>
          <cell r="H373" t="str">
            <v>RMB</v>
          </cell>
          <cell r="I373" t="str">
            <v>14.BAY</v>
          </cell>
          <cell r="J373" t="str">
            <v>14.RMB</v>
          </cell>
        </row>
        <row r="374">
          <cell r="B374" t="str">
            <v>BAY</v>
          </cell>
          <cell r="C374">
            <v>15</v>
          </cell>
          <cell r="D374" t="str">
            <v>FC Bayern Munich</v>
          </cell>
          <cell r="E374" t="str">
            <v>Anadolu Efes Istanbul</v>
          </cell>
          <cell r="F374">
            <v>45280</v>
          </cell>
          <cell r="G374" t="str">
            <v>H</v>
          </cell>
          <cell r="H374" t="str">
            <v>EFE</v>
          </cell>
          <cell r="I374" t="str">
            <v>15.BAY</v>
          </cell>
          <cell r="J374" t="str">
            <v>15.EFE</v>
          </cell>
        </row>
        <row r="375">
          <cell r="B375" t="str">
            <v>BAY</v>
          </cell>
          <cell r="C375">
            <v>16</v>
          </cell>
          <cell r="D375" t="str">
            <v>FC Bayern Munich</v>
          </cell>
          <cell r="E375" t="str">
            <v>AS Monaco</v>
          </cell>
          <cell r="F375">
            <v>45282</v>
          </cell>
          <cell r="G375" t="str">
            <v>H</v>
          </cell>
          <cell r="H375" t="str">
            <v>ASM</v>
          </cell>
          <cell r="I375" t="str">
            <v>16.BAY</v>
          </cell>
          <cell r="J375" t="str">
            <v>16.ASM</v>
          </cell>
        </row>
        <row r="376">
          <cell r="B376" t="str">
            <v>BAY</v>
          </cell>
          <cell r="C376">
            <v>17</v>
          </cell>
          <cell r="D376" t="str">
            <v>FC Bayern Munich</v>
          </cell>
          <cell r="E376" t="str">
            <v>Valencia Basket</v>
          </cell>
          <cell r="F376">
            <v>45288</v>
          </cell>
          <cell r="G376" t="str">
            <v>H</v>
          </cell>
          <cell r="H376" t="str">
            <v>VAL</v>
          </cell>
          <cell r="I376" t="str">
            <v>17.BAY</v>
          </cell>
          <cell r="J376" t="str">
            <v>17.VAL</v>
          </cell>
        </row>
        <row r="377">
          <cell r="B377" t="str">
            <v>BAY</v>
          </cell>
          <cell r="C377">
            <v>18</v>
          </cell>
          <cell r="D377" t="str">
            <v>FC Bayern Munich</v>
          </cell>
          <cell r="E377" t="str">
            <v>Virtus Segafredo Bologna</v>
          </cell>
          <cell r="F377">
            <v>45294</v>
          </cell>
          <cell r="G377" t="str">
            <v>A</v>
          </cell>
          <cell r="H377" t="str">
            <v>VIR</v>
          </cell>
          <cell r="I377" t="str">
            <v>18.BAY</v>
          </cell>
          <cell r="J377" t="str">
            <v>18.VIR</v>
          </cell>
        </row>
        <row r="378">
          <cell r="B378" t="str">
            <v>BAY</v>
          </cell>
          <cell r="C378">
            <v>19</v>
          </cell>
          <cell r="D378" t="str">
            <v>FC Bayern Munich</v>
          </cell>
          <cell r="E378" t="str">
            <v>EA7 Emporio Armani Milan</v>
          </cell>
          <cell r="F378">
            <v>45296</v>
          </cell>
          <cell r="G378" t="str">
            <v>A</v>
          </cell>
          <cell r="H378" t="str">
            <v>MIL</v>
          </cell>
          <cell r="I378" t="str">
            <v>19.BAY</v>
          </cell>
          <cell r="J378" t="str">
            <v>19.MIL</v>
          </cell>
        </row>
        <row r="379">
          <cell r="B379" t="str">
            <v>BAY</v>
          </cell>
          <cell r="C379">
            <v>20</v>
          </cell>
          <cell r="D379" t="str">
            <v>FC Bayern Munich</v>
          </cell>
          <cell r="E379" t="str">
            <v>Real Madrid</v>
          </cell>
          <cell r="F379">
            <v>45300</v>
          </cell>
          <cell r="G379" t="str">
            <v>H</v>
          </cell>
          <cell r="H379" t="str">
            <v>RMB</v>
          </cell>
          <cell r="I379" t="str">
            <v>20.BAY</v>
          </cell>
          <cell r="J379" t="str">
            <v>20.RMB</v>
          </cell>
        </row>
        <row r="380">
          <cell r="B380" t="str">
            <v>BAY</v>
          </cell>
          <cell r="C380">
            <v>21</v>
          </cell>
          <cell r="D380" t="str">
            <v>FC Bayern Munich</v>
          </cell>
          <cell r="E380" t="str">
            <v>Fenerbahce Beko Istanbul</v>
          </cell>
          <cell r="F380">
            <v>45302</v>
          </cell>
          <cell r="G380" t="str">
            <v>A</v>
          </cell>
          <cell r="H380" t="str">
            <v>FEN</v>
          </cell>
          <cell r="I380" t="str">
            <v>21.BAY</v>
          </cell>
          <cell r="J380" t="str">
            <v>21.FEN</v>
          </cell>
        </row>
        <row r="381">
          <cell r="B381" t="str">
            <v>BAY</v>
          </cell>
          <cell r="C381">
            <v>22</v>
          </cell>
          <cell r="D381" t="str">
            <v>FC Bayern Munich</v>
          </cell>
          <cell r="E381" t="str">
            <v>ALBA Berlin</v>
          </cell>
          <cell r="F381">
            <v>45309</v>
          </cell>
          <cell r="G381" t="str">
            <v>A</v>
          </cell>
          <cell r="H381" t="str">
            <v>BER</v>
          </cell>
          <cell r="I381" t="str">
            <v>22.BAY</v>
          </cell>
          <cell r="J381" t="str">
            <v>22.BER</v>
          </cell>
        </row>
        <row r="382">
          <cell r="B382" t="str">
            <v>BAY</v>
          </cell>
          <cell r="C382">
            <v>23</v>
          </cell>
          <cell r="D382" t="str">
            <v>FC Bayern Munich</v>
          </cell>
          <cell r="E382" t="str">
            <v>LDLC ASVEL Villeurbanne</v>
          </cell>
          <cell r="F382">
            <v>45316</v>
          </cell>
          <cell r="G382" t="str">
            <v>H</v>
          </cell>
          <cell r="H382" t="str">
            <v>ASV</v>
          </cell>
          <cell r="I382" t="str">
            <v>23.BAY</v>
          </cell>
          <cell r="J382" t="str">
            <v>23.ASV</v>
          </cell>
        </row>
        <row r="383">
          <cell r="B383" t="str">
            <v>BAY</v>
          </cell>
          <cell r="C383">
            <v>24</v>
          </cell>
          <cell r="D383" t="str">
            <v>FC Bayern Munich</v>
          </cell>
          <cell r="E383" t="str">
            <v>Baskonia Vitoria-Gasteiz</v>
          </cell>
          <cell r="F383">
            <v>45321</v>
          </cell>
          <cell r="G383" t="str">
            <v>H</v>
          </cell>
          <cell r="H383" t="str">
            <v>BAS</v>
          </cell>
          <cell r="I383" t="str">
            <v>24.BAY</v>
          </cell>
          <cell r="J383" t="str">
            <v>24.BAS</v>
          </cell>
        </row>
        <row r="384">
          <cell r="B384" t="str">
            <v>BAY</v>
          </cell>
          <cell r="C384">
            <v>25</v>
          </cell>
          <cell r="D384" t="str">
            <v>FC Bayern Munich</v>
          </cell>
          <cell r="E384" t="str">
            <v>Olympiacos Piraeus</v>
          </cell>
          <cell r="F384">
            <v>45323</v>
          </cell>
          <cell r="G384" t="str">
            <v>H</v>
          </cell>
          <cell r="H384" t="str">
            <v>OLY</v>
          </cell>
          <cell r="I384" t="str">
            <v>25.BAY</v>
          </cell>
          <cell r="J384" t="str">
            <v>25.OLY</v>
          </cell>
        </row>
        <row r="385">
          <cell r="B385" t="str">
            <v>BAY</v>
          </cell>
          <cell r="C385">
            <v>26</v>
          </cell>
          <cell r="D385" t="str">
            <v>FC Bayern Munich</v>
          </cell>
          <cell r="E385" t="str">
            <v>Partizan Mozzart Bet Belgrade</v>
          </cell>
          <cell r="F385">
            <v>45330</v>
          </cell>
          <cell r="G385" t="str">
            <v>A</v>
          </cell>
          <cell r="H385" t="str">
            <v>PAR</v>
          </cell>
          <cell r="I385" t="str">
            <v>26.BAY</v>
          </cell>
          <cell r="J385" t="str">
            <v>26.PAR</v>
          </cell>
        </row>
        <row r="386">
          <cell r="B386" t="str">
            <v>BAY</v>
          </cell>
          <cell r="C386">
            <v>27</v>
          </cell>
          <cell r="D386" t="str">
            <v>FC Bayern Munich</v>
          </cell>
          <cell r="E386" t="str">
            <v>Crvena Zvezda Meridianbet Belgrade</v>
          </cell>
          <cell r="F386">
            <v>45352</v>
          </cell>
          <cell r="G386" t="str">
            <v>H</v>
          </cell>
          <cell r="H386" t="str">
            <v>CZB</v>
          </cell>
          <cell r="I386" t="str">
            <v>27.BAY</v>
          </cell>
          <cell r="J386" t="str">
            <v>27.CZB</v>
          </cell>
        </row>
        <row r="387">
          <cell r="B387" t="str">
            <v>BAY</v>
          </cell>
          <cell r="C387">
            <v>28</v>
          </cell>
          <cell r="D387" t="str">
            <v>FC Bayern Munich</v>
          </cell>
          <cell r="E387" t="str">
            <v>Anadolu Efes Istanbul</v>
          </cell>
          <cell r="F387">
            <v>45358</v>
          </cell>
          <cell r="G387" t="str">
            <v>A</v>
          </cell>
          <cell r="H387" t="str">
            <v>EFE</v>
          </cell>
          <cell r="I387" t="str">
            <v>28.BAY</v>
          </cell>
          <cell r="J387" t="str">
            <v>28.EFE</v>
          </cell>
        </row>
        <row r="388">
          <cell r="B388" t="str">
            <v>BAY</v>
          </cell>
          <cell r="C388">
            <v>29</v>
          </cell>
          <cell r="D388" t="str">
            <v>FC Bayern Munich</v>
          </cell>
          <cell r="E388" t="str">
            <v>Zalgiris Kaunas</v>
          </cell>
          <cell r="F388">
            <v>45366</v>
          </cell>
          <cell r="G388" t="str">
            <v>H</v>
          </cell>
          <cell r="H388" t="str">
            <v>ZAL</v>
          </cell>
          <cell r="I388" t="str">
            <v>29.BAY</v>
          </cell>
          <cell r="J388" t="str">
            <v>29.ZAL</v>
          </cell>
        </row>
        <row r="389">
          <cell r="B389" t="str">
            <v>BAY</v>
          </cell>
          <cell r="C389">
            <v>30</v>
          </cell>
          <cell r="D389" t="str">
            <v>FC Bayern Munich</v>
          </cell>
          <cell r="E389" t="str">
            <v>Valencia Basket</v>
          </cell>
          <cell r="F389">
            <v>45371</v>
          </cell>
          <cell r="G389" t="str">
            <v>A</v>
          </cell>
          <cell r="H389" t="str">
            <v>VAL</v>
          </cell>
          <cell r="I389" t="str">
            <v>30.BAY</v>
          </cell>
          <cell r="J389" t="str">
            <v>30.VAL</v>
          </cell>
        </row>
        <row r="390">
          <cell r="B390" t="str">
            <v>BAY</v>
          </cell>
          <cell r="C390">
            <v>31</v>
          </cell>
          <cell r="D390" t="str">
            <v>FC Bayern Munich</v>
          </cell>
          <cell r="E390" t="str">
            <v>Maccabi Playtika Tel Aviv</v>
          </cell>
          <cell r="F390">
            <v>45373</v>
          </cell>
          <cell r="G390" t="str">
            <v>H</v>
          </cell>
          <cell r="H390" t="str">
            <v>MTA</v>
          </cell>
          <cell r="I390" t="str">
            <v>31.BAY</v>
          </cell>
          <cell r="J390" t="str">
            <v>31.MTA</v>
          </cell>
        </row>
        <row r="391">
          <cell r="B391" t="str">
            <v>BAY</v>
          </cell>
          <cell r="C391">
            <v>32</v>
          </cell>
          <cell r="D391" t="str">
            <v>FC Bayern Munich</v>
          </cell>
          <cell r="E391" t="str">
            <v>FC Barcelona</v>
          </cell>
          <cell r="F391">
            <v>45379</v>
          </cell>
          <cell r="G391" t="str">
            <v>H</v>
          </cell>
          <cell r="H391" t="str">
            <v>FCB</v>
          </cell>
          <cell r="I391" t="str">
            <v>32.BAY</v>
          </cell>
          <cell r="J391" t="str">
            <v>32.FCB</v>
          </cell>
        </row>
        <row r="392">
          <cell r="B392" t="str">
            <v>BAY</v>
          </cell>
          <cell r="C392">
            <v>33</v>
          </cell>
          <cell r="D392" t="str">
            <v>FC Bayern Munich</v>
          </cell>
          <cell r="E392" t="str">
            <v>Panathinaikos Athens</v>
          </cell>
          <cell r="F392">
            <v>45387</v>
          </cell>
          <cell r="G392" t="str">
            <v>H</v>
          </cell>
          <cell r="H392" t="str">
            <v>PAN</v>
          </cell>
          <cell r="I392" t="str">
            <v>33.BAY</v>
          </cell>
          <cell r="J392" t="str">
            <v>33.PAN</v>
          </cell>
        </row>
        <row r="393">
          <cell r="B393" t="str">
            <v>BAY</v>
          </cell>
          <cell r="C393">
            <v>34</v>
          </cell>
          <cell r="D393" t="str">
            <v>FC Bayern Munich</v>
          </cell>
          <cell r="E393" t="str">
            <v>AS Monaco</v>
          </cell>
          <cell r="F393">
            <v>45393</v>
          </cell>
          <cell r="G393" t="str">
            <v>A</v>
          </cell>
          <cell r="H393" t="str">
            <v>ASM</v>
          </cell>
          <cell r="I393" t="str">
            <v>34.BAY</v>
          </cell>
          <cell r="J393" t="str">
            <v>34.ASM</v>
          </cell>
        </row>
        <row r="394">
          <cell r="B394" t="str">
            <v>BAY</v>
          </cell>
          <cell r="C394">
            <v>35</v>
          </cell>
          <cell r="D394" t="str">
            <v>FC Bayern Munich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</row>
        <row r="395">
          <cell r="B395" t="str">
            <v>BAY</v>
          </cell>
          <cell r="C395">
            <v>36</v>
          </cell>
          <cell r="D395" t="str">
            <v>FC Bayern Munich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</row>
        <row r="396">
          <cell r="B396" t="str">
            <v>BAY</v>
          </cell>
          <cell r="C396">
            <v>37</v>
          </cell>
          <cell r="D396" t="str">
            <v>FC Bayern Munich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</row>
        <row r="397">
          <cell r="B397" t="str">
            <v>BAY</v>
          </cell>
          <cell r="C397">
            <v>38</v>
          </cell>
          <cell r="D397" t="str">
            <v>FC Bayern Munich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</row>
        <row r="398">
          <cell r="B398" t="str">
            <v>BAY</v>
          </cell>
          <cell r="C398">
            <v>39</v>
          </cell>
          <cell r="D398" t="str">
            <v>FC Bayern Munich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</row>
        <row r="399">
          <cell r="B399" t="str">
            <v>BAY</v>
          </cell>
          <cell r="C399">
            <v>40</v>
          </cell>
          <cell r="D399" t="str">
            <v>FC Bayern Munich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</row>
        <row r="400">
          <cell r="B400" t="str">
            <v>BAY</v>
          </cell>
          <cell r="C400">
            <v>41</v>
          </cell>
          <cell r="D400" t="str">
            <v>FC Bayern Munich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</row>
        <row r="401">
          <cell r="B401" t="str">
            <v>BAY</v>
          </cell>
          <cell r="C401">
            <v>42</v>
          </cell>
          <cell r="D401" t="str">
            <v>FC Bayern Munich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</row>
        <row r="402">
          <cell r="B402" t="str">
            <v>BAY</v>
          </cell>
          <cell r="C402">
            <v>43</v>
          </cell>
          <cell r="D402" t="str">
            <v>FC Bayern Munich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</row>
        <row r="403">
          <cell r="B403" t="str">
            <v>BAY</v>
          </cell>
          <cell r="C403">
            <v>44</v>
          </cell>
          <cell r="D403" t="str">
            <v>FC Bayern Munich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</row>
        <row r="404">
          <cell r="B404" t="str">
            <v>BAY</v>
          </cell>
          <cell r="C404">
            <v>45</v>
          </cell>
          <cell r="D404" t="str">
            <v>FC Bayern Munich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</row>
        <row r="405">
          <cell r="B405" t="str">
            <v>BAY</v>
          </cell>
          <cell r="C405">
            <v>46</v>
          </cell>
          <cell r="D405" t="str">
            <v>FC Bayern Munich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</row>
        <row r="406">
          <cell r="B406" t="str">
            <v>BAY</v>
          </cell>
          <cell r="C406">
            <v>47</v>
          </cell>
          <cell r="D406" t="str">
            <v>FC Bayern Munich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</row>
        <row r="407">
          <cell r="B407" t="str">
            <v>BAY</v>
          </cell>
          <cell r="C407">
            <v>48</v>
          </cell>
          <cell r="D407" t="str">
            <v>FC Bayern Munich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</row>
        <row r="408">
          <cell r="B408" t="str">
            <v>BAY</v>
          </cell>
          <cell r="C408">
            <v>49</v>
          </cell>
          <cell r="D408" t="str">
            <v>FC Bayern Munich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</row>
        <row r="409">
          <cell r="B409" t="str">
            <v>BAY</v>
          </cell>
          <cell r="C409">
            <v>50</v>
          </cell>
          <cell r="D409" t="str">
            <v>FC Bayern Munich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</row>
        <row r="410">
          <cell r="B410" t="str">
            <v>BAY</v>
          </cell>
          <cell r="C410">
            <v>51</v>
          </cell>
          <cell r="D410" t="str">
            <v>FC Bayern Munich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</row>
        <row r="411">
          <cell r="B411" t="str">
            <v>FEN</v>
          </cell>
          <cell r="C411">
            <v>1</v>
          </cell>
          <cell r="D411" t="str">
            <v>Fenerbahce Beko Istanbul</v>
          </cell>
          <cell r="E411" t="str">
            <v>EA7 Emporio Armani Milan</v>
          </cell>
          <cell r="F411">
            <v>45205</v>
          </cell>
          <cell r="G411" t="str">
            <v>H</v>
          </cell>
          <cell r="H411" t="str">
            <v>MIL</v>
          </cell>
          <cell r="I411" t="str">
            <v>1.FEN</v>
          </cell>
          <cell r="J411" t="str">
            <v>1.MIL</v>
          </cell>
        </row>
        <row r="412">
          <cell r="B412" t="str">
            <v>FEN</v>
          </cell>
          <cell r="C412">
            <v>2</v>
          </cell>
          <cell r="D412" t="str">
            <v>Fenerbahce Beko Istanbul</v>
          </cell>
          <cell r="E412" t="str">
            <v>Valencia Basket</v>
          </cell>
          <cell r="F412">
            <v>45212</v>
          </cell>
          <cell r="G412" t="str">
            <v>A</v>
          </cell>
          <cell r="H412" t="str">
            <v>VAL</v>
          </cell>
          <cell r="I412" t="str">
            <v>2.FEN</v>
          </cell>
          <cell r="J412" t="str">
            <v>2.VAL</v>
          </cell>
        </row>
        <row r="413">
          <cell r="B413" t="str">
            <v>FEN</v>
          </cell>
          <cell r="C413">
            <v>3</v>
          </cell>
          <cell r="D413" t="str">
            <v>Fenerbahce Beko Istanbul</v>
          </cell>
          <cell r="E413" t="str">
            <v>Panathinaikos Athens</v>
          </cell>
          <cell r="F413">
            <v>45216</v>
          </cell>
          <cell r="G413" t="str">
            <v>H</v>
          </cell>
          <cell r="H413" t="str">
            <v>PAN</v>
          </cell>
          <cell r="I413" t="str">
            <v>3.FEN</v>
          </cell>
          <cell r="J413" t="str">
            <v>3.PAN</v>
          </cell>
        </row>
        <row r="414">
          <cell r="B414" t="str">
            <v>FEN</v>
          </cell>
          <cell r="C414">
            <v>4</v>
          </cell>
          <cell r="D414" t="str">
            <v>Fenerbahce Beko Istanbul</v>
          </cell>
          <cell r="E414" t="str">
            <v>LDLC ASVEL Villeurbanne</v>
          </cell>
          <cell r="F414">
            <v>45218</v>
          </cell>
          <cell r="G414" t="str">
            <v>H</v>
          </cell>
          <cell r="H414" t="str">
            <v>ASV</v>
          </cell>
          <cell r="I414" t="str">
            <v>4.FEN</v>
          </cell>
          <cell r="J414" t="str">
            <v>4.ASV</v>
          </cell>
        </row>
        <row r="415">
          <cell r="B415" t="str">
            <v>FEN</v>
          </cell>
          <cell r="C415">
            <v>5</v>
          </cell>
          <cell r="D415" t="str">
            <v>Fenerbahce Beko Istanbul</v>
          </cell>
          <cell r="E415" t="str">
            <v>FC Bayern Munich</v>
          </cell>
          <cell r="F415">
            <v>45226</v>
          </cell>
          <cell r="G415" t="str">
            <v>A</v>
          </cell>
          <cell r="H415" t="str">
            <v>BAY</v>
          </cell>
          <cell r="I415" t="str">
            <v>5.FEN</v>
          </cell>
          <cell r="J415" t="str">
            <v>5.BAY</v>
          </cell>
        </row>
        <row r="416">
          <cell r="B416" t="str">
            <v>FEN</v>
          </cell>
          <cell r="C416">
            <v>6</v>
          </cell>
          <cell r="D416" t="str">
            <v>Fenerbahce Beko Istanbul</v>
          </cell>
          <cell r="E416" t="str">
            <v>Olympiacos Piraeus</v>
          </cell>
          <cell r="F416">
            <v>45232</v>
          </cell>
          <cell r="G416" t="str">
            <v>H</v>
          </cell>
          <cell r="H416" t="str">
            <v>OLY</v>
          </cell>
          <cell r="I416" t="str">
            <v>6.FEN</v>
          </cell>
          <cell r="J416" t="str">
            <v>6.OLY</v>
          </cell>
        </row>
        <row r="417">
          <cell r="B417" t="str">
            <v>FEN</v>
          </cell>
          <cell r="C417">
            <v>7</v>
          </cell>
          <cell r="D417" t="str">
            <v>Fenerbahce Beko Istanbul</v>
          </cell>
          <cell r="E417" t="str">
            <v>Partizan Mozzart Bet Belgrade</v>
          </cell>
          <cell r="F417">
            <v>45239</v>
          </cell>
          <cell r="G417" t="str">
            <v>A</v>
          </cell>
          <cell r="H417" t="str">
            <v>PAR</v>
          </cell>
          <cell r="I417" t="str">
            <v>7.FEN</v>
          </cell>
          <cell r="J417" t="str">
            <v>7.PAR</v>
          </cell>
        </row>
        <row r="418">
          <cell r="B418" t="str">
            <v>FEN</v>
          </cell>
          <cell r="C418">
            <v>8</v>
          </cell>
          <cell r="D418" t="str">
            <v>Fenerbahce Beko Istanbul</v>
          </cell>
          <cell r="E418" t="str">
            <v>Crvena Zvezda Meridianbet Belgrade</v>
          </cell>
          <cell r="F418">
            <v>45244</v>
          </cell>
          <cell r="G418" t="str">
            <v>A</v>
          </cell>
          <cell r="H418" t="str">
            <v>CZB</v>
          </cell>
          <cell r="I418" t="str">
            <v>8.FEN</v>
          </cell>
          <cell r="J418" t="str">
            <v>8.CZB</v>
          </cell>
        </row>
        <row r="419">
          <cell r="B419" t="str">
            <v>FEN</v>
          </cell>
          <cell r="C419">
            <v>9</v>
          </cell>
          <cell r="D419" t="str">
            <v>Fenerbahce Beko Istanbul</v>
          </cell>
          <cell r="E419" t="str">
            <v>Maccabi Playtika Tel Aviv</v>
          </cell>
          <cell r="F419">
            <v>45246</v>
          </cell>
          <cell r="G419" t="str">
            <v>H</v>
          </cell>
          <cell r="H419" t="str">
            <v>MTA</v>
          </cell>
          <cell r="I419" t="str">
            <v>9.FEN</v>
          </cell>
          <cell r="J419" t="str">
            <v>9.MTA</v>
          </cell>
        </row>
        <row r="420">
          <cell r="B420" t="str">
            <v>FEN</v>
          </cell>
          <cell r="C420">
            <v>10</v>
          </cell>
          <cell r="D420" t="str">
            <v>Fenerbahce Beko Istanbul</v>
          </cell>
          <cell r="E420" t="str">
            <v>Virtus Segafredo Bologna</v>
          </cell>
          <cell r="F420">
            <v>45253</v>
          </cell>
          <cell r="G420" t="str">
            <v>A</v>
          </cell>
          <cell r="H420" t="str">
            <v>VIR</v>
          </cell>
          <cell r="I420" t="str">
            <v>10.FEN</v>
          </cell>
          <cell r="J420" t="str">
            <v>10.VIR</v>
          </cell>
        </row>
        <row r="421">
          <cell r="B421" t="str">
            <v>FEN</v>
          </cell>
          <cell r="C421">
            <v>11</v>
          </cell>
          <cell r="D421" t="str">
            <v>Fenerbahce Beko Istanbul</v>
          </cell>
          <cell r="E421" t="str">
            <v>Real Madrid</v>
          </cell>
          <cell r="F421">
            <v>45260</v>
          </cell>
          <cell r="G421" t="str">
            <v>H</v>
          </cell>
          <cell r="H421" t="str">
            <v>RMB</v>
          </cell>
          <cell r="I421" t="str">
            <v>11.FEN</v>
          </cell>
          <cell r="J421" t="str">
            <v>11.RMB</v>
          </cell>
        </row>
        <row r="422">
          <cell r="B422" t="str">
            <v>FEN</v>
          </cell>
          <cell r="C422">
            <v>12</v>
          </cell>
          <cell r="D422" t="str">
            <v>Fenerbahce Beko Istanbul</v>
          </cell>
          <cell r="E422" t="str">
            <v>Baskonia Vitoria-Gasteiz</v>
          </cell>
          <cell r="F422">
            <v>45266</v>
          </cell>
          <cell r="G422" t="str">
            <v>A</v>
          </cell>
          <cell r="H422" t="str">
            <v>BAS</v>
          </cell>
          <cell r="I422" t="str">
            <v>12.FEN</v>
          </cell>
          <cell r="J422" t="str">
            <v>12.BAS</v>
          </cell>
        </row>
        <row r="423">
          <cell r="B423" t="str">
            <v>FEN</v>
          </cell>
          <cell r="C423">
            <v>13</v>
          </cell>
          <cell r="D423" t="str">
            <v>Fenerbahce Beko Istanbul</v>
          </cell>
          <cell r="E423" t="str">
            <v>FC Barcelona</v>
          </cell>
          <cell r="F423">
            <v>45268</v>
          </cell>
          <cell r="G423" t="str">
            <v>A</v>
          </cell>
          <cell r="H423" t="str">
            <v>FCB</v>
          </cell>
          <cell r="I423" t="str">
            <v>13.FEN</v>
          </cell>
          <cell r="J423" t="str">
            <v>13.FCB</v>
          </cell>
        </row>
        <row r="424">
          <cell r="B424" t="str">
            <v>FEN</v>
          </cell>
          <cell r="C424">
            <v>14</v>
          </cell>
          <cell r="D424" t="str">
            <v>Fenerbahce Beko Istanbul</v>
          </cell>
          <cell r="E424" t="str">
            <v>AS Monaco</v>
          </cell>
          <cell r="F424">
            <v>45275</v>
          </cell>
          <cell r="G424" t="str">
            <v>H</v>
          </cell>
          <cell r="H424" t="str">
            <v>ASM</v>
          </cell>
          <cell r="I424" t="str">
            <v>14.FEN</v>
          </cell>
          <cell r="J424" t="str">
            <v>14.ASM</v>
          </cell>
        </row>
        <row r="425">
          <cell r="B425" t="str">
            <v>FEN</v>
          </cell>
          <cell r="C425">
            <v>15</v>
          </cell>
          <cell r="D425" t="str">
            <v>Fenerbahce Beko Istanbul</v>
          </cell>
          <cell r="E425" t="str">
            <v>Zalgiris Kaunas</v>
          </cell>
          <cell r="F425">
            <v>45280</v>
          </cell>
          <cell r="G425" t="str">
            <v>H</v>
          </cell>
          <cell r="H425" t="str">
            <v>ZAL</v>
          </cell>
          <cell r="I425" t="str">
            <v>15.FEN</v>
          </cell>
          <cell r="J425" t="str">
            <v>15.ZAL</v>
          </cell>
        </row>
        <row r="426">
          <cell r="B426" t="str">
            <v>FEN</v>
          </cell>
          <cell r="C426">
            <v>16</v>
          </cell>
          <cell r="D426" t="str">
            <v>Fenerbahce Beko Istanbul</v>
          </cell>
          <cell r="E426" t="str">
            <v>ALBA Berlin</v>
          </cell>
          <cell r="F426">
            <v>45282</v>
          </cell>
          <cell r="G426" t="str">
            <v>A</v>
          </cell>
          <cell r="H426" t="str">
            <v>BER</v>
          </cell>
          <cell r="I426" t="str">
            <v>16.FEN</v>
          </cell>
          <cell r="J426" t="str">
            <v>16.BER</v>
          </cell>
        </row>
        <row r="427">
          <cell r="B427" t="str">
            <v>FEN</v>
          </cell>
          <cell r="C427">
            <v>17</v>
          </cell>
          <cell r="D427" t="str">
            <v>Fenerbahce Beko Istanbul</v>
          </cell>
          <cell r="E427" t="str">
            <v>Anadolu Efes Istanbul</v>
          </cell>
          <cell r="F427">
            <v>45288</v>
          </cell>
          <cell r="G427" t="str">
            <v>A</v>
          </cell>
          <cell r="H427" t="str">
            <v>EFE</v>
          </cell>
          <cell r="I427" t="str">
            <v>17.FEN</v>
          </cell>
          <cell r="J427" t="str">
            <v>17.EFE</v>
          </cell>
        </row>
        <row r="428">
          <cell r="B428" t="str">
            <v>FEN</v>
          </cell>
          <cell r="C428">
            <v>18</v>
          </cell>
          <cell r="D428" t="str">
            <v>Fenerbahce Beko Istanbul</v>
          </cell>
          <cell r="E428" t="str">
            <v>Crvena Zvezda Meridianbet Belgrade</v>
          </cell>
          <cell r="F428">
            <v>45293</v>
          </cell>
          <cell r="G428" t="str">
            <v>H</v>
          </cell>
          <cell r="H428" t="str">
            <v>CZB</v>
          </cell>
          <cell r="I428" t="str">
            <v>18.FEN</v>
          </cell>
          <cell r="J428" t="str">
            <v>18.CZB</v>
          </cell>
        </row>
        <row r="429">
          <cell r="B429" t="str">
            <v>FEN</v>
          </cell>
          <cell r="C429">
            <v>19</v>
          </cell>
          <cell r="D429" t="str">
            <v>Fenerbahce Beko Istanbul</v>
          </cell>
          <cell r="E429" t="str">
            <v>Maccabi Playtika Tel Aviv</v>
          </cell>
          <cell r="F429">
            <v>45295</v>
          </cell>
          <cell r="G429" t="str">
            <v>A</v>
          </cell>
          <cell r="H429" t="str">
            <v>MTA</v>
          </cell>
          <cell r="I429" t="str">
            <v>19.FEN</v>
          </cell>
          <cell r="J429" t="str">
            <v>19.MTA</v>
          </cell>
        </row>
        <row r="430">
          <cell r="B430" t="str">
            <v>FEN</v>
          </cell>
          <cell r="C430">
            <v>20</v>
          </cell>
          <cell r="D430" t="str">
            <v>Fenerbahce Beko Istanbul</v>
          </cell>
          <cell r="E430" t="str">
            <v>Partizan Mozzart Bet Belgrade</v>
          </cell>
          <cell r="F430">
            <v>45300</v>
          </cell>
          <cell r="G430" t="str">
            <v>H</v>
          </cell>
          <cell r="H430" t="str">
            <v>PAR</v>
          </cell>
          <cell r="I430" t="str">
            <v>20.FEN</v>
          </cell>
          <cell r="J430" t="str">
            <v>20.PAR</v>
          </cell>
        </row>
        <row r="431">
          <cell r="B431" t="str">
            <v>FEN</v>
          </cell>
          <cell r="C431">
            <v>21</v>
          </cell>
          <cell r="D431" t="str">
            <v>Fenerbahce Beko Istanbul</v>
          </cell>
          <cell r="E431" t="str">
            <v>FC Bayern Munich</v>
          </cell>
          <cell r="F431">
            <v>45302</v>
          </cell>
          <cell r="G431" t="str">
            <v>H</v>
          </cell>
          <cell r="H431" t="str">
            <v>BAY</v>
          </cell>
          <cell r="I431" t="str">
            <v>21.FEN</v>
          </cell>
          <cell r="J431" t="str">
            <v>21.BAY</v>
          </cell>
        </row>
        <row r="432">
          <cell r="B432" t="str">
            <v>FEN</v>
          </cell>
          <cell r="C432">
            <v>22</v>
          </cell>
          <cell r="D432" t="str">
            <v>Fenerbahce Beko Istanbul</v>
          </cell>
          <cell r="E432" t="str">
            <v>Zalgiris Kaunas</v>
          </cell>
          <cell r="F432">
            <v>45310</v>
          </cell>
          <cell r="G432" t="str">
            <v>A</v>
          </cell>
          <cell r="H432" t="str">
            <v>ZAL</v>
          </cell>
          <cell r="I432" t="str">
            <v>22.FEN</v>
          </cell>
          <cell r="J432" t="str">
            <v>22.ZAL</v>
          </cell>
        </row>
        <row r="433">
          <cell r="B433" t="str">
            <v>FEN</v>
          </cell>
          <cell r="C433">
            <v>23</v>
          </cell>
          <cell r="D433" t="str">
            <v>Fenerbahce Beko Istanbul</v>
          </cell>
          <cell r="E433" t="str">
            <v>Virtus Segafredo Bologna</v>
          </cell>
          <cell r="F433">
            <v>45316</v>
          </cell>
          <cell r="G433" t="str">
            <v>H</v>
          </cell>
          <cell r="H433" t="str">
            <v>VIR</v>
          </cell>
          <cell r="I433" t="str">
            <v>23.FEN</v>
          </cell>
          <cell r="J433" t="str">
            <v>23.VIR</v>
          </cell>
        </row>
        <row r="434">
          <cell r="B434" t="str">
            <v>FEN</v>
          </cell>
          <cell r="C434">
            <v>24</v>
          </cell>
          <cell r="D434" t="str">
            <v>Fenerbahce Beko Istanbul</v>
          </cell>
          <cell r="E434" t="str">
            <v>LDLC ASVEL Villeurbanne</v>
          </cell>
          <cell r="F434">
            <v>45321</v>
          </cell>
          <cell r="G434" t="str">
            <v>A</v>
          </cell>
          <cell r="H434" t="str">
            <v>ASV</v>
          </cell>
          <cell r="I434" t="str">
            <v>24.FEN</v>
          </cell>
          <cell r="J434" t="str">
            <v>24.ASV</v>
          </cell>
        </row>
        <row r="435">
          <cell r="B435" t="str">
            <v>FEN</v>
          </cell>
          <cell r="C435">
            <v>25</v>
          </cell>
          <cell r="D435" t="str">
            <v>Fenerbahce Beko Istanbul</v>
          </cell>
          <cell r="E435" t="str">
            <v>AS Monaco</v>
          </cell>
          <cell r="F435">
            <v>45324</v>
          </cell>
          <cell r="G435" t="str">
            <v>A</v>
          </cell>
          <cell r="H435" t="str">
            <v>ASM</v>
          </cell>
          <cell r="I435" t="str">
            <v>25.FEN</v>
          </cell>
          <cell r="J435" t="str">
            <v>25.ASM</v>
          </cell>
        </row>
        <row r="436">
          <cell r="B436" t="str">
            <v>FEN</v>
          </cell>
          <cell r="C436">
            <v>26</v>
          </cell>
          <cell r="D436" t="str">
            <v>Fenerbahce Beko Istanbul</v>
          </cell>
          <cell r="E436" t="str">
            <v>Panathinaikos Athens</v>
          </cell>
          <cell r="F436">
            <v>45331</v>
          </cell>
          <cell r="G436" t="str">
            <v>A</v>
          </cell>
          <cell r="H436" t="str">
            <v>PAN</v>
          </cell>
          <cell r="I436" t="str">
            <v>26.FEN</v>
          </cell>
          <cell r="J436" t="str">
            <v>26.PAN</v>
          </cell>
        </row>
        <row r="437">
          <cell r="B437" t="str">
            <v>FEN</v>
          </cell>
          <cell r="C437">
            <v>27</v>
          </cell>
          <cell r="D437" t="str">
            <v>Fenerbahce Beko Istanbul</v>
          </cell>
          <cell r="E437" t="str">
            <v>Baskonia Vitoria-Gasteiz</v>
          </cell>
          <cell r="F437">
            <v>45352</v>
          </cell>
          <cell r="G437" t="str">
            <v>H</v>
          </cell>
          <cell r="H437" t="str">
            <v>BAS</v>
          </cell>
          <cell r="I437" t="str">
            <v>27.FEN</v>
          </cell>
          <cell r="J437" t="str">
            <v>27.BAS</v>
          </cell>
        </row>
        <row r="438">
          <cell r="B438" t="str">
            <v>FEN</v>
          </cell>
          <cell r="C438">
            <v>28</v>
          </cell>
          <cell r="D438" t="str">
            <v>Fenerbahce Beko Istanbul</v>
          </cell>
          <cell r="E438" t="str">
            <v>Real Madrid</v>
          </cell>
          <cell r="F438">
            <v>45358</v>
          </cell>
          <cell r="G438" t="str">
            <v>A</v>
          </cell>
          <cell r="H438" t="str">
            <v>RMB</v>
          </cell>
          <cell r="I438" t="str">
            <v>28.FEN</v>
          </cell>
          <cell r="J438" t="str">
            <v>28.RMB</v>
          </cell>
        </row>
        <row r="439">
          <cell r="B439" t="str">
            <v>FEN</v>
          </cell>
          <cell r="C439">
            <v>29</v>
          </cell>
          <cell r="D439" t="str">
            <v>Fenerbahce Beko Istanbul</v>
          </cell>
          <cell r="E439" t="str">
            <v>Valencia Basket</v>
          </cell>
          <cell r="F439">
            <v>45365</v>
          </cell>
          <cell r="G439" t="str">
            <v>H</v>
          </cell>
          <cell r="H439" t="str">
            <v>VAL</v>
          </cell>
          <cell r="I439" t="str">
            <v>29.FEN</v>
          </cell>
          <cell r="J439" t="str">
            <v>29.VAL</v>
          </cell>
        </row>
        <row r="440">
          <cell r="B440" t="str">
            <v>FEN</v>
          </cell>
          <cell r="C440">
            <v>30</v>
          </cell>
          <cell r="D440" t="str">
            <v>Fenerbahce Beko Istanbul</v>
          </cell>
          <cell r="E440" t="str">
            <v>FC Barcelona</v>
          </cell>
          <cell r="F440">
            <v>45371</v>
          </cell>
          <cell r="G440" t="str">
            <v>H</v>
          </cell>
          <cell r="H440" t="str">
            <v>FCB</v>
          </cell>
          <cell r="I440" t="str">
            <v>30.FEN</v>
          </cell>
          <cell r="J440" t="str">
            <v>30.FCB</v>
          </cell>
        </row>
        <row r="441">
          <cell r="B441" t="str">
            <v>FEN</v>
          </cell>
          <cell r="C441">
            <v>31</v>
          </cell>
          <cell r="D441" t="str">
            <v>Fenerbahce Beko Istanbul</v>
          </cell>
          <cell r="E441" t="str">
            <v>EA7 Emporio Armani Milan</v>
          </cell>
          <cell r="F441">
            <v>45373</v>
          </cell>
          <cell r="G441" t="str">
            <v>A</v>
          </cell>
          <cell r="H441" t="str">
            <v>MIL</v>
          </cell>
          <cell r="I441" t="str">
            <v>31.FEN</v>
          </cell>
          <cell r="J441" t="str">
            <v>31.MIL</v>
          </cell>
        </row>
        <row r="442">
          <cell r="B442" t="str">
            <v>FEN</v>
          </cell>
          <cell r="C442">
            <v>32</v>
          </cell>
          <cell r="D442" t="str">
            <v>Fenerbahce Beko Istanbul</v>
          </cell>
          <cell r="E442" t="str">
            <v>ALBA Berlin</v>
          </cell>
          <cell r="F442">
            <v>45380</v>
          </cell>
          <cell r="G442" t="str">
            <v>H</v>
          </cell>
          <cell r="H442" t="str">
            <v>BER</v>
          </cell>
          <cell r="I442" t="str">
            <v>32.FEN</v>
          </cell>
          <cell r="J442" t="str">
            <v>32.BER</v>
          </cell>
        </row>
        <row r="443">
          <cell r="B443" t="str">
            <v>FEN</v>
          </cell>
          <cell r="C443">
            <v>33</v>
          </cell>
          <cell r="D443" t="str">
            <v>Fenerbahce Beko Istanbul</v>
          </cell>
          <cell r="E443" t="str">
            <v>Anadolu Efes Istanbul</v>
          </cell>
          <cell r="F443">
            <v>45387</v>
          </cell>
          <cell r="G443" t="str">
            <v>H</v>
          </cell>
          <cell r="H443" t="str">
            <v>EFE</v>
          </cell>
          <cell r="I443" t="str">
            <v>33.FEN</v>
          </cell>
          <cell r="J443" t="str">
            <v>33.EFE</v>
          </cell>
        </row>
        <row r="444">
          <cell r="B444" t="str">
            <v>FEN</v>
          </cell>
          <cell r="C444">
            <v>34</v>
          </cell>
          <cell r="D444" t="str">
            <v>Fenerbahce Beko Istanbul</v>
          </cell>
          <cell r="E444" t="str">
            <v>Olympiacos Piraeus</v>
          </cell>
          <cell r="F444">
            <v>45394</v>
          </cell>
          <cell r="G444" t="str">
            <v>A</v>
          </cell>
          <cell r="H444" t="str">
            <v>OLY</v>
          </cell>
          <cell r="I444" t="str">
            <v>34.FEN</v>
          </cell>
          <cell r="J444" t="str">
            <v>34.OLY</v>
          </cell>
        </row>
        <row r="445">
          <cell r="B445" t="str">
            <v>FEN</v>
          </cell>
          <cell r="C445">
            <v>35</v>
          </cell>
          <cell r="D445" t="str">
            <v>Fenerbahce Beko Istanbul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</row>
        <row r="446">
          <cell r="B446" t="str">
            <v>FEN</v>
          </cell>
          <cell r="C446">
            <v>36</v>
          </cell>
          <cell r="D446" t="str">
            <v>Fenerbahce Beko Istanbul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</row>
        <row r="447">
          <cell r="B447" t="str">
            <v>FEN</v>
          </cell>
          <cell r="C447">
            <v>37</v>
          </cell>
          <cell r="D447" t="str">
            <v>Fenerbahce Beko Istanbul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</row>
        <row r="448">
          <cell r="B448" t="str">
            <v>FEN</v>
          </cell>
          <cell r="C448">
            <v>38</v>
          </cell>
          <cell r="D448" t="str">
            <v>Fenerbahce Beko Istanbul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</row>
        <row r="449">
          <cell r="B449" t="str">
            <v>FEN</v>
          </cell>
          <cell r="C449">
            <v>39</v>
          </cell>
          <cell r="D449" t="str">
            <v>Fenerbahce Beko Istanbul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</row>
        <row r="450">
          <cell r="B450" t="str">
            <v>FEN</v>
          </cell>
          <cell r="C450">
            <v>40</v>
          </cell>
          <cell r="D450" t="str">
            <v>Fenerbahce Beko Istanbul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</row>
        <row r="451">
          <cell r="B451" t="str">
            <v>FEN</v>
          </cell>
          <cell r="C451">
            <v>41</v>
          </cell>
          <cell r="D451" t="str">
            <v>Fenerbahce Beko Istanbul</v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</row>
        <row r="452">
          <cell r="B452" t="str">
            <v>FEN</v>
          </cell>
          <cell r="C452">
            <v>42</v>
          </cell>
          <cell r="D452" t="str">
            <v>Fenerbahce Beko Istanbul</v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</row>
        <row r="453">
          <cell r="B453" t="str">
            <v>FEN</v>
          </cell>
          <cell r="C453">
            <v>43</v>
          </cell>
          <cell r="D453" t="str">
            <v>Fenerbahce Beko Istanbul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</row>
        <row r="454">
          <cell r="B454" t="str">
            <v>FEN</v>
          </cell>
          <cell r="C454">
            <v>44</v>
          </cell>
          <cell r="D454" t="str">
            <v>Fenerbahce Beko Istanbul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</row>
        <row r="455">
          <cell r="B455" t="str">
            <v>FEN</v>
          </cell>
          <cell r="C455">
            <v>45</v>
          </cell>
          <cell r="D455" t="str">
            <v>Fenerbahce Beko Istanbul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</row>
        <row r="456">
          <cell r="B456" t="str">
            <v>FEN</v>
          </cell>
          <cell r="C456">
            <v>46</v>
          </cell>
          <cell r="D456" t="str">
            <v>Fenerbahce Beko Istanbul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</row>
        <row r="457">
          <cell r="B457" t="str">
            <v>FEN</v>
          </cell>
          <cell r="C457">
            <v>47</v>
          </cell>
          <cell r="D457" t="str">
            <v>Fenerbahce Beko Istanbul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</row>
        <row r="458">
          <cell r="B458" t="str">
            <v>FEN</v>
          </cell>
          <cell r="C458">
            <v>48</v>
          </cell>
          <cell r="D458" t="str">
            <v>Fenerbahce Beko Istanbul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</row>
        <row r="459">
          <cell r="B459" t="str">
            <v>FEN</v>
          </cell>
          <cell r="C459">
            <v>49</v>
          </cell>
          <cell r="D459" t="str">
            <v>Fenerbahce Beko Istanbul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</row>
        <row r="460">
          <cell r="B460" t="str">
            <v>FEN</v>
          </cell>
          <cell r="C460">
            <v>50</v>
          </cell>
          <cell r="D460" t="str">
            <v>Fenerbahce Beko Istanbul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</row>
        <row r="461">
          <cell r="B461" t="str">
            <v>FEN</v>
          </cell>
          <cell r="C461">
            <v>51</v>
          </cell>
          <cell r="D461" t="str">
            <v>Fenerbahce Beko Istanbul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</row>
        <row r="462">
          <cell r="B462" t="str">
            <v>ASV</v>
          </cell>
          <cell r="C462">
            <v>1</v>
          </cell>
          <cell r="D462" t="str">
            <v>LDLC ASVEL Villeurbanne</v>
          </cell>
          <cell r="E462" t="str">
            <v>Crvena Zvezda Meridianbet Belgrade</v>
          </cell>
          <cell r="F462">
            <v>45204</v>
          </cell>
          <cell r="G462" t="str">
            <v>A</v>
          </cell>
          <cell r="H462" t="str">
            <v>CZB</v>
          </cell>
          <cell r="I462" t="str">
            <v>1.ASV</v>
          </cell>
          <cell r="J462" t="str">
            <v>1.CZB</v>
          </cell>
        </row>
        <row r="463">
          <cell r="B463" t="str">
            <v>ASV</v>
          </cell>
          <cell r="C463">
            <v>2</v>
          </cell>
          <cell r="D463" t="str">
            <v>LDLC ASVEL Villeurbanne</v>
          </cell>
          <cell r="E463" t="str">
            <v>Partizan Mozzart Bet Belgrade</v>
          </cell>
          <cell r="F463">
            <v>45211</v>
          </cell>
          <cell r="G463" t="str">
            <v>H</v>
          </cell>
          <cell r="H463" t="str">
            <v>PAR</v>
          </cell>
          <cell r="I463" t="str">
            <v>2.ASV</v>
          </cell>
          <cell r="J463" t="str">
            <v>2.PAR</v>
          </cell>
        </row>
        <row r="464">
          <cell r="B464" t="str">
            <v>ASV</v>
          </cell>
          <cell r="C464">
            <v>3</v>
          </cell>
          <cell r="D464" t="str">
            <v>LDLC ASVEL Villeurbanne</v>
          </cell>
          <cell r="E464" t="str">
            <v>Anadolu Efes Istanbul</v>
          </cell>
          <cell r="F464">
            <v>45216</v>
          </cell>
          <cell r="G464" t="str">
            <v>A</v>
          </cell>
          <cell r="H464" t="str">
            <v>EFE</v>
          </cell>
          <cell r="I464" t="str">
            <v>3.ASV</v>
          </cell>
          <cell r="J464" t="str">
            <v>3.EFE</v>
          </cell>
        </row>
        <row r="465">
          <cell r="B465" t="str">
            <v>ASV</v>
          </cell>
          <cell r="C465">
            <v>4</v>
          </cell>
          <cell r="D465" t="str">
            <v>LDLC ASVEL Villeurbanne</v>
          </cell>
          <cell r="E465" t="str">
            <v>Fenerbahce Beko Istanbul</v>
          </cell>
          <cell r="F465">
            <v>45218</v>
          </cell>
          <cell r="G465" t="str">
            <v>A</v>
          </cell>
          <cell r="H465" t="str">
            <v>FEN</v>
          </cell>
          <cell r="I465" t="str">
            <v>4.ASV</v>
          </cell>
          <cell r="J465" t="str">
            <v>4.FEN</v>
          </cell>
        </row>
        <row r="466">
          <cell r="B466" t="str">
            <v>ASV</v>
          </cell>
          <cell r="C466">
            <v>5</v>
          </cell>
          <cell r="D466" t="str">
            <v>LDLC ASVEL Villeurbanne</v>
          </cell>
          <cell r="E466" t="str">
            <v>Virtus Segafredo Bologna</v>
          </cell>
          <cell r="F466">
            <v>45226</v>
          </cell>
          <cell r="G466" t="str">
            <v>H</v>
          </cell>
          <cell r="H466" t="str">
            <v>VIR</v>
          </cell>
          <cell r="I466" t="str">
            <v>5.ASV</v>
          </cell>
          <cell r="J466" t="str">
            <v>5.VIR</v>
          </cell>
        </row>
        <row r="467">
          <cell r="B467" t="str">
            <v>ASV</v>
          </cell>
          <cell r="C467">
            <v>6</v>
          </cell>
          <cell r="D467" t="str">
            <v>LDLC ASVEL Villeurbanne</v>
          </cell>
          <cell r="E467" t="str">
            <v>Zalgiris Kaunas</v>
          </cell>
          <cell r="F467">
            <v>45232</v>
          </cell>
          <cell r="G467" t="str">
            <v>A</v>
          </cell>
          <cell r="H467" t="str">
            <v>ZAL</v>
          </cell>
          <cell r="I467" t="str">
            <v>6.ASV</v>
          </cell>
          <cell r="J467" t="str">
            <v>6.ZAL</v>
          </cell>
        </row>
        <row r="468">
          <cell r="B468" t="str">
            <v>ASV</v>
          </cell>
          <cell r="C468">
            <v>7</v>
          </cell>
          <cell r="D468" t="str">
            <v>LDLC ASVEL Villeurbanne</v>
          </cell>
          <cell r="E468" t="str">
            <v>AS Monaco</v>
          </cell>
          <cell r="F468">
            <v>45240</v>
          </cell>
          <cell r="G468" t="str">
            <v>A</v>
          </cell>
          <cell r="H468" t="str">
            <v>ASM</v>
          </cell>
          <cell r="I468" t="str">
            <v>7.ASV</v>
          </cell>
          <cell r="J468" t="str">
            <v>7.ASM</v>
          </cell>
        </row>
        <row r="469">
          <cell r="B469" t="str">
            <v>ASV</v>
          </cell>
          <cell r="C469">
            <v>8</v>
          </cell>
          <cell r="D469" t="str">
            <v>LDLC ASVEL Villeurbanne</v>
          </cell>
          <cell r="E469" t="str">
            <v>ALBA Berlin</v>
          </cell>
          <cell r="F469">
            <v>45245</v>
          </cell>
          <cell r="G469" t="str">
            <v>A</v>
          </cell>
          <cell r="H469" t="str">
            <v>BER</v>
          </cell>
          <cell r="I469" t="str">
            <v>8.ASV</v>
          </cell>
          <cell r="J469" t="str">
            <v>8.BER</v>
          </cell>
        </row>
        <row r="470">
          <cell r="B470" t="str">
            <v>ASV</v>
          </cell>
          <cell r="C470">
            <v>9</v>
          </cell>
          <cell r="D470" t="str">
            <v>LDLC ASVEL Villeurbanne</v>
          </cell>
          <cell r="E470" t="str">
            <v>Baskonia Vitoria-Gasteiz</v>
          </cell>
          <cell r="F470">
            <v>45247</v>
          </cell>
          <cell r="G470" t="str">
            <v>H</v>
          </cell>
          <cell r="H470" t="str">
            <v>BAS</v>
          </cell>
          <cell r="I470" t="str">
            <v>9.ASV</v>
          </cell>
          <cell r="J470" t="str">
            <v>9.BAS</v>
          </cell>
        </row>
        <row r="471">
          <cell r="B471" t="str">
            <v>ASV</v>
          </cell>
          <cell r="C471">
            <v>10</v>
          </cell>
          <cell r="D471" t="str">
            <v>LDLC ASVEL Villeurbanne</v>
          </cell>
          <cell r="E471" t="str">
            <v>FC Bayern Munich</v>
          </cell>
          <cell r="F471">
            <v>45253</v>
          </cell>
          <cell r="G471" t="str">
            <v>H</v>
          </cell>
          <cell r="H471" t="str">
            <v>BAY</v>
          </cell>
          <cell r="I471" t="str">
            <v>10.ASV</v>
          </cell>
          <cell r="J471" t="str">
            <v>10.BAY</v>
          </cell>
        </row>
        <row r="472">
          <cell r="B472" t="str">
            <v>ASV</v>
          </cell>
          <cell r="C472">
            <v>11</v>
          </cell>
          <cell r="D472" t="str">
            <v>LDLC ASVEL Villeurbanne</v>
          </cell>
          <cell r="E472" t="str">
            <v>FC Barcelona</v>
          </cell>
          <cell r="F472">
            <v>45261</v>
          </cell>
          <cell r="G472" t="str">
            <v>A</v>
          </cell>
          <cell r="H472" t="str">
            <v>FCB</v>
          </cell>
          <cell r="I472" t="str">
            <v>11.ASV</v>
          </cell>
          <cell r="J472" t="str">
            <v>11.FCB</v>
          </cell>
        </row>
        <row r="473">
          <cell r="B473" t="str">
            <v>ASV</v>
          </cell>
          <cell r="C473">
            <v>12</v>
          </cell>
          <cell r="D473" t="str">
            <v>LDLC ASVEL Villeurbanne</v>
          </cell>
          <cell r="E473" t="str">
            <v>Maccabi Playtika Tel Aviv</v>
          </cell>
          <cell r="F473">
            <v>45266</v>
          </cell>
          <cell r="G473" t="str">
            <v>H</v>
          </cell>
          <cell r="H473" t="str">
            <v>MTA</v>
          </cell>
          <cell r="I473" t="str">
            <v>12.ASV</v>
          </cell>
          <cell r="J473" t="str">
            <v>12.MTA</v>
          </cell>
        </row>
        <row r="474">
          <cell r="B474" t="str">
            <v>ASV</v>
          </cell>
          <cell r="C474">
            <v>13</v>
          </cell>
          <cell r="D474" t="str">
            <v>LDLC ASVEL Villeurbanne</v>
          </cell>
          <cell r="E474" t="str">
            <v>Valencia Basket</v>
          </cell>
          <cell r="F474">
            <v>45268</v>
          </cell>
          <cell r="G474" t="str">
            <v>H</v>
          </cell>
          <cell r="H474" t="str">
            <v>VAL</v>
          </cell>
          <cell r="I474" t="str">
            <v>13.ASV</v>
          </cell>
          <cell r="J474" t="str">
            <v>13.VAL</v>
          </cell>
        </row>
        <row r="475">
          <cell r="B475" t="str">
            <v>ASV</v>
          </cell>
          <cell r="C475">
            <v>14</v>
          </cell>
          <cell r="D475" t="str">
            <v>LDLC ASVEL Villeurbanne</v>
          </cell>
          <cell r="E475" t="str">
            <v>Panathinaikos Athens</v>
          </cell>
          <cell r="F475">
            <v>45274</v>
          </cell>
          <cell r="G475" t="str">
            <v>H</v>
          </cell>
          <cell r="H475" t="str">
            <v>PAN</v>
          </cell>
          <cell r="I475" t="str">
            <v>14.ASV</v>
          </cell>
          <cell r="J475" t="str">
            <v>14.PAN</v>
          </cell>
        </row>
        <row r="476">
          <cell r="B476" t="str">
            <v>ASV</v>
          </cell>
          <cell r="C476">
            <v>15</v>
          </cell>
          <cell r="D476" t="str">
            <v>LDLC ASVEL Villeurbanne</v>
          </cell>
          <cell r="E476" t="str">
            <v>EA7 Emporio Armani Milan</v>
          </cell>
          <cell r="F476">
            <v>45280</v>
          </cell>
          <cell r="G476" t="str">
            <v>A</v>
          </cell>
          <cell r="H476" t="str">
            <v>MIL</v>
          </cell>
          <cell r="I476" t="str">
            <v>15.ASV</v>
          </cell>
          <cell r="J476" t="str">
            <v>15.MIL</v>
          </cell>
        </row>
        <row r="477">
          <cell r="B477" t="str">
            <v>ASV</v>
          </cell>
          <cell r="C477">
            <v>16</v>
          </cell>
          <cell r="D477" t="str">
            <v>LDLC ASVEL Villeurbanne</v>
          </cell>
          <cell r="E477" t="str">
            <v>Olympiacos Piraeus</v>
          </cell>
          <cell r="F477">
            <v>45282</v>
          </cell>
          <cell r="G477" t="str">
            <v>H</v>
          </cell>
          <cell r="H477" t="str">
            <v>OLY</v>
          </cell>
          <cell r="I477" t="str">
            <v>16.ASV</v>
          </cell>
          <cell r="J477" t="str">
            <v>16.OLY</v>
          </cell>
        </row>
        <row r="478">
          <cell r="B478" t="str">
            <v>ASV</v>
          </cell>
          <cell r="C478">
            <v>17</v>
          </cell>
          <cell r="D478" t="str">
            <v>LDLC ASVEL Villeurbanne</v>
          </cell>
          <cell r="E478" t="str">
            <v>Real Madrid</v>
          </cell>
          <cell r="F478">
            <v>45288</v>
          </cell>
          <cell r="G478" t="str">
            <v>H</v>
          </cell>
          <cell r="H478" t="str">
            <v>RMB</v>
          </cell>
          <cell r="I478" t="str">
            <v>17.ASV</v>
          </cell>
          <cell r="J478" t="str">
            <v>17.RMB</v>
          </cell>
        </row>
        <row r="479">
          <cell r="B479" t="str">
            <v>ASV</v>
          </cell>
          <cell r="C479">
            <v>18</v>
          </cell>
          <cell r="D479" t="str">
            <v>LDLC ASVEL Villeurbanne</v>
          </cell>
          <cell r="E479" t="str">
            <v>Partizan Mozzart Bet Belgrade</v>
          </cell>
          <cell r="F479">
            <v>45293</v>
          </cell>
          <cell r="G479" t="str">
            <v>A</v>
          </cell>
          <cell r="H479" t="str">
            <v>PAR</v>
          </cell>
          <cell r="I479" t="str">
            <v>18.ASV</v>
          </cell>
          <cell r="J479" t="str">
            <v>18.PAR</v>
          </cell>
        </row>
        <row r="480">
          <cell r="B480" t="str">
            <v>ASV</v>
          </cell>
          <cell r="C480">
            <v>19</v>
          </cell>
          <cell r="D480" t="str">
            <v>LDLC ASVEL Villeurbanne</v>
          </cell>
          <cell r="E480" t="str">
            <v>Zalgiris Kaunas</v>
          </cell>
          <cell r="F480">
            <v>45295</v>
          </cell>
          <cell r="G480" t="str">
            <v>H</v>
          </cell>
          <cell r="H480" t="str">
            <v>ZAL</v>
          </cell>
          <cell r="I480" t="str">
            <v>19.ASV</v>
          </cell>
          <cell r="J480" t="str">
            <v>19.ZAL</v>
          </cell>
        </row>
        <row r="481">
          <cell r="B481" t="str">
            <v>ASV</v>
          </cell>
          <cell r="C481">
            <v>20</v>
          </cell>
          <cell r="D481" t="str">
            <v>LDLC ASVEL Villeurbanne</v>
          </cell>
          <cell r="E481" t="str">
            <v>Crvena Zvezda Meridianbet Belgrade</v>
          </cell>
          <cell r="F481">
            <v>45300</v>
          </cell>
          <cell r="G481" t="str">
            <v>H</v>
          </cell>
          <cell r="H481" t="str">
            <v>CZB</v>
          </cell>
          <cell r="I481" t="str">
            <v>20.ASV</v>
          </cell>
          <cell r="J481" t="str">
            <v>20.CZB</v>
          </cell>
        </row>
        <row r="482">
          <cell r="B482" t="str">
            <v>ASV</v>
          </cell>
          <cell r="C482">
            <v>21</v>
          </cell>
          <cell r="D482" t="str">
            <v>LDLC ASVEL Villeurbanne</v>
          </cell>
          <cell r="E482" t="str">
            <v>ALBA Berlin</v>
          </cell>
          <cell r="F482">
            <v>45303</v>
          </cell>
          <cell r="G482" t="str">
            <v>H</v>
          </cell>
          <cell r="H482" t="str">
            <v>BER</v>
          </cell>
          <cell r="I482" t="str">
            <v>21.ASV</v>
          </cell>
          <cell r="J482" t="str">
            <v>21.BER</v>
          </cell>
        </row>
        <row r="483">
          <cell r="B483" t="str">
            <v>ASV</v>
          </cell>
          <cell r="C483">
            <v>22</v>
          </cell>
          <cell r="D483" t="str">
            <v>LDLC ASVEL Villeurbanne</v>
          </cell>
          <cell r="E483" t="str">
            <v>Virtus Segafredo Bologna</v>
          </cell>
          <cell r="F483">
            <v>45309</v>
          </cell>
          <cell r="G483" t="str">
            <v>A</v>
          </cell>
          <cell r="H483" t="str">
            <v>VIR</v>
          </cell>
          <cell r="I483" t="str">
            <v>22.ASV</v>
          </cell>
          <cell r="J483" t="str">
            <v>22.VIR</v>
          </cell>
        </row>
        <row r="484">
          <cell r="B484" t="str">
            <v>ASV</v>
          </cell>
          <cell r="C484">
            <v>23</v>
          </cell>
          <cell r="D484" t="str">
            <v>LDLC ASVEL Villeurbanne</v>
          </cell>
          <cell r="E484" t="str">
            <v>FC Bayern Munich</v>
          </cell>
          <cell r="F484">
            <v>45316</v>
          </cell>
          <cell r="G484" t="str">
            <v>A</v>
          </cell>
          <cell r="H484" t="str">
            <v>BAY</v>
          </cell>
          <cell r="I484" t="str">
            <v>23.ASV</v>
          </cell>
          <cell r="J484" t="str">
            <v>23.BAY</v>
          </cell>
        </row>
        <row r="485">
          <cell r="B485" t="str">
            <v>ASV</v>
          </cell>
          <cell r="C485">
            <v>24</v>
          </cell>
          <cell r="D485" t="str">
            <v>LDLC ASVEL Villeurbanne</v>
          </cell>
          <cell r="E485" t="str">
            <v>Fenerbahce Beko Istanbul</v>
          </cell>
          <cell r="F485">
            <v>45321</v>
          </cell>
          <cell r="G485" t="str">
            <v>H</v>
          </cell>
          <cell r="H485" t="str">
            <v>FEN</v>
          </cell>
          <cell r="I485" t="str">
            <v>24.ASV</v>
          </cell>
          <cell r="J485" t="str">
            <v>24.FEN</v>
          </cell>
        </row>
        <row r="486">
          <cell r="B486" t="str">
            <v>ASV</v>
          </cell>
          <cell r="C486">
            <v>25</v>
          </cell>
          <cell r="D486" t="str">
            <v>LDLC ASVEL Villeurbanne</v>
          </cell>
          <cell r="E486" t="str">
            <v>Real Madrid</v>
          </cell>
          <cell r="F486">
            <v>45323</v>
          </cell>
          <cell r="G486" t="str">
            <v>A</v>
          </cell>
          <cell r="H486" t="str">
            <v>RMB</v>
          </cell>
          <cell r="I486" t="str">
            <v>25.ASV</v>
          </cell>
          <cell r="J486" t="str">
            <v>25.RMB</v>
          </cell>
        </row>
        <row r="487">
          <cell r="B487" t="str">
            <v>ASV</v>
          </cell>
          <cell r="C487">
            <v>26</v>
          </cell>
          <cell r="D487" t="str">
            <v>LDLC ASVEL Villeurbanne</v>
          </cell>
          <cell r="E487" t="str">
            <v>Baskonia Vitoria-Gasteiz</v>
          </cell>
          <cell r="F487">
            <v>45330</v>
          </cell>
          <cell r="G487" t="str">
            <v>A</v>
          </cell>
          <cell r="H487" t="str">
            <v>BAS</v>
          </cell>
          <cell r="I487" t="str">
            <v>26.ASV</v>
          </cell>
          <cell r="J487" t="str">
            <v>26.BAS</v>
          </cell>
        </row>
        <row r="488">
          <cell r="B488" t="str">
            <v>ASV</v>
          </cell>
          <cell r="C488">
            <v>27</v>
          </cell>
          <cell r="D488" t="str">
            <v>LDLC ASVEL Villeurbanne</v>
          </cell>
          <cell r="E488" t="str">
            <v>EA7 Emporio Armani Milan</v>
          </cell>
          <cell r="F488">
            <v>45352</v>
          </cell>
          <cell r="G488" t="str">
            <v>H</v>
          </cell>
          <cell r="H488" t="str">
            <v>MIL</v>
          </cell>
          <cell r="I488" t="str">
            <v>27.ASV</v>
          </cell>
          <cell r="J488" t="str">
            <v>27.MIL</v>
          </cell>
        </row>
        <row r="489">
          <cell r="B489" t="str">
            <v>ASV</v>
          </cell>
          <cell r="C489">
            <v>28</v>
          </cell>
          <cell r="D489" t="str">
            <v>LDLC ASVEL Villeurbanne</v>
          </cell>
          <cell r="E489" t="str">
            <v>Panathinaikos Athens</v>
          </cell>
          <cell r="F489">
            <v>45359</v>
          </cell>
          <cell r="G489" t="str">
            <v>A</v>
          </cell>
          <cell r="H489" t="str">
            <v>PAN</v>
          </cell>
          <cell r="I489" t="str">
            <v>28.ASV</v>
          </cell>
          <cell r="J489" t="str">
            <v>28.PAN</v>
          </cell>
        </row>
        <row r="490">
          <cell r="B490" t="str">
            <v>ASV</v>
          </cell>
          <cell r="C490">
            <v>29</v>
          </cell>
          <cell r="D490" t="str">
            <v>LDLC ASVEL Villeurbanne</v>
          </cell>
          <cell r="E490" t="str">
            <v>Anadolu Efes Istanbul</v>
          </cell>
          <cell r="F490">
            <v>45366</v>
          </cell>
          <cell r="G490" t="str">
            <v>H</v>
          </cell>
          <cell r="H490" t="str">
            <v>EFE</v>
          </cell>
          <cell r="I490" t="str">
            <v>29.ASV</v>
          </cell>
          <cell r="J490" t="str">
            <v>29.EFE</v>
          </cell>
        </row>
        <row r="491">
          <cell r="B491" t="str">
            <v>ASV</v>
          </cell>
          <cell r="C491">
            <v>30</v>
          </cell>
          <cell r="D491" t="str">
            <v>LDLC ASVEL Villeurbanne</v>
          </cell>
          <cell r="E491" t="str">
            <v>Maccabi Playtika Tel Aviv</v>
          </cell>
          <cell r="F491">
            <v>45370</v>
          </cell>
          <cell r="G491" t="str">
            <v>A</v>
          </cell>
          <cell r="H491" t="str">
            <v>MTA</v>
          </cell>
          <cell r="I491" t="str">
            <v>30.ASV</v>
          </cell>
          <cell r="J491" t="str">
            <v>30.MTA</v>
          </cell>
        </row>
        <row r="492">
          <cell r="B492" t="str">
            <v>ASV</v>
          </cell>
          <cell r="C492">
            <v>31</v>
          </cell>
          <cell r="D492" t="str">
            <v>LDLC ASVEL Villeurbanne</v>
          </cell>
          <cell r="E492" t="str">
            <v>Olympiacos Piraeus</v>
          </cell>
          <cell r="F492">
            <v>45372</v>
          </cell>
          <cell r="G492" t="str">
            <v>A</v>
          </cell>
          <cell r="H492" t="str">
            <v>OLY</v>
          </cell>
          <cell r="I492" t="str">
            <v>31.ASV</v>
          </cell>
          <cell r="J492" t="str">
            <v>31.OLY</v>
          </cell>
        </row>
        <row r="493">
          <cell r="B493" t="str">
            <v>ASV</v>
          </cell>
          <cell r="C493">
            <v>32</v>
          </cell>
          <cell r="D493" t="str">
            <v>LDLC ASVEL Villeurbanne</v>
          </cell>
          <cell r="E493" t="str">
            <v>AS Monaco</v>
          </cell>
          <cell r="F493">
            <v>45379</v>
          </cell>
          <cell r="G493" t="str">
            <v>H</v>
          </cell>
          <cell r="H493" t="str">
            <v>ASM</v>
          </cell>
          <cell r="I493" t="str">
            <v>32.ASV</v>
          </cell>
          <cell r="J493" t="str">
            <v>32.ASM</v>
          </cell>
        </row>
        <row r="494">
          <cell r="B494" t="str">
            <v>ASV</v>
          </cell>
          <cell r="C494">
            <v>33</v>
          </cell>
          <cell r="D494" t="str">
            <v>LDLC ASVEL Villeurbanne</v>
          </cell>
          <cell r="E494" t="str">
            <v>Valencia Basket</v>
          </cell>
          <cell r="F494">
            <v>45386</v>
          </cell>
          <cell r="G494" t="str">
            <v>A</v>
          </cell>
          <cell r="H494" t="str">
            <v>VAL</v>
          </cell>
          <cell r="I494" t="str">
            <v>33.ASV</v>
          </cell>
          <cell r="J494" t="str">
            <v>33.VAL</v>
          </cell>
        </row>
        <row r="495">
          <cell r="B495" t="str">
            <v>ASV</v>
          </cell>
          <cell r="C495">
            <v>34</v>
          </cell>
          <cell r="D495" t="str">
            <v>LDLC ASVEL Villeurbanne</v>
          </cell>
          <cell r="E495" t="str">
            <v>FC Barcelona</v>
          </cell>
          <cell r="F495">
            <v>45394</v>
          </cell>
          <cell r="G495" t="str">
            <v>H</v>
          </cell>
          <cell r="H495" t="str">
            <v>FCB</v>
          </cell>
          <cell r="I495" t="str">
            <v>34.ASV</v>
          </cell>
          <cell r="J495" t="str">
            <v>34.FCB</v>
          </cell>
        </row>
        <row r="496">
          <cell r="B496" t="str">
            <v>ASV</v>
          </cell>
          <cell r="C496">
            <v>35</v>
          </cell>
          <cell r="D496" t="str">
            <v>LDLC ASVEL Villeurbanne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</row>
        <row r="497">
          <cell r="B497" t="str">
            <v>ASV</v>
          </cell>
          <cell r="C497">
            <v>36</v>
          </cell>
          <cell r="D497" t="str">
            <v>LDLC ASVEL Villeurbanne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</row>
        <row r="498">
          <cell r="B498" t="str">
            <v>ASV</v>
          </cell>
          <cell r="C498">
            <v>37</v>
          </cell>
          <cell r="D498" t="str">
            <v>LDLC ASVEL Villeurbanne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</row>
        <row r="499">
          <cell r="B499" t="str">
            <v>ASV</v>
          </cell>
          <cell r="C499">
            <v>38</v>
          </cell>
          <cell r="D499" t="str">
            <v>LDLC ASVEL Villeurbanne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</row>
        <row r="500">
          <cell r="B500" t="str">
            <v>ASV</v>
          </cell>
          <cell r="C500">
            <v>39</v>
          </cell>
          <cell r="D500" t="str">
            <v>LDLC ASVEL Villeurbanne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</row>
        <row r="501">
          <cell r="B501" t="str">
            <v>ASV</v>
          </cell>
          <cell r="C501">
            <v>40</v>
          </cell>
          <cell r="D501" t="str">
            <v>LDLC ASVEL Villeurbanne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</row>
        <row r="502">
          <cell r="B502" t="str">
            <v>ASV</v>
          </cell>
          <cell r="C502">
            <v>41</v>
          </cell>
          <cell r="D502" t="str">
            <v>LDLC ASVEL Villeurbanne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</row>
        <row r="503">
          <cell r="B503" t="str">
            <v>ASV</v>
          </cell>
          <cell r="C503">
            <v>42</v>
          </cell>
          <cell r="D503" t="str">
            <v>LDLC ASVEL Villeurbanne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</row>
        <row r="504">
          <cell r="B504" t="str">
            <v>ASV</v>
          </cell>
          <cell r="C504">
            <v>43</v>
          </cell>
          <cell r="D504" t="str">
            <v>LDLC ASVEL Villeurbanne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</row>
        <row r="505">
          <cell r="B505" t="str">
            <v>ASV</v>
          </cell>
          <cell r="C505">
            <v>44</v>
          </cell>
          <cell r="D505" t="str">
            <v>LDLC ASVEL Villeurbanne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</row>
        <row r="506">
          <cell r="B506" t="str">
            <v>ASV</v>
          </cell>
          <cell r="C506">
            <v>45</v>
          </cell>
          <cell r="D506" t="str">
            <v>LDLC ASVEL Villeurbanne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</row>
        <row r="507">
          <cell r="B507" t="str">
            <v>ASV</v>
          </cell>
          <cell r="C507">
            <v>46</v>
          </cell>
          <cell r="D507" t="str">
            <v>LDLC ASVEL Villeurbanne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</row>
        <row r="508">
          <cell r="B508" t="str">
            <v>ASV</v>
          </cell>
          <cell r="C508">
            <v>47</v>
          </cell>
          <cell r="D508" t="str">
            <v>LDLC ASVEL Villeurbanne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</row>
        <row r="509">
          <cell r="B509" t="str">
            <v>ASV</v>
          </cell>
          <cell r="C509">
            <v>48</v>
          </cell>
          <cell r="D509" t="str">
            <v>LDLC ASVEL Villeurbanne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</row>
        <row r="510">
          <cell r="B510" t="str">
            <v>ASV</v>
          </cell>
          <cell r="C510">
            <v>49</v>
          </cell>
          <cell r="D510" t="str">
            <v>LDLC ASVEL Villeurbanne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</row>
        <row r="511">
          <cell r="B511" t="str">
            <v>ASV</v>
          </cell>
          <cell r="C511">
            <v>50</v>
          </cell>
          <cell r="D511" t="str">
            <v>LDLC ASVEL Villeurbanne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</row>
        <row r="512">
          <cell r="B512" t="str">
            <v>ASV</v>
          </cell>
          <cell r="C512">
            <v>51</v>
          </cell>
          <cell r="D512" t="str">
            <v>LDLC ASVEL Villeurbanne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</row>
        <row r="513">
          <cell r="B513" t="str">
            <v>MTA</v>
          </cell>
          <cell r="C513">
            <v>1</v>
          </cell>
          <cell r="D513" t="str">
            <v>Maccabi Playtika Tel Aviv</v>
          </cell>
          <cell r="E513" t="str">
            <v>Partizan Mozzart Bet Belgrade</v>
          </cell>
          <cell r="F513">
            <v>45204</v>
          </cell>
          <cell r="G513" t="str">
            <v>H</v>
          </cell>
          <cell r="H513" t="str">
            <v>PAR</v>
          </cell>
          <cell r="I513" t="str">
            <v>1.MTA</v>
          </cell>
          <cell r="J513" t="str">
            <v>1.PAR</v>
          </cell>
        </row>
        <row r="514">
          <cell r="B514" t="str">
            <v>MTA</v>
          </cell>
          <cell r="C514">
            <v>2</v>
          </cell>
          <cell r="D514" t="str">
            <v>Maccabi Playtika Tel Aviv</v>
          </cell>
          <cell r="E514" t="str">
            <v>EA7 Emporio Armani Milan</v>
          </cell>
          <cell r="F514">
            <v>45230</v>
          </cell>
          <cell r="G514" t="str">
            <v>A</v>
          </cell>
          <cell r="H514" t="str">
            <v>MIL</v>
          </cell>
          <cell r="I514" t="str">
            <v>2.MTA</v>
          </cell>
          <cell r="J514" t="str">
            <v>2.MIL</v>
          </cell>
        </row>
        <row r="515">
          <cell r="B515" t="str">
            <v>MTA</v>
          </cell>
          <cell r="C515">
            <v>3</v>
          </cell>
          <cell r="D515" t="str">
            <v>Maccabi Playtika Tel Aviv</v>
          </cell>
          <cell r="E515" t="str">
            <v>Valencia Basket</v>
          </cell>
          <cell r="F515">
            <v>45217</v>
          </cell>
          <cell r="G515" t="str">
            <v>A</v>
          </cell>
          <cell r="H515" t="str">
            <v>VAL</v>
          </cell>
          <cell r="I515" t="str">
            <v>3.MTA</v>
          </cell>
          <cell r="J515" t="str">
            <v>3.VAL</v>
          </cell>
        </row>
        <row r="516">
          <cell r="B516" t="str">
            <v>MTA</v>
          </cell>
          <cell r="C516">
            <v>4</v>
          </cell>
          <cell r="D516" t="str">
            <v>Maccabi Playtika Tel Aviv</v>
          </cell>
          <cell r="E516" t="str">
            <v>Panathinaikos Athens</v>
          </cell>
          <cell r="F516">
            <v>45219</v>
          </cell>
          <cell r="G516" t="str">
            <v>A</v>
          </cell>
          <cell r="H516" t="str">
            <v>PAN</v>
          </cell>
          <cell r="I516" t="str">
            <v>4.MTA</v>
          </cell>
          <cell r="J516" t="str">
            <v>4.PAN</v>
          </cell>
        </row>
        <row r="517">
          <cell r="B517" t="str">
            <v>MTA</v>
          </cell>
          <cell r="C517">
            <v>5</v>
          </cell>
          <cell r="D517" t="str">
            <v>Maccabi Playtika Tel Aviv</v>
          </cell>
          <cell r="E517" t="str">
            <v>AS Monaco</v>
          </cell>
          <cell r="F517">
            <v>45225</v>
          </cell>
          <cell r="G517" t="str">
            <v>A</v>
          </cell>
          <cell r="H517" t="str">
            <v>ASM</v>
          </cell>
          <cell r="I517" t="str">
            <v>5.MTA</v>
          </cell>
          <cell r="J517" t="str">
            <v>5.ASM</v>
          </cell>
        </row>
        <row r="518">
          <cell r="B518" t="str">
            <v>MTA</v>
          </cell>
          <cell r="C518">
            <v>6</v>
          </cell>
          <cell r="D518" t="str">
            <v>Maccabi Playtika Tel Aviv</v>
          </cell>
          <cell r="E518" t="str">
            <v>Real Madrid</v>
          </cell>
          <cell r="F518">
            <v>45232</v>
          </cell>
          <cell r="G518" t="str">
            <v>H</v>
          </cell>
          <cell r="H518" t="str">
            <v>RMB</v>
          </cell>
          <cell r="I518" t="str">
            <v>6.MTA</v>
          </cell>
          <cell r="J518" t="str">
            <v>6.RMB</v>
          </cell>
        </row>
        <row r="519">
          <cell r="B519" t="str">
            <v>MTA</v>
          </cell>
          <cell r="C519">
            <v>7</v>
          </cell>
          <cell r="D519" t="str">
            <v>Maccabi Playtika Tel Aviv</v>
          </cell>
          <cell r="E519" t="str">
            <v>FC Bayern Munich</v>
          </cell>
          <cell r="F519">
            <v>45239</v>
          </cell>
          <cell r="G519" t="str">
            <v>H</v>
          </cell>
          <cell r="H519" t="str">
            <v>BAY</v>
          </cell>
          <cell r="I519" t="str">
            <v>7.MTA</v>
          </cell>
          <cell r="J519" t="str">
            <v>7.BAY</v>
          </cell>
        </row>
        <row r="520">
          <cell r="B520" t="str">
            <v>MTA</v>
          </cell>
          <cell r="C520">
            <v>8</v>
          </cell>
          <cell r="D520" t="str">
            <v>Maccabi Playtika Tel Aviv</v>
          </cell>
          <cell r="E520" t="str">
            <v>Olympiacos Piraeus</v>
          </cell>
          <cell r="F520">
            <v>45244</v>
          </cell>
          <cell r="G520" t="str">
            <v>H</v>
          </cell>
          <cell r="H520" t="str">
            <v>OLY</v>
          </cell>
          <cell r="I520" t="str">
            <v>8.MTA</v>
          </cell>
          <cell r="J520" t="str">
            <v>8.OLY</v>
          </cell>
        </row>
        <row r="521">
          <cell r="B521" t="str">
            <v>MTA</v>
          </cell>
          <cell r="C521">
            <v>9</v>
          </cell>
          <cell r="D521" t="str">
            <v>Maccabi Playtika Tel Aviv</v>
          </cell>
          <cell r="E521" t="str">
            <v>Fenerbahce Beko Istanbul</v>
          </cell>
          <cell r="F521">
            <v>45246</v>
          </cell>
          <cell r="G521" t="str">
            <v>A</v>
          </cell>
          <cell r="H521" t="str">
            <v>FEN</v>
          </cell>
          <cell r="I521" t="str">
            <v>9.MTA</v>
          </cell>
          <cell r="J521" t="str">
            <v>9.FEN</v>
          </cell>
        </row>
        <row r="522">
          <cell r="B522" t="str">
            <v>MTA</v>
          </cell>
          <cell r="C522">
            <v>10</v>
          </cell>
          <cell r="D522" t="str">
            <v>Maccabi Playtika Tel Aviv</v>
          </cell>
          <cell r="E522" t="str">
            <v>FC Barcelona</v>
          </cell>
          <cell r="F522">
            <v>45253</v>
          </cell>
          <cell r="G522" t="str">
            <v>H</v>
          </cell>
          <cell r="H522" t="str">
            <v>FCB</v>
          </cell>
          <cell r="I522" t="str">
            <v>10.MTA</v>
          </cell>
          <cell r="J522" t="str">
            <v>10.FCB</v>
          </cell>
        </row>
        <row r="523">
          <cell r="B523" t="str">
            <v>MTA</v>
          </cell>
          <cell r="C523">
            <v>11</v>
          </cell>
          <cell r="D523" t="str">
            <v>Maccabi Playtika Tel Aviv</v>
          </cell>
          <cell r="E523" t="str">
            <v>ALBA Berlin</v>
          </cell>
          <cell r="F523">
            <v>45260</v>
          </cell>
          <cell r="G523" t="str">
            <v>H</v>
          </cell>
          <cell r="H523" t="str">
            <v>BER</v>
          </cell>
          <cell r="I523" t="str">
            <v>11.MTA</v>
          </cell>
          <cell r="J523" t="str">
            <v>11.BER</v>
          </cell>
        </row>
        <row r="524">
          <cell r="B524" t="str">
            <v>MTA</v>
          </cell>
          <cell r="C524">
            <v>12</v>
          </cell>
          <cell r="D524" t="str">
            <v>Maccabi Playtika Tel Aviv</v>
          </cell>
          <cell r="E524" t="str">
            <v>LDLC ASVEL Villeurbanne</v>
          </cell>
          <cell r="F524">
            <v>45266</v>
          </cell>
          <cell r="G524" t="str">
            <v>A</v>
          </cell>
          <cell r="H524" t="str">
            <v>ASV</v>
          </cell>
          <cell r="I524" t="str">
            <v>12.MTA</v>
          </cell>
          <cell r="J524" t="str">
            <v>12.ASV</v>
          </cell>
        </row>
        <row r="525">
          <cell r="B525" t="str">
            <v>MTA</v>
          </cell>
          <cell r="C525">
            <v>13</v>
          </cell>
          <cell r="D525" t="str">
            <v>Maccabi Playtika Tel Aviv</v>
          </cell>
          <cell r="E525" t="str">
            <v>Virtus Segafredo Bologna</v>
          </cell>
          <cell r="F525">
            <v>45268</v>
          </cell>
          <cell r="G525" t="str">
            <v>A</v>
          </cell>
          <cell r="H525" t="str">
            <v>VIR</v>
          </cell>
          <cell r="I525" t="str">
            <v>13.MTA</v>
          </cell>
          <cell r="J525" t="str">
            <v>13.VIR</v>
          </cell>
        </row>
        <row r="526">
          <cell r="B526" t="str">
            <v>MTA</v>
          </cell>
          <cell r="C526">
            <v>14</v>
          </cell>
          <cell r="D526" t="str">
            <v>Maccabi Playtika Tel Aviv</v>
          </cell>
          <cell r="E526" t="str">
            <v>Anadolu Efes Istanbul</v>
          </cell>
          <cell r="F526">
            <v>45274</v>
          </cell>
          <cell r="G526" t="str">
            <v>A</v>
          </cell>
          <cell r="H526" t="str">
            <v>EFE</v>
          </cell>
          <cell r="I526" t="str">
            <v>14.MTA</v>
          </cell>
          <cell r="J526" t="str">
            <v>14.EFE</v>
          </cell>
        </row>
        <row r="527">
          <cell r="B527" t="str">
            <v>MTA</v>
          </cell>
          <cell r="C527">
            <v>15</v>
          </cell>
          <cell r="D527" t="str">
            <v>Maccabi Playtika Tel Aviv</v>
          </cell>
          <cell r="E527" t="str">
            <v>Baskonia Vitoria-Gasteiz</v>
          </cell>
          <cell r="F527">
            <v>45279</v>
          </cell>
          <cell r="G527" t="str">
            <v>H</v>
          </cell>
          <cell r="H527" t="str">
            <v>BAS</v>
          </cell>
          <cell r="I527" t="str">
            <v>15.MTA</v>
          </cell>
          <cell r="J527" t="str">
            <v>15.BAS</v>
          </cell>
        </row>
        <row r="528">
          <cell r="B528" t="str">
            <v>MTA</v>
          </cell>
          <cell r="C528">
            <v>16</v>
          </cell>
          <cell r="D528" t="str">
            <v>Maccabi Playtika Tel Aviv</v>
          </cell>
          <cell r="E528" t="str">
            <v>Crvena Zvezda Meridianbet Belgrade</v>
          </cell>
          <cell r="F528">
            <v>45281</v>
          </cell>
          <cell r="G528" t="str">
            <v>H</v>
          </cell>
          <cell r="H528" t="str">
            <v>CZB</v>
          </cell>
          <cell r="I528" t="str">
            <v>16.MTA</v>
          </cell>
          <cell r="J528" t="str">
            <v>16.CZB</v>
          </cell>
        </row>
        <row r="529">
          <cell r="B529" t="str">
            <v>MTA</v>
          </cell>
          <cell r="C529">
            <v>17</v>
          </cell>
          <cell r="D529" t="str">
            <v>Maccabi Playtika Tel Aviv</v>
          </cell>
          <cell r="E529" t="str">
            <v>Zalgiris Kaunas</v>
          </cell>
          <cell r="F529">
            <v>45288</v>
          </cell>
          <cell r="G529" t="str">
            <v>A</v>
          </cell>
          <cell r="H529" t="str">
            <v>ZAL</v>
          </cell>
          <cell r="I529" t="str">
            <v>17.MTA</v>
          </cell>
          <cell r="J529" t="str">
            <v>17.ZAL</v>
          </cell>
        </row>
        <row r="530">
          <cell r="B530" t="str">
            <v>MTA</v>
          </cell>
          <cell r="C530">
            <v>18</v>
          </cell>
          <cell r="D530" t="str">
            <v>Maccabi Playtika Tel Aviv</v>
          </cell>
          <cell r="E530" t="str">
            <v>AS Monaco</v>
          </cell>
          <cell r="F530">
            <v>45293</v>
          </cell>
          <cell r="G530" t="str">
            <v>H</v>
          </cell>
          <cell r="H530" t="str">
            <v>ASM</v>
          </cell>
          <cell r="I530" t="str">
            <v>18.MTA</v>
          </cell>
          <cell r="J530" t="str">
            <v>18.ASM</v>
          </cell>
        </row>
        <row r="531">
          <cell r="B531" t="str">
            <v>MTA</v>
          </cell>
          <cell r="C531">
            <v>19</v>
          </cell>
          <cell r="D531" t="str">
            <v>Maccabi Playtika Tel Aviv</v>
          </cell>
          <cell r="E531" t="str">
            <v>Fenerbahce Beko Istanbul</v>
          </cell>
          <cell r="F531">
            <v>45295</v>
          </cell>
          <cell r="G531" t="str">
            <v>H</v>
          </cell>
          <cell r="H531" t="str">
            <v>FEN</v>
          </cell>
          <cell r="I531" t="str">
            <v>19.MTA</v>
          </cell>
          <cell r="J531" t="str">
            <v>19.FEN</v>
          </cell>
        </row>
        <row r="532">
          <cell r="B532" t="str">
            <v>MTA</v>
          </cell>
          <cell r="C532">
            <v>20</v>
          </cell>
          <cell r="D532" t="str">
            <v>Maccabi Playtika Tel Aviv</v>
          </cell>
          <cell r="E532" t="str">
            <v>Virtus Segafredo Bologna</v>
          </cell>
          <cell r="F532">
            <v>45301</v>
          </cell>
          <cell r="G532" t="str">
            <v>H</v>
          </cell>
          <cell r="H532" t="str">
            <v>VIR</v>
          </cell>
          <cell r="I532" t="str">
            <v>20.MTA</v>
          </cell>
          <cell r="J532" t="str">
            <v>20.VIR</v>
          </cell>
        </row>
        <row r="533">
          <cell r="B533" t="str">
            <v>MTA</v>
          </cell>
          <cell r="C533">
            <v>21</v>
          </cell>
          <cell r="D533" t="str">
            <v>Maccabi Playtika Tel Aviv</v>
          </cell>
          <cell r="E533" t="str">
            <v>Partizan Mozzart Bet Belgrade</v>
          </cell>
          <cell r="F533">
            <v>45303</v>
          </cell>
          <cell r="G533" t="str">
            <v>A</v>
          </cell>
          <cell r="H533" t="str">
            <v>PAR</v>
          </cell>
          <cell r="I533" t="str">
            <v>21.MTA</v>
          </cell>
          <cell r="J533" t="str">
            <v>21.PAR</v>
          </cell>
        </row>
        <row r="534">
          <cell r="B534" t="str">
            <v>MTA</v>
          </cell>
          <cell r="C534">
            <v>22</v>
          </cell>
          <cell r="D534" t="str">
            <v>Maccabi Playtika Tel Aviv</v>
          </cell>
          <cell r="E534" t="str">
            <v>Olympiacos Piraeus</v>
          </cell>
          <cell r="F534">
            <v>45309</v>
          </cell>
          <cell r="G534" t="str">
            <v>A</v>
          </cell>
          <cell r="H534" t="str">
            <v>OLY</v>
          </cell>
          <cell r="I534" t="str">
            <v>22.MTA</v>
          </cell>
          <cell r="J534" t="str">
            <v>22.OLY</v>
          </cell>
        </row>
        <row r="535">
          <cell r="B535" t="str">
            <v>MTA</v>
          </cell>
          <cell r="C535">
            <v>23</v>
          </cell>
          <cell r="D535" t="str">
            <v>Maccabi Playtika Tel Aviv</v>
          </cell>
          <cell r="E535" t="str">
            <v>Panathinaikos Athens</v>
          </cell>
          <cell r="F535">
            <v>45316</v>
          </cell>
          <cell r="G535" t="str">
            <v>H</v>
          </cell>
          <cell r="H535" t="str">
            <v>PAN</v>
          </cell>
          <cell r="I535" t="str">
            <v>23.MTA</v>
          </cell>
          <cell r="J535" t="str">
            <v>23.PAN</v>
          </cell>
        </row>
        <row r="536">
          <cell r="B536" t="str">
            <v>MTA</v>
          </cell>
          <cell r="C536">
            <v>24</v>
          </cell>
          <cell r="D536" t="str">
            <v>Maccabi Playtika Tel Aviv</v>
          </cell>
          <cell r="E536" t="str">
            <v>Real Madrid</v>
          </cell>
          <cell r="F536">
            <v>45321</v>
          </cell>
          <cell r="G536" t="str">
            <v>A</v>
          </cell>
          <cell r="H536" t="str">
            <v>RMB</v>
          </cell>
          <cell r="I536" t="str">
            <v>24.MTA</v>
          </cell>
          <cell r="J536" t="str">
            <v>24.RMB</v>
          </cell>
        </row>
        <row r="537">
          <cell r="B537" t="str">
            <v>MTA</v>
          </cell>
          <cell r="C537">
            <v>25</v>
          </cell>
          <cell r="D537" t="str">
            <v>Maccabi Playtika Tel Aviv</v>
          </cell>
          <cell r="E537" t="str">
            <v>Baskonia Vitoria-Gasteiz</v>
          </cell>
          <cell r="F537">
            <v>45323</v>
          </cell>
          <cell r="G537" t="str">
            <v>A</v>
          </cell>
          <cell r="H537" t="str">
            <v>BAS</v>
          </cell>
          <cell r="I537" t="str">
            <v>25.MTA</v>
          </cell>
          <cell r="J537" t="str">
            <v>25.BAS</v>
          </cell>
        </row>
        <row r="538">
          <cell r="B538" t="str">
            <v>MTA</v>
          </cell>
          <cell r="C538">
            <v>26</v>
          </cell>
          <cell r="D538" t="str">
            <v>Maccabi Playtika Tel Aviv</v>
          </cell>
          <cell r="E538" t="str">
            <v>Anadolu Efes Istanbul</v>
          </cell>
          <cell r="F538">
            <v>45330</v>
          </cell>
          <cell r="G538" t="str">
            <v>H</v>
          </cell>
          <cell r="H538" t="str">
            <v>EFE</v>
          </cell>
          <cell r="I538" t="str">
            <v>26.MTA</v>
          </cell>
          <cell r="J538" t="str">
            <v>26.EFE</v>
          </cell>
        </row>
        <row r="539">
          <cell r="B539" t="str">
            <v>MTA</v>
          </cell>
          <cell r="C539">
            <v>27</v>
          </cell>
          <cell r="D539" t="str">
            <v>Maccabi Playtika Tel Aviv</v>
          </cell>
          <cell r="E539" t="str">
            <v>ALBA Berlin</v>
          </cell>
          <cell r="F539">
            <v>45351</v>
          </cell>
          <cell r="G539" t="str">
            <v>A</v>
          </cell>
          <cell r="H539" t="str">
            <v>BER</v>
          </cell>
          <cell r="I539" t="str">
            <v>27.MTA</v>
          </cell>
          <cell r="J539" t="str">
            <v>27.BER</v>
          </cell>
        </row>
        <row r="540">
          <cell r="B540" t="str">
            <v>MTA</v>
          </cell>
          <cell r="C540">
            <v>28</v>
          </cell>
          <cell r="D540" t="str">
            <v>Maccabi Playtika Tel Aviv</v>
          </cell>
          <cell r="E540" t="str">
            <v>Zalgiris Kaunas</v>
          </cell>
          <cell r="F540">
            <v>45358</v>
          </cell>
          <cell r="G540" t="str">
            <v>H</v>
          </cell>
          <cell r="H540" t="str">
            <v>ZAL</v>
          </cell>
          <cell r="I540" t="str">
            <v>28.MTA</v>
          </cell>
          <cell r="J540" t="str">
            <v>28.ZAL</v>
          </cell>
        </row>
        <row r="541">
          <cell r="B541" t="str">
            <v>MTA</v>
          </cell>
          <cell r="C541">
            <v>29</v>
          </cell>
          <cell r="D541" t="str">
            <v>Maccabi Playtika Tel Aviv</v>
          </cell>
          <cell r="E541" t="str">
            <v>Crvena Zvezda Meridianbet Belgrade</v>
          </cell>
          <cell r="F541">
            <v>45365</v>
          </cell>
          <cell r="G541" t="str">
            <v>A</v>
          </cell>
          <cell r="H541" t="str">
            <v>CZB</v>
          </cell>
          <cell r="I541" t="str">
            <v>29.MTA</v>
          </cell>
          <cell r="J541" t="str">
            <v>29.CZB</v>
          </cell>
        </row>
        <row r="542">
          <cell r="B542" t="str">
            <v>MTA</v>
          </cell>
          <cell r="C542">
            <v>30</v>
          </cell>
          <cell r="D542" t="str">
            <v>Maccabi Playtika Tel Aviv</v>
          </cell>
          <cell r="E542" t="str">
            <v>LDLC ASVEL Villeurbanne</v>
          </cell>
          <cell r="F542">
            <v>45370</v>
          </cell>
          <cell r="G542" t="str">
            <v>H</v>
          </cell>
          <cell r="H542" t="str">
            <v>ASV</v>
          </cell>
          <cell r="I542" t="str">
            <v>30.MTA</v>
          </cell>
          <cell r="J542" t="str">
            <v>30.ASV</v>
          </cell>
        </row>
        <row r="543">
          <cell r="B543" t="str">
            <v>MTA</v>
          </cell>
          <cell r="C543">
            <v>31</v>
          </cell>
          <cell r="D543" t="str">
            <v>Maccabi Playtika Tel Aviv</v>
          </cell>
          <cell r="E543" t="str">
            <v>FC Bayern Munich</v>
          </cell>
          <cell r="F543">
            <v>45373</v>
          </cell>
          <cell r="G543" t="str">
            <v>A</v>
          </cell>
          <cell r="H543" t="str">
            <v>BAY</v>
          </cell>
          <cell r="I543" t="str">
            <v>31.MTA</v>
          </cell>
          <cell r="J543" t="str">
            <v>31.BAY</v>
          </cell>
        </row>
        <row r="544">
          <cell r="B544" t="str">
            <v>MTA</v>
          </cell>
          <cell r="C544">
            <v>32</v>
          </cell>
          <cell r="D544" t="str">
            <v>Maccabi Playtika Tel Aviv</v>
          </cell>
          <cell r="E544" t="str">
            <v>Valencia Basket</v>
          </cell>
          <cell r="F544">
            <v>45379</v>
          </cell>
          <cell r="G544" t="str">
            <v>A</v>
          </cell>
          <cell r="H544" t="str">
            <v>VAL</v>
          </cell>
          <cell r="I544" t="str">
            <v>32.MTA</v>
          </cell>
          <cell r="J544" t="str">
            <v>32.VAL</v>
          </cell>
        </row>
        <row r="545">
          <cell r="B545" t="str">
            <v>MTA</v>
          </cell>
          <cell r="C545">
            <v>33</v>
          </cell>
          <cell r="D545" t="str">
            <v>Maccabi Playtika Tel Aviv</v>
          </cell>
          <cell r="E545" t="str">
            <v>FC Barcelona</v>
          </cell>
          <cell r="F545">
            <v>45386</v>
          </cell>
          <cell r="G545" t="str">
            <v>A</v>
          </cell>
          <cell r="H545" t="str">
            <v>FCB</v>
          </cell>
          <cell r="I545" t="str">
            <v>33.MTA</v>
          </cell>
          <cell r="J545" t="str">
            <v>33.FCB</v>
          </cell>
        </row>
        <row r="546">
          <cell r="B546" t="str">
            <v>MTA</v>
          </cell>
          <cell r="C546">
            <v>34</v>
          </cell>
          <cell r="D546" t="str">
            <v>Maccabi Playtika Tel Aviv</v>
          </cell>
          <cell r="E546" t="str">
            <v>EA7 Emporio Armani Milan</v>
          </cell>
          <cell r="F546">
            <v>45393</v>
          </cell>
          <cell r="G546" t="str">
            <v>H</v>
          </cell>
          <cell r="H546" t="str">
            <v>MIL</v>
          </cell>
          <cell r="I546" t="str">
            <v>34.MTA</v>
          </cell>
          <cell r="J546" t="str">
            <v>34.MIL</v>
          </cell>
        </row>
        <row r="547">
          <cell r="B547" t="str">
            <v>MTA</v>
          </cell>
          <cell r="C547">
            <v>35</v>
          </cell>
          <cell r="D547" t="str">
            <v>Maccabi Playtika Tel Aviv</v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</row>
        <row r="548">
          <cell r="B548" t="str">
            <v>MTA</v>
          </cell>
          <cell r="C548">
            <v>36</v>
          </cell>
          <cell r="D548" t="str">
            <v>Maccabi Playtika Tel Aviv</v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</row>
        <row r="549">
          <cell r="B549" t="str">
            <v>MTA</v>
          </cell>
          <cell r="C549">
            <v>37</v>
          </cell>
          <cell r="D549" t="str">
            <v>Maccabi Playtika Tel Aviv</v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</row>
        <row r="550">
          <cell r="B550" t="str">
            <v>MTA</v>
          </cell>
          <cell r="C550">
            <v>38</v>
          </cell>
          <cell r="D550" t="str">
            <v>Maccabi Playtika Tel Aviv</v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</row>
        <row r="551">
          <cell r="B551" t="str">
            <v>MTA</v>
          </cell>
          <cell r="C551">
            <v>39</v>
          </cell>
          <cell r="D551" t="str">
            <v>Maccabi Playtika Tel Aviv</v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</row>
        <row r="552">
          <cell r="B552" t="str">
            <v>MTA</v>
          </cell>
          <cell r="C552">
            <v>40</v>
          </cell>
          <cell r="D552" t="str">
            <v>Maccabi Playtika Tel Aviv</v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</row>
        <row r="553">
          <cell r="B553" t="str">
            <v>MTA</v>
          </cell>
          <cell r="C553">
            <v>41</v>
          </cell>
          <cell r="D553" t="str">
            <v>Maccabi Playtika Tel Aviv</v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</row>
        <row r="554">
          <cell r="B554" t="str">
            <v>MTA</v>
          </cell>
          <cell r="C554">
            <v>42</v>
          </cell>
          <cell r="D554" t="str">
            <v>Maccabi Playtika Tel Aviv</v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</row>
        <row r="555">
          <cell r="B555" t="str">
            <v>MTA</v>
          </cell>
          <cell r="C555">
            <v>43</v>
          </cell>
          <cell r="D555" t="str">
            <v>Maccabi Playtika Tel Aviv</v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</row>
        <row r="556">
          <cell r="B556" t="str">
            <v>MTA</v>
          </cell>
          <cell r="C556">
            <v>44</v>
          </cell>
          <cell r="D556" t="str">
            <v>Maccabi Playtika Tel Aviv</v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</row>
        <row r="557">
          <cell r="B557" t="str">
            <v>MTA</v>
          </cell>
          <cell r="C557">
            <v>45</v>
          </cell>
          <cell r="D557" t="str">
            <v>Maccabi Playtika Tel Aviv</v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</row>
        <row r="558">
          <cell r="B558" t="str">
            <v>MTA</v>
          </cell>
          <cell r="C558">
            <v>46</v>
          </cell>
          <cell r="D558" t="str">
            <v>Maccabi Playtika Tel Aviv</v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</row>
        <row r="559">
          <cell r="B559" t="str">
            <v>MTA</v>
          </cell>
          <cell r="C559">
            <v>47</v>
          </cell>
          <cell r="D559" t="str">
            <v>Maccabi Playtika Tel Aviv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</row>
        <row r="560">
          <cell r="B560" t="str">
            <v>MTA</v>
          </cell>
          <cell r="C560">
            <v>48</v>
          </cell>
          <cell r="D560" t="str">
            <v>Maccabi Playtika Tel Aviv</v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</row>
        <row r="561">
          <cell r="B561" t="str">
            <v>MTA</v>
          </cell>
          <cell r="C561">
            <v>49</v>
          </cell>
          <cell r="D561" t="str">
            <v>Maccabi Playtika Tel Aviv</v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</row>
        <row r="562">
          <cell r="B562" t="str">
            <v>MTA</v>
          </cell>
          <cell r="C562">
            <v>50</v>
          </cell>
          <cell r="D562" t="str">
            <v>Maccabi Playtika Tel Aviv</v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</row>
        <row r="563">
          <cell r="B563" t="str">
            <v>MTA</v>
          </cell>
          <cell r="C563">
            <v>51</v>
          </cell>
          <cell r="D563" t="str">
            <v>Maccabi Playtika Tel Aviv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</row>
        <row r="564">
          <cell r="B564" t="str">
            <v>OLY</v>
          </cell>
          <cell r="C564">
            <v>1</v>
          </cell>
          <cell r="D564" t="str">
            <v>Olympiacos Piraeus</v>
          </cell>
          <cell r="E564" t="str">
            <v>Panathinaikos Athens</v>
          </cell>
          <cell r="F564">
            <v>45205</v>
          </cell>
          <cell r="G564" t="str">
            <v>A</v>
          </cell>
          <cell r="H564" t="str">
            <v>PAN</v>
          </cell>
          <cell r="I564" t="str">
            <v>1.OLY</v>
          </cell>
          <cell r="J564" t="str">
            <v>1.PAN</v>
          </cell>
        </row>
        <row r="565">
          <cell r="B565" t="str">
            <v>OLY</v>
          </cell>
          <cell r="C565">
            <v>2</v>
          </cell>
          <cell r="D565" t="str">
            <v>Olympiacos Piraeus</v>
          </cell>
          <cell r="E565" t="str">
            <v>FC Barcelona</v>
          </cell>
          <cell r="F565">
            <v>45212</v>
          </cell>
          <cell r="G565" t="str">
            <v>H</v>
          </cell>
          <cell r="H565" t="str">
            <v>FCB</v>
          </cell>
          <cell r="I565" t="str">
            <v>2.OLY</v>
          </cell>
          <cell r="J565" t="str">
            <v>2.FCB</v>
          </cell>
        </row>
        <row r="566">
          <cell r="B566" t="str">
            <v>OLY</v>
          </cell>
          <cell r="C566">
            <v>3</v>
          </cell>
          <cell r="D566" t="str">
            <v>Olympiacos Piraeus</v>
          </cell>
          <cell r="E566" t="str">
            <v>EA7 Emporio Armani Milan</v>
          </cell>
          <cell r="F566">
            <v>45216</v>
          </cell>
          <cell r="G566" t="str">
            <v>A</v>
          </cell>
          <cell r="H566" t="str">
            <v>MIL</v>
          </cell>
          <cell r="I566" t="str">
            <v>3.OLY</v>
          </cell>
          <cell r="J566" t="str">
            <v>3.MIL</v>
          </cell>
        </row>
        <row r="567">
          <cell r="B567" t="str">
            <v>OLY</v>
          </cell>
          <cell r="C567">
            <v>4</v>
          </cell>
          <cell r="D567" t="str">
            <v>Olympiacos Piraeus</v>
          </cell>
          <cell r="E567" t="str">
            <v>Partizan Mozzart Bet Belgrade</v>
          </cell>
          <cell r="F567">
            <v>45218</v>
          </cell>
          <cell r="G567" t="str">
            <v>H</v>
          </cell>
          <cell r="H567" t="str">
            <v>PAR</v>
          </cell>
          <cell r="I567" t="str">
            <v>4.OLY</v>
          </cell>
          <cell r="J567" t="str">
            <v>4.PAR</v>
          </cell>
        </row>
        <row r="568">
          <cell r="B568" t="str">
            <v>OLY</v>
          </cell>
          <cell r="C568">
            <v>5</v>
          </cell>
          <cell r="D568" t="str">
            <v>Olympiacos Piraeus</v>
          </cell>
          <cell r="E568" t="str">
            <v>Anadolu Efes Istanbul</v>
          </cell>
          <cell r="F568">
            <v>45225</v>
          </cell>
          <cell r="G568" t="str">
            <v>H</v>
          </cell>
          <cell r="H568" t="str">
            <v>EFE</v>
          </cell>
          <cell r="I568" t="str">
            <v>5.OLY</v>
          </cell>
          <cell r="J568" t="str">
            <v>5.EFE</v>
          </cell>
        </row>
        <row r="569">
          <cell r="B569" t="str">
            <v>OLY</v>
          </cell>
          <cell r="C569">
            <v>6</v>
          </cell>
          <cell r="D569" t="str">
            <v>Olympiacos Piraeus</v>
          </cell>
          <cell r="E569" t="str">
            <v>Fenerbahce Beko Istanbul</v>
          </cell>
          <cell r="F569">
            <v>45232</v>
          </cell>
          <cell r="G569" t="str">
            <v>A</v>
          </cell>
          <cell r="H569" t="str">
            <v>FEN</v>
          </cell>
          <cell r="I569" t="str">
            <v>6.OLY</v>
          </cell>
          <cell r="J569" t="str">
            <v>6.FEN</v>
          </cell>
        </row>
        <row r="570">
          <cell r="B570" t="str">
            <v>OLY</v>
          </cell>
          <cell r="C570">
            <v>7</v>
          </cell>
          <cell r="D570" t="str">
            <v>Olympiacos Piraeus</v>
          </cell>
          <cell r="E570" t="str">
            <v>Baskonia Vitoria-Gasteiz</v>
          </cell>
          <cell r="F570">
            <v>45239</v>
          </cell>
          <cell r="G570" t="str">
            <v>H</v>
          </cell>
          <cell r="H570" t="str">
            <v>BAS</v>
          </cell>
          <cell r="I570" t="str">
            <v>7.OLY</v>
          </cell>
          <cell r="J570" t="str">
            <v>7.BAS</v>
          </cell>
        </row>
        <row r="571">
          <cell r="B571" t="str">
            <v>OLY</v>
          </cell>
          <cell r="C571">
            <v>8</v>
          </cell>
          <cell r="D571" t="str">
            <v>Olympiacos Piraeus</v>
          </cell>
          <cell r="E571" t="str">
            <v>Maccabi Playtika Tel Aviv</v>
          </cell>
          <cell r="F571">
            <v>45244</v>
          </cell>
          <cell r="G571" t="str">
            <v>A</v>
          </cell>
          <cell r="H571" t="str">
            <v>MTA</v>
          </cell>
          <cell r="I571" t="str">
            <v>8.OLY</v>
          </cell>
          <cell r="J571" t="str">
            <v>8.MTA</v>
          </cell>
        </row>
        <row r="572">
          <cell r="B572" t="str">
            <v>OLY</v>
          </cell>
          <cell r="C572">
            <v>9</v>
          </cell>
          <cell r="D572" t="str">
            <v>Olympiacos Piraeus</v>
          </cell>
          <cell r="E572" t="str">
            <v>Crvena Zvezda Meridianbet Belgrade</v>
          </cell>
          <cell r="F572">
            <v>45246</v>
          </cell>
          <cell r="G572" t="str">
            <v>H</v>
          </cell>
          <cell r="H572" t="str">
            <v>CZB</v>
          </cell>
          <cell r="I572" t="str">
            <v>9.OLY</v>
          </cell>
          <cell r="J572" t="str">
            <v>9.CZB</v>
          </cell>
        </row>
        <row r="573">
          <cell r="B573" t="str">
            <v>OLY</v>
          </cell>
          <cell r="C573">
            <v>10</v>
          </cell>
          <cell r="D573" t="str">
            <v>Olympiacos Piraeus</v>
          </cell>
          <cell r="E573" t="str">
            <v>Zalgiris Kaunas</v>
          </cell>
          <cell r="F573">
            <v>45254</v>
          </cell>
          <cell r="G573" t="str">
            <v>H</v>
          </cell>
          <cell r="H573" t="str">
            <v>ZAL</v>
          </cell>
          <cell r="I573" t="str">
            <v>10.OLY</v>
          </cell>
          <cell r="J573" t="str">
            <v>10.ZAL</v>
          </cell>
        </row>
        <row r="574">
          <cell r="B574" t="str">
            <v>OLY</v>
          </cell>
          <cell r="C574">
            <v>11</v>
          </cell>
          <cell r="D574" t="str">
            <v>Olympiacos Piraeus</v>
          </cell>
          <cell r="E574" t="str">
            <v>AS Monaco</v>
          </cell>
          <cell r="F574">
            <v>45260</v>
          </cell>
          <cell r="G574" t="str">
            <v>A</v>
          </cell>
          <cell r="H574" t="str">
            <v>ASM</v>
          </cell>
          <cell r="I574" t="str">
            <v>11.OLY</v>
          </cell>
          <cell r="J574" t="str">
            <v>11.ASM</v>
          </cell>
        </row>
        <row r="575">
          <cell r="B575" t="str">
            <v>OLY</v>
          </cell>
          <cell r="C575">
            <v>12</v>
          </cell>
          <cell r="D575" t="str">
            <v>Olympiacos Piraeus</v>
          </cell>
          <cell r="E575" t="str">
            <v>Real Madrid</v>
          </cell>
          <cell r="F575">
            <v>45265</v>
          </cell>
          <cell r="G575" t="str">
            <v>H</v>
          </cell>
          <cell r="H575" t="str">
            <v>RMB</v>
          </cell>
          <cell r="I575" t="str">
            <v>12.OLY</v>
          </cell>
          <cell r="J575" t="str">
            <v>12.RMB</v>
          </cell>
        </row>
        <row r="576">
          <cell r="B576" t="str">
            <v>OLY</v>
          </cell>
          <cell r="C576">
            <v>13</v>
          </cell>
          <cell r="D576" t="str">
            <v>Olympiacos Piraeus</v>
          </cell>
          <cell r="E576" t="str">
            <v>FC Bayern Munich</v>
          </cell>
          <cell r="F576">
            <v>45268</v>
          </cell>
          <cell r="G576" t="str">
            <v>H</v>
          </cell>
          <cell r="H576" t="str">
            <v>BAY</v>
          </cell>
          <cell r="I576" t="str">
            <v>13.OLY</v>
          </cell>
          <cell r="J576" t="str">
            <v>13.BAY</v>
          </cell>
        </row>
        <row r="577">
          <cell r="B577" t="str">
            <v>OLY</v>
          </cell>
          <cell r="C577">
            <v>14</v>
          </cell>
          <cell r="D577" t="str">
            <v>Olympiacos Piraeus</v>
          </cell>
          <cell r="E577" t="str">
            <v>Valencia Basket</v>
          </cell>
          <cell r="F577">
            <v>45275</v>
          </cell>
          <cell r="G577" t="str">
            <v>H</v>
          </cell>
          <cell r="H577" t="str">
            <v>VAL</v>
          </cell>
          <cell r="I577" t="str">
            <v>14.OLY</v>
          </cell>
          <cell r="J577" t="str">
            <v>14.VAL</v>
          </cell>
        </row>
        <row r="578">
          <cell r="B578" t="str">
            <v>OLY</v>
          </cell>
          <cell r="C578">
            <v>15</v>
          </cell>
          <cell r="D578" t="str">
            <v>Olympiacos Piraeus</v>
          </cell>
          <cell r="E578" t="str">
            <v>Virtus Segafredo Bologna</v>
          </cell>
          <cell r="F578">
            <v>45279</v>
          </cell>
          <cell r="G578" t="str">
            <v>A</v>
          </cell>
          <cell r="H578" t="str">
            <v>VIR</v>
          </cell>
          <cell r="I578" t="str">
            <v>15.OLY</v>
          </cell>
          <cell r="J578" t="str">
            <v>15.VIR</v>
          </cell>
        </row>
        <row r="579">
          <cell r="B579" t="str">
            <v>OLY</v>
          </cell>
          <cell r="C579">
            <v>16</v>
          </cell>
          <cell r="D579" t="str">
            <v>Olympiacos Piraeus</v>
          </cell>
          <cell r="E579" t="str">
            <v>LDLC ASVEL Villeurbanne</v>
          </cell>
          <cell r="F579">
            <v>45282</v>
          </cell>
          <cell r="G579" t="str">
            <v>A</v>
          </cell>
          <cell r="H579" t="str">
            <v>ASV</v>
          </cell>
          <cell r="I579" t="str">
            <v>16.OLY</v>
          </cell>
          <cell r="J579" t="str">
            <v>16.ASV</v>
          </cell>
        </row>
        <row r="580">
          <cell r="B580" t="str">
            <v>OLY</v>
          </cell>
          <cell r="C580">
            <v>17</v>
          </cell>
          <cell r="D580" t="str">
            <v>Olympiacos Piraeus</v>
          </cell>
          <cell r="E580" t="str">
            <v>ALBA Berlin</v>
          </cell>
          <cell r="F580">
            <v>45289</v>
          </cell>
          <cell r="G580" t="str">
            <v>A</v>
          </cell>
          <cell r="H580" t="str">
            <v>BER</v>
          </cell>
          <cell r="I580" t="str">
            <v>17.OLY</v>
          </cell>
          <cell r="J580" t="str">
            <v>17.BER</v>
          </cell>
        </row>
        <row r="581">
          <cell r="B581" t="str">
            <v>OLY</v>
          </cell>
          <cell r="C581">
            <v>18</v>
          </cell>
          <cell r="D581" t="str">
            <v>Olympiacos Piraeus</v>
          </cell>
          <cell r="E581" t="str">
            <v>EA7 Emporio Armani Milan</v>
          </cell>
          <cell r="F581">
            <v>45293</v>
          </cell>
          <cell r="G581" t="str">
            <v>H</v>
          </cell>
          <cell r="H581" t="str">
            <v>MIL</v>
          </cell>
          <cell r="I581" t="str">
            <v>18.OLY</v>
          </cell>
          <cell r="J581" t="str">
            <v>18.MIL</v>
          </cell>
        </row>
        <row r="582">
          <cell r="B582" t="str">
            <v>OLY</v>
          </cell>
          <cell r="C582">
            <v>19</v>
          </cell>
          <cell r="D582" t="str">
            <v>Olympiacos Piraeus</v>
          </cell>
          <cell r="E582" t="str">
            <v>AS Monaco</v>
          </cell>
          <cell r="F582">
            <v>45295</v>
          </cell>
          <cell r="G582" t="str">
            <v>H</v>
          </cell>
          <cell r="H582" t="str">
            <v>ASM</v>
          </cell>
          <cell r="I582" t="str">
            <v>19.OLY</v>
          </cell>
          <cell r="J582" t="str">
            <v>19.ASM</v>
          </cell>
        </row>
        <row r="583">
          <cell r="B583" t="str">
            <v>OLY</v>
          </cell>
          <cell r="C583">
            <v>20</v>
          </cell>
          <cell r="D583" t="str">
            <v>Olympiacos Piraeus</v>
          </cell>
          <cell r="E583" t="str">
            <v>FC Barcelona</v>
          </cell>
          <cell r="F583">
            <v>45301</v>
          </cell>
          <cell r="G583" t="str">
            <v>A</v>
          </cell>
          <cell r="H583" t="str">
            <v>FCB</v>
          </cell>
          <cell r="I583" t="str">
            <v>20.OLY</v>
          </cell>
          <cell r="J583" t="str">
            <v>20.FCB</v>
          </cell>
        </row>
        <row r="584">
          <cell r="B584" t="str">
            <v>OLY</v>
          </cell>
          <cell r="C584">
            <v>21</v>
          </cell>
          <cell r="D584" t="str">
            <v>Olympiacos Piraeus</v>
          </cell>
          <cell r="E584" t="str">
            <v>Baskonia Vitoria-Gasteiz</v>
          </cell>
          <cell r="F584">
            <v>45303</v>
          </cell>
          <cell r="G584" t="str">
            <v>A</v>
          </cell>
          <cell r="H584" t="str">
            <v>BAS</v>
          </cell>
          <cell r="I584" t="str">
            <v>21.OLY</v>
          </cell>
          <cell r="J584" t="str">
            <v>21.BAS</v>
          </cell>
        </row>
        <row r="585">
          <cell r="B585" t="str">
            <v>OLY</v>
          </cell>
          <cell r="C585">
            <v>22</v>
          </cell>
          <cell r="D585" t="str">
            <v>Olympiacos Piraeus</v>
          </cell>
          <cell r="E585" t="str">
            <v>Maccabi Playtika Tel Aviv</v>
          </cell>
          <cell r="F585">
            <v>45309</v>
          </cell>
          <cell r="G585" t="str">
            <v>H</v>
          </cell>
          <cell r="H585" t="str">
            <v>MTA</v>
          </cell>
          <cell r="I585" t="str">
            <v>22.OLY</v>
          </cell>
          <cell r="J585" t="str">
            <v>22.MTA</v>
          </cell>
        </row>
        <row r="586">
          <cell r="B586" t="str">
            <v>OLY</v>
          </cell>
          <cell r="C586">
            <v>23</v>
          </cell>
          <cell r="D586" t="str">
            <v>Olympiacos Piraeus</v>
          </cell>
          <cell r="E586" t="str">
            <v>Real Madrid</v>
          </cell>
          <cell r="F586">
            <v>45316</v>
          </cell>
          <cell r="G586" t="str">
            <v>A</v>
          </cell>
          <cell r="H586" t="str">
            <v>RMB</v>
          </cell>
          <cell r="I586" t="str">
            <v>23.OLY</v>
          </cell>
          <cell r="J586" t="str">
            <v>23.RMB</v>
          </cell>
        </row>
        <row r="587">
          <cell r="B587" t="str">
            <v>OLY</v>
          </cell>
          <cell r="C587">
            <v>24</v>
          </cell>
          <cell r="D587" t="str">
            <v>Olympiacos Piraeus</v>
          </cell>
          <cell r="E587" t="str">
            <v>ALBA Berlin</v>
          </cell>
          <cell r="F587">
            <v>45321</v>
          </cell>
          <cell r="G587" t="str">
            <v>H</v>
          </cell>
          <cell r="H587" t="str">
            <v>BER</v>
          </cell>
          <cell r="I587" t="str">
            <v>24.OLY</v>
          </cell>
          <cell r="J587" t="str">
            <v>24.BER</v>
          </cell>
        </row>
        <row r="588">
          <cell r="B588" t="str">
            <v>OLY</v>
          </cell>
          <cell r="C588">
            <v>25</v>
          </cell>
          <cell r="D588" t="str">
            <v>Olympiacos Piraeus</v>
          </cell>
          <cell r="E588" t="str">
            <v>FC Bayern Munich</v>
          </cell>
          <cell r="F588">
            <v>45323</v>
          </cell>
          <cell r="G588" t="str">
            <v>A</v>
          </cell>
          <cell r="H588" t="str">
            <v>BAY</v>
          </cell>
          <cell r="I588" t="str">
            <v>25.OLY</v>
          </cell>
          <cell r="J588" t="str">
            <v>25.BAY</v>
          </cell>
        </row>
        <row r="589">
          <cell r="B589" t="str">
            <v>OLY</v>
          </cell>
          <cell r="C589">
            <v>26</v>
          </cell>
          <cell r="D589" t="str">
            <v>Olympiacos Piraeus</v>
          </cell>
          <cell r="E589" t="str">
            <v>Valencia Basket</v>
          </cell>
          <cell r="F589">
            <v>45330</v>
          </cell>
          <cell r="G589" t="str">
            <v>A</v>
          </cell>
          <cell r="H589" t="str">
            <v>VAL</v>
          </cell>
          <cell r="I589" t="str">
            <v>26.OLY</v>
          </cell>
          <cell r="J589" t="str">
            <v>26.VAL</v>
          </cell>
        </row>
        <row r="590">
          <cell r="B590" t="str">
            <v>OLY</v>
          </cell>
          <cell r="C590">
            <v>27</v>
          </cell>
          <cell r="D590" t="str">
            <v>Olympiacos Piraeus</v>
          </cell>
          <cell r="E590" t="str">
            <v>Zalgiris Kaunas</v>
          </cell>
          <cell r="F590">
            <v>45352</v>
          </cell>
          <cell r="G590" t="str">
            <v>A</v>
          </cell>
          <cell r="H590" t="str">
            <v>ZAL</v>
          </cell>
          <cell r="I590" t="str">
            <v>27.OLY</v>
          </cell>
          <cell r="J590" t="str">
            <v>27.ZAL</v>
          </cell>
        </row>
        <row r="591">
          <cell r="B591" t="str">
            <v>OLY</v>
          </cell>
          <cell r="C591">
            <v>28</v>
          </cell>
          <cell r="D591" t="str">
            <v>Olympiacos Piraeus</v>
          </cell>
          <cell r="E591" t="str">
            <v>Virtus Segafredo Bologna</v>
          </cell>
          <cell r="F591">
            <v>45358</v>
          </cell>
          <cell r="G591" t="str">
            <v>H</v>
          </cell>
          <cell r="H591" t="str">
            <v>VIR</v>
          </cell>
          <cell r="I591" t="str">
            <v>28.OLY</v>
          </cell>
          <cell r="J591" t="str">
            <v>28.VIR</v>
          </cell>
        </row>
        <row r="592">
          <cell r="B592" t="str">
            <v>OLY</v>
          </cell>
          <cell r="C592">
            <v>29</v>
          </cell>
          <cell r="D592" t="str">
            <v>Olympiacos Piraeus</v>
          </cell>
          <cell r="E592" t="str">
            <v>Panathinaikos Athens</v>
          </cell>
          <cell r="F592">
            <v>45365</v>
          </cell>
          <cell r="G592" t="str">
            <v>H</v>
          </cell>
          <cell r="H592" t="str">
            <v>PAN</v>
          </cell>
          <cell r="I592" t="str">
            <v>29.OLY</v>
          </cell>
          <cell r="J592" t="str">
            <v>29.PAN</v>
          </cell>
        </row>
        <row r="593">
          <cell r="B593" t="str">
            <v>OLY</v>
          </cell>
          <cell r="C593">
            <v>30</v>
          </cell>
          <cell r="D593" t="str">
            <v>Olympiacos Piraeus</v>
          </cell>
          <cell r="E593" t="str">
            <v>Anadolu Efes Istanbul</v>
          </cell>
          <cell r="F593">
            <v>45370</v>
          </cell>
          <cell r="G593" t="str">
            <v>A</v>
          </cell>
          <cell r="H593" t="str">
            <v>EFE</v>
          </cell>
          <cell r="I593" t="str">
            <v>30.OLY</v>
          </cell>
          <cell r="J593" t="str">
            <v>30.EFE</v>
          </cell>
        </row>
        <row r="594">
          <cell r="B594" t="str">
            <v>OLY</v>
          </cell>
          <cell r="C594">
            <v>31</v>
          </cell>
          <cell r="D594" t="str">
            <v>Olympiacos Piraeus</v>
          </cell>
          <cell r="E594" t="str">
            <v>LDLC ASVEL Villeurbanne</v>
          </cell>
          <cell r="F594">
            <v>45372</v>
          </cell>
          <cell r="G594" t="str">
            <v>H</v>
          </cell>
          <cell r="H594" t="str">
            <v>ASV</v>
          </cell>
          <cell r="I594" t="str">
            <v>31.OLY</v>
          </cell>
          <cell r="J594" t="str">
            <v>31.ASV</v>
          </cell>
        </row>
        <row r="595">
          <cell r="B595" t="str">
            <v>OLY</v>
          </cell>
          <cell r="C595">
            <v>32</v>
          </cell>
          <cell r="D595" t="str">
            <v>Olympiacos Piraeus</v>
          </cell>
          <cell r="E595" t="str">
            <v>Partizan Mozzart Bet Belgrade</v>
          </cell>
          <cell r="F595">
            <v>45379</v>
          </cell>
          <cell r="G595" t="str">
            <v>A</v>
          </cell>
          <cell r="H595" t="str">
            <v>PAR</v>
          </cell>
          <cell r="I595" t="str">
            <v>32.OLY</v>
          </cell>
          <cell r="J595" t="str">
            <v>32.PAR</v>
          </cell>
        </row>
        <row r="596">
          <cell r="B596" t="str">
            <v>OLY</v>
          </cell>
          <cell r="C596">
            <v>33</v>
          </cell>
          <cell r="D596" t="str">
            <v>Olympiacos Piraeus</v>
          </cell>
          <cell r="E596" t="str">
            <v>Crvena Zvezda Meridianbet Belgrade</v>
          </cell>
          <cell r="F596">
            <v>45386</v>
          </cell>
          <cell r="G596" t="str">
            <v>A</v>
          </cell>
          <cell r="H596" t="str">
            <v>CZB</v>
          </cell>
          <cell r="I596" t="str">
            <v>33.OLY</v>
          </cell>
          <cell r="J596" t="str">
            <v>33.CZB</v>
          </cell>
        </row>
        <row r="597">
          <cell r="B597" t="str">
            <v>OLY</v>
          </cell>
          <cell r="C597">
            <v>34</v>
          </cell>
          <cell r="D597" t="str">
            <v>Olympiacos Piraeus</v>
          </cell>
          <cell r="E597" t="str">
            <v>Fenerbahce Beko Istanbul</v>
          </cell>
          <cell r="F597">
            <v>45394</v>
          </cell>
          <cell r="G597" t="str">
            <v>H</v>
          </cell>
          <cell r="H597" t="str">
            <v>FEN</v>
          </cell>
          <cell r="I597" t="str">
            <v>34.OLY</v>
          </cell>
          <cell r="J597" t="str">
            <v>34.FEN</v>
          </cell>
        </row>
        <row r="598">
          <cell r="B598" t="str">
            <v>OLY</v>
          </cell>
          <cell r="C598">
            <v>35</v>
          </cell>
          <cell r="D598" t="str">
            <v>Olympiacos Piraeus</v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</row>
        <row r="599">
          <cell r="B599" t="str">
            <v>OLY</v>
          </cell>
          <cell r="C599">
            <v>36</v>
          </cell>
          <cell r="D599" t="str">
            <v>Olympiacos Piraeus</v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</row>
        <row r="600">
          <cell r="B600" t="str">
            <v>OLY</v>
          </cell>
          <cell r="C600">
            <v>37</v>
          </cell>
          <cell r="D600" t="str">
            <v>Olympiacos Piraeus</v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</row>
        <row r="601">
          <cell r="B601" t="str">
            <v>OLY</v>
          </cell>
          <cell r="C601">
            <v>38</v>
          </cell>
          <cell r="D601" t="str">
            <v>Olympiacos Piraeus</v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</row>
        <row r="602">
          <cell r="B602" t="str">
            <v>OLY</v>
          </cell>
          <cell r="C602">
            <v>39</v>
          </cell>
          <cell r="D602" t="str">
            <v>Olympiacos Piraeus</v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</row>
        <row r="603">
          <cell r="B603" t="str">
            <v>OLY</v>
          </cell>
          <cell r="C603">
            <v>40</v>
          </cell>
          <cell r="D603" t="str">
            <v>Olympiacos Piraeus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</row>
        <row r="604">
          <cell r="B604" t="str">
            <v>OLY</v>
          </cell>
          <cell r="C604">
            <v>41</v>
          </cell>
          <cell r="D604" t="str">
            <v>Olympiacos Piraeus</v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</row>
        <row r="605">
          <cell r="B605" t="str">
            <v>OLY</v>
          </cell>
          <cell r="C605">
            <v>42</v>
          </cell>
          <cell r="D605" t="str">
            <v>Olympiacos Piraeus</v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</row>
        <row r="606">
          <cell r="B606" t="str">
            <v>OLY</v>
          </cell>
          <cell r="C606">
            <v>43</v>
          </cell>
          <cell r="D606" t="str">
            <v>Olympiacos Piraeus</v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</row>
        <row r="607">
          <cell r="B607" t="str">
            <v>OLY</v>
          </cell>
          <cell r="C607">
            <v>44</v>
          </cell>
          <cell r="D607" t="str">
            <v>Olympiacos Piraeus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</row>
        <row r="608">
          <cell r="B608" t="str">
            <v>OLY</v>
          </cell>
          <cell r="C608">
            <v>45</v>
          </cell>
          <cell r="D608" t="str">
            <v>Olympiacos Piraeus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</row>
        <row r="609">
          <cell r="B609" t="str">
            <v>OLY</v>
          </cell>
          <cell r="C609">
            <v>46</v>
          </cell>
          <cell r="D609" t="str">
            <v>Olympiacos Piraeus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</row>
        <row r="610">
          <cell r="B610" t="str">
            <v>OLY</v>
          </cell>
          <cell r="C610">
            <v>47</v>
          </cell>
          <cell r="D610" t="str">
            <v>Olympiacos Piraeus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</row>
        <row r="611">
          <cell r="B611" t="str">
            <v>OLY</v>
          </cell>
          <cell r="C611">
            <v>48</v>
          </cell>
          <cell r="D611" t="str">
            <v>Olympiacos Piraeus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</row>
        <row r="612">
          <cell r="B612" t="str">
            <v>OLY</v>
          </cell>
          <cell r="C612">
            <v>49</v>
          </cell>
          <cell r="D612" t="str">
            <v>Olympiacos Piraeus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</row>
        <row r="613">
          <cell r="B613" t="str">
            <v>OLY</v>
          </cell>
          <cell r="C613">
            <v>50</v>
          </cell>
          <cell r="D613" t="str">
            <v>Olympiacos Piraeus</v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</row>
        <row r="614">
          <cell r="B614" t="str">
            <v>OLY</v>
          </cell>
          <cell r="C614">
            <v>51</v>
          </cell>
          <cell r="D614" t="str">
            <v>Olympiacos Piraeus</v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</row>
        <row r="615">
          <cell r="B615" t="str">
            <v>PAN</v>
          </cell>
          <cell r="C615">
            <v>1</v>
          </cell>
          <cell r="D615" t="str">
            <v>Panathinaikos Athens</v>
          </cell>
          <cell r="E615" t="str">
            <v>Olympiacos Piraeus</v>
          </cell>
          <cell r="F615">
            <v>45205</v>
          </cell>
          <cell r="G615" t="str">
            <v>H</v>
          </cell>
          <cell r="H615" t="str">
            <v>OLY</v>
          </cell>
          <cell r="I615" t="str">
            <v>1.PAN</v>
          </cell>
          <cell r="J615" t="str">
            <v>1.OLY</v>
          </cell>
        </row>
        <row r="616">
          <cell r="B616" t="str">
            <v>PAN</v>
          </cell>
          <cell r="C616">
            <v>2</v>
          </cell>
          <cell r="D616" t="str">
            <v>Panathinaikos Athens</v>
          </cell>
          <cell r="E616" t="str">
            <v>FC Bayern Munich</v>
          </cell>
          <cell r="F616">
            <v>45211</v>
          </cell>
          <cell r="G616" t="str">
            <v>H</v>
          </cell>
          <cell r="H616" t="str">
            <v>BAY</v>
          </cell>
          <cell r="I616" t="str">
            <v>2.PAN</v>
          </cell>
          <cell r="J616" t="str">
            <v>2.BAY</v>
          </cell>
        </row>
        <row r="617">
          <cell r="B617" t="str">
            <v>PAN</v>
          </cell>
          <cell r="C617">
            <v>3</v>
          </cell>
          <cell r="D617" t="str">
            <v>Panathinaikos Athens</v>
          </cell>
          <cell r="E617" t="str">
            <v>Fenerbahce Beko Istanbul</v>
          </cell>
          <cell r="F617">
            <v>45216</v>
          </cell>
          <cell r="G617" t="str">
            <v>A</v>
          </cell>
          <cell r="H617" t="str">
            <v>FEN</v>
          </cell>
          <cell r="I617" t="str">
            <v>3.PAN</v>
          </cell>
          <cell r="J617" t="str">
            <v>3.FEN</v>
          </cell>
        </row>
        <row r="618">
          <cell r="B618" t="str">
            <v>PAN</v>
          </cell>
          <cell r="C618">
            <v>4</v>
          </cell>
          <cell r="D618" t="str">
            <v>Panathinaikos Athens</v>
          </cell>
          <cell r="E618" t="str">
            <v>Maccabi Playtika Tel Aviv</v>
          </cell>
          <cell r="F618">
            <v>45219</v>
          </cell>
          <cell r="G618" t="str">
            <v>H</v>
          </cell>
          <cell r="H618" t="str">
            <v>MTA</v>
          </cell>
          <cell r="I618" t="str">
            <v>4.PAN</v>
          </cell>
          <cell r="J618" t="str">
            <v>4.MTA</v>
          </cell>
        </row>
        <row r="619">
          <cell r="B619" t="str">
            <v>PAN</v>
          </cell>
          <cell r="C619">
            <v>5</v>
          </cell>
          <cell r="D619" t="str">
            <v>Panathinaikos Athens</v>
          </cell>
          <cell r="E619" t="str">
            <v>Baskonia Vitoria-Gasteiz</v>
          </cell>
          <cell r="F619">
            <v>45226</v>
          </cell>
          <cell r="G619" t="str">
            <v>H</v>
          </cell>
          <cell r="H619" t="str">
            <v>BAS</v>
          </cell>
          <cell r="I619" t="str">
            <v>5.PAN</v>
          </cell>
          <cell r="J619" t="str">
            <v>5.BAS</v>
          </cell>
        </row>
        <row r="620">
          <cell r="B620" t="str">
            <v>PAN</v>
          </cell>
          <cell r="C620">
            <v>6</v>
          </cell>
          <cell r="D620" t="str">
            <v>Panathinaikos Athens</v>
          </cell>
          <cell r="E620" t="str">
            <v>FC Barcelona</v>
          </cell>
          <cell r="F620">
            <v>45233</v>
          </cell>
          <cell r="G620" t="str">
            <v>A</v>
          </cell>
          <cell r="H620" t="str">
            <v>FCB</v>
          </cell>
          <cell r="I620" t="str">
            <v>6.PAN</v>
          </cell>
          <cell r="J620" t="str">
            <v>6.FCB</v>
          </cell>
        </row>
        <row r="621">
          <cell r="B621" t="str">
            <v>PAN</v>
          </cell>
          <cell r="C621">
            <v>7</v>
          </cell>
          <cell r="D621" t="str">
            <v>Panathinaikos Athens</v>
          </cell>
          <cell r="E621" t="str">
            <v>ALBA Berlin</v>
          </cell>
          <cell r="F621">
            <v>45240</v>
          </cell>
          <cell r="G621" t="str">
            <v>A</v>
          </cell>
          <cell r="H621" t="str">
            <v>BER</v>
          </cell>
          <cell r="I621" t="str">
            <v>7.PAN</v>
          </cell>
          <cell r="J621" t="str">
            <v>7.BER</v>
          </cell>
        </row>
        <row r="622">
          <cell r="B622" t="str">
            <v>PAN</v>
          </cell>
          <cell r="C622">
            <v>8</v>
          </cell>
          <cell r="D622" t="str">
            <v>Panathinaikos Athens</v>
          </cell>
          <cell r="E622" t="str">
            <v>Zalgiris Kaunas</v>
          </cell>
          <cell r="F622">
            <v>45245</v>
          </cell>
          <cell r="G622" t="str">
            <v>H</v>
          </cell>
          <cell r="H622" t="str">
            <v>ZAL</v>
          </cell>
          <cell r="I622" t="str">
            <v>8.PAN</v>
          </cell>
          <cell r="J622" t="str">
            <v>8.ZAL</v>
          </cell>
        </row>
        <row r="623">
          <cell r="B623" t="str">
            <v>PAN</v>
          </cell>
          <cell r="C623">
            <v>9</v>
          </cell>
          <cell r="D623" t="str">
            <v>Panathinaikos Athens</v>
          </cell>
          <cell r="E623" t="str">
            <v>Virtus Segafredo Bologna</v>
          </cell>
          <cell r="F623">
            <v>45247</v>
          </cell>
          <cell r="G623" t="str">
            <v>H</v>
          </cell>
          <cell r="H623" t="str">
            <v>VIR</v>
          </cell>
          <cell r="I623" t="str">
            <v>9.PAN</v>
          </cell>
          <cell r="J623" t="str">
            <v>9.VIR</v>
          </cell>
        </row>
        <row r="624">
          <cell r="B624" t="str">
            <v>PAN</v>
          </cell>
          <cell r="C624">
            <v>10</v>
          </cell>
          <cell r="D624" t="str">
            <v>Panathinaikos Athens</v>
          </cell>
          <cell r="E624" t="str">
            <v>Valencia Basket</v>
          </cell>
          <cell r="F624">
            <v>45253</v>
          </cell>
          <cell r="G624" t="str">
            <v>H</v>
          </cell>
          <cell r="H624" t="str">
            <v>VAL</v>
          </cell>
          <cell r="I624" t="str">
            <v>10.PAN</v>
          </cell>
          <cell r="J624" t="str">
            <v>10.VAL</v>
          </cell>
        </row>
        <row r="625">
          <cell r="B625" t="str">
            <v>PAN</v>
          </cell>
          <cell r="C625">
            <v>11</v>
          </cell>
          <cell r="D625" t="str">
            <v>Panathinaikos Athens</v>
          </cell>
          <cell r="E625" t="str">
            <v>Partizan Mozzart Bet Belgrade</v>
          </cell>
          <cell r="F625">
            <v>45260</v>
          </cell>
          <cell r="G625" t="str">
            <v>A</v>
          </cell>
          <cell r="H625" t="str">
            <v>PAR</v>
          </cell>
          <cell r="I625" t="str">
            <v>11.PAN</v>
          </cell>
          <cell r="J625" t="str">
            <v>11.PAR</v>
          </cell>
        </row>
        <row r="626">
          <cell r="B626" t="str">
            <v>PAN</v>
          </cell>
          <cell r="C626">
            <v>12</v>
          </cell>
          <cell r="D626" t="str">
            <v>Panathinaikos Athens</v>
          </cell>
          <cell r="E626" t="str">
            <v>Anadolu Efes Istanbul</v>
          </cell>
          <cell r="F626">
            <v>45265</v>
          </cell>
          <cell r="G626" t="str">
            <v>A</v>
          </cell>
          <cell r="H626" t="str">
            <v>EFE</v>
          </cell>
          <cell r="I626" t="str">
            <v>12.PAN</v>
          </cell>
          <cell r="J626" t="str">
            <v>12.EFE</v>
          </cell>
        </row>
        <row r="627">
          <cell r="B627" t="str">
            <v>PAN</v>
          </cell>
          <cell r="C627">
            <v>13</v>
          </cell>
          <cell r="D627" t="str">
            <v>Panathinaikos Athens</v>
          </cell>
          <cell r="E627" t="str">
            <v>Real Madrid</v>
          </cell>
          <cell r="F627">
            <v>45267</v>
          </cell>
          <cell r="G627" t="str">
            <v>H</v>
          </cell>
          <cell r="H627" t="str">
            <v>RMB</v>
          </cell>
          <cell r="I627" t="str">
            <v>13.PAN</v>
          </cell>
          <cell r="J627" t="str">
            <v>13.RMB</v>
          </cell>
        </row>
        <row r="628">
          <cell r="B628" t="str">
            <v>PAN</v>
          </cell>
          <cell r="C628">
            <v>14</v>
          </cell>
          <cell r="D628" t="str">
            <v>Panathinaikos Athens</v>
          </cell>
          <cell r="E628" t="str">
            <v>LDLC ASVEL Villeurbanne</v>
          </cell>
          <cell r="F628">
            <v>45274</v>
          </cell>
          <cell r="G628" t="str">
            <v>A</v>
          </cell>
          <cell r="H628" t="str">
            <v>ASV</v>
          </cell>
          <cell r="I628" t="str">
            <v>14.PAN</v>
          </cell>
          <cell r="J628" t="str">
            <v>14.ASV</v>
          </cell>
        </row>
        <row r="629">
          <cell r="B629" t="str">
            <v>PAN</v>
          </cell>
          <cell r="C629">
            <v>15</v>
          </cell>
          <cell r="D629" t="str">
            <v>Panathinaikos Athens</v>
          </cell>
          <cell r="E629" t="str">
            <v>AS Monaco</v>
          </cell>
          <cell r="F629">
            <v>45280</v>
          </cell>
          <cell r="G629" t="str">
            <v>A</v>
          </cell>
          <cell r="H629" t="str">
            <v>ASM</v>
          </cell>
          <cell r="I629" t="str">
            <v>15.PAN</v>
          </cell>
          <cell r="J629" t="str">
            <v>15.ASM</v>
          </cell>
        </row>
        <row r="630">
          <cell r="B630" t="str">
            <v>PAN</v>
          </cell>
          <cell r="C630">
            <v>16</v>
          </cell>
          <cell r="D630" t="str">
            <v>Panathinaikos Athens</v>
          </cell>
          <cell r="E630" t="str">
            <v>EA7 Emporio Armani Milan</v>
          </cell>
          <cell r="F630">
            <v>45282</v>
          </cell>
          <cell r="G630" t="str">
            <v>A</v>
          </cell>
          <cell r="H630" t="str">
            <v>MIL</v>
          </cell>
          <cell r="I630" t="str">
            <v>16.PAN</v>
          </cell>
          <cell r="J630" t="str">
            <v>16.MIL</v>
          </cell>
        </row>
        <row r="631">
          <cell r="B631" t="str">
            <v>PAN</v>
          </cell>
          <cell r="C631">
            <v>17</v>
          </cell>
          <cell r="D631" t="str">
            <v>Panathinaikos Athens</v>
          </cell>
          <cell r="E631" t="str">
            <v>Crvena Zvezda Meridianbet Belgrade</v>
          </cell>
          <cell r="F631">
            <v>45288</v>
          </cell>
          <cell r="G631" t="str">
            <v>H</v>
          </cell>
          <cell r="H631" t="str">
            <v>CZB</v>
          </cell>
          <cell r="I631" t="str">
            <v>17.PAN</v>
          </cell>
          <cell r="J631" t="str">
            <v>17.CZB</v>
          </cell>
        </row>
        <row r="632">
          <cell r="B632" t="str">
            <v>PAN</v>
          </cell>
          <cell r="C632">
            <v>18</v>
          </cell>
          <cell r="D632" t="str">
            <v>Panathinaikos Athens</v>
          </cell>
          <cell r="E632" t="str">
            <v>Baskonia Vitoria-Gasteiz</v>
          </cell>
          <cell r="F632">
            <v>45294</v>
          </cell>
          <cell r="G632" t="str">
            <v>A</v>
          </cell>
          <cell r="H632" t="str">
            <v>BAS</v>
          </cell>
          <cell r="I632" t="str">
            <v>18.PAN</v>
          </cell>
          <cell r="J632" t="str">
            <v>18.BAS</v>
          </cell>
        </row>
        <row r="633">
          <cell r="B633" t="str">
            <v>PAN</v>
          </cell>
          <cell r="C633">
            <v>19</v>
          </cell>
          <cell r="D633" t="str">
            <v>Panathinaikos Athens</v>
          </cell>
          <cell r="E633" t="str">
            <v>Valencia Basket</v>
          </cell>
          <cell r="F633">
            <v>45296</v>
          </cell>
          <cell r="G633" t="str">
            <v>A</v>
          </cell>
          <cell r="H633" t="str">
            <v>VAL</v>
          </cell>
          <cell r="I633" t="str">
            <v>19.PAN</v>
          </cell>
          <cell r="J633" t="str">
            <v>19.VAL</v>
          </cell>
        </row>
        <row r="634">
          <cell r="B634" t="str">
            <v>PAN</v>
          </cell>
          <cell r="C634">
            <v>20</v>
          </cell>
          <cell r="D634" t="str">
            <v>Panathinaikos Athens</v>
          </cell>
          <cell r="E634" t="str">
            <v>Anadolu Efes Istanbul</v>
          </cell>
          <cell r="F634">
            <v>45300</v>
          </cell>
          <cell r="G634" t="str">
            <v>H</v>
          </cell>
          <cell r="H634" t="str">
            <v>EFE</v>
          </cell>
          <cell r="I634" t="str">
            <v>20.PAN</v>
          </cell>
          <cell r="J634" t="str">
            <v>20.EFE</v>
          </cell>
        </row>
        <row r="635">
          <cell r="B635" t="str">
            <v>PAN</v>
          </cell>
          <cell r="C635">
            <v>21</v>
          </cell>
          <cell r="D635" t="str">
            <v>Panathinaikos Athens</v>
          </cell>
          <cell r="E635" t="str">
            <v>AS Monaco</v>
          </cell>
          <cell r="F635">
            <v>45302</v>
          </cell>
          <cell r="G635" t="str">
            <v>H</v>
          </cell>
          <cell r="H635" t="str">
            <v>ASM</v>
          </cell>
          <cell r="I635" t="str">
            <v>21.PAN</v>
          </cell>
          <cell r="J635" t="str">
            <v>21.ASM</v>
          </cell>
        </row>
        <row r="636">
          <cell r="B636" t="str">
            <v>PAN</v>
          </cell>
          <cell r="C636">
            <v>22</v>
          </cell>
          <cell r="D636" t="str">
            <v>Panathinaikos Athens</v>
          </cell>
          <cell r="E636" t="str">
            <v>Partizan Mozzart Bet Belgrade</v>
          </cell>
          <cell r="F636">
            <v>45310</v>
          </cell>
          <cell r="G636" t="str">
            <v>H</v>
          </cell>
          <cell r="H636" t="str">
            <v>PAR</v>
          </cell>
          <cell r="I636" t="str">
            <v>22.PAN</v>
          </cell>
          <cell r="J636" t="str">
            <v>22.PAR</v>
          </cell>
        </row>
        <row r="637">
          <cell r="B637" t="str">
            <v>PAN</v>
          </cell>
          <cell r="C637">
            <v>23</v>
          </cell>
          <cell r="D637" t="str">
            <v>Panathinaikos Athens</v>
          </cell>
          <cell r="E637" t="str">
            <v>Maccabi Playtika Tel Aviv</v>
          </cell>
          <cell r="F637">
            <v>45316</v>
          </cell>
          <cell r="G637" t="str">
            <v>A</v>
          </cell>
          <cell r="H637" t="str">
            <v>MTA</v>
          </cell>
          <cell r="I637" t="str">
            <v>23.PAN</v>
          </cell>
          <cell r="J637" t="str">
            <v>23.MTA</v>
          </cell>
        </row>
        <row r="638">
          <cell r="B638" t="str">
            <v>PAN</v>
          </cell>
          <cell r="C638">
            <v>24</v>
          </cell>
          <cell r="D638" t="str">
            <v>Panathinaikos Athens</v>
          </cell>
          <cell r="E638" t="str">
            <v>EA7 Emporio Armani Milan</v>
          </cell>
          <cell r="F638">
            <v>45322</v>
          </cell>
          <cell r="G638" t="str">
            <v>H</v>
          </cell>
          <cell r="H638" t="str">
            <v>MIL</v>
          </cell>
          <cell r="I638" t="str">
            <v>24.PAN</v>
          </cell>
          <cell r="J638" t="str">
            <v>24.MIL</v>
          </cell>
        </row>
        <row r="639">
          <cell r="B639" t="str">
            <v>PAN</v>
          </cell>
          <cell r="C639">
            <v>25</v>
          </cell>
          <cell r="D639" t="str">
            <v>Panathinaikos Athens</v>
          </cell>
          <cell r="E639" t="str">
            <v>Zalgiris Kaunas</v>
          </cell>
          <cell r="F639">
            <v>45324</v>
          </cell>
          <cell r="G639" t="str">
            <v>A</v>
          </cell>
          <cell r="H639" t="str">
            <v>ZAL</v>
          </cell>
          <cell r="I639" t="str">
            <v>25.PAN</v>
          </cell>
          <cell r="J639" t="str">
            <v>25.ZAL</v>
          </cell>
        </row>
        <row r="640">
          <cell r="B640" t="str">
            <v>PAN</v>
          </cell>
          <cell r="C640">
            <v>26</v>
          </cell>
          <cell r="D640" t="str">
            <v>Panathinaikos Athens</v>
          </cell>
          <cell r="E640" t="str">
            <v>Fenerbahce Beko Istanbul</v>
          </cell>
          <cell r="F640">
            <v>45331</v>
          </cell>
          <cell r="G640" t="str">
            <v>H</v>
          </cell>
          <cell r="H640" t="str">
            <v>FEN</v>
          </cell>
          <cell r="I640" t="str">
            <v>26.PAN</v>
          </cell>
          <cell r="J640" t="str">
            <v>26.FEN</v>
          </cell>
        </row>
        <row r="641">
          <cell r="B641" t="str">
            <v>PAN</v>
          </cell>
          <cell r="C641">
            <v>27</v>
          </cell>
          <cell r="D641" t="str">
            <v>Panathinaikos Athens</v>
          </cell>
          <cell r="E641" t="str">
            <v>Real Madrid</v>
          </cell>
          <cell r="F641">
            <v>45351</v>
          </cell>
          <cell r="G641" t="str">
            <v>A</v>
          </cell>
          <cell r="H641" t="str">
            <v>RMB</v>
          </cell>
          <cell r="I641" t="str">
            <v>27.PAN</v>
          </cell>
          <cell r="J641" t="str">
            <v>27.RMB</v>
          </cell>
        </row>
        <row r="642">
          <cell r="B642" t="str">
            <v>PAN</v>
          </cell>
          <cell r="C642">
            <v>28</v>
          </cell>
          <cell r="D642" t="str">
            <v>Panathinaikos Athens</v>
          </cell>
          <cell r="E642" t="str">
            <v>LDLC ASVEL Villeurbanne</v>
          </cell>
          <cell r="F642">
            <v>45359</v>
          </cell>
          <cell r="G642" t="str">
            <v>H</v>
          </cell>
          <cell r="H642" t="str">
            <v>ASV</v>
          </cell>
          <cell r="I642" t="str">
            <v>28.PAN</v>
          </cell>
          <cell r="J642" t="str">
            <v>28.ASV</v>
          </cell>
        </row>
        <row r="643">
          <cell r="B643" t="str">
            <v>PAN</v>
          </cell>
          <cell r="C643">
            <v>29</v>
          </cell>
          <cell r="D643" t="str">
            <v>Panathinaikos Athens</v>
          </cell>
          <cell r="E643" t="str">
            <v>Olympiacos Piraeus</v>
          </cell>
          <cell r="F643">
            <v>45365</v>
          </cell>
          <cell r="G643" t="str">
            <v>A</v>
          </cell>
          <cell r="H643" t="str">
            <v>OLY</v>
          </cell>
          <cell r="I643" t="str">
            <v>29.PAN</v>
          </cell>
          <cell r="J643" t="str">
            <v>29.OLY</v>
          </cell>
        </row>
        <row r="644">
          <cell r="B644" t="str">
            <v>PAN</v>
          </cell>
          <cell r="C644">
            <v>30</v>
          </cell>
          <cell r="D644" t="str">
            <v>Panathinaikos Athens</v>
          </cell>
          <cell r="E644" t="str">
            <v>Crvena Zvezda Meridianbet Belgrade</v>
          </cell>
          <cell r="F644">
            <v>45371</v>
          </cell>
          <cell r="G644" t="str">
            <v>A</v>
          </cell>
          <cell r="H644" t="str">
            <v>CZB</v>
          </cell>
          <cell r="I644" t="str">
            <v>30.PAN</v>
          </cell>
          <cell r="J644" t="str">
            <v>30.CZB</v>
          </cell>
        </row>
        <row r="645">
          <cell r="B645" t="str">
            <v>PAN</v>
          </cell>
          <cell r="C645">
            <v>31</v>
          </cell>
          <cell r="D645" t="str">
            <v>Panathinaikos Athens</v>
          </cell>
          <cell r="E645" t="str">
            <v>FC Barcelona</v>
          </cell>
          <cell r="F645">
            <v>45373</v>
          </cell>
          <cell r="G645" t="str">
            <v>H</v>
          </cell>
          <cell r="H645" t="str">
            <v>FCB</v>
          </cell>
          <cell r="I645" t="str">
            <v>31.PAN</v>
          </cell>
          <cell r="J645" t="str">
            <v>31.FCB</v>
          </cell>
        </row>
        <row r="646">
          <cell r="B646" t="str">
            <v>PAN</v>
          </cell>
          <cell r="C646">
            <v>32</v>
          </cell>
          <cell r="D646" t="str">
            <v>Panathinaikos Athens</v>
          </cell>
          <cell r="E646" t="str">
            <v>Virtus Segafredo Bologna</v>
          </cell>
          <cell r="F646">
            <v>45380</v>
          </cell>
          <cell r="G646" t="str">
            <v>A</v>
          </cell>
          <cell r="H646" t="str">
            <v>VIR</v>
          </cell>
          <cell r="I646" t="str">
            <v>32.PAN</v>
          </cell>
          <cell r="J646" t="str">
            <v>32.VIR</v>
          </cell>
        </row>
        <row r="647">
          <cell r="B647" t="str">
            <v>PAN</v>
          </cell>
          <cell r="C647">
            <v>33</v>
          </cell>
          <cell r="D647" t="str">
            <v>Panathinaikos Athens</v>
          </cell>
          <cell r="E647" t="str">
            <v>FC Bayern Munich</v>
          </cell>
          <cell r="F647">
            <v>45387</v>
          </cell>
          <cell r="G647" t="str">
            <v>A</v>
          </cell>
          <cell r="H647" t="str">
            <v>BAY</v>
          </cell>
          <cell r="I647" t="str">
            <v>33.PAN</v>
          </cell>
          <cell r="J647" t="str">
            <v>33.BAY</v>
          </cell>
        </row>
        <row r="648">
          <cell r="B648" t="str">
            <v>PAN</v>
          </cell>
          <cell r="C648">
            <v>34</v>
          </cell>
          <cell r="D648" t="str">
            <v>Panathinaikos Athens</v>
          </cell>
          <cell r="E648" t="str">
            <v>ALBA Berlin</v>
          </cell>
          <cell r="F648">
            <v>45393</v>
          </cell>
          <cell r="G648" t="str">
            <v>H</v>
          </cell>
          <cell r="H648" t="str">
            <v>BER</v>
          </cell>
          <cell r="I648" t="str">
            <v>34.PAN</v>
          </cell>
          <cell r="J648" t="str">
            <v>34.BER</v>
          </cell>
        </row>
        <row r="649">
          <cell r="B649" t="str">
            <v>PAN</v>
          </cell>
          <cell r="C649">
            <v>35</v>
          </cell>
          <cell r="D649" t="str">
            <v>Panathinaikos Athens</v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</row>
        <row r="650">
          <cell r="B650" t="str">
            <v>PAN</v>
          </cell>
          <cell r="C650">
            <v>36</v>
          </cell>
          <cell r="D650" t="str">
            <v>Panathinaikos Athens</v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</row>
        <row r="651">
          <cell r="B651" t="str">
            <v>PAN</v>
          </cell>
          <cell r="C651">
            <v>37</v>
          </cell>
          <cell r="D651" t="str">
            <v>Panathinaikos Athens</v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</row>
        <row r="652">
          <cell r="B652" t="str">
            <v>PAN</v>
          </cell>
          <cell r="C652">
            <v>38</v>
          </cell>
          <cell r="D652" t="str">
            <v>Panathinaikos Athens</v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</row>
        <row r="653">
          <cell r="B653" t="str">
            <v>PAN</v>
          </cell>
          <cell r="C653">
            <v>39</v>
          </cell>
          <cell r="D653" t="str">
            <v>Panathinaikos Athens</v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</row>
        <row r="654">
          <cell r="B654" t="str">
            <v>PAN</v>
          </cell>
          <cell r="C654">
            <v>40</v>
          </cell>
          <cell r="D654" t="str">
            <v>Panathinaikos Athens</v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</row>
        <row r="655">
          <cell r="B655" t="str">
            <v>PAN</v>
          </cell>
          <cell r="C655">
            <v>41</v>
          </cell>
          <cell r="D655" t="str">
            <v>Panathinaikos Athens</v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</row>
        <row r="656">
          <cell r="B656" t="str">
            <v>PAN</v>
          </cell>
          <cell r="C656">
            <v>42</v>
          </cell>
          <cell r="D656" t="str">
            <v>Panathinaikos Athens</v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</row>
        <row r="657">
          <cell r="B657" t="str">
            <v>PAN</v>
          </cell>
          <cell r="C657">
            <v>43</v>
          </cell>
          <cell r="D657" t="str">
            <v>Panathinaikos Athens</v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</row>
        <row r="658">
          <cell r="B658" t="str">
            <v>PAN</v>
          </cell>
          <cell r="C658">
            <v>44</v>
          </cell>
          <cell r="D658" t="str">
            <v>Panathinaikos Athens</v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</row>
        <row r="659">
          <cell r="B659" t="str">
            <v>PAN</v>
          </cell>
          <cell r="C659">
            <v>45</v>
          </cell>
          <cell r="D659" t="str">
            <v>Panathinaikos Athens</v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</row>
        <row r="660">
          <cell r="B660" t="str">
            <v>PAN</v>
          </cell>
          <cell r="C660">
            <v>46</v>
          </cell>
          <cell r="D660" t="str">
            <v>Panathinaikos Athens</v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</row>
        <row r="661">
          <cell r="B661" t="str">
            <v>PAN</v>
          </cell>
          <cell r="C661">
            <v>47</v>
          </cell>
          <cell r="D661" t="str">
            <v>Panathinaikos Athens</v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</row>
        <row r="662">
          <cell r="B662" t="str">
            <v>PAN</v>
          </cell>
          <cell r="C662">
            <v>48</v>
          </cell>
          <cell r="D662" t="str">
            <v>Panathinaikos Athens</v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</row>
        <row r="663">
          <cell r="B663" t="str">
            <v>PAN</v>
          </cell>
          <cell r="C663">
            <v>49</v>
          </cell>
          <cell r="D663" t="str">
            <v>Panathinaikos Athens</v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</row>
        <row r="664">
          <cell r="B664" t="str">
            <v>PAN</v>
          </cell>
          <cell r="C664">
            <v>50</v>
          </cell>
          <cell r="D664" t="str">
            <v>Panathinaikos Athens</v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</row>
        <row r="665">
          <cell r="B665" t="str">
            <v>PAN</v>
          </cell>
          <cell r="C665">
            <v>51</v>
          </cell>
          <cell r="D665" t="str">
            <v>Panathinaikos Athens</v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</row>
        <row r="666">
          <cell r="B666" t="str">
            <v>PAR</v>
          </cell>
          <cell r="C666">
            <v>1</v>
          </cell>
          <cell r="D666" t="str">
            <v>Partizan Mozzart Bet Belgrade</v>
          </cell>
          <cell r="E666" t="str">
            <v>Maccabi Playtika Tel Aviv</v>
          </cell>
          <cell r="F666">
            <v>45204</v>
          </cell>
          <cell r="G666" t="str">
            <v>A</v>
          </cell>
          <cell r="H666" t="str">
            <v>MTA</v>
          </cell>
          <cell r="I666" t="str">
            <v>1.PAR</v>
          </cell>
          <cell r="J666" t="str">
            <v>1.MTA</v>
          </cell>
        </row>
        <row r="667">
          <cell r="B667" t="str">
            <v>PAR</v>
          </cell>
          <cell r="C667">
            <v>2</v>
          </cell>
          <cell r="D667" t="str">
            <v>Partizan Mozzart Bet Belgrade</v>
          </cell>
          <cell r="E667" t="str">
            <v>LDLC ASVEL Villeurbanne</v>
          </cell>
          <cell r="F667">
            <v>45211</v>
          </cell>
          <cell r="G667" t="str">
            <v>A</v>
          </cell>
          <cell r="H667" t="str">
            <v>ASV</v>
          </cell>
          <cell r="I667" t="str">
            <v>2.PAR</v>
          </cell>
          <cell r="J667" t="str">
            <v>2.ASV</v>
          </cell>
        </row>
        <row r="668">
          <cell r="B668" t="str">
            <v>PAR</v>
          </cell>
          <cell r="C668">
            <v>3</v>
          </cell>
          <cell r="D668" t="str">
            <v>Partizan Mozzart Bet Belgrade</v>
          </cell>
          <cell r="E668" t="str">
            <v>FC Barcelona</v>
          </cell>
          <cell r="F668">
            <v>45216</v>
          </cell>
          <cell r="G668" t="str">
            <v>H</v>
          </cell>
          <cell r="H668" t="str">
            <v>FCB</v>
          </cell>
          <cell r="I668" t="str">
            <v>3.PAR</v>
          </cell>
          <cell r="J668" t="str">
            <v>3.FCB</v>
          </cell>
        </row>
        <row r="669">
          <cell r="B669" t="str">
            <v>PAR</v>
          </cell>
          <cell r="C669">
            <v>4</v>
          </cell>
          <cell r="D669" t="str">
            <v>Partizan Mozzart Bet Belgrade</v>
          </cell>
          <cell r="E669" t="str">
            <v>Olympiacos Piraeus</v>
          </cell>
          <cell r="F669">
            <v>45218</v>
          </cell>
          <cell r="G669" t="str">
            <v>A</v>
          </cell>
          <cell r="H669" t="str">
            <v>OLY</v>
          </cell>
          <cell r="I669" t="str">
            <v>4.PAR</v>
          </cell>
          <cell r="J669" t="str">
            <v>4.OLY</v>
          </cell>
        </row>
        <row r="670">
          <cell r="B670" t="str">
            <v>PAR</v>
          </cell>
          <cell r="C670">
            <v>5</v>
          </cell>
          <cell r="D670" t="str">
            <v>Partizan Mozzart Bet Belgrade</v>
          </cell>
          <cell r="E670" t="str">
            <v>Crvena Zvezda Meridianbet Belgrade</v>
          </cell>
          <cell r="F670">
            <v>45225</v>
          </cell>
          <cell r="G670" t="str">
            <v>H</v>
          </cell>
          <cell r="H670" t="str">
            <v>CZB</v>
          </cell>
          <cell r="I670" t="str">
            <v>5.PAR</v>
          </cell>
          <cell r="J670" t="str">
            <v>5.CZB</v>
          </cell>
        </row>
        <row r="671">
          <cell r="B671" t="str">
            <v>PAR</v>
          </cell>
          <cell r="C671">
            <v>6</v>
          </cell>
          <cell r="D671" t="str">
            <v>Partizan Mozzart Bet Belgrade</v>
          </cell>
          <cell r="E671" t="str">
            <v>Baskonia Vitoria-Gasteiz</v>
          </cell>
          <cell r="F671">
            <v>45233</v>
          </cell>
          <cell r="G671" t="str">
            <v>A</v>
          </cell>
          <cell r="H671" t="str">
            <v>BAS</v>
          </cell>
          <cell r="I671" t="str">
            <v>6.PAR</v>
          </cell>
          <cell r="J671" t="str">
            <v>6.BAS</v>
          </cell>
        </row>
        <row r="672">
          <cell r="B672" t="str">
            <v>PAR</v>
          </cell>
          <cell r="C672">
            <v>7</v>
          </cell>
          <cell r="D672" t="str">
            <v>Partizan Mozzart Bet Belgrade</v>
          </cell>
          <cell r="E672" t="str">
            <v>Fenerbahce Beko Istanbul</v>
          </cell>
          <cell r="F672">
            <v>45239</v>
          </cell>
          <cell r="G672" t="str">
            <v>H</v>
          </cell>
          <cell r="H672" t="str">
            <v>FEN</v>
          </cell>
          <cell r="I672" t="str">
            <v>7.PAR</v>
          </cell>
          <cell r="J672" t="str">
            <v>7.FEN</v>
          </cell>
        </row>
        <row r="673">
          <cell r="B673" t="str">
            <v>PAR</v>
          </cell>
          <cell r="C673">
            <v>8</v>
          </cell>
          <cell r="D673" t="str">
            <v>Partizan Mozzart Bet Belgrade</v>
          </cell>
          <cell r="E673" t="str">
            <v>FC Bayern Munich</v>
          </cell>
          <cell r="F673">
            <v>45245</v>
          </cell>
          <cell r="G673" t="str">
            <v>A</v>
          </cell>
          <cell r="H673" t="str">
            <v>BAY</v>
          </cell>
          <cell r="I673" t="str">
            <v>8.PAR</v>
          </cell>
          <cell r="J673" t="str">
            <v>8.BAY</v>
          </cell>
        </row>
        <row r="674">
          <cell r="B674" t="str">
            <v>PAR</v>
          </cell>
          <cell r="C674">
            <v>9</v>
          </cell>
          <cell r="D674" t="str">
            <v>Partizan Mozzart Bet Belgrade</v>
          </cell>
          <cell r="E674" t="str">
            <v>ALBA Berlin</v>
          </cell>
          <cell r="F674">
            <v>45247</v>
          </cell>
          <cell r="G674" t="str">
            <v>H</v>
          </cell>
          <cell r="H674" t="str">
            <v>BER</v>
          </cell>
          <cell r="I674" t="str">
            <v>9.PAR</v>
          </cell>
          <cell r="J674" t="str">
            <v>9.BER</v>
          </cell>
        </row>
        <row r="675">
          <cell r="B675" t="str">
            <v>PAR</v>
          </cell>
          <cell r="C675">
            <v>10</v>
          </cell>
          <cell r="D675" t="str">
            <v>Partizan Mozzart Bet Belgrade</v>
          </cell>
          <cell r="E675" t="str">
            <v>Anadolu Efes Istanbul</v>
          </cell>
          <cell r="F675">
            <v>45254</v>
          </cell>
          <cell r="G675" t="str">
            <v>A</v>
          </cell>
          <cell r="H675" t="str">
            <v>EFE</v>
          </cell>
          <cell r="I675" t="str">
            <v>10.PAR</v>
          </cell>
          <cell r="J675" t="str">
            <v>10.EFE</v>
          </cell>
        </row>
        <row r="676">
          <cell r="B676" t="str">
            <v>PAR</v>
          </cell>
          <cell r="C676">
            <v>11</v>
          </cell>
          <cell r="D676" t="str">
            <v>Partizan Mozzart Bet Belgrade</v>
          </cell>
          <cell r="E676" t="str">
            <v>Panathinaikos Athens</v>
          </cell>
          <cell r="F676">
            <v>45260</v>
          </cell>
          <cell r="G676" t="str">
            <v>H</v>
          </cell>
          <cell r="H676" t="str">
            <v>PAN</v>
          </cell>
          <cell r="I676" t="str">
            <v>11.PAR</v>
          </cell>
          <cell r="J676" t="str">
            <v>11.PAN</v>
          </cell>
        </row>
        <row r="677">
          <cell r="B677" t="str">
            <v>PAR</v>
          </cell>
          <cell r="C677">
            <v>12</v>
          </cell>
          <cell r="D677" t="str">
            <v>Partizan Mozzart Bet Belgrade</v>
          </cell>
          <cell r="E677" t="str">
            <v>AS Monaco</v>
          </cell>
          <cell r="F677">
            <v>45265</v>
          </cell>
          <cell r="G677" t="str">
            <v>H</v>
          </cell>
          <cell r="H677" t="str">
            <v>ASM</v>
          </cell>
          <cell r="I677" t="str">
            <v>12.PAR</v>
          </cell>
          <cell r="J677" t="str">
            <v>12.ASM</v>
          </cell>
        </row>
        <row r="678">
          <cell r="B678" t="str">
            <v>PAR</v>
          </cell>
          <cell r="C678">
            <v>13</v>
          </cell>
          <cell r="D678" t="str">
            <v>Partizan Mozzart Bet Belgrade</v>
          </cell>
          <cell r="E678" t="str">
            <v>EA7 Emporio Armani Milan</v>
          </cell>
          <cell r="F678">
            <v>45267</v>
          </cell>
          <cell r="G678" t="str">
            <v>H</v>
          </cell>
          <cell r="H678" t="str">
            <v>MIL</v>
          </cell>
          <cell r="I678" t="str">
            <v>13.PAR</v>
          </cell>
          <cell r="J678" t="str">
            <v>13.MIL</v>
          </cell>
        </row>
        <row r="679">
          <cell r="B679" t="str">
            <v>PAR</v>
          </cell>
          <cell r="C679">
            <v>14</v>
          </cell>
          <cell r="D679" t="str">
            <v>Partizan Mozzart Bet Belgrade</v>
          </cell>
          <cell r="E679" t="str">
            <v>Zalgiris Kaunas</v>
          </cell>
          <cell r="F679">
            <v>45274</v>
          </cell>
          <cell r="G679" t="str">
            <v>A</v>
          </cell>
          <cell r="H679" t="str">
            <v>ZAL</v>
          </cell>
          <cell r="I679" t="str">
            <v>14.PAR</v>
          </cell>
          <cell r="J679" t="str">
            <v>14.ZAL</v>
          </cell>
        </row>
        <row r="680">
          <cell r="B680" t="str">
            <v>PAR</v>
          </cell>
          <cell r="C680">
            <v>15</v>
          </cell>
          <cell r="D680" t="str">
            <v>Partizan Mozzart Bet Belgrade</v>
          </cell>
          <cell r="E680" t="str">
            <v>Valencia Basket</v>
          </cell>
          <cell r="F680">
            <v>45279</v>
          </cell>
          <cell r="G680" t="str">
            <v>A</v>
          </cell>
          <cell r="H680" t="str">
            <v>VAL</v>
          </cell>
          <cell r="I680" t="str">
            <v>15.PAR</v>
          </cell>
          <cell r="J680" t="str">
            <v>15.VAL</v>
          </cell>
        </row>
        <row r="681">
          <cell r="B681" t="str">
            <v>PAR</v>
          </cell>
          <cell r="C681">
            <v>16</v>
          </cell>
          <cell r="D681" t="str">
            <v>Partizan Mozzart Bet Belgrade</v>
          </cell>
          <cell r="E681" t="str">
            <v>Real Madrid</v>
          </cell>
          <cell r="F681">
            <v>45281</v>
          </cell>
          <cell r="G681" t="str">
            <v>A</v>
          </cell>
          <cell r="H681" t="str">
            <v>RMB</v>
          </cell>
          <cell r="I681" t="str">
            <v>16.PAR</v>
          </cell>
          <cell r="J681" t="str">
            <v>16.RMB</v>
          </cell>
        </row>
        <row r="682">
          <cell r="B682" t="str">
            <v>PAR</v>
          </cell>
          <cell r="C682">
            <v>17</v>
          </cell>
          <cell r="D682" t="str">
            <v>Partizan Mozzart Bet Belgrade</v>
          </cell>
          <cell r="E682" t="str">
            <v>Virtus Segafredo Bologna</v>
          </cell>
          <cell r="F682">
            <v>45288</v>
          </cell>
          <cell r="G682" t="str">
            <v>H</v>
          </cell>
          <cell r="H682" t="str">
            <v>VIR</v>
          </cell>
          <cell r="I682" t="str">
            <v>17.PAR</v>
          </cell>
          <cell r="J682" t="str">
            <v>17.VIR</v>
          </cell>
        </row>
        <row r="683">
          <cell r="B683" t="str">
            <v>PAR</v>
          </cell>
          <cell r="C683">
            <v>18</v>
          </cell>
          <cell r="D683" t="str">
            <v>Partizan Mozzart Bet Belgrade</v>
          </cell>
          <cell r="E683" t="str">
            <v>LDLC ASVEL Villeurbanne</v>
          </cell>
          <cell r="F683">
            <v>45293</v>
          </cell>
          <cell r="G683" t="str">
            <v>H</v>
          </cell>
          <cell r="H683" t="str">
            <v>ASV</v>
          </cell>
          <cell r="I683" t="str">
            <v>18.PAR</v>
          </cell>
          <cell r="J683" t="str">
            <v>18.ASV</v>
          </cell>
        </row>
        <row r="684">
          <cell r="B684" t="str">
            <v>PAR</v>
          </cell>
          <cell r="C684">
            <v>19</v>
          </cell>
          <cell r="D684" t="str">
            <v>Partizan Mozzart Bet Belgrade</v>
          </cell>
          <cell r="E684" t="str">
            <v>Crvena Zvezda Meridianbet Belgrade</v>
          </cell>
          <cell r="F684">
            <v>45295</v>
          </cell>
          <cell r="G684" t="str">
            <v>A</v>
          </cell>
          <cell r="H684" t="str">
            <v>CZB</v>
          </cell>
          <cell r="I684" t="str">
            <v>19.PAR</v>
          </cell>
          <cell r="J684" t="str">
            <v>19.CZB</v>
          </cell>
        </row>
        <row r="685">
          <cell r="B685" t="str">
            <v>PAR</v>
          </cell>
          <cell r="C685">
            <v>20</v>
          </cell>
          <cell r="D685" t="str">
            <v>Partizan Mozzart Bet Belgrade</v>
          </cell>
          <cell r="E685" t="str">
            <v>Fenerbahce Beko Istanbul</v>
          </cell>
          <cell r="F685">
            <v>45300</v>
          </cell>
          <cell r="G685" t="str">
            <v>A</v>
          </cell>
          <cell r="H685" t="str">
            <v>FEN</v>
          </cell>
          <cell r="I685" t="str">
            <v>20.PAR</v>
          </cell>
          <cell r="J685" t="str">
            <v>20.FEN</v>
          </cell>
        </row>
        <row r="686">
          <cell r="B686" t="str">
            <v>PAR</v>
          </cell>
          <cell r="C686">
            <v>21</v>
          </cell>
          <cell r="D686" t="str">
            <v>Partizan Mozzart Bet Belgrade</v>
          </cell>
          <cell r="E686" t="str">
            <v>Maccabi Playtika Tel Aviv</v>
          </cell>
          <cell r="F686">
            <v>45303</v>
          </cell>
          <cell r="G686" t="str">
            <v>H</v>
          </cell>
          <cell r="H686" t="str">
            <v>MTA</v>
          </cell>
          <cell r="I686" t="str">
            <v>21.PAR</v>
          </cell>
          <cell r="J686" t="str">
            <v>21.MTA</v>
          </cell>
        </row>
        <row r="687">
          <cell r="B687" t="str">
            <v>PAR</v>
          </cell>
          <cell r="C687">
            <v>22</v>
          </cell>
          <cell r="D687" t="str">
            <v>Partizan Mozzart Bet Belgrade</v>
          </cell>
          <cell r="E687" t="str">
            <v>Panathinaikos Athens</v>
          </cell>
          <cell r="F687">
            <v>45310</v>
          </cell>
          <cell r="G687" t="str">
            <v>A</v>
          </cell>
          <cell r="H687" t="str">
            <v>PAN</v>
          </cell>
          <cell r="I687" t="str">
            <v>22.PAR</v>
          </cell>
          <cell r="J687" t="str">
            <v>22.PAN</v>
          </cell>
        </row>
        <row r="688">
          <cell r="B688" t="str">
            <v>PAR</v>
          </cell>
          <cell r="C688">
            <v>23</v>
          </cell>
          <cell r="D688" t="str">
            <v>Partizan Mozzart Bet Belgrade</v>
          </cell>
          <cell r="E688" t="str">
            <v>Zalgiris Kaunas</v>
          </cell>
          <cell r="F688">
            <v>45317</v>
          </cell>
          <cell r="G688" t="str">
            <v>H</v>
          </cell>
          <cell r="H688" t="str">
            <v>ZAL</v>
          </cell>
          <cell r="I688" t="str">
            <v>23.PAR</v>
          </cell>
          <cell r="J688" t="str">
            <v>23.ZAL</v>
          </cell>
        </row>
        <row r="689">
          <cell r="B689" t="str">
            <v>PAR</v>
          </cell>
          <cell r="C689">
            <v>24</v>
          </cell>
          <cell r="D689" t="str">
            <v>Partizan Mozzart Bet Belgrade</v>
          </cell>
          <cell r="E689" t="str">
            <v>AS Monaco</v>
          </cell>
          <cell r="F689">
            <v>45322</v>
          </cell>
          <cell r="G689" t="str">
            <v>A</v>
          </cell>
          <cell r="H689" t="str">
            <v>ASM</v>
          </cell>
          <cell r="I689" t="str">
            <v>24.PAR</v>
          </cell>
          <cell r="J689" t="str">
            <v>24.ASM</v>
          </cell>
        </row>
        <row r="690">
          <cell r="B690" t="str">
            <v>PAR</v>
          </cell>
          <cell r="C690">
            <v>25</v>
          </cell>
          <cell r="D690" t="str">
            <v>Partizan Mozzart Bet Belgrade</v>
          </cell>
          <cell r="E690" t="str">
            <v>Virtus Segafredo Bologna</v>
          </cell>
          <cell r="F690">
            <v>45324</v>
          </cell>
          <cell r="G690" t="str">
            <v>A</v>
          </cell>
          <cell r="H690" t="str">
            <v>VIR</v>
          </cell>
          <cell r="I690" t="str">
            <v>25.PAR</v>
          </cell>
          <cell r="J690" t="str">
            <v>25.VIR</v>
          </cell>
        </row>
        <row r="691">
          <cell r="B691" t="str">
            <v>PAR</v>
          </cell>
          <cell r="C691">
            <v>26</v>
          </cell>
          <cell r="D691" t="str">
            <v>Partizan Mozzart Bet Belgrade</v>
          </cell>
          <cell r="E691" t="str">
            <v>FC Bayern Munich</v>
          </cell>
          <cell r="F691">
            <v>45330</v>
          </cell>
          <cell r="G691" t="str">
            <v>H</v>
          </cell>
          <cell r="H691" t="str">
            <v>BAY</v>
          </cell>
          <cell r="I691" t="str">
            <v>26.PAR</v>
          </cell>
          <cell r="J691" t="str">
            <v>26.BAY</v>
          </cell>
        </row>
        <row r="692">
          <cell r="B692" t="str">
            <v>PAR</v>
          </cell>
          <cell r="C692">
            <v>27</v>
          </cell>
          <cell r="D692" t="str">
            <v>Partizan Mozzart Bet Belgrade</v>
          </cell>
          <cell r="E692" t="str">
            <v>Anadolu Efes Istanbul</v>
          </cell>
          <cell r="F692">
            <v>45351</v>
          </cell>
          <cell r="G692" t="str">
            <v>H</v>
          </cell>
          <cell r="H692" t="str">
            <v>EFE</v>
          </cell>
          <cell r="I692" t="str">
            <v>27.PAR</v>
          </cell>
          <cell r="J692" t="str">
            <v>27.EFE</v>
          </cell>
        </row>
        <row r="693">
          <cell r="B693" t="str">
            <v>PAR</v>
          </cell>
          <cell r="C693">
            <v>28</v>
          </cell>
          <cell r="D693" t="str">
            <v>Partizan Mozzart Bet Belgrade</v>
          </cell>
          <cell r="E693" t="str">
            <v>EA7 Emporio Armani Milan</v>
          </cell>
          <cell r="F693">
            <v>45359</v>
          </cell>
          <cell r="G693" t="str">
            <v>A</v>
          </cell>
          <cell r="H693" t="str">
            <v>MIL</v>
          </cell>
          <cell r="I693" t="str">
            <v>28.PAR</v>
          </cell>
          <cell r="J693" t="str">
            <v>28.MIL</v>
          </cell>
        </row>
        <row r="694">
          <cell r="B694" t="str">
            <v>PAR</v>
          </cell>
          <cell r="C694">
            <v>29</v>
          </cell>
          <cell r="D694" t="str">
            <v>Partizan Mozzart Bet Belgrade</v>
          </cell>
          <cell r="E694" t="str">
            <v>FC Barcelona</v>
          </cell>
          <cell r="F694">
            <v>45365</v>
          </cell>
          <cell r="G694" t="str">
            <v>A</v>
          </cell>
          <cell r="H694" t="str">
            <v>FCB</v>
          </cell>
          <cell r="I694" t="str">
            <v>29.PAR</v>
          </cell>
          <cell r="J694" t="str">
            <v>29.FCB</v>
          </cell>
        </row>
        <row r="695">
          <cell r="B695" t="str">
            <v>PAR</v>
          </cell>
          <cell r="C695">
            <v>30</v>
          </cell>
          <cell r="D695" t="str">
            <v>Partizan Mozzart Bet Belgrade</v>
          </cell>
          <cell r="E695" t="str">
            <v>Baskonia Vitoria-Gasteiz</v>
          </cell>
          <cell r="F695">
            <v>45370</v>
          </cell>
          <cell r="G695" t="str">
            <v>H</v>
          </cell>
          <cell r="H695" t="str">
            <v>BAS</v>
          </cell>
          <cell r="I695" t="str">
            <v>30.PAR</v>
          </cell>
          <cell r="J695" t="str">
            <v>30.BAS</v>
          </cell>
        </row>
        <row r="696">
          <cell r="B696" t="str">
            <v>PAR</v>
          </cell>
          <cell r="C696">
            <v>31</v>
          </cell>
          <cell r="D696" t="str">
            <v>Partizan Mozzart Bet Belgrade</v>
          </cell>
          <cell r="E696" t="str">
            <v>Real Madrid</v>
          </cell>
          <cell r="F696">
            <v>45372</v>
          </cell>
          <cell r="G696" t="str">
            <v>H</v>
          </cell>
          <cell r="H696" t="str">
            <v>RMB</v>
          </cell>
          <cell r="I696" t="str">
            <v>31.PAR</v>
          </cell>
          <cell r="J696" t="str">
            <v>31.RMB</v>
          </cell>
        </row>
        <row r="697">
          <cell r="B697" t="str">
            <v>PAR</v>
          </cell>
          <cell r="C697">
            <v>32</v>
          </cell>
          <cell r="D697" t="str">
            <v>Partizan Mozzart Bet Belgrade</v>
          </cell>
          <cell r="E697" t="str">
            <v>Olympiacos Piraeus</v>
          </cell>
          <cell r="F697">
            <v>45379</v>
          </cell>
          <cell r="G697" t="str">
            <v>H</v>
          </cell>
          <cell r="H697" t="str">
            <v>OLY</v>
          </cell>
          <cell r="I697" t="str">
            <v>32.PAR</v>
          </cell>
          <cell r="J697" t="str">
            <v>32.OLY</v>
          </cell>
        </row>
        <row r="698">
          <cell r="B698" t="str">
            <v>PAR</v>
          </cell>
          <cell r="C698">
            <v>33</v>
          </cell>
          <cell r="D698" t="str">
            <v>Partizan Mozzart Bet Belgrade</v>
          </cell>
          <cell r="E698" t="str">
            <v>ALBA Berlin</v>
          </cell>
          <cell r="F698">
            <v>45386</v>
          </cell>
          <cell r="G698" t="str">
            <v>A</v>
          </cell>
          <cell r="H698" t="str">
            <v>BER</v>
          </cell>
          <cell r="I698" t="str">
            <v>33.PAR</v>
          </cell>
          <cell r="J698" t="str">
            <v>33.BER</v>
          </cell>
        </row>
        <row r="699">
          <cell r="B699" t="str">
            <v>PAR</v>
          </cell>
          <cell r="C699">
            <v>34</v>
          </cell>
          <cell r="D699" t="str">
            <v>Partizan Mozzart Bet Belgrade</v>
          </cell>
          <cell r="E699" t="str">
            <v>Valencia Basket</v>
          </cell>
          <cell r="F699">
            <v>45394</v>
          </cell>
          <cell r="G699" t="str">
            <v>H</v>
          </cell>
          <cell r="H699" t="str">
            <v>VAL</v>
          </cell>
          <cell r="I699" t="str">
            <v>34.PAR</v>
          </cell>
          <cell r="J699" t="str">
            <v>34.VAL</v>
          </cell>
        </row>
        <row r="700">
          <cell r="B700" t="str">
            <v>PAR</v>
          </cell>
          <cell r="C700">
            <v>35</v>
          </cell>
          <cell r="D700" t="str">
            <v>Partizan Mozzart Bet Belgrade</v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</row>
        <row r="701">
          <cell r="B701" t="str">
            <v>PAR</v>
          </cell>
          <cell r="C701">
            <v>36</v>
          </cell>
          <cell r="D701" t="str">
            <v>Partizan Mozzart Bet Belgrade</v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</row>
        <row r="702">
          <cell r="B702" t="str">
            <v>PAR</v>
          </cell>
          <cell r="C702">
            <v>37</v>
          </cell>
          <cell r="D702" t="str">
            <v>Partizan Mozzart Bet Belgrade</v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</row>
        <row r="703">
          <cell r="B703" t="str">
            <v>PAR</v>
          </cell>
          <cell r="C703">
            <v>38</v>
          </cell>
          <cell r="D703" t="str">
            <v>Partizan Mozzart Bet Belgrade</v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</row>
        <row r="704">
          <cell r="B704" t="str">
            <v>PAR</v>
          </cell>
          <cell r="C704">
            <v>39</v>
          </cell>
          <cell r="D704" t="str">
            <v>Partizan Mozzart Bet Belgrade</v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</row>
        <row r="705">
          <cell r="B705" t="str">
            <v>PAR</v>
          </cell>
          <cell r="C705">
            <v>40</v>
          </cell>
          <cell r="D705" t="str">
            <v>Partizan Mozzart Bet Belgrade</v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</row>
        <row r="706">
          <cell r="B706" t="str">
            <v>PAR</v>
          </cell>
          <cell r="C706">
            <v>41</v>
          </cell>
          <cell r="D706" t="str">
            <v>Partizan Mozzart Bet Belgrade</v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</row>
        <row r="707">
          <cell r="B707" t="str">
            <v>PAR</v>
          </cell>
          <cell r="C707">
            <v>42</v>
          </cell>
          <cell r="D707" t="str">
            <v>Partizan Mozzart Bet Belgrade</v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</row>
        <row r="708">
          <cell r="B708" t="str">
            <v>PAR</v>
          </cell>
          <cell r="C708">
            <v>43</v>
          </cell>
          <cell r="D708" t="str">
            <v>Partizan Mozzart Bet Belgrade</v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</row>
        <row r="709">
          <cell r="B709" t="str">
            <v>PAR</v>
          </cell>
          <cell r="C709">
            <v>44</v>
          </cell>
          <cell r="D709" t="str">
            <v>Partizan Mozzart Bet Belgrade</v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</row>
        <row r="710">
          <cell r="B710" t="str">
            <v>PAR</v>
          </cell>
          <cell r="C710">
            <v>45</v>
          </cell>
          <cell r="D710" t="str">
            <v>Partizan Mozzart Bet Belgrade</v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</row>
        <row r="711">
          <cell r="B711" t="str">
            <v>PAR</v>
          </cell>
          <cell r="C711">
            <v>46</v>
          </cell>
          <cell r="D711" t="str">
            <v>Partizan Mozzart Bet Belgrade</v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</row>
        <row r="712">
          <cell r="B712" t="str">
            <v>PAR</v>
          </cell>
          <cell r="C712">
            <v>47</v>
          </cell>
          <cell r="D712" t="str">
            <v>Partizan Mozzart Bet Belgrade</v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</row>
        <row r="713">
          <cell r="B713" t="str">
            <v>PAR</v>
          </cell>
          <cell r="C713">
            <v>48</v>
          </cell>
          <cell r="D713" t="str">
            <v>Partizan Mozzart Bet Belgrade</v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</row>
        <row r="714">
          <cell r="B714" t="str">
            <v>PAR</v>
          </cell>
          <cell r="C714">
            <v>49</v>
          </cell>
          <cell r="D714" t="str">
            <v>Partizan Mozzart Bet Belgrade</v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</row>
        <row r="715">
          <cell r="B715" t="str">
            <v>PAR</v>
          </cell>
          <cell r="C715">
            <v>50</v>
          </cell>
          <cell r="D715" t="str">
            <v>Partizan Mozzart Bet Belgrade</v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</row>
        <row r="716">
          <cell r="B716" t="str">
            <v>PAR</v>
          </cell>
          <cell r="C716">
            <v>51</v>
          </cell>
          <cell r="D716" t="str">
            <v>Partizan Mozzart Bet Belgrade</v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</row>
        <row r="717">
          <cell r="B717" t="str">
            <v>RMB</v>
          </cell>
          <cell r="C717">
            <v>1</v>
          </cell>
          <cell r="D717" t="str">
            <v>Real Madrid</v>
          </cell>
          <cell r="E717" t="str">
            <v>Baskonia Vitoria-Gasteiz</v>
          </cell>
          <cell r="F717">
            <v>45205</v>
          </cell>
          <cell r="G717" t="str">
            <v>A</v>
          </cell>
          <cell r="H717" t="str">
            <v>BAS</v>
          </cell>
          <cell r="I717" t="str">
            <v>1.RMB</v>
          </cell>
          <cell r="J717" t="str">
            <v>1.BAS</v>
          </cell>
        </row>
        <row r="718">
          <cell r="B718" t="str">
            <v>RMB</v>
          </cell>
          <cell r="C718">
            <v>2</v>
          </cell>
          <cell r="D718" t="str">
            <v>Real Madrid</v>
          </cell>
          <cell r="E718" t="str">
            <v>Anadolu Efes Istanbul</v>
          </cell>
          <cell r="F718">
            <v>45211</v>
          </cell>
          <cell r="G718" t="str">
            <v>A</v>
          </cell>
          <cell r="H718" t="str">
            <v>EFE</v>
          </cell>
          <cell r="I718" t="str">
            <v>2.RMB</v>
          </cell>
          <cell r="J718" t="str">
            <v>2.EFE</v>
          </cell>
        </row>
        <row r="719">
          <cell r="B719" t="str">
            <v>RMB</v>
          </cell>
          <cell r="C719">
            <v>3</v>
          </cell>
          <cell r="D719" t="str">
            <v>Real Madrid</v>
          </cell>
          <cell r="E719" t="str">
            <v>Zalgiris Kaunas</v>
          </cell>
          <cell r="F719">
            <v>45216</v>
          </cell>
          <cell r="G719" t="str">
            <v>H</v>
          </cell>
          <cell r="H719" t="str">
            <v>ZAL</v>
          </cell>
          <cell r="I719" t="str">
            <v>3.RMB</v>
          </cell>
          <cell r="J719" t="str">
            <v>3.ZAL</v>
          </cell>
        </row>
        <row r="720">
          <cell r="B720" t="str">
            <v>RMB</v>
          </cell>
          <cell r="C720">
            <v>4</v>
          </cell>
          <cell r="D720" t="str">
            <v>Real Madrid</v>
          </cell>
          <cell r="E720" t="str">
            <v>EA7 Emporio Armani Milan</v>
          </cell>
          <cell r="F720">
            <v>45218</v>
          </cell>
          <cell r="G720" t="str">
            <v>H</v>
          </cell>
          <cell r="H720" t="str">
            <v>MIL</v>
          </cell>
          <cell r="I720" t="str">
            <v>4.RMB</v>
          </cell>
          <cell r="J720" t="str">
            <v>4.MIL</v>
          </cell>
        </row>
        <row r="721">
          <cell r="B721" t="str">
            <v>RMB</v>
          </cell>
          <cell r="C721">
            <v>5</v>
          </cell>
          <cell r="D721" t="str">
            <v>Real Madrid</v>
          </cell>
          <cell r="E721" t="str">
            <v>FC Barcelona</v>
          </cell>
          <cell r="F721">
            <v>45225</v>
          </cell>
          <cell r="G721" t="str">
            <v>H</v>
          </cell>
          <cell r="H721" t="str">
            <v>FCB</v>
          </cell>
          <cell r="I721" t="str">
            <v>5.RMB</v>
          </cell>
          <cell r="J721" t="str">
            <v>5.FCB</v>
          </cell>
        </row>
        <row r="722">
          <cell r="B722" t="str">
            <v>RMB</v>
          </cell>
          <cell r="C722">
            <v>6</v>
          </cell>
          <cell r="D722" t="str">
            <v>Real Madrid</v>
          </cell>
          <cell r="E722" t="str">
            <v>Maccabi Playtika Tel Aviv</v>
          </cell>
          <cell r="F722">
            <v>45232</v>
          </cell>
          <cell r="G722" t="str">
            <v>A</v>
          </cell>
          <cell r="H722" t="str">
            <v>MTA</v>
          </cell>
          <cell r="I722" t="str">
            <v>6.RMB</v>
          </cell>
          <cell r="J722" t="str">
            <v>6.MTA</v>
          </cell>
        </row>
        <row r="723">
          <cell r="B723" t="str">
            <v>RMB</v>
          </cell>
          <cell r="C723">
            <v>7</v>
          </cell>
          <cell r="D723" t="str">
            <v>Real Madrid</v>
          </cell>
          <cell r="E723" t="str">
            <v>Virtus Segafredo Bologna</v>
          </cell>
          <cell r="F723">
            <v>45239</v>
          </cell>
          <cell r="G723" t="str">
            <v>H</v>
          </cell>
          <cell r="H723" t="str">
            <v>VIR</v>
          </cell>
          <cell r="I723" t="str">
            <v>7.RMB</v>
          </cell>
          <cell r="J723" t="str">
            <v>7.VIR</v>
          </cell>
        </row>
        <row r="724">
          <cell r="B724" t="str">
            <v>RMB</v>
          </cell>
          <cell r="C724">
            <v>8</v>
          </cell>
          <cell r="D724" t="str">
            <v>Real Madrid</v>
          </cell>
          <cell r="E724" t="str">
            <v>Valencia Basket</v>
          </cell>
          <cell r="F724">
            <v>45244</v>
          </cell>
          <cell r="G724" t="str">
            <v>A</v>
          </cell>
          <cell r="H724" t="str">
            <v>VAL</v>
          </cell>
          <cell r="I724" t="str">
            <v>8.RMB</v>
          </cell>
          <cell r="J724" t="str">
            <v>8.VAL</v>
          </cell>
        </row>
        <row r="725">
          <cell r="B725" t="str">
            <v>RMB</v>
          </cell>
          <cell r="C725">
            <v>9</v>
          </cell>
          <cell r="D725" t="str">
            <v>Real Madrid</v>
          </cell>
          <cell r="E725" t="str">
            <v>AS Monaco</v>
          </cell>
          <cell r="F725">
            <v>45246</v>
          </cell>
          <cell r="G725" t="str">
            <v>H</v>
          </cell>
          <cell r="H725" t="str">
            <v>ASM</v>
          </cell>
          <cell r="I725" t="str">
            <v>9.RMB</v>
          </cell>
          <cell r="J725" t="str">
            <v>9.ASM</v>
          </cell>
        </row>
        <row r="726">
          <cell r="B726" t="str">
            <v>RMB</v>
          </cell>
          <cell r="C726">
            <v>10</v>
          </cell>
          <cell r="D726" t="str">
            <v>Real Madrid</v>
          </cell>
          <cell r="E726" t="str">
            <v>ALBA Berlin</v>
          </cell>
          <cell r="F726">
            <v>45253</v>
          </cell>
          <cell r="G726" t="str">
            <v>H</v>
          </cell>
          <cell r="H726" t="str">
            <v>BER</v>
          </cell>
          <cell r="I726" t="str">
            <v>10.RMB</v>
          </cell>
          <cell r="J726" t="str">
            <v>10.BER</v>
          </cell>
        </row>
        <row r="727">
          <cell r="B727" t="str">
            <v>RMB</v>
          </cell>
          <cell r="C727">
            <v>11</v>
          </cell>
          <cell r="D727" t="str">
            <v>Real Madrid</v>
          </cell>
          <cell r="E727" t="str">
            <v>Fenerbahce Beko Istanbul</v>
          </cell>
          <cell r="F727">
            <v>45260</v>
          </cell>
          <cell r="G727" t="str">
            <v>A</v>
          </cell>
          <cell r="H727" t="str">
            <v>FEN</v>
          </cell>
          <cell r="I727" t="str">
            <v>11.RMB</v>
          </cell>
          <cell r="J727" t="str">
            <v>11.FEN</v>
          </cell>
        </row>
        <row r="728">
          <cell r="B728" t="str">
            <v>RMB</v>
          </cell>
          <cell r="C728">
            <v>12</v>
          </cell>
          <cell r="D728" t="str">
            <v>Real Madrid</v>
          </cell>
          <cell r="E728" t="str">
            <v>Olympiacos Piraeus</v>
          </cell>
          <cell r="F728">
            <v>45265</v>
          </cell>
          <cell r="G728" t="str">
            <v>A</v>
          </cell>
          <cell r="H728" t="str">
            <v>OLY</v>
          </cell>
          <cell r="I728" t="str">
            <v>12.RMB</v>
          </cell>
          <cell r="J728" t="str">
            <v>12.OLY</v>
          </cell>
        </row>
        <row r="729">
          <cell r="B729" t="str">
            <v>RMB</v>
          </cell>
          <cell r="C729">
            <v>13</v>
          </cell>
          <cell r="D729" t="str">
            <v>Real Madrid</v>
          </cell>
          <cell r="E729" t="str">
            <v>Panathinaikos Athens</v>
          </cell>
          <cell r="F729">
            <v>45267</v>
          </cell>
          <cell r="G729" t="str">
            <v>A</v>
          </cell>
          <cell r="H729" t="str">
            <v>PAN</v>
          </cell>
          <cell r="I729" t="str">
            <v>13.RMB</v>
          </cell>
          <cell r="J729" t="str">
            <v>13.PAN</v>
          </cell>
        </row>
        <row r="730">
          <cell r="B730" t="str">
            <v>RMB</v>
          </cell>
          <cell r="C730">
            <v>14</v>
          </cell>
          <cell r="D730" t="str">
            <v>Real Madrid</v>
          </cell>
          <cell r="E730" t="str">
            <v>FC Bayern Munich</v>
          </cell>
          <cell r="F730">
            <v>45274</v>
          </cell>
          <cell r="G730" t="str">
            <v>H</v>
          </cell>
          <cell r="H730" t="str">
            <v>BAY</v>
          </cell>
          <cell r="I730" t="str">
            <v>14.RMB</v>
          </cell>
          <cell r="J730" t="str">
            <v>14.BAY</v>
          </cell>
        </row>
        <row r="731">
          <cell r="B731" t="str">
            <v>RMB</v>
          </cell>
          <cell r="C731">
            <v>15</v>
          </cell>
          <cell r="D731" t="str">
            <v>Real Madrid</v>
          </cell>
          <cell r="E731" t="str">
            <v>Crvena Zvezda Meridianbet Belgrade</v>
          </cell>
          <cell r="F731">
            <v>45279</v>
          </cell>
          <cell r="G731" t="str">
            <v>A</v>
          </cell>
          <cell r="H731" t="str">
            <v>CZB</v>
          </cell>
          <cell r="I731" t="str">
            <v>15.RMB</v>
          </cell>
          <cell r="J731" t="str">
            <v>15.CZB</v>
          </cell>
        </row>
        <row r="732">
          <cell r="B732" t="str">
            <v>RMB</v>
          </cell>
          <cell r="C732">
            <v>16</v>
          </cell>
          <cell r="D732" t="str">
            <v>Real Madrid</v>
          </cell>
          <cell r="E732" t="str">
            <v>Partizan Mozzart Bet Belgrade</v>
          </cell>
          <cell r="F732">
            <v>45281</v>
          </cell>
          <cell r="G732" t="str">
            <v>H</v>
          </cell>
          <cell r="H732" t="str">
            <v>PAR</v>
          </cell>
          <cell r="I732" t="str">
            <v>16.RMB</v>
          </cell>
          <cell r="J732" t="str">
            <v>16.PAR</v>
          </cell>
        </row>
        <row r="733">
          <cell r="B733" t="str">
            <v>RMB</v>
          </cell>
          <cell r="C733">
            <v>17</v>
          </cell>
          <cell r="D733" t="str">
            <v>Real Madrid</v>
          </cell>
          <cell r="E733" t="str">
            <v>LDLC ASVEL Villeurbanne</v>
          </cell>
          <cell r="F733">
            <v>45288</v>
          </cell>
          <cell r="G733" t="str">
            <v>A</v>
          </cell>
          <cell r="H733" t="str">
            <v>ASV</v>
          </cell>
          <cell r="I733" t="str">
            <v>17.RMB</v>
          </cell>
          <cell r="J733" t="str">
            <v>17.ASV</v>
          </cell>
        </row>
        <row r="734">
          <cell r="B734" t="str">
            <v>RMB</v>
          </cell>
          <cell r="C734">
            <v>18</v>
          </cell>
          <cell r="D734" t="str">
            <v>Real Madrid</v>
          </cell>
          <cell r="E734" t="str">
            <v>FC Barcelona</v>
          </cell>
          <cell r="F734">
            <v>45294</v>
          </cell>
          <cell r="G734" t="str">
            <v>A</v>
          </cell>
          <cell r="H734" t="str">
            <v>FCB</v>
          </cell>
          <cell r="I734" t="str">
            <v>18.RMB</v>
          </cell>
          <cell r="J734" t="str">
            <v>18.FCB</v>
          </cell>
        </row>
        <row r="735">
          <cell r="B735" t="str">
            <v>RMB</v>
          </cell>
          <cell r="C735">
            <v>19</v>
          </cell>
          <cell r="D735" t="str">
            <v>Real Madrid</v>
          </cell>
          <cell r="E735" t="str">
            <v>Anadolu Efes Istanbul</v>
          </cell>
          <cell r="F735">
            <v>45296</v>
          </cell>
          <cell r="G735" t="str">
            <v>H</v>
          </cell>
          <cell r="H735" t="str">
            <v>EFE</v>
          </cell>
          <cell r="I735" t="str">
            <v>19.RMB</v>
          </cell>
          <cell r="J735" t="str">
            <v>19.EFE</v>
          </cell>
        </row>
        <row r="736">
          <cell r="B736" t="str">
            <v>RMB</v>
          </cell>
          <cell r="C736">
            <v>20</v>
          </cell>
          <cell r="D736" t="str">
            <v>Real Madrid</v>
          </cell>
          <cell r="E736" t="str">
            <v>FC Bayern Munich</v>
          </cell>
          <cell r="F736">
            <v>45300</v>
          </cell>
          <cell r="G736" t="str">
            <v>A</v>
          </cell>
          <cell r="H736" t="str">
            <v>BAY</v>
          </cell>
          <cell r="I736" t="str">
            <v>20.RMB</v>
          </cell>
          <cell r="J736" t="str">
            <v>20.BAY</v>
          </cell>
        </row>
        <row r="737">
          <cell r="B737" t="str">
            <v>RMB</v>
          </cell>
          <cell r="C737">
            <v>21</v>
          </cell>
          <cell r="D737" t="str">
            <v>Real Madrid</v>
          </cell>
          <cell r="E737" t="str">
            <v>Valencia Basket</v>
          </cell>
          <cell r="F737">
            <v>45302</v>
          </cell>
          <cell r="G737" t="str">
            <v>H</v>
          </cell>
          <cell r="H737" t="str">
            <v>VAL</v>
          </cell>
          <cell r="I737" t="str">
            <v>21.RMB</v>
          </cell>
          <cell r="J737" t="str">
            <v>21.VAL</v>
          </cell>
        </row>
        <row r="738">
          <cell r="B738" t="str">
            <v>RMB</v>
          </cell>
          <cell r="C738">
            <v>22</v>
          </cell>
          <cell r="D738" t="str">
            <v>Real Madrid</v>
          </cell>
          <cell r="E738" t="str">
            <v>AS Monaco</v>
          </cell>
          <cell r="F738">
            <v>45310</v>
          </cell>
          <cell r="G738" t="str">
            <v>A</v>
          </cell>
          <cell r="H738" t="str">
            <v>ASM</v>
          </cell>
          <cell r="I738" t="str">
            <v>22.RMB</v>
          </cell>
          <cell r="J738" t="str">
            <v>22.ASM</v>
          </cell>
        </row>
        <row r="739">
          <cell r="B739" t="str">
            <v>RMB</v>
          </cell>
          <cell r="C739">
            <v>23</v>
          </cell>
          <cell r="D739" t="str">
            <v>Real Madrid</v>
          </cell>
          <cell r="E739" t="str">
            <v>Olympiacos Piraeus</v>
          </cell>
          <cell r="F739">
            <v>45316</v>
          </cell>
          <cell r="G739" t="str">
            <v>H</v>
          </cell>
          <cell r="H739" t="str">
            <v>OLY</v>
          </cell>
          <cell r="I739" t="str">
            <v>23.RMB</v>
          </cell>
          <cell r="J739" t="str">
            <v>23.OLY</v>
          </cell>
        </row>
        <row r="740">
          <cell r="B740" t="str">
            <v>RMB</v>
          </cell>
          <cell r="C740">
            <v>24</v>
          </cell>
          <cell r="D740" t="str">
            <v>Real Madrid</v>
          </cell>
          <cell r="E740" t="str">
            <v>Maccabi Playtika Tel Aviv</v>
          </cell>
          <cell r="F740">
            <v>45321</v>
          </cell>
          <cell r="G740" t="str">
            <v>H</v>
          </cell>
          <cell r="H740" t="str">
            <v>MTA</v>
          </cell>
          <cell r="I740" t="str">
            <v>24.RMB</v>
          </cell>
          <cell r="J740" t="str">
            <v>24.MTA</v>
          </cell>
        </row>
        <row r="741">
          <cell r="B741" t="str">
            <v>RMB</v>
          </cell>
          <cell r="C741">
            <v>25</v>
          </cell>
          <cell r="D741" t="str">
            <v>Real Madrid</v>
          </cell>
          <cell r="E741" t="str">
            <v>LDLC ASVEL Villeurbanne</v>
          </cell>
          <cell r="F741">
            <v>45323</v>
          </cell>
          <cell r="G741" t="str">
            <v>H</v>
          </cell>
          <cell r="H741" t="str">
            <v>ASV</v>
          </cell>
          <cell r="I741" t="str">
            <v>25.RMB</v>
          </cell>
          <cell r="J741" t="str">
            <v>25.ASV</v>
          </cell>
        </row>
        <row r="742">
          <cell r="B742" t="str">
            <v>RMB</v>
          </cell>
          <cell r="C742">
            <v>26</v>
          </cell>
          <cell r="D742" t="str">
            <v>Real Madrid</v>
          </cell>
          <cell r="E742" t="str">
            <v>EA7 Emporio Armani Milan</v>
          </cell>
          <cell r="F742">
            <v>45330</v>
          </cell>
          <cell r="G742" t="str">
            <v>A</v>
          </cell>
          <cell r="H742" t="str">
            <v>MIL</v>
          </cell>
          <cell r="I742" t="str">
            <v>26.RMB</v>
          </cell>
          <cell r="J742" t="str">
            <v>26.MIL</v>
          </cell>
        </row>
        <row r="743">
          <cell r="B743" t="str">
            <v>RMB</v>
          </cell>
          <cell r="C743">
            <v>27</v>
          </cell>
          <cell r="D743" t="str">
            <v>Real Madrid</v>
          </cell>
          <cell r="E743" t="str">
            <v>Panathinaikos Athens</v>
          </cell>
          <cell r="F743">
            <v>45351</v>
          </cell>
          <cell r="G743" t="str">
            <v>H</v>
          </cell>
          <cell r="H743" t="str">
            <v>PAN</v>
          </cell>
          <cell r="I743" t="str">
            <v>27.RMB</v>
          </cell>
          <cell r="J743" t="str">
            <v>27.PAN</v>
          </cell>
        </row>
        <row r="744">
          <cell r="B744" t="str">
            <v>RMB</v>
          </cell>
          <cell r="C744">
            <v>28</v>
          </cell>
          <cell r="D744" t="str">
            <v>Real Madrid</v>
          </cell>
          <cell r="E744" t="str">
            <v>Fenerbahce Beko Istanbul</v>
          </cell>
          <cell r="F744">
            <v>45358</v>
          </cell>
          <cell r="G744" t="str">
            <v>H</v>
          </cell>
          <cell r="H744" t="str">
            <v>FEN</v>
          </cell>
          <cell r="I744" t="str">
            <v>28.RMB</v>
          </cell>
          <cell r="J744" t="str">
            <v>28.FEN</v>
          </cell>
        </row>
        <row r="745">
          <cell r="B745" t="str">
            <v>RMB</v>
          </cell>
          <cell r="C745">
            <v>29</v>
          </cell>
          <cell r="D745" t="str">
            <v>Real Madrid</v>
          </cell>
          <cell r="E745" t="str">
            <v>Virtus Segafredo Bologna</v>
          </cell>
          <cell r="F745">
            <v>45366</v>
          </cell>
          <cell r="G745" t="str">
            <v>A</v>
          </cell>
          <cell r="H745" t="str">
            <v>VIR</v>
          </cell>
          <cell r="I745" t="str">
            <v>29.RMB</v>
          </cell>
          <cell r="J745" t="str">
            <v>29.VIR</v>
          </cell>
        </row>
        <row r="746">
          <cell r="B746" t="str">
            <v>RMB</v>
          </cell>
          <cell r="C746">
            <v>30</v>
          </cell>
          <cell r="D746" t="str">
            <v>Real Madrid</v>
          </cell>
          <cell r="E746" t="str">
            <v>ALBA Berlin</v>
          </cell>
          <cell r="F746">
            <v>45370</v>
          </cell>
          <cell r="G746" t="str">
            <v>A</v>
          </cell>
          <cell r="H746" t="str">
            <v>BER</v>
          </cell>
          <cell r="I746" t="str">
            <v>30.RMB</v>
          </cell>
          <cell r="J746" t="str">
            <v>30.BER</v>
          </cell>
        </row>
        <row r="747">
          <cell r="B747" t="str">
            <v>RMB</v>
          </cell>
          <cell r="C747">
            <v>31</v>
          </cell>
          <cell r="D747" t="str">
            <v>Real Madrid</v>
          </cell>
          <cell r="E747" t="str">
            <v>Partizan Mozzart Bet Belgrade</v>
          </cell>
          <cell r="F747">
            <v>45372</v>
          </cell>
          <cell r="G747" t="str">
            <v>A</v>
          </cell>
          <cell r="H747" t="str">
            <v>PAR</v>
          </cell>
          <cell r="I747" t="str">
            <v>31.RMB</v>
          </cell>
          <cell r="J747" t="str">
            <v>31.PAR</v>
          </cell>
        </row>
        <row r="748">
          <cell r="B748" t="str">
            <v>RMB</v>
          </cell>
          <cell r="C748">
            <v>32</v>
          </cell>
          <cell r="D748" t="str">
            <v>Real Madrid</v>
          </cell>
          <cell r="E748" t="str">
            <v>Crvena Zvezda Meridianbet Belgrade</v>
          </cell>
          <cell r="F748">
            <v>45380</v>
          </cell>
          <cell r="G748" t="str">
            <v>H</v>
          </cell>
          <cell r="H748" t="str">
            <v>CZB</v>
          </cell>
          <cell r="I748" t="str">
            <v>32.RMB</v>
          </cell>
          <cell r="J748" t="str">
            <v>32.CZB</v>
          </cell>
        </row>
        <row r="749">
          <cell r="B749" t="str">
            <v>RMB</v>
          </cell>
          <cell r="C749">
            <v>33</v>
          </cell>
          <cell r="D749" t="str">
            <v>Real Madrid</v>
          </cell>
          <cell r="E749" t="str">
            <v>Baskonia Vitoria-Gasteiz</v>
          </cell>
          <cell r="F749">
            <v>45387</v>
          </cell>
          <cell r="G749" t="str">
            <v>H</v>
          </cell>
          <cell r="H749" t="str">
            <v>BAS</v>
          </cell>
          <cell r="I749" t="str">
            <v>33.RMB</v>
          </cell>
          <cell r="J749" t="str">
            <v>33.BAS</v>
          </cell>
        </row>
        <row r="750">
          <cell r="B750" t="str">
            <v>RMB</v>
          </cell>
          <cell r="C750">
            <v>34</v>
          </cell>
          <cell r="D750" t="str">
            <v>Real Madrid</v>
          </cell>
          <cell r="E750" t="str">
            <v>Zalgiris Kaunas</v>
          </cell>
          <cell r="F750">
            <v>45393</v>
          </cell>
          <cell r="G750" t="str">
            <v>A</v>
          </cell>
          <cell r="H750" t="str">
            <v>ZAL</v>
          </cell>
          <cell r="I750" t="str">
            <v>34.RMB</v>
          </cell>
          <cell r="J750" t="str">
            <v>34.ZAL</v>
          </cell>
        </row>
        <row r="751">
          <cell r="B751" t="str">
            <v>RMB</v>
          </cell>
          <cell r="C751">
            <v>35</v>
          </cell>
          <cell r="D751" t="str">
            <v>Real Madrid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</row>
        <row r="752">
          <cell r="B752" t="str">
            <v>RMB</v>
          </cell>
          <cell r="C752">
            <v>36</v>
          </cell>
          <cell r="D752" t="str">
            <v>Real Madrid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</row>
        <row r="753">
          <cell r="B753" t="str">
            <v>RMB</v>
          </cell>
          <cell r="C753">
            <v>37</v>
          </cell>
          <cell r="D753" t="str">
            <v>Real Madrid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</row>
        <row r="754">
          <cell r="B754" t="str">
            <v>RMB</v>
          </cell>
          <cell r="C754">
            <v>38</v>
          </cell>
          <cell r="D754" t="str">
            <v>Real Madrid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</row>
        <row r="755">
          <cell r="B755" t="str">
            <v>RMB</v>
          </cell>
          <cell r="C755">
            <v>39</v>
          </cell>
          <cell r="D755" t="str">
            <v>Real Madrid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</row>
        <row r="756">
          <cell r="B756" t="str">
            <v>RMB</v>
          </cell>
          <cell r="C756">
            <v>40</v>
          </cell>
          <cell r="D756" t="str">
            <v>Real Madrid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</row>
        <row r="757">
          <cell r="B757" t="str">
            <v>RMB</v>
          </cell>
          <cell r="C757">
            <v>41</v>
          </cell>
          <cell r="D757" t="str">
            <v>Real Madrid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</row>
        <row r="758">
          <cell r="B758" t="str">
            <v>RMB</v>
          </cell>
          <cell r="C758">
            <v>42</v>
          </cell>
          <cell r="D758" t="str">
            <v>Real Madrid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</row>
        <row r="759">
          <cell r="B759" t="str">
            <v>RMB</v>
          </cell>
          <cell r="C759">
            <v>43</v>
          </cell>
          <cell r="D759" t="str">
            <v>Real Madrid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</row>
        <row r="760">
          <cell r="B760" t="str">
            <v>RMB</v>
          </cell>
          <cell r="C760">
            <v>44</v>
          </cell>
          <cell r="D760" t="str">
            <v>Real Madrid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</row>
        <row r="761">
          <cell r="B761" t="str">
            <v>RMB</v>
          </cell>
          <cell r="C761">
            <v>45</v>
          </cell>
          <cell r="D761" t="str">
            <v>Real Madrid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</row>
        <row r="762">
          <cell r="B762" t="str">
            <v>RMB</v>
          </cell>
          <cell r="C762">
            <v>46</v>
          </cell>
          <cell r="D762" t="str">
            <v>Real Madrid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</row>
        <row r="763">
          <cell r="B763" t="str">
            <v>RMB</v>
          </cell>
          <cell r="C763">
            <v>47</v>
          </cell>
          <cell r="D763" t="str">
            <v>Real Madrid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</row>
        <row r="764">
          <cell r="B764" t="str">
            <v>RMB</v>
          </cell>
          <cell r="C764">
            <v>48</v>
          </cell>
          <cell r="D764" t="str">
            <v>Real Madrid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</row>
        <row r="765">
          <cell r="B765" t="str">
            <v>RMB</v>
          </cell>
          <cell r="C765">
            <v>49</v>
          </cell>
          <cell r="D765" t="str">
            <v>Real Madrid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</row>
        <row r="766">
          <cell r="B766" t="str">
            <v>RMB</v>
          </cell>
          <cell r="C766">
            <v>50</v>
          </cell>
          <cell r="D766" t="str">
            <v>Real Madrid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</row>
        <row r="767">
          <cell r="B767" t="str">
            <v>RMB</v>
          </cell>
          <cell r="C767">
            <v>51</v>
          </cell>
          <cell r="D767" t="str">
            <v>Real Madrid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</row>
        <row r="768">
          <cell r="B768" t="str">
            <v>VAL</v>
          </cell>
          <cell r="C768">
            <v>1</v>
          </cell>
          <cell r="D768" t="str">
            <v>Valencia Basket</v>
          </cell>
          <cell r="E768" t="str">
            <v>AS Monaco</v>
          </cell>
          <cell r="F768">
            <v>45205</v>
          </cell>
          <cell r="G768" t="str">
            <v>H</v>
          </cell>
          <cell r="H768" t="str">
            <v>ASM</v>
          </cell>
          <cell r="I768" t="str">
            <v>1.VAL</v>
          </cell>
          <cell r="J768" t="str">
            <v>1.ASM</v>
          </cell>
        </row>
        <row r="769">
          <cell r="B769" t="str">
            <v>VAL</v>
          </cell>
          <cell r="C769">
            <v>2</v>
          </cell>
          <cell r="D769" t="str">
            <v>Valencia Basket</v>
          </cell>
          <cell r="E769" t="str">
            <v>Fenerbahce Beko Istanbul</v>
          </cell>
          <cell r="F769">
            <v>45212</v>
          </cell>
          <cell r="G769" t="str">
            <v>H</v>
          </cell>
          <cell r="H769" t="str">
            <v>FEN</v>
          </cell>
          <cell r="I769" t="str">
            <v>2.VAL</v>
          </cell>
          <cell r="J769" t="str">
            <v>2.FEN</v>
          </cell>
        </row>
        <row r="770">
          <cell r="B770" t="str">
            <v>VAL</v>
          </cell>
          <cell r="C770">
            <v>3</v>
          </cell>
          <cell r="D770" t="str">
            <v>Valencia Basket</v>
          </cell>
          <cell r="E770" t="str">
            <v>Maccabi Playtika Tel Aviv</v>
          </cell>
          <cell r="F770">
            <v>45217</v>
          </cell>
          <cell r="G770" t="str">
            <v>H</v>
          </cell>
          <cell r="H770" t="str">
            <v>MTA</v>
          </cell>
          <cell r="I770" t="str">
            <v>3.VAL</v>
          </cell>
          <cell r="J770" t="str">
            <v>3.MTA</v>
          </cell>
        </row>
        <row r="771">
          <cell r="B771" t="str">
            <v>VAL</v>
          </cell>
          <cell r="C771">
            <v>4</v>
          </cell>
          <cell r="D771" t="str">
            <v>Valencia Basket</v>
          </cell>
          <cell r="E771" t="str">
            <v>Anadolu Efes Istanbul</v>
          </cell>
          <cell r="F771">
            <v>45219</v>
          </cell>
          <cell r="G771" t="str">
            <v>A</v>
          </cell>
          <cell r="H771" t="str">
            <v>EFE</v>
          </cell>
          <cell r="I771" t="str">
            <v>4.VAL</v>
          </cell>
          <cell r="J771" t="str">
            <v>4.EFE</v>
          </cell>
        </row>
        <row r="772">
          <cell r="B772" t="str">
            <v>VAL</v>
          </cell>
          <cell r="C772">
            <v>5</v>
          </cell>
          <cell r="D772" t="str">
            <v>Valencia Basket</v>
          </cell>
          <cell r="E772" t="str">
            <v>Zalgiris Kaunas</v>
          </cell>
          <cell r="F772">
            <v>45226</v>
          </cell>
          <cell r="G772" t="str">
            <v>A</v>
          </cell>
          <cell r="H772" t="str">
            <v>ZAL</v>
          </cell>
          <cell r="I772" t="str">
            <v>5.VAL</v>
          </cell>
          <cell r="J772" t="str">
            <v>5.ZAL</v>
          </cell>
        </row>
        <row r="773">
          <cell r="B773" t="str">
            <v>VAL</v>
          </cell>
          <cell r="C773">
            <v>6</v>
          </cell>
          <cell r="D773" t="str">
            <v>Valencia Basket</v>
          </cell>
          <cell r="E773" t="str">
            <v>ALBA Berlin</v>
          </cell>
          <cell r="F773">
            <v>45232</v>
          </cell>
          <cell r="G773" t="str">
            <v>H</v>
          </cell>
          <cell r="H773" t="str">
            <v>BER</v>
          </cell>
          <cell r="I773" t="str">
            <v>6.VAL</v>
          </cell>
          <cell r="J773" t="str">
            <v>6.BER</v>
          </cell>
        </row>
        <row r="774">
          <cell r="B774" t="str">
            <v>VAL</v>
          </cell>
          <cell r="C774">
            <v>7</v>
          </cell>
          <cell r="D774" t="str">
            <v>Valencia Basket</v>
          </cell>
          <cell r="E774" t="str">
            <v>EA7 Emporio Armani Milan</v>
          </cell>
          <cell r="F774">
            <v>45239</v>
          </cell>
          <cell r="G774" t="str">
            <v>A</v>
          </cell>
          <cell r="H774" t="str">
            <v>MIL</v>
          </cell>
          <cell r="I774" t="str">
            <v>7.VAL</v>
          </cell>
          <cell r="J774" t="str">
            <v>7.MIL</v>
          </cell>
        </row>
        <row r="775">
          <cell r="B775" t="str">
            <v>VAL</v>
          </cell>
          <cell r="C775">
            <v>8</v>
          </cell>
          <cell r="D775" t="str">
            <v>Valencia Basket</v>
          </cell>
          <cell r="E775" t="str">
            <v>Real Madrid</v>
          </cell>
          <cell r="F775">
            <v>45244</v>
          </cell>
          <cell r="G775" t="str">
            <v>H</v>
          </cell>
          <cell r="H775" t="str">
            <v>RMB</v>
          </cell>
          <cell r="I775" t="str">
            <v>8.VAL</v>
          </cell>
          <cell r="J775" t="str">
            <v>8.RMB</v>
          </cell>
        </row>
        <row r="776">
          <cell r="B776" t="str">
            <v>VAL</v>
          </cell>
          <cell r="C776">
            <v>9</v>
          </cell>
          <cell r="D776" t="str">
            <v>Valencia Basket</v>
          </cell>
          <cell r="E776" t="str">
            <v>FC Barcelona</v>
          </cell>
          <cell r="F776">
            <v>45247</v>
          </cell>
          <cell r="G776" t="str">
            <v>A</v>
          </cell>
          <cell r="H776" t="str">
            <v>FCB</v>
          </cell>
          <cell r="I776" t="str">
            <v>9.VAL</v>
          </cell>
          <cell r="J776" t="str">
            <v>9.FCB</v>
          </cell>
        </row>
        <row r="777">
          <cell r="B777" t="str">
            <v>VAL</v>
          </cell>
          <cell r="C777">
            <v>10</v>
          </cell>
          <cell r="D777" t="str">
            <v>Valencia Basket</v>
          </cell>
          <cell r="E777" t="str">
            <v>Panathinaikos Athens</v>
          </cell>
          <cell r="F777">
            <v>45253</v>
          </cell>
          <cell r="G777" t="str">
            <v>A</v>
          </cell>
          <cell r="H777" t="str">
            <v>PAN</v>
          </cell>
          <cell r="I777" t="str">
            <v>10.VAL</v>
          </cell>
          <cell r="J777" t="str">
            <v>10.PAN</v>
          </cell>
        </row>
        <row r="778">
          <cell r="B778" t="str">
            <v>VAL</v>
          </cell>
          <cell r="C778">
            <v>11</v>
          </cell>
          <cell r="D778" t="str">
            <v>Valencia Basket</v>
          </cell>
          <cell r="E778" t="str">
            <v>Baskonia Vitoria-Gasteiz</v>
          </cell>
          <cell r="F778">
            <v>45261</v>
          </cell>
          <cell r="G778" t="str">
            <v>H</v>
          </cell>
          <cell r="H778" t="str">
            <v>BAS</v>
          </cell>
          <cell r="I778" t="str">
            <v>11.VAL</v>
          </cell>
          <cell r="J778" t="str">
            <v>11.BAS</v>
          </cell>
        </row>
        <row r="779">
          <cell r="B779" t="str">
            <v>VAL</v>
          </cell>
          <cell r="C779">
            <v>12</v>
          </cell>
          <cell r="D779" t="str">
            <v>Valencia Basket</v>
          </cell>
          <cell r="E779" t="str">
            <v>Crvena Zvezda Meridianbet Belgrade</v>
          </cell>
          <cell r="F779">
            <v>45266</v>
          </cell>
          <cell r="G779" t="str">
            <v>H</v>
          </cell>
          <cell r="H779" t="str">
            <v>CZB</v>
          </cell>
          <cell r="I779" t="str">
            <v>12.VAL</v>
          </cell>
          <cell r="J779" t="str">
            <v>12.CZB</v>
          </cell>
        </row>
        <row r="780">
          <cell r="B780" t="str">
            <v>VAL</v>
          </cell>
          <cell r="C780">
            <v>13</v>
          </cell>
          <cell r="D780" t="str">
            <v>Valencia Basket</v>
          </cell>
          <cell r="E780" t="str">
            <v>LDLC ASVEL Villeurbanne</v>
          </cell>
          <cell r="F780">
            <v>45268</v>
          </cell>
          <cell r="G780" t="str">
            <v>A</v>
          </cell>
          <cell r="H780" t="str">
            <v>ASV</v>
          </cell>
          <cell r="I780" t="str">
            <v>13.VAL</v>
          </cell>
          <cell r="J780" t="str">
            <v>13.ASV</v>
          </cell>
        </row>
        <row r="781">
          <cell r="B781" t="str">
            <v>VAL</v>
          </cell>
          <cell r="C781">
            <v>14</v>
          </cell>
          <cell r="D781" t="str">
            <v>Valencia Basket</v>
          </cell>
          <cell r="E781" t="str">
            <v>Olympiacos Piraeus</v>
          </cell>
          <cell r="F781">
            <v>45275</v>
          </cell>
          <cell r="G781" t="str">
            <v>A</v>
          </cell>
          <cell r="H781" t="str">
            <v>OLY</v>
          </cell>
          <cell r="I781" t="str">
            <v>14.VAL</v>
          </cell>
          <cell r="J781" t="str">
            <v>14.OLY</v>
          </cell>
        </row>
        <row r="782">
          <cell r="B782" t="str">
            <v>VAL</v>
          </cell>
          <cell r="C782">
            <v>15</v>
          </cell>
          <cell r="D782" t="str">
            <v>Valencia Basket</v>
          </cell>
          <cell r="E782" t="str">
            <v>Partizan Mozzart Bet Belgrade</v>
          </cell>
          <cell r="F782">
            <v>45279</v>
          </cell>
          <cell r="G782" t="str">
            <v>H</v>
          </cell>
          <cell r="H782" t="str">
            <v>PAR</v>
          </cell>
          <cell r="I782" t="str">
            <v>15.VAL</v>
          </cell>
          <cell r="J782" t="str">
            <v>15.PAR</v>
          </cell>
        </row>
        <row r="783">
          <cell r="B783" t="str">
            <v>VAL</v>
          </cell>
          <cell r="C783">
            <v>16</v>
          </cell>
          <cell r="D783" t="str">
            <v>Valencia Basket</v>
          </cell>
          <cell r="E783" t="str">
            <v>Virtus Segafredo Bologna</v>
          </cell>
          <cell r="F783">
            <v>45281</v>
          </cell>
          <cell r="G783" t="str">
            <v>H</v>
          </cell>
          <cell r="H783" t="str">
            <v>VIR</v>
          </cell>
          <cell r="I783" t="str">
            <v>16.VAL</v>
          </cell>
          <cell r="J783" t="str">
            <v>16.VIR</v>
          </cell>
        </row>
        <row r="784">
          <cell r="B784" t="str">
            <v>VAL</v>
          </cell>
          <cell r="C784">
            <v>17</v>
          </cell>
          <cell r="D784" t="str">
            <v>Valencia Basket</v>
          </cell>
          <cell r="E784" t="str">
            <v>FC Bayern Munich</v>
          </cell>
          <cell r="F784">
            <v>45288</v>
          </cell>
          <cell r="G784" t="str">
            <v>A</v>
          </cell>
          <cell r="H784" t="str">
            <v>BAY</v>
          </cell>
          <cell r="I784" t="str">
            <v>17.VAL</v>
          </cell>
          <cell r="J784" t="str">
            <v>17.BAY</v>
          </cell>
        </row>
        <row r="785">
          <cell r="B785" t="str">
            <v>VAL</v>
          </cell>
          <cell r="C785">
            <v>18</v>
          </cell>
          <cell r="D785" t="str">
            <v>Valencia Basket</v>
          </cell>
          <cell r="E785" t="str">
            <v>Anadolu Efes Istanbul</v>
          </cell>
          <cell r="F785">
            <v>45294</v>
          </cell>
          <cell r="G785" t="str">
            <v>H</v>
          </cell>
          <cell r="H785" t="str">
            <v>EFE</v>
          </cell>
          <cell r="I785" t="str">
            <v>18.VAL</v>
          </cell>
          <cell r="J785" t="str">
            <v>18.EFE</v>
          </cell>
        </row>
        <row r="786">
          <cell r="B786" t="str">
            <v>VAL</v>
          </cell>
          <cell r="C786">
            <v>19</v>
          </cell>
          <cell r="D786" t="str">
            <v>Valencia Basket</v>
          </cell>
          <cell r="E786" t="str">
            <v>Panathinaikos Athens</v>
          </cell>
          <cell r="F786">
            <v>45296</v>
          </cell>
          <cell r="G786" t="str">
            <v>H</v>
          </cell>
          <cell r="H786" t="str">
            <v>PAN</v>
          </cell>
          <cell r="I786" t="str">
            <v>19.VAL</v>
          </cell>
          <cell r="J786" t="str">
            <v>19.PAN</v>
          </cell>
        </row>
        <row r="787">
          <cell r="B787" t="str">
            <v>VAL</v>
          </cell>
          <cell r="C787">
            <v>20</v>
          </cell>
          <cell r="D787" t="str">
            <v>Valencia Basket</v>
          </cell>
          <cell r="E787" t="str">
            <v>Zalgiris Kaunas</v>
          </cell>
          <cell r="F787">
            <v>45300</v>
          </cell>
          <cell r="G787" t="str">
            <v>H</v>
          </cell>
          <cell r="H787" t="str">
            <v>ZAL</v>
          </cell>
          <cell r="I787" t="str">
            <v>20.VAL</v>
          </cell>
          <cell r="J787" t="str">
            <v>20.ZAL</v>
          </cell>
        </row>
        <row r="788">
          <cell r="B788" t="str">
            <v>VAL</v>
          </cell>
          <cell r="C788">
            <v>21</v>
          </cell>
          <cell r="D788" t="str">
            <v>Valencia Basket</v>
          </cell>
          <cell r="E788" t="str">
            <v>Real Madrid</v>
          </cell>
          <cell r="F788">
            <v>45302</v>
          </cell>
          <cell r="G788" t="str">
            <v>A</v>
          </cell>
          <cell r="H788" t="str">
            <v>RMB</v>
          </cell>
          <cell r="I788" t="str">
            <v>21.VAL</v>
          </cell>
          <cell r="J788" t="str">
            <v>21.RMB</v>
          </cell>
        </row>
        <row r="789">
          <cell r="B789" t="str">
            <v>VAL</v>
          </cell>
          <cell r="C789">
            <v>22</v>
          </cell>
          <cell r="D789" t="str">
            <v>Valencia Basket</v>
          </cell>
          <cell r="E789" t="str">
            <v>EA7 Emporio Armani Milan</v>
          </cell>
          <cell r="F789">
            <v>45310</v>
          </cell>
          <cell r="G789" t="str">
            <v>H</v>
          </cell>
          <cell r="H789" t="str">
            <v>MIL</v>
          </cell>
          <cell r="I789" t="str">
            <v>22.VAL</v>
          </cell>
          <cell r="J789" t="str">
            <v>22.MIL</v>
          </cell>
        </row>
        <row r="790">
          <cell r="B790" t="str">
            <v>VAL</v>
          </cell>
          <cell r="C790">
            <v>23</v>
          </cell>
          <cell r="D790" t="str">
            <v>Valencia Basket</v>
          </cell>
          <cell r="E790" t="str">
            <v>Baskonia Vitoria-Gasteiz</v>
          </cell>
          <cell r="F790">
            <v>45317</v>
          </cell>
          <cell r="G790" t="str">
            <v>A</v>
          </cell>
          <cell r="H790" t="str">
            <v>BAS</v>
          </cell>
          <cell r="I790" t="str">
            <v>23.VAL</v>
          </cell>
          <cell r="J790" t="str">
            <v>23.BAS</v>
          </cell>
        </row>
        <row r="791">
          <cell r="B791" t="str">
            <v>VAL</v>
          </cell>
          <cell r="C791">
            <v>24</v>
          </cell>
          <cell r="D791" t="str">
            <v>Valencia Basket</v>
          </cell>
          <cell r="E791" t="str">
            <v>Crvena Zvezda Meridianbet Belgrade</v>
          </cell>
          <cell r="F791">
            <v>45321</v>
          </cell>
          <cell r="G791" t="str">
            <v>A</v>
          </cell>
          <cell r="H791" t="str">
            <v>CZB</v>
          </cell>
          <cell r="I791" t="str">
            <v>24.VAL</v>
          </cell>
          <cell r="J791" t="str">
            <v>24.CZB</v>
          </cell>
        </row>
        <row r="792">
          <cell r="B792" t="str">
            <v>VAL</v>
          </cell>
          <cell r="C792">
            <v>25</v>
          </cell>
          <cell r="D792" t="str">
            <v>Valencia Basket</v>
          </cell>
          <cell r="E792" t="str">
            <v>ALBA Berlin</v>
          </cell>
          <cell r="F792">
            <v>45323</v>
          </cell>
          <cell r="G792" t="str">
            <v>A</v>
          </cell>
          <cell r="H792" t="str">
            <v>BER</v>
          </cell>
          <cell r="I792" t="str">
            <v>25.VAL</v>
          </cell>
          <cell r="J792" t="str">
            <v>25.BER</v>
          </cell>
        </row>
        <row r="793">
          <cell r="B793" t="str">
            <v>VAL</v>
          </cell>
          <cell r="C793">
            <v>26</v>
          </cell>
          <cell r="D793" t="str">
            <v>Valencia Basket</v>
          </cell>
          <cell r="E793" t="str">
            <v>Olympiacos Piraeus</v>
          </cell>
          <cell r="F793">
            <v>45330</v>
          </cell>
          <cell r="G793" t="str">
            <v>H</v>
          </cell>
          <cell r="H793" t="str">
            <v>OLY</v>
          </cell>
          <cell r="I793" t="str">
            <v>26.VAL</v>
          </cell>
          <cell r="J793" t="str">
            <v>26.OLY</v>
          </cell>
        </row>
        <row r="794">
          <cell r="B794" t="str">
            <v>VAL</v>
          </cell>
          <cell r="C794">
            <v>27</v>
          </cell>
          <cell r="D794" t="str">
            <v>Valencia Basket</v>
          </cell>
          <cell r="E794" t="str">
            <v>Virtus Segafredo Bologna</v>
          </cell>
          <cell r="F794">
            <v>45351</v>
          </cell>
          <cell r="G794" t="str">
            <v>A</v>
          </cell>
          <cell r="H794" t="str">
            <v>VIR</v>
          </cell>
          <cell r="I794" t="str">
            <v>27.VAL</v>
          </cell>
          <cell r="J794" t="str">
            <v>27.VIR</v>
          </cell>
        </row>
        <row r="795">
          <cell r="B795" t="str">
            <v>VAL</v>
          </cell>
          <cell r="C795">
            <v>28</v>
          </cell>
          <cell r="D795" t="str">
            <v>Valencia Basket</v>
          </cell>
          <cell r="E795" t="str">
            <v>FC Barcelona</v>
          </cell>
          <cell r="F795">
            <v>45358</v>
          </cell>
          <cell r="G795" t="str">
            <v>H</v>
          </cell>
          <cell r="H795" t="str">
            <v>FCB</v>
          </cell>
          <cell r="I795" t="str">
            <v>28.VAL</v>
          </cell>
          <cell r="J795" t="str">
            <v>28.FCB</v>
          </cell>
        </row>
        <row r="796">
          <cell r="B796" t="str">
            <v>VAL</v>
          </cell>
          <cell r="C796">
            <v>29</v>
          </cell>
          <cell r="D796" t="str">
            <v>Valencia Basket</v>
          </cell>
          <cell r="E796" t="str">
            <v>Fenerbahce Beko Istanbul</v>
          </cell>
          <cell r="F796">
            <v>45365</v>
          </cell>
          <cell r="G796" t="str">
            <v>A</v>
          </cell>
          <cell r="H796" t="str">
            <v>FEN</v>
          </cell>
          <cell r="I796" t="str">
            <v>29.VAL</v>
          </cell>
          <cell r="J796" t="str">
            <v>29.FEN</v>
          </cell>
        </row>
        <row r="797">
          <cell r="B797" t="str">
            <v>VAL</v>
          </cell>
          <cell r="C797">
            <v>30</v>
          </cell>
          <cell r="D797" t="str">
            <v>Valencia Basket</v>
          </cell>
          <cell r="E797" t="str">
            <v>FC Bayern Munich</v>
          </cell>
          <cell r="F797">
            <v>45371</v>
          </cell>
          <cell r="G797" t="str">
            <v>H</v>
          </cell>
          <cell r="H797" t="str">
            <v>BAY</v>
          </cell>
          <cell r="I797" t="str">
            <v>30.VAL</v>
          </cell>
          <cell r="J797" t="str">
            <v>30.BAY</v>
          </cell>
        </row>
        <row r="798">
          <cell r="B798" t="str">
            <v>VAL</v>
          </cell>
          <cell r="C798">
            <v>31</v>
          </cell>
          <cell r="D798" t="str">
            <v>Valencia Basket</v>
          </cell>
          <cell r="E798" t="str">
            <v>AS Monaco</v>
          </cell>
          <cell r="F798">
            <v>45373</v>
          </cell>
          <cell r="G798" t="str">
            <v>A</v>
          </cell>
          <cell r="H798" t="str">
            <v>ASM</v>
          </cell>
          <cell r="I798" t="str">
            <v>31.VAL</v>
          </cell>
          <cell r="J798" t="str">
            <v>31.ASM</v>
          </cell>
        </row>
        <row r="799">
          <cell r="B799" t="str">
            <v>VAL</v>
          </cell>
          <cell r="C799">
            <v>32</v>
          </cell>
          <cell r="D799" t="str">
            <v>Valencia Basket</v>
          </cell>
          <cell r="E799" t="str">
            <v>Maccabi Playtika Tel Aviv</v>
          </cell>
          <cell r="F799">
            <v>45379</v>
          </cell>
          <cell r="G799" t="str">
            <v>H</v>
          </cell>
          <cell r="H799" t="str">
            <v>MTA</v>
          </cell>
          <cell r="I799" t="str">
            <v>32.VAL</v>
          </cell>
          <cell r="J799" t="str">
            <v>32.MTA</v>
          </cell>
        </row>
        <row r="800">
          <cell r="B800" t="str">
            <v>VAL</v>
          </cell>
          <cell r="C800">
            <v>33</v>
          </cell>
          <cell r="D800" t="str">
            <v>Valencia Basket</v>
          </cell>
          <cell r="E800" t="str">
            <v>LDLC ASVEL Villeurbanne</v>
          </cell>
          <cell r="F800">
            <v>45386</v>
          </cell>
          <cell r="G800" t="str">
            <v>H</v>
          </cell>
          <cell r="H800" t="str">
            <v>ASV</v>
          </cell>
          <cell r="I800" t="str">
            <v>33.VAL</v>
          </cell>
          <cell r="J800" t="str">
            <v>33.ASV</v>
          </cell>
        </row>
        <row r="801">
          <cell r="B801" t="str">
            <v>VAL</v>
          </cell>
          <cell r="C801">
            <v>34</v>
          </cell>
          <cell r="D801" t="str">
            <v>Valencia Basket</v>
          </cell>
          <cell r="E801" t="str">
            <v>Partizan Mozzart Bet Belgrade</v>
          </cell>
          <cell r="F801">
            <v>45394</v>
          </cell>
          <cell r="G801" t="str">
            <v>A</v>
          </cell>
          <cell r="H801" t="str">
            <v>PAR</v>
          </cell>
          <cell r="I801" t="str">
            <v>34.VAL</v>
          </cell>
          <cell r="J801" t="str">
            <v>34.PAR</v>
          </cell>
        </row>
        <row r="802">
          <cell r="B802" t="str">
            <v>VAL</v>
          </cell>
          <cell r="C802">
            <v>35</v>
          </cell>
          <cell r="D802" t="str">
            <v>Valencia Basket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</row>
        <row r="803">
          <cell r="B803" t="str">
            <v>VAL</v>
          </cell>
          <cell r="C803">
            <v>36</v>
          </cell>
          <cell r="D803" t="str">
            <v>Valencia Basket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</row>
        <row r="804">
          <cell r="B804" t="str">
            <v>VAL</v>
          </cell>
          <cell r="C804">
            <v>37</v>
          </cell>
          <cell r="D804" t="str">
            <v>Valencia Basket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</row>
        <row r="805">
          <cell r="B805" t="str">
            <v>VAL</v>
          </cell>
          <cell r="C805">
            <v>38</v>
          </cell>
          <cell r="D805" t="str">
            <v>Valencia Basket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</row>
        <row r="806">
          <cell r="B806" t="str">
            <v>VAL</v>
          </cell>
          <cell r="C806">
            <v>39</v>
          </cell>
          <cell r="D806" t="str">
            <v>Valencia Basket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</row>
        <row r="807">
          <cell r="B807" t="str">
            <v>VAL</v>
          </cell>
          <cell r="C807">
            <v>40</v>
          </cell>
          <cell r="D807" t="str">
            <v>Valencia Basket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</row>
        <row r="808">
          <cell r="B808" t="str">
            <v>VAL</v>
          </cell>
          <cell r="C808">
            <v>41</v>
          </cell>
          <cell r="D808" t="str">
            <v>Valencia Basket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</row>
        <row r="809">
          <cell r="B809" t="str">
            <v>VAL</v>
          </cell>
          <cell r="C809">
            <v>42</v>
          </cell>
          <cell r="D809" t="str">
            <v>Valencia Basket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</row>
        <row r="810">
          <cell r="B810" t="str">
            <v>VAL</v>
          </cell>
          <cell r="C810">
            <v>43</v>
          </cell>
          <cell r="D810" t="str">
            <v>Valencia Basket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</row>
        <row r="811">
          <cell r="B811" t="str">
            <v>VAL</v>
          </cell>
          <cell r="C811">
            <v>44</v>
          </cell>
          <cell r="D811" t="str">
            <v>Valencia Basket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</row>
        <row r="812">
          <cell r="B812" t="str">
            <v>VAL</v>
          </cell>
          <cell r="C812">
            <v>45</v>
          </cell>
          <cell r="D812" t="str">
            <v>Valencia Basket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</row>
        <row r="813">
          <cell r="B813" t="str">
            <v>VAL</v>
          </cell>
          <cell r="C813">
            <v>46</v>
          </cell>
          <cell r="D813" t="str">
            <v>Valencia Basket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</row>
        <row r="814">
          <cell r="B814" t="str">
            <v>VAL</v>
          </cell>
          <cell r="C814">
            <v>47</v>
          </cell>
          <cell r="D814" t="str">
            <v>Valencia Basket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</row>
        <row r="815">
          <cell r="B815" t="str">
            <v>VAL</v>
          </cell>
          <cell r="C815">
            <v>48</v>
          </cell>
          <cell r="D815" t="str">
            <v>Valencia Basket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</row>
        <row r="816">
          <cell r="B816" t="str">
            <v>VAL</v>
          </cell>
          <cell r="C816">
            <v>49</v>
          </cell>
          <cell r="D816" t="str">
            <v>Valencia Basket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</row>
        <row r="817">
          <cell r="B817" t="str">
            <v>VAL</v>
          </cell>
          <cell r="C817">
            <v>50</v>
          </cell>
          <cell r="D817" t="str">
            <v>Valencia Basket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</row>
        <row r="818">
          <cell r="B818" t="str">
            <v>VAL</v>
          </cell>
          <cell r="C818">
            <v>51</v>
          </cell>
          <cell r="D818" t="str">
            <v>Valencia Basket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</row>
        <row r="819">
          <cell r="B819" t="str">
            <v>VIR</v>
          </cell>
          <cell r="C819">
            <v>1</v>
          </cell>
          <cell r="D819" t="str">
            <v>Virtus Segafredo Bologna</v>
          </cell>
          <cell r="E819" t="str">
            <v>Zalgiris Kaunas</v>
          </cell>
          <cell r="F819">
            <v>45204</v>
          </cell>
          <cell r="G819" t="str">
            <v>H</v>
          </cell>
          <cell r="H819" t="str">
            <v>ZAL</v>
          </cell>
          <cell r="I819" t="str">
            <v>1.VIR</v>
          </cell>
          <cell r="J819" t="str">
            <v>1.ZAL</v>
          </cell>
        </row>
        <row r="820">
          <cell r="B820" t="str">
            <v>VIR</v>
          </cell>
          <cell r="C820">
            <v>2</v>
          </cell>
          <cell r="D820" t="str">
            <v>Virtus Segafredo Bologna</v>
          </cell>
          <cell r="E820" t="str">
            <v>AS Monaco</v>
          </cell>
          <cell r="F820">
            <v>45212</v>
          </cell>
          <cell r="G820" t="str">
            <v>A</v>
          </cell>
          <cell r="H820" t="str">
            <v>ASM</v>
          </cell>
          <cell r="I820" t="str">
            <v>2.VIR</v>
          </cell>
          <cell r="J820" t="str">
            <v>2.ASM</v>
          </cell>
        </row>
        <row r="821">
          <cell r="B821" t="str">
            <v>VIR</v>
          </cell>
          <cell r="C821">
            <v>3</v>
          </cell>
          <cell r="D821" t="str">
            <v>Virtus Segafredo Bologna</v>
          </cell>
          <cell r="E821" t="str">
            <v>ALBA Berlin</v>
          </cell>
          <cell r="F821">
            <v>45217</v>
          </cell>
          <cell r="G821" t="str">
            <v>H</v>
          </cell>
          <cell r="H821" t="str">
            <v>BER</v>
          </cell>
          <cell r="I821" t="str">
            <v>3.VIR</v>
          </cell>
          <cell r="J821" t="str">
            <v>3.BER</v>
          </cell>
        </row>
        <row r="822">
          <cell r="B822" t="str">
            <v>VIR</v>
          </cell>
          <cell r="C822">
            <v>4</v>
          </cell>
          <cell r="D822" t="str">
            <v>Virtus Segafredo Bologna</v>
          </cell>
          <cell r="E822" t="str">
            <v>Crvena Zvezda Meridianbet Belgrade</v>
          </cell>
          <cell r="F822">
            <v>45219</v>
          </cell>
          <cell r="G822" t="str">
            <v>H</v>
          </cell>
          <cell r="H822" t="str">
            <v>CZB</v>
          </cell>
          <cell r="I822" t="str">
            <v>4.VIR</v>
          </cell>
          <cell r="J822" t="str">
            <v>4.CZB</v>
          </cell>
        </row>
        <row r="823">
          <cell r="B823" t="str">
            <v>VIR</v>
          </cell>
          <cell r="C823">
            <v>5</v>
          </cell>
          <cell r="D823" t="str">
            <v>Virtus Segafredo Bologna</v>
          </cell>
          <cell r="E823" t="str">
            <v>LDLC ASVEL Villeurbanne</v>
          </cell>
          <cell r="F823">
            <v>45226</v>
          </cell>
          <cell r="G823" t="str">
            <v>A</v>
          </cell>
          <cell r="H823" t="str">
            <v>ASV</v>
          </cell>
          <cell r="I823" t="str">
            <v>5.VIR</v>
          </cell>
          <cell r="J823" t="str">
            <v>5.ASV</v>
          </cell>
        </row>
        <row r="824">
          <cell r="B824" t="str">
            <v>VIR</v>
          </cell>
          <cell r="C824">
            <v>6</v>
          </cell>
          <cell r="D824" t="str">
            <v>Virtus Segafredo Bologna</v>
          </cell>
          <cell r="E824" t="str">
            <v>Anadolu Efes Istanbul</v>
          </cell>
          <cell r="F824">
            <v>45233</v>
          </cell>
          <cell r="G824" t="str">
            <v>H</v>
          </cell>
          <cell r="H824" t="str">
            <v>EFE</v>
          </cell>
          <cell r="I824" t="str">
            <v>6.VIR</v>
          </cell>
          <cell r="J824" t="str">
            <v>6.EFE</v>
          </cell>
        </row>
        <row r="825">
          <cell r="B825" t="str">
            <v>VIR</v>
          </cell>
          <cell r="C825">
            <v>7</v>
          </cell>
          <cell r="D825" t="str">
            <v>Virtus Segafredo Bologna</v>
          </cell>
          <cell r="E825" t="str">
            <v>Real Madrid</v>
          </cell>
          <cell r="F825">
            <v>45239</v>
          </cell>
          <cell r="G825" t="str">
            <v>A</v>
          </cell>
          <cell r="H825" t="str">
            <v>RMB</v>
          </cell>
          <cell r="I825" t="str">
            <v>7.VIR</v>
          </cell>
          <cell r="J825" t="str">
            <v>7.RMB</v>
          </cell>
        </row>
        <row r="826">
          <cell r="B826" t="str">
            <v>VIR</v>
          </cell>
          <cell r="C826">
            <v>8</v>
          </cell>
          <cell r="D826" t="str">
            <v>Virtus Segafredo Bologna</v>
          </cell>
          <cell r="E826" t="str">
            <v>EA7 Emporio Armani Milan</v>
          </cell>
          <cell r="F826">
            <v>45244</v>
          </cell>
          <cell r="G826" t="str">
            <v>H</v>
          </cell>
          <cell r="H826" t="str">
            <v>MIL</v>
          </cell>
          <cell r="I826" t="str">
            <v>8.VIR</v>
          </cell>
          <cell r="J826" t="str">
            <v>8.MIL</v>
          </cell>
        </row>
        <row r="827">
          <cell r="B827" t="str">
            <v>VIR</v>
          </cell>
          <cell r="C827">
            <v>9</v>
          </cell>
          <cell r="D827" t="str">
            <v>Virtus Segafredo Bologna</v>
          </cell>
          <cell r="E827" t="str">
            <v>Panathinaikos Athens</v>
          </cell>
          <cell r="F827">
            <v>45247</v>
          </cell>
          <cell r="G827" t="str">
            <v>A</v>
          </cell>
          <cell r="H827" t="str">
            <v>PAN</v>
          </cell>
          <cell r="I827" t="str">
            <v>9.VIR</v>
          </cell>
          <cell r="J827" t="str">
            <v>9.PAN</v>
          </cell>
        </row>
        <row r="828">
          <cell r="B828" t="str">
            <v>VIR</v>
          </cell>
          <cell r="C828">
            <v>10</v>
          </cell>
          <cell r="D828" t="str">
            <v>Virtus Segafredo Bologna</v>
          </cell>
          <cell r="E828" t="str">
            <v>Fenerbahce Beko Istanbul</v>
          </cell>
          <cell r="F828">
            <v>45253</v>
          </cell>
          <cell r="G828" t="str">
            <v>H</v>
          </cell>
          <cell r="H828" t="str">
            <v>FEN</v>
          </cell>
          <cell r="I828" t="str">
            <v>10.VIR</v>
          </cell>
          <cell r="J828" t="str">
            <v>10.FEN</v>
          </cell>
        </row>
        <row r="829">
          <cell r="B829" t="str">
            <v>VIR</v>
          </cell>
          <cell r="C829">
            <v>11</v>
          </cell>
          <cell r="D829" t="str">
            <v>Virtus Segafredo Bologna</v>
          </cell>
          <cell r="E829" t="str">
            <v>FC Bayern Munich</v>
          </cell>
          <cell r="F829">
            <v>45260</v>
          </cell>
          <cell r="G829" t="str">
            <v>A</v>
          </cell>
          <cell r="H829" t="str">
            <v>BAY</v>
          </cell>
          <cell r="I829" t="str">
            <v>11.VIR</v>
          </cell>
          <cell r="J829" t="str">
            <v>11.BAY</v>
          </cell>
        </row>
        <row r="830">
          <cell r="B830" t="str">
            <v>VIR</v>
          </cell>
          <cell r="C830">
            <v>12</v>
          </cell>
          <cell r="D830" t="str">
            <v>Virtus Segafredo Bologna</v>
          </cell>
          <cell r="E830" t="str">
            <v>FC Barcelona</v>
          </cell>
          <cell r="F830">
            <v>45266</v>
          </cell>
          <cell r="G830" t="str">
            <v>H</v>
          </cell>
          <cell r="H830" t="str">
            <v>FCB</v>
          </cell>
          <cell r="I830" t="str">
            <v>12.VIR</v>
          </cell>
          <cell r="J830" t="str">
            <v>12.FCB</v>
          </cell>
        </row>
        <row r="831">
          <cell r="B831" t="str">
            <v>VIR</v>
          </cell>
          <cell r="C831">
            <v>13</v>
          </cell>
          <cell r="D831" t="str">
            <v>Virtus Segafredo Bologna</v>
          </cell>
          <cell r="E831" t="str">
            <v>Maccabi Playtika Tel Aviv</v>
          </cell>
          <cell r="F831">
            <v>45268</v>
          </cell>
          <cell r="G831" t="str">
            <v>H</v>
          </cell>
          <cell r="H831" t="str">
            <v>MTA</v>
          </cell>
          <cell r="I831" t="str">
            <v>13.VIR</v>
          </cell>
          <cell r="J831" t="str">
            <v>13.MTA</v>
          </cell>
        </row>
        <row r="832">
          <cell r="B832" t="str">
            <v>VIR</v>
          </cell>
          <cell r="C832">
            <v>14</v>
          </cell>
          <cell r="D832" t="str">
            <v>Virtus Segafredo Bologna</v>
          </cell>
          <cell r="E832" t="str">
            <v>Baskonia Vitoria-Gasteiz</v>
          </cell>
          <cell r="F832">
            <v>45274</v>
          </cell>
          <cell r="G832" t="str">
            <v>A</v>
          </cell>
          <cell r="H832" t="str">
            <v>BAS</v>
          </cell>
          <cell r="I832" t="str">
            <v>14.VIR</v>
          </cell>
          <cell r="J832" t="str">
            <v>14.BAS</v>
          </cell>
        </row>
        <row r="833">
          <cell r="B833" t="str">
            <v>VIR</v>
          </cell>
          <cell r="C833">
            <v>15</v>
          </cell>
          <cell r="D833" t="str">
            <v>Virtus Segafredo Bologna</v>
          </cell>
          <cell r="E833" t="str">
            <v>Olympiacos Piraeus</v>
          </cell>
          <cell r="F833">
            <v>45279</v>
          </cell>
          <cell r="G833" t="str">
            <v>H</v>
          </cell>
          <cell r="H833" t="str">
            <v>OLY</v>
          </cell>
          <cell r="I833" t="str">
            <v>15.VIR</v>
          </cell>
          <cell r="J833" t="str">
            <v>15.OLY</v>
          </cell>
        </row>
        <row r="834">
          <cell r="B834" t="str">
            <v>VIR</v>
          </cell>
          <cell r="C834">
            <v>16</v>
          </cell>
          <cell r="D834" t="str">
            <v>Virtus Segafredo Bologna</v>
          </cell>
          <cell r="E834" t="str">
            <v>Valencia Basket</v>
          </cell>
          <cell r="F834">
            <v>45281</v>
          </cell>
          <cell r="G834" t="str">
            <v>A</v>
          </cell>
          <cell r="H834" t="str">
            <v>VAL</v>
          </cell>
          <cell r="I834" t="str">
            <v>16.VIR</v>
          </cell>
          <cell r="J834" t="str">
            <v>16.VAL</v>
          </cell>
        </row>
        <row r="835">
          <cell r="B835" t="str">
            <v>VIR</v>
          </cell>
          <cell r="C835">
            <v>17</v>
          </cell>
          <cell r="D835" t="str">
            <v>Virtus Segafredo Bologna</v>
          </cell>
          <cell r="E835" t="str">
            <v>Partizan Mozzart Bet Belgrade</v>
          </cell>
          <cell r="F835">
            <v>45288</v>
          </cell>
          <cell r="G835" t="str">
            <v>A</v>
          </cell>
          <cell r="H835" t="str">
            <v>PAR</v>
          </cell>
          <cell r="I835" t="str">
            <v>17.VIR</v>
          </cell>
          <cell r="J835" t="str">
            <v>17.PAR</v>
          </cell>
        </row>
        <row r="836">
          <cell r="B836" t="str">
            <v>VIR</v>
          </cell>
          <cell r="C836">
            <v>18</v>
          </cell>
          <cell r="D836" t="str">
            <v>Virtus Segafredo Bologna</v>
          </cell>
          <cell r="E836" t="str">
            <v>FC Bayern Munich</v>
          </cell>
          <cell r="F836">
            <v>45294</v>
          </cell>
          <cell r="G836" t="str">
            <v>H</v>
          </cell>
          <cell r="H836" t="str">
            <v>BAY</v>
          </cell>
          <cell r="I836" t="str">
            <v>18.VIR</v>
          </cell>
          <cell r="J836" t="str">
            <v>18.BAY</v>
          </cell>
        </row>
        <row r="837">
          <cell r="B837" t="str">
            <v>VIR</v>
          </cell>
          <cell r="C837">
            <v>19</v>
          </cell>
          <cell r="D837" t="str">
            <v>Virtus Segafredo Bologna</v>
          </cell>
          <cell r="E837" t="str">
            <v>ALBA Berlin</v>
          </cell>
          <cell r="F837">
            <v>45296</v>
          </cell>
          <cell r="G837" t="str">
            <v>A</v>
          </cell>
          <cell r="H837" t="str">
            <v>BER</v>
          </cell>
          <cell r="I837" t="str">
            <v>19.VIR</v>
          </cell>
          <cell r="J837" t="str">
            <v>19.BER</v>
          </cell>
        </row>
        <row r="838">
          <cell r="B838" t="str">
            <v>VIR</v>
          </cell>
          <cell r="C838">
            <v>20</v>
          </cell>
          <cell r="D838" t="str">
            <v>Virtus Segafredo Bologna</v>
          </cell>
          <cell r="E838" t="str">
            <v>Maccabi Playtika Tel Aviv</v>
          </cell>
          <cell r="F838">
            <v>45301</v>
          </cell>
          <cell r="G838" t="str">
            <v>A</v>
          </cell>
          <cell r="H838" t="str">
            <v>MTA</v>
          </cell>
          <cell r="I838" t="str">
            <v>20.VIR</v>
          </cell>
          <cell r="J838" t="str">
            <v>20.MTA</v>
          </cell>
        </row>
        <row r="839">
          <cell r="B839" t="str">
            <v>VIR</v>
          </cell>
          <cell r="C839">
            <v>21</v>
          </cell>
          <cell r="D839" t="str">
            <v>Virtus Segafredo Bologna</v>
          </cell>
          <cell r="E839" t="str">
            <v>Anadolu Efes Istanbul</v>
          </cell>
          <cell r="F839">
            <v>45303</v>
          </cell>
          <cell r="G839" t="str">
            <v>A</v>
          </cell>
          <cell r="H839" t="str">
            <v>EFE</v>
          </cell>
          <cell r="I839" t="str">
            <v>21.VIR</v>
          </cell>
          <cell r="J839" t="str">
            <v>21.EFE</v>
          </cell>
        </row>
        <row r="840">
          <cell r="B840" t="str">
            <v>VIR</v>
          </cell>
          <cell r="C840">
            <v>22</v>
          </cell>
          <cell r="D840" t="str">
            <v>Virtus Segafredo Bologna</v>
          </cell>
          <cell r="E840" t="str">
            <v>LDLC ASVEL Villeurbanne</v>
          </cell>
          <cell r="F840">
            <v>45309</v>
          </cell>
          <cell r="G840" t="str">
            <v>H</v>
          </cell>
          <cell r="H840" t="str">
            <v>ASV</v>
          </cell>
          <cell r="I840" t="str">
            <v>22.VIR</v>
          </cell>
          <cell r="J840" t="str">
            <v>22.ASV</v>
          </cell>
        </row>
        <row r="841">
          <cell r="B841" t="str">
            <v>VIR</v>
          </cell>
          <cell r="C841">
            <v>23</v>
          </cell>
          <cell r="D841" t="str">
            <v>Virtus Segafredo Bologna</v>
          </cell>
          <cell r="E841" t="str">
            <v>Fenerbahce Beko Istanbul</v>
          </cell>
          <cell r="F841">
            <v>45316</v>
          </cell>
          <cell r="G841" t="str">
            <v>A</v>
          </cell>
          <cell r="H841" t="str">
            <v>FEN</v>
          </cell>
          <cell r="I841" t="str">
            <v>23.VIR</v>
          </cell>
          <cell r="J841" t="str">
            <v>23.FEN</v>
          </cell>
        </row>
        <row r="842">
          <cell r="B842" t="str">
            <v>VIR</v>
          </cell>
          <cell r="C842">
            <v>24</v>
          </cell>
          <cell r="D842" t="str">
            <v>Virtus Segafredo Bologna</v>
          </cell>
          <cell r="E842" t="str">
            <v>FC Barcelona</v>
          </cell>
          <cell r="F842">
            <v>45322</v>
          </cell>
          <cell r="G842" t="str">
            <v>A</v>
          </cell>
          <cell r="H842" t="str">
            <v>FCB</v>
          </cell>
          <cell r="I842" t="str">
            <v>24.VIR</v>
          </cell>
          <cell r="J842" t="str">
            <v>24.FCB</v>
          </cell>
        </row>
        <row r="843">
          <cell r="B843" t="str">
            <v>VIR</v>
          </cell>
          <cell r="C843">
            <v>25</v>
          </cell>
          <cell r="D843" t="str">
            <v>Virtus Segafredo Bologna</v>
          </cell>
          <cell r="E843" t="str">
            <v>Partizan Mozzart Bet Belgrade</v>
          </cell>
          <cell r="F843">
            <v>45324</v>
          </cell>
          <cell r="G843" t="str">
            <v>H</v>
          </cell>
          <cell r="H843" t="str">
            <v>PAR</v>
          </cell>
          <cell r="I843" t="str">
            <v>25.VIR</v>
          </cell>
          <cell r="J843" t="str">
            <v>25.PAR</v>
          </cell>
        </row>
        <row r="844">
          <cell r="B844" t="str">
            <v>VIR</v>
          </cell>
          <cell r="C844">
            <v>26</v>
          </cell>
          <cell r="D844" t="str">
            <v>Virtus Segafredo Bologna</v>
          </cell>
          <cell r="E844" t="str">
            <v>AS Monaco</v>
          </cell>
          <cell r="F844">
            <v>45331</v>
          </cell>
          <cell r="G844" t="str">
            <v>H</v>
          </cell>
          <cell r="H844" t="str">
            <v>ASM</v>
          </cell>
          <cell r="I844" t="str">
            <v>26.VIR</v>
          </cell>
          <cell r="J844" t="str">
            <v>26.ASM</v>
          </cell>
        </row>
        <row r="845">
          <cell r="B845" t="str">
            <v>VIR</v>
          </cell>
          <cell r="C845">
            <v>27</v>
          </cell>
          <cell r="D845" t="str">
            <v>Virtus Segafredo Bologna</v>
          </cell>
          <cell r="E845" t="str">
            <v>Valencia Basket</v>
          </cell>
          <cell r="F845">
            <v>45351</v>
          </cell>
          <cell r="G845" t="str">
            <v>H</v>
          </cell>
          <cell r="H845" t="str">
            <v>VAL</v>
          </cell>
          <cell r="I845" t="str">
            <v>27.VIR</v>
          </cell>
          <cell r="J845" t="str">
            <v>27.VAL</v>
          </cell>
        </row>
        <row r="846">
          <cell r="B846" t="str">
            <v>VIR</v>
          </cell>
          <cell r="C846">
            <v>28</v>
          </cell>
          <cell r="D846" t="str">
            <v>Virtus Segafredo Bologna</v>
          </cell>
          <cell r="E846" t="str">
            <v>Olympiacos Piraeus</v>
          </cell>
          <cell r="F846">
            <v>45358</v>
          </cell>
          <cell r="G846" t="str">
            <v>A</v>
          </cell>
          <cell r="H846" t="str">
            <v>OLY</v>
          </cell>
          <cell r="I846" t="str">
            <v>28.VIR</v>
          </cell>
          <cell r="J846" t="str">
            <v>28.OLY</v>
          </cell>
        </row>
        <row r="847">
          <cell r="B847" t="str">
            <v>VIR</v>
          </cell>
          <cell r="C847">
            <v>29</v>
          </cell>
          <cell r="D847" t="str">
            <v>Virtus Segafredo Bologna</v>
          </cell>
          <cell r="E847" t="str">
            <v>Real Madrid</v>
          </cell>
          <cell r="F847">
            <v>45366</v>
          </cell>
          <cell r="G847" t="str">
            <v>H</v>
          </cell>
          <cell r="H847" t="str">
            <v>RMB</v>
          </cell>
          <cell r="I847" t="str">
            <v>29.VIR</v>
          </cell>
          <cell r="J847" t="str">
            <v>29.RMB</v>
          </cell>
        </row>
        <row r="848">
          <cell r="B848" t="str">
            <v>VIR</v>
          </cell>
          <cell r="C848">
            <v>30</v>
          </cell>
          <cell r="D848" t="str">
            <v>Virtus Segafredo Bologna</v>
          </cell>
          <cell r="E848" t="str">
            <v>Zalgiris Kaunas</v>
          </cell>
          <cell r="F848">
            <v>45370</v>
          </cell>
          <cell r="G848" t="str">
            <v>A</v>
          </cell>
          <cell r="H848" t="str">
            <v>ZAL</v>
          </cell>
          <cell r="I848" t="str">
            <v>30.VIR</v>
          </cell>
          <cell r="J848" t="str">
            <v>30.ZAL</v>
          </cell>
        </row>
        <row r="849">
          <cell r="B849" t="str">
            <v>VIR</v>
          </cell>
          <cell r="C849">
            <v>31</v>
          </cell>
          <cell r="D849" t="str">
            <v>Virtus Segafredo Bologna</v>
          </cell>
          <cell r="E849" t="str">
            <v>Crvena Zvezda Meridianbet Belgrade</v>
          </cell>
          <cell r="F849">
            <v>45373</v>
          </cell>
          <cell r="G849" t="str">
            <v>A</v>
          </cell>
          <cell r="H849" t="str">
            <v>CZB</v>
          </cell>
          <cell r="I849" t="str">
            <v>31.VIR</v>
          </cell>
          <cell r="J849" t="str">
            <v>31.CZB</v>
          </cell>
        </row>
        <row r="850">
          <cell r="B850" t="str">
            <v>VIR</v>
          </cell>
          <cell r="C850">
            <v>32</v>
          </cell>
          <cell r="D850" t="str">
            <v>Virtus Segafredo Bologna</v>
          </cell>
          <cell r="E850" t="str">
            <v>Panathinaikos Athens</v>
          </cell>
          <cell r="F850">
            <v>45380</v>
          </cell>
          <cell r="G850" t="str">
            <v>H</v>
          </cell>
          <cell r="H850" t="str">
            <v>PAN</v>
          </cell>
          <cell r="I850" t="str">
            <v>32.VIR</v>
          </cell>
          <cell r="J850" t="str">
            <v>32.PAN</v>
          </cell>
        </row>
        <row r="851">
          <cell r="B851" t="str">
            <v>VIR</v>
          </cell>
          <cell r="C851">
            <v>33</v>
          </cell>
          <cell r="D851" t="str">
            <v>Virtus Segafredo Bologna</v>
          </cell>
          <cell r="E851" t="str">
            <v>EA7 Emporio Armani Milan</v>
          </cell>
          <cell r="F851">
            <v>45387</v>
          </cell>
          <cell r="G851" t="str">
            <v>A</v>
          </cell>
          <cell r="H851" t="str">
            <v>MIL</v>
          </cell>
          <cell r="I851" t="str">
            <v>33.VIR</v>
          </cell>
          <cell r="J851" t="str">
            <v>33.MIL</v>
          </cell>
        </row>
        <row r="852">
          <cell r="B852" t="str">
            <v>VIR</v>
          </cell>
          <cell r="C852">
            <v>34</v>
          </cell>
          <cell r="D852" t="str">
            <v>Virtus Segafredo Bologna</v>
          </cell>
          <cell r="E852" t="str">
            <v>Baskonia Vitoria-Gasteiz</v>
          </cell>
          <cell r="F852">
            <v>45394</v>
          </cell>
          <cell r="G852" t="str">
            <v>H</v>
          </cell>
          <cell r="H852" t="str">
            <v>BAS</v>
          </cell>
          <cell r="I852" t="str">
            <v>34.VIR</v>
          </cell>
          <cell r="J852" t="str">
            <v>34.BAS</v>
          </cell>
        </row>
        <row r="853">
          <cell r="B853" t="str">
            <v>VIR</v>
          </cell>
          <cell r="C853">
            <v>35</v>
          </cell>
          <cell r="D853" t="str">
            <v>Virtus Segafredo Bologna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</row>
        <row r="854">
          <cell r="B854" t="str">
            <v>VIR</v>
          </cell>
          <cell r="C854">
            <v>36</v>
          </cell>
          <cell r="D854" t="str">
            <v>Virtus Segafredo Bologna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</row>
        <row r="855">
          <cell r="B855" t="str">
            <v>VIR</v>
          </cell>
          <cell r="C855">
            <v>37</v>
          </cell>
          <cell r="D855" t="str">
            <v>Virtus Segafredo Bologna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</row>
        <row r="856">
          <cell r="B856" t="str">
            <v>VIR</v>
          </cell>
          <cell r="C856">
            <v>38</v>
          </cell>
          <cell r="D856" t="str">
            <v>Virtus Segafredo Bologna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</row>
        <row r="857">
          <cell r="B857" t="str">
            <v>VIR</v>
          </cell>
          <cell r="C857">
            <v>39</v>
          </cell>
          <cell r="D857" t="str">
            <v>Virtus Segafredo Bologna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</row>
        <row r="858">
          <cell r="B858" t="str">
            <v>VIR</v>
          </cell>
          <cell r="C858">
            <v>40</v>
          </cell>
          <cell r="D858" t="str">
            <v>Virtus Segafredo Bologna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</row>
        <row r="859">
          <cell r="B859" t="str">
            <v>VIR</v>
          </cell>
          <cell r="C859">
            <v>41</v>
          </cell>
          <cell r="D859" t="str">
            <v>Virtus Segafredo Bologna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</row>
        <row r="860">
          <cell r="B860" t="str">
            <v>VIR</v>
          </cell>
          <cell r="C860">
            <v>42</v>
          </cell>
          <cell r="D860" t="str">
            <v>Virtus Segafredo Bologna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</row>
        <row r="861">
          <cell r="B861" t="str">
            <v>VIR</v>
          </cell>
          <cell r="C861">
            <v>43</v>
          </cell>
          <cell r="D861" t="str">
            <v>Virtus Segafredo Bologna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</row>
        <row r="862">
          <cell r="B862" t="str">
            <v>VIR</v>
          </cell>
          <cell r="C862">
            <v>44</v>
          </cell>
          <cell r="D862" t="str">
            <v>Virtus Segafredo Bologna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</row>
        <row r="863">
          <cell r="B863" t="str">
            <v>VIR</v>
          </cell>
          <cell r="C863">
            <v>45</v>
          </cell>
          <cell r="D863" t="str">
            <v>Virtus Segafredo Bologna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</row>
        <row r="864">
          <cell r="B864" t="str">
            <v>VIR</v>
          </cell>
          <cell r="C864">
            <v>46</v>
          </cell>
          <cell r="D864" t="str">
            <v>Virtus Segafredo Bologna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</row>
        <row r="865">
          <cell r="B865" t="str">
            <v>VIR</v>
          </cell>
          <cell r="C865">
            <v>47</v>
          </cell>
          <cell r="D865" t="str">
            <v>Virtus Segafredo Bologna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</row>
        <row r="866">
          <cell r="B866" t="str">
            <v>VIR</v>
          </cell>
          <cell r="C866">
            <v>48</v>
          </cell>
          <cell r="D866" t="str">
            <v>Virtus Segafredo Bologna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</row>
        <row r="867">
          <cell r="B867" t="str">
            <v>VIR</v>
          </cell>
          <cell r="C867">
            <v>49</v>
          </cell>
          <cell r="D867" t="str">
            <v>Virtus Segafredo Bologna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</row>
        <row r="868">
          <cell r="B868" t="str">
            <v>VIR</v>
          </cell>
          <cell r="C868">
            <v>50</v>
          </cell>
          <cell r="D868" t="str">
            <v>Virtus Segafredo Bologna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</row>
        <row r="869">
          <cell r="B869" t="str">
            <v>VIR</v>
          </cell>
          <cell r="C869">
            <v>51</v>
          </cell>
          <cell r="D869" t="str">
            <v>Virtus Segafredo Bologna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</row>
        <row r="870">
          <cell r="B870" t="str">
            <v>ZAL</v>
          </cell>
          <cell r="C870">
            <v>1</v>
          </cell>
          <cell r="D870" t="str">
            <v>Zalgiris Kaunas</v>
          </cell>
          <cell r="E870" t="str">
            <v>Virtus Segafredo Bologna</v>
          </cell>
          <cell r="F870">
            <v>45204</v>
          </cell>
          <cell r="G870" t="str">
            <v>A</v>
          </cell>
          <cell r="H870" t="str">
            <v>VIR</v>
          </cell>
          <cell r="I870" t="str">
            <v>1.ZAL</v>
          </cell>
          <cell r="J870" t="str">
            <v>1.VIR</v>
          </cell>
        </row>
        <row r="871">
          <cell r="B871" t="str">
            <v>ZAL</v>
          </cell>
          <cell r="C871">
            <v>2</v>
          </cell>
          <cell r="D871" t="str">
            <v>Zalgiris Kaunas</v>
          </cell>
          <cell r="E871" t="str">
            <v>Crvena Zvezda Meridianbet Belgrade</v>
          </cell>
          <cell r="F871">
            <v>45212</v>
          </cell>
          <cell r="G871" t="str">
            <v>H</v>
          </cell>
          <cell r="H871" t="str">
            <v>CZB</v>
          </cell>
          <cell r="I871" t="str">
            <v>2.ZAL</v>
          </cell>
          <cell r="J871" t="str">
            <v>2.CZB</v>
          </cell>
        </row>
        <row r="872">
          <cell r="B872" t="str">
            <v>ZAL</v>
          </cell>
          <cell r="C872">
            <v>3</v>
          </cell>
          <cell r="D872" t="str">
            <v>Zalgiris Kaunas</v>
          </cell>
          <cell r="E872" t="str">
            <v>Real Madrid</v>
          </cell>
          <cell r="F872">
            <v>45216</v>
          </cell>
          <cell r="G872" t="str">
            <v>A</v>
          </cell>
          <cell r="H872" t="str">
            <v>RMB</v>
          </cell>
          <cell r="I872" t="str">
            <v>3.ZAL</v>
          </cell>
          <cell r="J872" t="str">
            <v>3.RMB</v>
          </cell>
        </row>
        <row r="873">
          <cell r="B873" t="str">
            <v>ZAL</v>
          </cell>
          <cell r="C873">
            <v>4</v>
          </cell>
          <cell r="D873" t="str">
            <v>Zalgiris Kaunas</v>
          </cell>
          <cell r="E873" t="str">
            <v>Baskonia Vitoria-Gasteiz</v>
          </cell>
          <cell r="F873">
            <v>45218</v>
          </cell>
          <cell r="G873" t="str">
            <v>A</v>
          </cell>
          <cell r="H873" t="str">
            <v>BAS</v>
          </cell>
          <cell r="I873" t="str">
            <v>4.ZAL</v>
          </cell>
          <cell r="J873" t="str">
            <v>4.BAS</v>
          </cell>
        </row>
        <row r="874">
          <cell r="B874" t="str">
            <v>ZAL</v>
          </cell>
          <cell r="C874">
            <v>5</v>
          </cell>
          <cell r="D874" t="str">
            <v>Zalgiris Kaunas</v>
          </cell>
          <cell r="E874" t="str">
            <v>Valencia Basket</v>
          </cell>
          <cell r="F874">
            <v>45226</v>
          </cell>
          <cell r="G874" t="str">
            <v>H</v>
          </cell>
          <cell r="H874" t="str">
            <v>VAL</v>
          </cell>
          <cell r="I874" t="str">
            <v>5.ZAL</v>
          </cell>
          <cell r="J874" t="str">
            <v>5.VAL</v>
          </cell>
        </row>
        <row r="875">
          <cell r="B875" t="str">
            <v>ZAL</v>
          </cell>
          <cell r="C875">
            <v>6</v>
          </cell>
          <cell r="D875" t="str">
            <v>Zalgiris Kaunas</v>
          </cell>
          <cell r="E875" t="str">
            <v>LDLC ASVEL Villeurbanne</v>
          </cell>
          <cell r="F875">
            <v>45232</v>
          </cell>
          <cell r="G875" t="str">
            <v>H</v>
          </cell>
          <cell r="H875" t="str">
            <v>ASV</v>
          </cell>
          <cell r="I875" t="str">
            <v>6.ZAL</v>
          </cell>
          <cell r="J875" t="str">
            <v>6.ASV</v>
          </cell>
        </row>
        <row r="876">
          <cell r="B876" t="str">
            <v>ZAL</v>
          </cell>
          <cell r="C876">
            <v>7</v>
          </cell>
          <cell r="D876" t="str">
            <v>Zalgiris Kaunas</v>
          </cell>
          <cell r="E876" t="str">
            <v>Anadolu Efes Istanbul</v>
          </cell>
          <cell r="F876">
            <v>45239</v>
          </cell>
          <cell r="G876" t="str">
            <v>A</v>
          </cell>
          <cell r="H876" t="str">
            <v>EFE</v>
          </cell>
          <cell r="I876" t="str">
            <v>7.ZAL</v>
          </cell>
          <cell r="J876" t="str">
            <v>7.EFE</v>
          </cell>
        </row>
        <row r="877">
          <cell r="B877" t="str">
            <v>ZAL</v>
          </cell>
          <cell r="C877">
            <v>8</v>
          </cell>
          <cell r="D877" t="str">
            <v>Zalgiris Kaunas</v>
          </cell>
          <cell r="E877" t="str">
            <v>Panathinaikos Athens</v>
          </cell>
          <cell r="F877">
            <v>45245</v>
          </cell>
          <cell r="G877" t="str">
            <v>A</v>
          </cell>
          <cell r="H877" t="str">
            <v>PAN</v>
          </cell>
          <cell r="I877" t="str">
            <v>8.ZAL</v>
          </cell>
          <cell r="J877" t="str">
            <v>8.PAN</v>
          </cell>
        </row>
        <row r="878">
          <cell r="B878" t="str">
            <v>ZAL</v>
          </cell>
          <cell r="C878">
            <v>9</v>
          </cell>
          <cell r="D878" t="str">
            <v>Zalgiris Kaunas</v>
          </cell>
          <cell r="E878" t="str">
            <v>FC Bayern Munich</v>
          </cell>
          <cell r="F878">
            <v>45247</v>
          </cell>
          <cell r="G878" t="str">
            <v>H</v>
          </cell>
          <cell r="H878" t="str">
            <v>BAY</v>
          </cell>
          <cell r="I878" t="str">
            <v>9.ZAL</v>
          </cell>
          <cell r="J878" t="str">
            <v>9.BAY</v>
          </cell>
        </row>
        <row r="879">
          <cell r="B879" t="str">
            <v>ZAL</v>
          </cell>
          <cell r="C879">
            <v>10</v>
          </cell>
          <cell r="D879" t="str">
            <v>Zalgiris Kaunas</v>
          </cell>
          <cell r="E879" t="str">
            <v>Olympiacos Piraeus</v>
          </cell>
          <cell r="F879">
            <v>45254</v>
          </cell>
          <cell r="G879" t="str">
            <v>A</v>
          </cell>
          <cell r="H879" t="str">
            <v>OLY</v>
          </cell>
          <cell r="I879" t="str">
            <v>10.ZAL</v>
          </cell>
          <cell r="J879" t="str">
            <v>10.OLY</v>
          </cell>
        </row>
        <row r="880">
          <cell r="B880" t="str">
            <v>ZAL</v>
          </cell>
          <cell r="C880">
            <v>11</v>
          </cell>
          <cell r="D880" t="str">
            <v>Zalgiris Kaunas</v>
          </cell>
          <cell r="E880" t="str">
            <v>EA7 Emporio Armani Milan</v>
          </cell>
          <cell r="F880">
            <v>45260</v>
          </cell>
          <cell r="G880" t="str">
            <v>A</v>
          </cell>
          <cell r="H880" t="str">
            <v>MIL</v>
          </cell>
          <cell r="I880" t="str">
            <v>11.ZAL</v>
          </cell>
          <cell r="J880" t="str">
            <v>11.MIL</v>
          </cell>
        </row>
        <row r="881">
          <cell r="B881" t="str">
            <v>ZAL</v>
          </cell>
          <cell r="C881">
            <v>12</v>
          </cell>
          <cell r="D881" t="str">
            <v>Zalgiris Kaunas</v>
          </cell>
          <cell r="E881" t="str">
            <v>ALBA Berlin</v>
          </cell>
          <cell r="F881">
            <v>45265</v>
          </cell>
          <cell r="G881" t="str">
            <v>A</v>
          </cell>
          <cell r="H881" t="str">
            <v>BER</v>
          </cell>
          <cell r="I881" t="str">
            <v>12.ZAL</v>
          </cell>
          <cell r="J881" t="str">
            <v>12.BER</v>
          </cell>
        </row>
        <row r="882">
          <cell r="B882" t="str">
            <v>ZAL</v>
          </cell>
          <cell r="C882">
            <v>13</v>
          </cell>
          <cell r="D882" t="str">
            <v>Zalgiris Kaunas</v>
          </cell>
          <cell r="E882" t="str">
            <v>AS Monaco</v>
          </cell>
          <cell r="F882">
            <v>45268</v>
          </cell>
          <cell r="G882" t="str">
            <v>H</v>
          </cell>
          <cell r="H882" t="str">
            <v>ASM</v>
          </cell>
          <cell r="I882" t="str">
            <v>13.ZAL</v>
          </cell>
          <cell r="J882" t="str">
            <v>13.ASM</v>
          </cell>
        </row>
        <row r="883">
          <cell r="B883" t="str">
            <v>ZAL</v>
          </cell>
          <cell r="C883">
            <v>14</v>
          </cell>
          <cell r="D883" t="str">
            <v>Zalgiris Kaunas</v>
          </cell>
          <cell r="E883" t="str">
            <v>Partizan Mozzart Bet Belgrade</v>
          </cell>
          <cell r="F883">
            <v>45274</v>
          </cell>
          <cell r="G883" t="str">
            <v>H</v>
          </cell>
          <cell r="H883" t="str">
            <v>PAR</v>
          </cell>
          <cell r="I883" t="str">
            <v>14.ZAL</v>
          </cell>
          <cell r="J883" t="str">
            <v>14.PAR</v>
          </cell>
        </row>
        <row r="884">
          <cell r="B884" t="str">
            <v>ZAL</v>
          </cell>
          <cell r="C884">
            <v>15</v>
          </cell>
          <cell r="D884" t="str">
            <v>Zalgiris Kaunas</v>
          </cell>
          <cell r="E884" t="str">
            <v>Fenerbahce Beko Istanbul</v>
          </cell>
          <cell r="F884">
            <v>45280</v>
          </cell>
          <cell r="G884" t="str">
            <v>A</v>
          </cell>
          <cell r="H884" t="str">
            <v>FEN</v>
          </cell>
          <cell r="I884" t="str">
            <v>15.ZAL</v>
          </cell>
          <cell r="J884" t="str">
            <v>15.FEN</v>
          </cell>
        </row>
        <row r="885">
          <cell r="B885" t="str">
            <v>ZAL</v>
          </cell>
          <cell r="C885">
            <v>16</v>
          </cell>
          <cell r="D885" t="str">
            <v>Zalgiris Kaunas</v>
          </cell>
          <cell r="E885" t="str">
            <v>FC Barcelona</v>
          </cell>
          <cell r="F885">
            <v>45282</v>
          </cell>
          <cell r="G885" t="str">
            <v>H</v>
          </cell>
          <cell r="H885" t="str">
            <v>FCB</v>
          </cell>
          <cell r="I885" t="str">
            <v>16.ZAL</v>
          </cell>
          <cell r="J885" t="str">
            <v>16.FCB</v>
          </cell>
        </row>
        <row r="886">
          <cell r="B886" t="str">
            <v>ZAL</v>
          </cell>
          <cell r="C886">
            <v>17</v>
          </cell>
          <cell r="D886" t="str">
            <v>Zalgiris Kaunas</v>
          </cell>
          <cell r="E886" t="str">
            <v>Maccabi Playtika Tel Aviv</v>
          </cell>
          <cell r="F886">
            <v>45288</v>
          </cell>
          <cell r="G886" t="str">
            <v>H</v>
          </cell>
          <cell r="H886" t="str">
            <v>MTA</v>
          </cell>
          <cell r="I886" t="str">
            <v>17.ZAL</v>
          </cell>
          <cell r="J886" t="str">
            <v>17.MTA</v>
          </cell>
        </row>
        <row r="887">
          <cell r="B887" t="str">
            <v>ZAL</v>
          </cell>
          <cell r="C887">
            <v>18</v>
          </cell>
          <cell r="D887" t="str">
            <v>Zalgiris Kaunas</v>
          </cell>
          <cell r="E887" t="str">
            <v>ALBA Berlin</v>
          </cell>
          <cell r="F887">
            <v>45293</v>
          </cell>
          <cell r="G887" t="str">
            <v>H</v>
          </cell>
          <cell r="H887" t="str">
            <v>BER</v>
          </cell>
          <cell r="I887" t="str">
            <v>18.ZAL</v>
          </cell>
          <cell r="J887" t="str">
            <v>18.BER</v>
          </cell>
        </row>
        <row r="888">
          <cell r="B888" t="str">
            <v>ZAL</v>
          </cell>
          <cell r="C888">
            <v>19</v>
          </cell>
          <cell r="D888" t="str">
            <v>Zalgiris Kaunas</v>
          </cell>
          <cell r="E888" t="str">
            <v>LDLC ASVEL Villeurbanne</v>
          </cell>
          <cell r="F888">
            <v>45295</v>
          </cell>
          <cell r="G888" t="str">
            <v>A</v>
          </cell>
          <cell r="H888" t="str">
            <v>ASV</v>
          </cell>
          <cell r="I888" t="str">
            <v>19.ZAL</v>
          </cell>
          <cell r="J888" t="str">
            <v>19.ASV</v>
          </cell>
        </row>
        <row r="889">
          <cell r="B889" t="str">
            <v>ZAL</v>
          </cell>
          <cell r="C889">
            <v>20</v>
          </cell>
          <cell r="D889" t="str">
            <v>Zalgiris Kaunas</v>
          </cell>
          <cell r="E889" t="str">
            <v>Valencia Basket</v>
          </cell>
          <cell r="F889">
            <v>45300</v>
          </cell>
          <cell r="G889" t="str">
            <v>A</v>
          </cell>
          <cell r="H889" t="str">
            <v>VAL</v>
          </cell>
          <cell r="I889" t="str">
            <v>20.ZAL</v>
          </cell>
          <cell r="J889" t="str">
            <v>20.VAL</v>
          </cell>
        </row>
        <row r="890">
          <cell r="B890" t="str">
            <v>ZAL</v>
          </cell>
          <cell r="C890">
            <v>21</v>
          </cell>
          <cell r="D890" t="str">
            <v>Zalgiris Kaunas</v>
          </cell>
          <cell r="E890" t="str">
            <v>FC Barcelona</v>
          </cell>
          <cell r="F890">
            <v>45303</v>
          </cell>
          <cell r="G890" t="str">
            <v>A</v>
          </cell>
          <cell r="H890" t="str">
            <v>FCB</v>
          </cell>
          <cell r="I890" t="str">
            <v>21.ZAL</v>
          </cell>
          <cell r="J890" t="str">
            <v>21.FCB</v>
          </cell>
        </row>
        <row r="891">
          <cell r="B891" t="str">
            <v>ZAL</v>
          </cell>
          <cell r="C891">
            <v>22</v>
          </cell>
          <cell r="D891" t="str">
            <v>Zalgiris Kaunas</v>
          </cell>
          <cell r="E891" t="str">
            <v>Fenerbahce Beko Istanbul</v>
          </cell>
          <cell r="F891">
            <v>45310</v>
          </cell>
          <cell r="G891" t="str">
            <v>H</v>
          </cell>
          <cell r="H891" t="str">
            <v>FEN</v>
          </cell>
          <cell r="I891" t="str">
            <v>22.ZAL</v>
          </cell>
          <cell r="J891" t="str">
            <v>22.FEN</v>
          </cell>
        </row>
        <row r="892">
          <cell r="B892" t="str">
            <v>ZAL</v>
          </cell>
          <cell r="C892">
            <v>23</v>
          </cell>
          <cell r="D892" t="str">
            <v>Zalgiris Kaunas</v>
          </cell>
          <cell r="E892" t="str">
            <v>Partizan Mozzart Bet Belgrade</v>
          </cell>
          <cell r="F892">
            <v>45317</v>
          </cell>
          <cell r="G892" t="str">
            <v>A</v>
          </cell>
          <cell r="H892" t="str">
            <v>PAR</v>
          </cell>
          <cell r="I892" t="str">
            <v>23.ZAL</v>
          </cell>
          <cell r="J892" t="str">
            <v>23.PAR</v>
          </cell>
        </row>
        <row r="893">
          <cell r="B893" t="str">
            <v>ZAL</v>
          </cell>
          <cell r="C893">
            <v>24</v>
          </cell>
          <cell r="D893" t="str">
            <v>Zalgiris Kaunas</v>
          </cell>
          <cell r="E893" t="str">
            <v>Anadolu Efes Istanbul</v>
          </cell>
          <cell r="F893">
            <v>45322</v>
          </cell>
          <cell r="G893" t="str">
            <v>H</v>
          </cell>
          <cell r="H893" t="str">
            <v>EFE</v>
          </cell>
          <cell r="I893" t="str">
            <v>24.ZAL</v>
          </cell>
          <cell r="J893" t="str">
            <v>24.EFE</v>
          </cell>
        </row>
        <row r="894">
          <cell r="B894" t="str">
            <v>ZAL</v>
          </cell>
          <cell r="C894">
            <v>25</v>
          </cell>
          <cell r="D894" t="str">
            <v>Zalgiris Kaunas</v>
          </cell>
          <cell r="E894" t="str">
            <v>Panathinaikos Athens</v>
          </cell>
          <cell r="F894">
            <v>45324</v>
          </cell>
          <cell r="G894" t="str">
            <v>H</v>
          </cell>
          <cell r="H894" t="str">
            <v>PAN</v>
          </cell>
          <cell r="I894" t="str">
            <v>25.ZAL</v>
          </cell>
          <cell r="J894" t="str">
            <v>25.PAN</v>
          </cell>
        </row>
        <row r="895">
          <cell r="B895" t="str">
            <v>ZAL</v>
          </cell>
          <cell r="C895">
            <v>26</v>
          </cell>
          <cell r="D895" t="str">
            <v>Zalgiris Kaunas</v>
          </cell>
          <cell r="E895" t="str">
            <v>Crvena Zvezda Meridianbet Belgrade</v>
          </cell>
          <cell r="F895">
            <v>45331</v>
          </cell>
          <cell r="G895" t="str">
            <v>A</v>
          </cell>
          <cell r="H895" t="str">
            <v>CZB</v>
          </cell>
          <cell r="I895" t="str">
            <v>26.ZAL</v>
          </cell>
          <cell r="J895" t="str">
            <v>26.CZB</v>
          </cell>
        </row>
        <row r="896">
          <cell r="B896" t="str">
            <v>ZAL</v>
          </cell>
          <cell r="C896">
            <v>27</v>
          </cell>
          <cell r="D896" t="str">
            <v>Zalgiris Kaunas</v>
          </cell>
          <cell r="E896" t="str">
            <v>Olympiacos Piraeus</v>
          </cell>
          <cell r="F896">
            <v>45352</v>
          </cell>
          <cell r="G896" t="str">
            <v>H</v>
          </cell>
          <cell r="H896" t="str">
            <v>OLY</v>
          </cell>
          <cell r="I896" t="str">
            <v>27.ZAL</v>
          </cell>
          <cell r="J896" t="str">
            <v>27.OLY</v>
          </cell>
        </row>
        <row r="897">
          <cell r="B897" t="str">
            <v>ZAL</v>
          </cell>
          <cell r="C897">
            <v>28</v>
          </cell>
          <cell r="D897" t="str">
            <v>Zalgiris Kaunas</v>
          </cell>
          <cell r="E897" t="str">
            <v>Maccabi Playtika Tel Aviv</v>
          </cell>
          <cell r="F897">
            <v>45358</v>
          </cell>
          <cell r="G897" t="str">
            <v>A</v>
          </cell>
          <cell r="H897" t="str">
            <v>MTA</v>
          </cell>
          <cell r="I897" t="str">
            <v>28.ZAL</v>
          </cell>
          <cell r="J897" t="str">
            <v>28.MTA</v>
          </cell>
        </row>
        <row r="898">
          <cell r="B898" t="str">
            <v>ZAL</v>
          </cell>
          <cell r="C898">
            <v>29</v>
          </cell>
          <cell r="D898" t="str">
            <v>Zalgiris Kaunas</v>
          </cell>
          <cell r="E898" t="str">
            <v>FC Bayern Munich</v>
          </cell>
          <cell r="F898">
            <v>45366</v>
          </cell>
          <cell r="G898" t="str">
            <v>A</v>
          </cell>
          <cell r="H898" t="str">
            <v>BAY</v>
          </cell>
          <cell r="I898" t="str">
            <v>29.ZAL</v>
          </cell>
          <cell r="J898" t="str">
            <v>29.BAY</v>
          </cell>
        </row>
        <row r="899">
          <cell r="B899" t="str">
            <v>ZAL</v>
          </cell>
          <cell r="C899">
            <v>30</v>
          </cell>
          <cell r="D899" t="str">
            <v>Zalgiris Kaunas</v>
          </cell>
          <cell r="E899" t="str">
            <v>Virtus Segafredo Bologna</v>
          </cell>
          <cell r="F899">
            <v>45370</v>
          </cell>
          <cell r="G899" t="str">
            <v>H</v>
          </cell>
          <cell r="H899" t="str">
            <v>VIR</v>
          </cell>
          <cell r="I899" t="str">
            <v>30.ZAL</v>
          </cell>
          <cell r="J899" t="str">
            <v>30.VIR</v>
          </cell>
        </row>
        <row r="900">
          <cell r="B900" t="str">
            <v>ZAL</v>
          </cell>
          <cell r="C900">
            <v>31</v>
          </cell>
          <cell r="D900" t="str">
            <v>Zalgiris Kaunas</v>
          </cell>
          <cell r="E900" t="str">
            <v>Baskonia Vitoria-Gasteiz</v>
          </cell>
          <cell r="F900">
            <v>45372</v>
          </cell>
          <cell r="G900" t="str">
            <v>H</v>
          </cell>
          <cell r="H900" t="str">
            <v>BAS</v>
          </cell>
          <cell r="I900" t="str">
            <v>31.ZAL</v>
          </cell>
          <cell r="J900" t="str">
            <v>31.BAS</v>
          </cell>
        </row>
        <row r="901">
          <cell r="B901" t="str">
            <v>ZAL</v>
          </cell>
          <cell r="C901">
            <v>32</v>
          </cell>
          <cell r="D901" t="str">
            <v>Zalgiris Kaunas</v>
          </cell>
          <cell r="E901" t="str">
            <v>EA7 Emporio Armani Milan</v>
          </cell>
          <cell r="F901">
            <v>45379</v>
          </cell>
          <cell r="G901" t="str">
            <v>H</v>
          </cell>
          <cell r="H901" t="str">
            <v>MIL</v>
          </cell>
          <cell r="I901" t="str">
            <v>32.ZAL</v>
          </cell>
          <cell r="J901" t="str">
            <v>32.MIL</v>
          </cell>
        </row>
        <row r="902">
          <cell r="B902" t="str">
            <v>ZAL</v>
          </cell>
          <cell r="C902">
            <v>33</v>
          </cell>
          <cell r="D902" t="str">
            <v>Zalgiris Kaunas</v>
          </cell>
          <cell r="E902" t="str">
            <v>AS Monaco</v>
          </cell>
          <cell r="F902">
            <v>45386</v>
          </cell>
          <cell r="G902" t="str">
            <v>A</v>
          </cell>
          <cell r="H902" t="str">
            <v>ASM</v>
          </cell>
          <cell r="I902" t="str">
            <v>33.ZAL</v>
          </cell>
          <cell r="J902" t="str">
            <v>33.ASM</v>
          </cell>
        </row>
        <row r="903">
          <cell r="B903" t="str">
            <v>ZAL</v>
          </cell>
          <cell r="C903">
            <v>34</v>
          </cell>
          <cell r="D903" t="str">
            <v>Zalgiris Kaunas</v>
          </cell>
          <cell r="E903" t="str">
            <v>Real Madrid</v>
          </cell>
          <cell r="F903">
            <v>45393</v>
          </cell>
          <cell r="G903" t="str">
            <v>H</v>
          </cell>
          <cell r="H903" t="str">
            <v>RMB</v>
          </cell>
          <cell r="I903" t="str">
            <v>34.ZAL</v>
          </cell>
          <cell r="J903" t="str">
            <v>34.RMB</v>
          </cell>
        </row>
        <row r="904">
          <cell r="B904" t="str">
            <v>ZAL</v>
          </cell>
          <cell r="C904">
            <v>35</v>
          </cell>
          <cell r="D904" t="str">
            <v>Zalgiris Kaunas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</row>
        <row r="905">
          <cell r="B905" t="str">
            <v>ZAL</v>
          </cell>
          <cell r="C905">
            <v>36</v>
          </cell>
          <cell r="D905" t="str">
            <v>Zalgiris Kaunas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</row>
        <row r="906">
          <cell r="B906" t="str">
            <v>ZAL</v>
          </cell>
          <cell r="C906">
            <v>37</v>
          </cell>
          <cell r="D906" t="str">
            <v>Zalgiris Kaunas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</row>
        <row r="907">
          <cell r="B907" t="str">
            <v>ZAL</v>
          </cell>
          <cell r="C907">
            <v>38</v>
          </cell>
          <cell r="D907" t="str">
            <v>Zalgiris Kaunas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</row>
        <row r="908">
          <cell r="B908" t="str">
            <v>ZAL</v>
          </cell>
          <cell r="C908">
            <v>39</v>
          </cell>
          <cell r="D908" t="str">
            <v>Zalgiris Kaunas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</row>
        <row r="909">
          <cell r="B909" t="str">
            <v>ZAL</v>
          </cell>
          <cell r="C909">
            <v>40</v>
          </cell>
          <cell r="D909" t="str">
            <v>Zalgiris Kaunas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</row>
        <row r="910">
          <cell r="B910" t="str">
            <v>ZAL</v>
          </cell>
          <cell r="C910">
            <v>41</v>
          </cell>
          <cell r="D910" t="str">
            <v>Zalgiris Kaunas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</row>
        <row r="911">
          <cell r="B911" t="str">
            <v>ZAL</v>
          </cell>
          <cell r="C911">
            <v>42</v>
          </cell>
          <cell r="D911" t="str">
            <v>Zalgiris Kaunas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</row>
        <row r="912">
          <cell r="B912" t="str">
            <v>ZAL</v>
          </cell>
          <cell r="C912">
            <v>43</v>
          </cell>
          <cell r="D912" t="str">
            <v>Zalgiris Kaunas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</row>
        <row r="913">
          <cell r="B913" t="str">
            <v>ZAL</v>
          </cell>
          <cell r="C913">
            <v>44</v>
          </cell>
          <cell r="D913" t="str">
            <v>Zalgiris Kaunas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</row>
        <row r="914">
          <cell r="B914" t="str">
            <v>ZAL</v>
          </cell>
          <cell r="C914">
            <v>45</v>
          </cell>
          <cell r="D914" t="str">
            <v>Zalgiris Kaunas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</row>
        <row r="915">
          <cell r="B915" t="str">
            <v>ZAL</v>
          </cell>
          <cell r="C915">
            <v>46</v>
          </cell>
          <cell r="D915" t="str">
            <v>Zalgiris Kaunas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</row>
        <row r="916">
          <cell r="B916" t="str">
            <v>ZAL</v>
          </cell>
          <cell r="C916">
            <v>47</v>
          </cell>
          <cell r="D916" t="str">
            <v>Zalgiris Kaunas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</row>
        <row r="917">
          <cell r="B917" t="str">
            <v>ZAL</v>
          </cell>
          <cell r="C917">
            <v>48</v>
          </cell>
          <cell r="D917" t="str">
            <v>Zalgiris Kaunas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</row>
        <row r="918">
          <cell r="B918" t="str">
            <v>ZAL</v>
          </cell>
          <cell r="C918">
            <v>49</v>
          </cell>
          <cell r="D918" t="str">
            <v>Zalgiris Kaunas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</row>
        <row r="919">
          <cell r="B919" t="str">
            <v>ZAL</v>
          </cell>
          <cell r="C919">
            <v>50</v>
          </cell>
          <cell r="D919" t="str">
            <v>Zalgiris Kaunas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</row>
        <row r="920">
          <cell r="B920" t="str">
            <v>ZAL</v>
          </cell>
          <cell r="C920">
            <v>51</v>
          </cell>
          <cell r="D920" t="str">
            <v>Zalgiris Kaunas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</row>
        <row r="921">
          <cell r="B921" t="str">
            <v/>
          </cell>
          <cell r="C921">
            <v>1</v>
          </cell>
          <cell r="D921" t="e">
            <v>#N/A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</row>
        <row r="922">
          <cell r="B922" t="str">
            <v/>
          </cell>
          <cell r="C922">
            <v>2</v>
          </cell>
          <cell r="D922" t="e">
            <v>#N/A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</row>
        <row r="923">
          <cell r="B923" t="str">
            <v/>
          </cell>
          <cell r="C923">
            <v>3</v>
          </cell>
          <cell r="D923" t="e">
            <v>#N/A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</row>
        <row r="924">
          <cell r="B924" t="str">
            <v/>
          </cell>
          <cell r="C924">
            <v>4</v>
          </cell>
          <cell r="D924" t="e">
            <v>#N/A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</row>
        <row r="925">
          <cell r="B925" t="str">
            <v/>
          </cell>
          <cell r="C925">
            <v>5</v>
          </cell>
          <cell r="D925" t="e">
            <v>#N/A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</row>
        <row r="926">
          <cell r="B926" t="str">
            <v/>
          </cell>
          <cell r="C926">
            <v>6</v>
          </cell>
          <cell r="D926" t="e">
            <v>#N/A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</row>
        <row r="927">
          <cell r="B927" t="str">
            <v/>
          </cell>
          <cell r="C927">
            <v>7</v>
          </cell>
          <cell r="D927" t="e">
            <v>#N/A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</row>
        <row r="928">
          <cell r="B928" t="str">
            <v/>
          </cell>
          <cell r="C928">
            <v>8</v>
          </cell>
          <cell r="D928" t="e">
            <v>#N/A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</row>
        <row r="929">
          <cell r="B929" t="str">
            <v/>
          </cell>
          <cell r="C929">
            <v>9</v>
          </cell>
          <cell r="D929" t="e">
            <v>#N/A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</row>
        <row r="930">
          <cell r="B930" t="str">
            <v/>
          </cell>
          <cell r="C930">
            <v>10</v>
          </cell>
          <cell r="D930" t="e">
            <v>#N/A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</row>
        <row r="931">
          <cell r="B931" t="str">
            <v/>
          </cell>
          <cell r="C931">
            <v>11</v>
          </cell>
          <cell r="D931" t="e">
            <v>#N/A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</row>
        <row r="932">
          <cell r="B932" t="str">
            <v/>
          </cell>
          <cell r="C932">
            <v>12</v>
          </cell>
          <cell r="D932" t="e">
            <v>#N/A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</row>
        <row r="933">
          <cell r="B933" t="str">
            <v/>
          </cell>
          <cell r="C933">
            <v>13</v>
          </cell>
          <cell r="D933" t="e">
            <v>#N/A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</row>
        <row r="934">
          <cell r="B934" t="str">
            <v/>
          </cell>
          <cell r="C934">
            <v>14</v>
          </cell>
          <cell r="D934" t="e">
            <v>#N/A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</row>
        <row r="935">
          <cell r="B935" t="str">
            <v/>
          </cell>
          <cell r="C935">
            <v>15</v>
          </cell>
          <cell r="D935" t="e">
            <v>#N/A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</row>
        <row r="936">
          <cell r="B936" t="str">
            <v/>
          </cell>
          <cell r="C936">
            <v>16</v>
          </cell>
          <cell r="D936" t="e">
            <v>#N/A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</row>
        <row r="937">
          <cell r="B937" t="str">
            <v/>
          </cell>
          <cell r="C937">
            <v>17</v>
          </cell>
          <cell r="D937" t="e">
            <v>#N/A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</row>
        <row r="938">
          <cell r="B938" t="str">
            <v/>
          </cell>
          <cell r="C938">
            <v>18</v>
          </cell>
          <cell r="D938" t="e">
            <v>#N/A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</row>
        <row r="939">
          <cell r="B939" t="str">
            <v/>
          </cell>
          <cell r="C939">
            <v>19</v>
          </cell>
          <cell r="D939" t="e">
            <v>#N/A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</row>
        <row r="940">
          <cell r="B940" t="str">
            <v/>
          </cell>
          <cell r="C940">
            <v>20</v>
          </cell>
          <cell r="D940" t="e">
            <v>#N/A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</row>
        <row r="941">
          <cell r="B941" t="str">
            <v/>
          </cell>
          <cell r="C941">
            <v>21</v>
          </cell>
          <cell r="D941" t="e">
            <v>#N/A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</row>
        <row r="942">
          <cell r="B942" t="str">
            <v/>
          </cell>
          <cell r="C942">
            <v>22</v>
          </cell>
          <cell r="D942" t="e">
            <v>#N/A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</row>
        <row r="943">
          <cell r="B943" t="str">
            <v/>
          </cell>
          <cell r="C943">
            <v>23</v>
          </cell>
          <cell r="D943" t="e">
            <v>#N/A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</row>
        <row r="944">
          <cell r="B944" t="str">
            <v/>
          </cell>
          <cell r="C944">
            <v>24</v>
          </cell>
          <cell r="D944" t="e">
            <v>#N/A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</row>
        <row r="945">
          <cell r="B945" t="str">
            <v/>
          </cell>
          <cell r="C945">
            <v>25</v>
          </cell>
          <cell r="D945" t="e">
            <v>#N/A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</row>
        <row r="946">
          <cell r="B946" t="str">
            <v/>
          </cell>
          <cell r="C946">
            <v>26</v>
          </cell>
          <cell r="D946" t="e">
            <v>#N/A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</row>
        <row r="947">
          <cell r="B947" t="str">
            <v/>
          </cell>
          <cell r="C947">
            <v>27</v>
          </cell>
          <cell r="D947" t="e">
            <v>#N/A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</row>
        <row r="948">
          <cell r="B948" t="str">
            <v/>
          </cell>
          <cell r="C948">
            <v>28</v>
          </cell>
          <cell r="D948" t="e">
            <v>#N/A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</row>
        <row r="949">
          <cell r="B949" t="str">
            <v/>
          </cell>
          <cell r="C949">
            <v>29</v>
          </cell>
          <cell r="D949" t="e">
            <v>#N/A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</row>
        <row r="950">
          <cell r="B950" t="str">
            <v/>
          </cell>
          <cell r="C950">
            <v>30</v>
          </cell>
          <cell r="D950" t="e">
            <v>#N/A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</row>
        <row r="951">
          <cell r="B951" t="str">
            <v/>
          </cell>
          <cell r="C951">
            <v>31</v>
          </cell>
          <cell r="D951" t="e">
            <v>#N/A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</row>
        <row r="952">
          <cell r="B952" t="str">
            <v/>
          </cell>
          <cell r="C952">
            <v>32</v>
          </cell>
          <cell r="D952" t="e">
            <v>#N/A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</row>
        <row r="953">
          <cell r="B953" t="str">
            <v/>
          </cell>
          <cell r="C953">
            <v>33</v>
          </cell>
          <cell r="D953" t="e">
            <v>#N/A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</row>
        <row r="954">
          <cell r="B954" t="str">
            <v/>
          </cell>
          <cell r="C954">
            <v>34</v>
          </cell>
          <cell r="D954" t="e">
            <v>#N/A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</row>
        <row r="955">
          <cell r="B955" t="str">
            <v/>
          </cell>
          <cell r="C955">
            <v>35</v>
          </cell>
          <cell r="D955" t="e">
            <v>#N/A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</row>
        <row r="956">
          <cell r="B956" t="str">
            <v/>
          </cell>
          <cell r="C956">
            <v>36</v>
          </cell>
          <cell r="D956" t="e">
            <v>#N/A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</row>
        <row r="957">
          <cell r="B957" t="str">
            <v/>
          </cell>
          <cell r="C957">
            <v>37</v>
          </cell>
          <cell r="D957" t="e">
            <v>#N/A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</row>
        <row r="958">
          <cell r="B958" t="str">
            <v/>
          </cell>
          <cell r="C958">
            <v>38</v>
          </cell>
          <cell r="D958" t="e">
            <v>#N/A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</row>
        <row r="959">
          <cell r="B959" t="str">
            <v/>
          </cell>
          <cell r="C959">
            <v>39</v>
          </cell>
          <cell r="D959" t="e">
            <v>#N/A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</row>
        <row r="960">
          <cell r="B960" t="str">
            <v/>
          </cell>
          <cell r="C960">
            <v>40</v>
          </cell>
          <cell r="D960" t="e">
            <v>#N/A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</row>
        <row r="961">
          <cell r="B961" t="str">
            <v/>
          </cell>
          <cell r="C961">
            <v>41</v>
          </cell>
          <cell r="D961" t="e">
            <v>#N/A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</row>
        <row r="962">
          <cell r="B962" t="str">
            <v/>
          </cell>
          <cell r="C962">
            <v>42</v>
          </cell>
          <cell r="D962" t="e">
            <v>#N/A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</row>
        <row r="963">
          <cell r="B963" t="str">
            <v/>
          </cell>
          <cell r="C963">
            <v>43</v>
          </cell>
          <cell r="D963" t="e">
            <v>#N/A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</row>
        <row r="964">
          <cell r="B964" t="str">
            <v/>
          </cell>
          <cell r="C964">
            <v>44</v>
          </cell>
          <cell r="D964" t="e">
            <v>#N/A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</row>
        <row r="965">
          <cell r="B965" t="str">
            <v/>
          </cell>
          <cell r="C965">
            <v>45</v>
          </cell>
          <cell r="D965" t="e">
            <v>#N/A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</row>
        <row r="966">
          <cell r="B966" t="str">
            <v/>
          </cell>
          <cell r="C966">
            <v>46</v>
          </cell>
          <cell r="D966" t="e">
            <v>#N/A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</row>
        <row r="967">
          <cell r="B967" t="str">
            <v/>
          </cell>
          <cell r="C967">
            <v>47</v>
          </cell>
          <cell r="D967" t="e">
            <v>#N/A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</row>
        <row r="968">
          <cell r="B968" t="str">
            <v/>
          </cell>
          <cell r="C968">
            <v>48</v>
          </cell>
          <cell r="D968" t="e">
            <v>#N/A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</row>
        <row r="969">
          <cell r="B969" t="str">
            <v/>
          </cell>
          <cell r="C969">
            <v>49</v>
          </cell>
          <cell r="D969" t="e">
            <v>#N/A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</row>
        <row r="970">
          <cell r="B970" t="str">
            <v/>
          </cell>
          <cell r="C970">
            <v>50</v>
          </cell>
          <cell r="D970" t="e">
            <v>#N/A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</row>
        <row r="971">
          <cell r="B971" t="str">
            <v/>
          </cell>
          <cell r="C971">
            <v>51</v>
          </cell>
          <cell r="D971" t="e">
            <v>#N/A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</row>
        <row r="972">
          <cell r="B972" t="str">
            <v/>
          </cell>
          <cell r="C972">
            <v>1</v>
          </cell>
          <cell r="D972" t="e">
            <v>#N/A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</row>
        <row r="973">
          <cell r="B973" t="str">
            <v/>
          </cell>
          <cell r="C973">
            <v>2</v>
          </cell>
          <cell r="D973" t="e">
            <v>#N/A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</row>
        <row r="974">
          <cell r="B974" t="str">
            <v/>
          </cell>
          <cell r="C974">
            <v>3</v>
          </cell>
          <cell r="D974" t="e">
            <v>#N/A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</row>
        <row r="975">
          <cell r="B975" t="str">
            <v/>
          </cell>
          <cell r="C975">
            <v>4</v>
          </cell>
          <cell r="D975" t="e">
            <v>#N/A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</row>
        <row r="976">
          <cell r="B976" t="str">
            <v/>
          </cell>
          <cell r="C976">
            <v>5</v>
          </cell>
          <cell r="D976" t="e">
            <v>#N/A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</row>
        <row r="977">
          <cell r="B977" t="str">
            <v/>
          </cell>
          <cell r="C977">
            <v>6</v>
          </cell>
          <cell r="D977" t="e">
            <v>#N/A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</row>
        <row r="978">
          <cell r="B978" t="str">
            <v/>
          </cell>
          <cell r="C978">
            <v>7</v>
          </cell>
          <cell r="D978" t="e">
            <v>#N/A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</row>
        <row r="979">
          <cell r="B979" t="str">
            <v/>
          </cell>
          <cell r="C979">
            <v>8</v>
          </cell>
          <cell r="D979" t="e">
            <v>#N/A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</row>
        <row r="980">
          <cell r="B980" t="str">
            <v/>
          </cell>
          <cell r="C980">
            <v>9</v>
          </cell>
          <cell r="D980" t="e">
            <v>#N/A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</row>
        <row r="981">
          <cell r="B981" t="str">
            <v/>
          </cell>
          <cell r="C981">
            <v>10</v>
          </cell>
          <cell r="D981" t="e">
            <v>#N/A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</row>
        <row r="982">
          <cell r="B982" t="str">
            <v/>
          </cell>
          <cell r="C982">
            <v>11</v>
          </cell>
          <cell r="D982" t="e">
            <v>#N/A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</row>
        <row r="983">
          <cell r="B983" t="str">
            <v/>
          </cell>
          <cell r="C983">
            <v>12</v>
          </cell>
          <cell r="D983" t="e">
            <v>#N/A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</row>
        <row r="984">
          <cell r="B984" t="str">
            <v/>
          </cell>
          <cell r="C984">
            <v>13</v>
          </cell>
          <cell r="D984" t="e">
            <v>#N/A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</row>
        <row r="985">
          <cell r="B985" t="str">
            <v/>
          </cell>
          <cell r="C985">
            <v>14</v>
          </cell>
          <cell r="D985" t="e">
            <v>#N/A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</row>
        <row r="986">
          <cell r="B986" t="str">
            <v/>
          </cell>
          <cell r="C986">
            <v>15</v>
          </cell>
          <cell r="D986" t="e">
            <v>#N/A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</row>
        <row r="987">
          <cell r="B987" t="str">
            <v/>
          </cell>
          <cell r="C987">
            <v>16</v>
          </cell>
          <cell r="D987" t="e">
            <v>#N/A</v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</row>
        <row r="988">
          <cell r="B988" t="str">
            <v/>
          </cell>
          <cell r="C988">
            <v>17</v>
          </cell>
          <cell r="D988" t="e">
            <v>#N/A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</row>
        <row r="989">
          <cell r="B989" t="str">
            <v/>
          </cell>
          <cell r="C989">
            <v>18</v>
          </cell>
          <cell r="D989" t="e">
            <v>#N/A</v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</row>
        <row r="990">
          <cell r="B990" t="str">
            <v/>
          </cell>
          <cell r="C990">
            <v>19</v>
          </cell>
          <cell r="D990" t="e">
            <v>#N/A</v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</row>
        <row r="991">
          <cell r="B991" t="str">
            <v/>
          </cell>
          <cell r="C991">
            <v>20</v>
          </cell>
          <cell r="D991" t="e">
            <v>#N/A</v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</row>
        <row r="992">
          <cell r="B992" t="str">
            <v/>
          </cell>
          <cell r="C992">
            <v>21</v>
          </cell>
          <cell r="D992" t="e">
            <v>#N/A</v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</row>
        <row r="993">
          <cell r="B993" t="str">
            <v/>
          </cell>
          <cell r="C993">
            <v>22</v>
          </cell>
          <cell r="D993" t="e">
            <v>#N/A</v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</row>
        <row r="994">
          <cell r="B994" t="str">
            <v/>
          </cell>
          <cell r="C994">
            <v>23</v>
          </cell>
          <cell r="D994" t="e">
            <v>#N/A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</row>
        <row r="995">
          <cell r="B995" t="str">
            <v/>
          </cell>
          <cell r="C995">
            <v>24</v>
          </cell>
          <cell r="D995" t="e">
            <v>#N/A</v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</row>
        <row r="996">
          <cell r="B996" t="str">
            <v/>
          </cell>
          <cell r="C996">
            <v>25</v>
          </cell>
          <cell r="D996" t="e">
            <v>#N/A</v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</row>
        <row r="997">
          <cell r="B997" t="str">
            <v/>
          </cell>
          <cell r="C997">
            <v>26</v>
          </cell>
          <cell r="D997" t="e">
            <v>#N/A</v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</row>
        <row r="998">
          <cell r="B998" t="str">
            <v/>
          </cell>
          <cell r="C998">
            <v>27</v>
          </cell>
          <cell r="D998" t="e">
            <v>#N/A</v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</row>
        <row r="999">
          <cell r="B999" t="str">
            <v/>
          </cell>
          <cell r="C999">
            <v>28</v>
          </cell>
          <cell r="D999" t="e">
            <v>#N/A</v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</row>
        <row r="1000">
          <cell r="B1000" t="str">
            <v/>
          </cell>
          <cell r="C1000">
            <v>29</v>
          </cell>
          <cell r="D1000" t="e">
            <v>#N/A</v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</row>
        <row r="1001">
          <cell r="B1001" t="str">
            <v/>
          </cell>
          <cell r="C1001">
            <v>30</v>
          </cell>
          <cell r="D1001" t="e">
            <v>#N/A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</row>
        <row r="1002">
          <cell r="B1002" t="str">
            <v/>
          </cell>
          <cell r="C1002">
            <v>31</v>
          </cell>
          <cell r="D1002" t="e">
            <v>#N/A</v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</row>
        <row r="1003">
          <cell r="B1003" t="str">
            <v/>
          </cell>
          <cell r="C1003">
            <v>32</v>
          </cell>
          <cell r="D1003" t="e">
            <v>#N/A</v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</row>
        <row r="1004">
          <cell r="B1004" t="str">
            <v/>
          </cell>
          <cell r="C1004">
            <v>33</v>
          </cell>
          <cell r="D1004" t="e">
            <v>#N/A</v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</row>
        <row r="1005">
          <cell r="B1005" t="str">
            <v/>
          </cell>
          <cell r="C1005">
            <v>34</v>
          </cell>
          <cell r="D1005" t="e">
            <v>#N/A</v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</row>
        <row r="1006">
          <cell r="B1006" t="str">
            <v/>
          </cell>
          <cell r="C1006">
            <v>35</v>
          </cell>
          <cell r="D1006" t="e">
            <v>#N/A</v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</row>
        <row r="1007">
          <cell r="B1007" t="str">
            <v/>
          </cell>
          <cell r="C1007">
            <v>36</v>
          </cell>
          <cell r="D1007" t="e">
            <v>#N/A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</row>
        <row r="1008">
          <cell r="B1008" t="str">
            <v/>
          </cell>
          <cell r="C1008">
            <v>37</v>
          </cell>
          <cell r="D1008" t="e">
            <v>#N/A</v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</row>
        <row r="1009">
          <cell r="B1009" t="str">
            <v/>
          </cell>
          <cell r="C1009">
            <v>38</v>
          </cell>
          <cell r="D1009" t="e">
            <v>#N/A</v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</row>
        <row r="1010">
          <cell r="B1010" t="str">
            <v/>
          </cell>
          <cell r="C1010">
            <v>39</v>
          </cell>
          <cell r="D1010" t="e">
            <v>#N/A</v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</row>
        <row r="1011">
          <cell r="B1011" t="str">
            <v/>
          </cell>
          <cell r="C1011">
            <v>40</v>
          </cell>
          <cell r="D1011" t="e">
            <v>#N/A</v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</row>
        <row r="1012">
          <cell r="B1012" t="str">
            <v/>
          </cell>
          <cell r="C1012">
            <v>41</v>
          </cell>
          <cell r="D1012" t="e">
            <v>#N/A</v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</row>
        <row r="1013">
          <cell r="B1013" t="str">
            <v/>
          </cell>
          <cell r="C1013">
            <v>42</v>
          </cell>
          <cell r="D1013" t="e">
            <v>#N/A</v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</row>
        <row r="1014">
          <cell r="B1014" t="str">
            <v/>
          </cell>
          <cell r="C1014">
            <v>43</v>
          </cell>
          <cell r="D1014" t="e">
            <v>#N/A</v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</row>
        <row r="1015">
          <cell r="B1015" t="str">
            <v/>
          </cell>
          <cell r="C1015">
            <v>44</v>
          </cell>
          <cell r="D1015" t="e">
            <v>#N/A</v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</row>
        <row r="1016">
          <cell r="B1016" t="str">
            <v/>
          </cell>
          <cell r="C1016">
            <v>45</v>
          </cell>
          <cell r="D1016" t="e">
            <v>#N/A</v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</row>
        <row r="1017">
          <cell r="B1017" t="str">
            <v/>
          </cell>
          <cell r="C1017">
            <v>46</v>
          </cell>
          <cell r="D1017" t="e">
            <v>#N/A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</row>
        <row r="1018">
          <cell r="B1018" t="str">
            <v/>
          </cell>
          <cell r="C1018">
            <v>47</v>
          </cell>
          <cell r="D1018" t="e">
            <v>#N/A</v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</row>
        <row r="1019">
          <cell r="B1019" t="str">
            <v/>
          </cell>
          <cell r="C1019">
            <v>48</v>
          </cell>
          <cell r="D1019" t="e">
            <v>#N/A</v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</row>
        <row r="1020">
          <cell r="B1020" t="str">
            <v/>
          </cell>
          <cell r="C1020">
            <v>49</v>
          </cell>
          <cell r="D1020" t="e">
            <v>#N/A</v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</row>
        <row r="1021">
          <cell r="B1021" t="str">
            <v/>
          </cell>
          <cell r="C1021">
            <v>50</v>
          </cell>
          <cell r="D1021" t="e">
            <v>#N/A</v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</row>
        <row r="1022">
          <cell r="B1022" t="str">
            <v/>
          </cell>
          <cell r="C1022">
            <v>51</v>
          </cell>
          <cell r="D1022" t="e">
            <v>#N/A</v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</row>
        <row r="1023">
          <cell r="B1023" t="str">
            <v/>
          </cell>
          <cell r="C1023">
            <v>1</v>
          </cell>
          <cell r="D1023" t="e">
            <v>#N/A</v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</row>
        <row r="1024">
          <cell r="B1024" t="str">
            <v/>
          </cell>
          <cell r="C1024">
            <v>2</v>
          </cell>
          <cell r="D1024" t="e">
            <v>#N/A</v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</row>
        <row r="1025">
          <cell r="B1025" t="str">
            <v/>
          </cell>
          <cell r="C1025">
            <v>3</v>
          </cell>
          <cell r="D1025" t="e">
            <v>#N/A</v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</row>
        <row r="1026">
          <cell r="B1026" t="str">
            <v/>
          </cell>
          <cell r="C1026">
            <v>4</v>
          </cell>
          <cell r="D1026" t="e">
            <v>#N/A</v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</row>
        <row r="1027">
          <cell r="B1027" t="str">
            <v/>
          </cell>
          <cell r="C1027">
            <v>5</v>
          </cell>
          <cell r="D1027" t="e">
            <v>#N/A</v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</row>
        <row r="1028">
          <cell r="B1028" t="str">
            <v/>
          </cell>
          <cell r="C1028">
            <v>6</v>
          </cell>
          <cell r="D1028" t="e">
            <v>#N/A</v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</row>
        <row r="1029">
          <cell r="B1029" t="str">
            <v/>
          </cell>
          <cell r="C1029">
            <v>7</v>
          </cell>
          <cell r="D1029" t="e">
            <v>#N/A</v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</row>
        <row r="1030">
          <cell r="B1030" t="str">
            <v/>
          </cell>
          <cell r="C1030">
            <v>8</v>
          </cell>
          <cell r="D1030" t="e">
            <v>#N/A</v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</row>
        <row r="1031">
          <cell r="B1031" t="str">
            <v/>
          </cell>
          <cell r="C1031">
            <v>9</v>
          </cell>
          <cell r="D1031" t="e">
            <v>#N/A</v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</row>
        <row r="1032">
          <cell r="B1032" t="str">
            <v/>
          </cell>
          <cell r="C1032">
            <v>10</v>
          </cell>
          <cell r="D1032" t="e">
            <v>#N/A</v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</row>
        <row r="1033">
          <cell r="B1033" t="str">
            <v/>
          </cell>
          <cell r="C1033">
            <v>11</v>
          </cell>
          <cell r="D1033" t="e">
            <v>#N/A</v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</row>
        <row r="1034">
          <cell r="B1034" t="str">
            <v/>
          </cell>
          <cell r="C1034">
            <v>12</v>
          </cell>
          <cell r="D1034" t="e">
            <v>#N/A</v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</row>
        <row r="1035">
          <cell r="B1035" t="str">
            <v/>
          </cell>
          <cell r="C1035">
            <v>13</v>
          </cell>
          <cell r="D1035" t="e">
            <v>#N/A</v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</row>
        <row r="1036">
          <cell r="B1036" t="str">
            <v/>
          </cell>
          <cell r="C1036">
            <v>14</v>
          </cell>
          <cell r="D1036" t="e">
            <v>#N/A</v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</row>
        <row r="1037">
          <cell r="B1037" t="str">
            <v/>
          </cell>
          <cell r="C1037">
            <v>15</v>
          </cell>
          <cell r="D1037" t="e">
            <v>#N/A</v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</row>
        <row r="1038">
          <cell r="B1038" t="str">
            <v/>
          </cell>
          <cell r="C1038">
            <v>16</v>
          </cell>
          <cell r="D1038" t="e">
            <v>#N/A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</row>
        <row r="1039">
          <cell r="B1039" t="str">
            <v/>
          </cell>
          <cell r="C1039">
            <v>17</v>
          </cell>
          <cell r="D1039" t="e">
            <v>#N/A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</row>
        <row r="1040">
          <cell r="B1040" t="str">
            <v/>
          </cell>
          <cell r="C1040">
            <v>18</v>
          </cell>
          <cell r="D1040" t="e">
            <v>#N/A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</row>
        <row r="1041">
          <cell r="B1041" t="str">
            <v/>
          </cell>
          <cell r="C1041">
            <v>19</v>
          </cell>
          <cell r="D1041" t="e">
            <v>#N/A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</row>
        <row r="1042">
          <cell r="B1042" t="str">
            <v/>
          </cell>
          <cell r="C1042">
            <v>20</v>
          </cell>
          <cell r="D1042" t="e">
            <v>#N/A</v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</row>
        <row r="1043">
          <cell r="B1043" t="str">
            <v/>
          </cell>
          <cell r="C1043">
            <v>21</v>
          </cell>
          <cell r="D1043" t="e">
            <v>#N/A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</row>
        <row r="1044">
          <cell r="B1044" t="str">
            <v/>
          </cell>
          <cell r="C1044">
            <v>22</v>
          </cell>
          <cell r="D1044" t="e">
            <v>#N/A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</row>
        <row r="1045">
          <cell r="B1045" t="str">
            <v/>
          </cell>
          <cell r="C1045">
            <v>23</v>
          </cell>
          <cell r="D1045" t="e">
            <v>#N/A</v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</row>
        <row r="1046">
          <cell r="B1046" t="str">
            <v/>
          </cell>
          <cell r="C1046">
            <v>24</v>
          </cell>
          <cell r="D1046" t="e">
            <v>#N/A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</row>
        <row r="1047">
          <cell r="B1047" t="str">
            <v/>
          </cell>
          <cell r="C1047">
            <v>25</v>
          </cell>
          <cell r="D1047" t="e">
            <v>#N/A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</row>
        <row r="1048">
          <cell r="B1048" t="str">
            <v/>
          </cell>
          <cell r="C1048">
            <v>26</v>
          </cell>
          <cell r="D1048" t="e">
            <v>#N/A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</row>
        <row r="1049">
          <cell r="B1049" t="str">
            <v/>
          </cell>
          <cell r="C1049">
            <v>27</v>
          </cell>
          <cell r="D1049" t="e">
            <v>#N/A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</row>
        <row r="1050">
          <cell r="B1050" t="str">
            <v/>
          </cell>
          <cell r="C1050">
            <v>28</v>
          </cell>
          <cell r="D1050" t="e">
            <v>#N/A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</row>
        <row r="1051">
          <cell r="B1051" t="str">
            <v/>
          </cell>
          <cell r="C1051">
            <v>29</v>
          </cell>
          <cell r="D1051" t="e">
            <v>#N/A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</row>
        <row r="1052">
          <cell r="B1052" t="str">
            <v/>
          </cell>
          <cell r="C1052">
            <v>30</v>
          </cell>
          <cell r="D1052" t="e">
            <v>#N/A</v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</row>
        <row r="1053">
          <cell r="B1053" t="str">
            <v/>
          </cell>
          <cell r="C1053">
            <v>31</v>
          </cell>
          <cell r="D1053" t="e">
            <v>#N/A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</row>
        <row r="1054">
          <cell r="B1054" t="str">
            <v/>
          </cell>
          <cell r="C1054">
            <v>32</v>
          </cell>
          <cell r="D1054" t="e">
            <v>#N/A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</row>
        <row r="1055">
          <cell r="B1055" t="str">
            <v/>
          </cell>
          <cell r="C1055">
            <v>33</v>
          </cell>
          <cell r="D1055" t="e">
            <v>#N/A</v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</row>
        <row r="1056">
          <cell r="B1056" t="str">
            <v/>
          </cell>
          <cell r="C1056">
            <v>34</v>
          </cell>
          <cell r="D1056" t="e">
            <v>#N/A</v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</row>
        <row r="1057">
          <cell r="B1057" t="str">
            <v/>
          </cell>
          <cell r="C1057">
            <v>35</v>
          </cell>
          <cell r="D1057" t="e">
            <v>#N/A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</row>
        <row r="1058">
          <cell r="B1058" t="str">
            <v/>
          </cell>
          <cell r="C1058">
            <v>36</v>
          </cell>
          <cell r="D1058" t="e">
            <v>#N/A</v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</row>
        <row r="1059">
          <cell r="B1059" t="str">
            <v/>
          </cell>
          <cell r="C1059">
            <v>37</v>
          </cell>
          <cell r="D1059" t="e">
            <v>#N/A</v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</row>
        <row r="1060">
          <cell r="B1060" t="str">
            <v/>
          </cell>
          <cell r="C1060">
            <v>38</v>
          </cell>
          <cell r="D1060" t="e">
            <v>#N/A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</row>
        <row r="1061">
          <cell r="B1061" t="str">
            <v/>
          </cell>
          <cell r="C1061">
            <v>39</v>
          </cell>
          <cell r="D1061" t="e">
            <v>#N/A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</row>
        <row r="1062">
          <cell r="B1062" t="str">
            <v/>
          </cell>
          <cell r="C1062">
            <v>40</v>
          </cell>
          <cell r="D1062" t="e">
            <v>#N/A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</row>
        <row r="1063">
          <cell r="B1063" t="str">
            <v/>
          </cell>
          <cell r="C1063">
            <v>41</v>
          </cell>
          <cell r="D1063" t="e">
            <v>#N/A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</row>
        <row r="1064">
          <cell r="B1064" t="str">
            <v/>
          </cell>
          <cell r="C1064">
            <v>42</v>
          </cell>
          <cell r="D1064" t="e">
            <v>#N/A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</row>
        <row r="1065">
          <cell r="B1065" t="str">
            <v/>
          </cell>
          <cell r="C1065">
            <v>43</v>
          </cell>
          <cell r="D1065" t="e">
            <v>#N/A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</row>
        <row r="1066">
          <cell r="B1066" t="str">
            <v/>
          </cell>
          <cell r="C1066">
            <v>44</v>
          </cell>
          <cell r="D1066" t="e">
            <v>#N/A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</row>
        <row r="1067">
          <cell r="B1067" t="str">
            <v/>
          </cell>
          <cell r="C1067">
            <v>45</v>
          </cell>
          <cell r="D1067" t="e">
            <v>#N/A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</row>
        <row r="1068">
          <cell r="B1068" t="str">
            <v/>
          </cell>
          <cell r="C1068">
            <v>46</v>
          </cell>
          <cell r="D1068" t="e">
            <v>#N/A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</row>
        <row r="1069">
          <cell r="B1069" t="str">
            <v/>
          </cell>
          <cell r="C1069">
            <v>47</v>
          </cell>
          <cell r="D1069" t="e">
            <v>#N/A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</row>
        <row r="1070">
          <cell r="B1070" t="str">
            <v/>
          </cell>
          <cell r="C1070">
            <v>48</v>
          </cell>
          <cell r="D1070" t="e">
            <v>#N/A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</row>
        <row r="1071">
          <cell r="B1071" t="str">
            <v/>
          </cell>
          <cell r="C1071">
            <v>49</v>
          </cell>
          <cell r="D1071" t="e">
            <v>#N/A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</row>
        <row r="1072">
          <cell r="B1072" t="str">
            <v/>
          </cell>
          <cell r="C1072">
            <v>50</v>
          </cell>
          <cell r="D1072" t="e">
            <v>#N/A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</row>
        <row r="1073">
          <cell r="B1073" t="str">
            <v/>
          </cell>
          <cell r="C1073">
            <v>51</v>
          </cell>
          <cell r="D1073" t="e">
            <v>#N/A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</row>
        <row r="1074">
          <cell r="B1074" t="str">
            <v/>
          </cell>
          <cell r="C1074">
            <v>1</v>
          </cell>
          <cell r="D1074" t="e">
            <v>#N/A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</row>
        <row r="1075">
          <cell r="B1075" t="str">
            <v/>
          </cell>
          <cell r="C1075">
            <v>2</v>
          </cell>
          <cell r="D1075" t="e">
            <v>#N/A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</row>
        <row r="1076">
          <cell r="B1076" t="str">
            <v/>
          </cell>
          <cell r="C1076">
            <v>3</v>
          </cell>
          <cell r="D1076" t="e">
            <v>#N/A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</row>
        <row r="1077">
          <cell r="B1077" t="str">
            <v/>
          </cell>
          <cell r="C1077">
            <v>4</v>
          </cell>
          <cell r="D1077" t="e">
            <v>#N/A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</row>
        <row r="1078">
          <cell r="B1078" t="str">
            <v/>
          </cell>
          <cell r="C1078">
            <v>5</v>
          </cell>
          <cell r="D1078" t="e">
            <v>#N/A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</row>
        <row r="1079">
          <cell r="B1079" t="str">
            <v/>
          </cell>
          <cell r="C1079">
            <v>6</v>
          </cell>
          <cell r="D1079" t="e">
            <v>#N/A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</row>
        <row r="1080">
          <cell r="B1080" t="str">
            <v/>
          </cell>
          <cell r="C1080">
            <v>7</v>
          </cell>
          <cell r="D1080" t="e">
            <v>#N/A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</row>
        <row r="1081">
          <cell r="B1081" t="str">
            <v/>
          </cell>
          <cell r="C1081">
            <v>8</v>
          </cell>
          <cell r="D1081" t="e">
            <v>#N/A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</row>
        <row r="1082">
          <cell r="B1082" t="str">
            <v/>
          </cell>
          <cell r="C1082">
            <v>9</v>
          </cell>
          <cell r="D1082" t="e">
            <v>#N/A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</row>
        <row r="1083">
          <cell r="B1083" t="str">
            <v/>
          </cell>
          <cell r="C1083">
            <v>10</v>
          </cell>
          <cell r="D1083" t="e">
            <v>#N/A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</row>
        <row r="1084">
          <cell r="B1084" t="str">
            <v/>
          </cell>
          <cell r="C1084">
            <v>11</v>
          </cell>
          <cell r="D1084" t="e">
            <v>#N/A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</row>
        <row r="1085">
          <cell r="B1085" t="str">
            <v/>
          </cell>
          <cell r="C1085">
            <v>12</v>
          </cell>
          <cell r="D1085" t="e">
            <v>#N/A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</row>
        <row r="1086">
          <cell r="B1086" t="str">
            <v/>
          </cell>
          <cell r="C1086">
            <v>13</v>
          </cell>
          <cell r="D1086" t="e">
            <v>#N/A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</row>
        <row r="1087">
          <cell r="B1087" t="str">
            <v/>
          </cell>
          <cell r="C1087">
            <v>14</v>
          </cell>
          <cell r="D1087" t="e">
            <v>#N/A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</row>
        <row r="1088">
          <cell r="B1088" t="str">
            <v/>
          </cell>
          <cell r="C1088">
            <v>15</v>
          </cell>
          <cell r="D1088" t="e">
            <v>#N/A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</row>
        <row r="1089">
          <cell r="B1089" t="str">
            <v/>
          </cell>
          <cell r="C1089">
            <v>16</v>
          </cell>
          <cell r="D1089" t="e">
            <v>#N/A</v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</row>
        <row r="1090">
          <cell r="B1090" t="str">
            <v/>
          </cell>
          <cell r="C1090">
            <v>17</v>
          </cell>
          <cell r="D1090" t="e">
            <v>#N/A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</row>
        <row r="1091">
          <cell r="B1091" t="str">
            <v/>
          </cell>
          <cell r="C1091">
            <v>18</v>
          </cell>
          <cell r="D1091" t="e">
            <v>#N/A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</row>
        <row r="1092">
          <cell r="B1092" t="str">
            <v/>
          </cell>
          <cell r="C1092">
            <v>19</v>
          </cell>
          <cell r="D1092" t="e">
            <v>#N/A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</row>
        <row r="1093">
          <cell r="B1093" t="str">
            <v/>
          </cell>
          <cell r="C1093">
            <v>20</v>
          </cell>
          <cell r="D1093" t="e">
            <v>#N/A</v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</row>
        <row r="1094">
          <cell r="B1094" t="str">
            <v/>
          </cell>
          <cell r="C1094">
            <v>21</v>
          </cell>
          <cell r="D1094" t="e">
            <v>#N/A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</row>
        <row r="1095">
          <cell r="B1095" t="str">
            <v/>
          </cell>
          <cell r="C1095">
            <v>22</v>
          </cell>
          <cell r="D1095" t="e">
            <v>#N/A</v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</row>
        <row r="1096">
          <cell r="B1096" t="str">
            <v/>
          </cell>
          <cell r="C1096">
            <v>23</v>
          </cell>
          <cell r="D1096" t="e">
            <v>#N/A</v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</row>
        <row r="1097">
          <cell r="B1097" t="str">
            <v/>
          </cell>
          <cell r="C1097">
            <v>24</v>
          </cell>
          <cell r="D1097" t="e">
            <v>#N/A</v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</row>
        <row r="1098">
          <cell r="B1098" t="str">
            <v/>
          </cell>
          <cell r="C1098">
            <v>25</v>
          </cell>
          <cell r="D1098" t="e">
            <v>#N/A</v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</row>
        <row r="1099">
          <cell r="B1099" t="str">
            <v/>
          </cell>
          <cell r="C1099">
            <v>26</v>
          </cell>
          <cell r="D1099" t="e">
            <v>#N/A</v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</row>
        <row r="1100">
          <cell r="B1100" t="str">
            <v/>
          </cell>
          <cell r="C1100">
            <v>27</v>
          </cell>
          <cell r="D1100" t="e">
            <v>#N/A</v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</row>
        <row r="1101">
          <cell r="B1101" t="str">
            <v/>
          </cell>
          <cell r="C1101">
            <v>28</v>
          </cell>
          <cell r="D1101" t="e">
            <v>#N/A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</row>
        <row r="1102">
          <cell r="B1102" t="str">
            <v/>
          </cell>
          <cell r="C1102">
            <v>29</v>
          </cell>
          <cell r="D1102" t="e">
            <v>#N/A</v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</row>
        <row r="1103">
          <cell r="B1103" t="str">
            <v/>
          </cell>
          <cell r="C1103">
            <v>30</v>
          </cell>
          <cell r="D1103" t="e">
            <v>#N/A</v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</row>
        <row r="1104">
          <cell r="B1104" t="str">
            <v/>
          </cell>
          <cell r="C1104">
            <v>31</v>
          </cell>
          <cell r="D1104" t="e">
            <v>#N/A</v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</row>
        <row r="1105">
          <cell r="B1105" t="str">
            <v/>
          </cell>
          <cell r="C1105">
            <v>32</v>
          </cell>
          <cell r="D1105" t="e">
            <v>#N/A</v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</row>
        <row r="1106">
          <cell r="B1106" t="str">
            <v/>
          </cell>
          <cell r="C1106">
            <v>33</v>
          </cell>
          <cell r="D1106" t="e">
            <v>#N/A</v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</row>
        <row r="1107">
          <cell r="B1107" t="str">
            <v/>
          </cell>
          <cell r="C1107">
            <v>34</v>
          </cell>
          <cell r="D1107" t="e">
            <v>#N/A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</row>
        <row r="1108">
          <cell r="B1108" t="str">
            <v/>
          </cell>
          <cell r="C1108">
            <v>35</v>
          </cell>
          <cell r="D1108" t="e">
            <v>#N/A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</row>
        <row r="1109">
          <cell r="B1109" t="str">
            <v/>
          </cell>
          <cell r="C1109">
            <v>36</v>
          </cell>
          <cell r="D1109" t="e">
            <v>#N/A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</row>
        <row r="1110">
          <cell r="B1110" t="str">
            <v/>
          </cell>
          <cell r="C1110">
            <v>37</v>
          </cell>
          <cell r="D1110" t="e">
            <v>#N/A</v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</row>
        <row r="1111">
          <cell r="B1111" t="str">
            <v/>
          </cell>
          <cell r="C1111">
            <v>38</v>
          </cell>
          <cell r="D1111" t="e">
            <v>#N/A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</row>
        <row r="1112">
          <cell r="B1112" t="str">
            <v/>
          </cell>
          <cell r="C1112">
            <v>39</v>
          </cell>
          <cell r="D1112" t="e">
            <v>#N/A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</row>
        <row r="1113">
          <cell r="B1113" t="str">
            <v/>
          </cell>
          <cell r="C1113">
            <v>40</v>
          </cell>
          <cell r="D1113" t="e">
            <v>#N/A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</row>
        <row r="1114">
          <cell r="B1114" t="str">
            <v/>
          </cell>
          <cell r="C1114">
            <v>41</v>
          </cell>
          <cell r="D1114" t="e">
            <v>#N/A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</row>
        <row r="1115">
          <cell r="B1115" t="str">
            <v/>
          </cell>
          <cell r="C1115">
            <v>42</v>
          </cell>
          <cell r="D1115" t="e">
            <v>#N/A</v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</row>
        <row r="1116">
          <cell r="B1116" t="str">
            <v/>
          </cell>
          <cell r="C1116">
            <v>43</v>
          </cell>
          <cell r="D1116" t="e">
            <v>#N/A</v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</row>
        <row r="1117">
          <cell r="B1117" t="str">
            <v/>
          </cell>
          <cell r="C1117">
            <v>44</v>
          </cell>
          <cell r="D1117" t="e">
            <v>#N/A</v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</row>
        <row r="1118">
          <cell r="B1118" t="str">
            <v/>
          </cell>
          <cell r="C1118">
            <v>45</v>
          </cell>
          <cell r="D1118" t="e">
            <v>#N/A</v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</row>
        <row r="1119">
          <cell r="B1119" t="str">
            <v/>
          </cell>
          <cell r="C1119">
            <v>46</v>
          </cell>
          <cell r="D1119" t="e">
            <v>#N/A</v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</row>
        <row r="1120">
          <cell r="B1120" t="str">
            <v/>
          </cell>
          <cell r="C1120">
            <v>47</v>
          </cell>
          <cell r="D1120" t="e">
            <v>#N/A</v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</row>
        <row r="1121">
          <cell r="B1121" t="str">
            <v/>
          </cell>
          <cell r="C1121">
            <v>48</v>
          </cell>
          <cell r="D1121" t="e">
            <v>#N/A</v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</row>
        <row r="1122">
          <cell r="B1122" t="str">
            <v/>
          </cell>
          <cell r="C1122">
            <v>49</v>
          </cell>
          <cell r="D1122" t="e">
            <v>#N/A</v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</row>
        <row r="1123">
          <cell r="B1123" t="str">
            <v/>
          </cell>
          <cell r="C1123">
            <v>50</v>
          </cell>
          <cell r="D1123" t="e">
            <v>#N/A</v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</row>
        <row r="1124">
          <cell r="B1124" t="str">
            <v/>
          </cell>
          <cell r="C1124">
            <v>51</v>
          </cell>
          <cell r="D1124" t="e">
            <v>#N/A</v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</row>
        <row r="1125">
          <cell r="B1125" t="str">
            <v/>
          </cell>
          <cell r="C1125">
            <v>1</v>
          </cell>
          <cell r="D1125" t="e">
            <v>#N/A</v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</row>
        <row r="1126">
          <cell r="B1126" t="str">
            <v/>
          </cell>
          <cell r="C1126">
            <v>2</v>
          </cell>
          <cell r="D1126" t="e">
            <v>#N/A</v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</row>
        <row r="1127">
          <cell r="B1127" t="str">
            <v/>
          </cell>
          <cell r="C1127">
            <v>3</v>
          </cell>
          <cell r="D1127" t="e">
            <v>#N/A</v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</row>
        <row r="1128">
          <cell r="B1128" t="str">
            <v/>
          </cell>
          <cell r="C1128">
            <v>4</v>
          </cell>
          <cell r="D1128" t="e">
            <v>#N/A</v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</row>
        <row r="1129">
          <cell r="B1129" t="str">
            <v/>
          </cell>
          <cell r="C1129">
            <v>5</v>
          </cell>
          <cell r="D1129" t="e">
            <v>#N/A</v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</row>
        <row r="1130">
          <cell r="B1130" t="str">
            <v/>
          </cell>
          <cell r="C1130">
            <v>6</v>
          </cell>
          <cell r="D1130" t="e">
            <v>#N/A</v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</row>
        <row r="1131">
          <cell r="B1131" t="str">
            <v/>
          </cell>
          <cell r="C1131">
            <v>7</v>
          </cell>
          <cell r="D1131" t="e">
            <v>#N/A</v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</row>
        <row r="1132">
          <cell r="B1132" t="str">
            <v/>
          </cell>
          <cell r="C1132">
            <v>8</v>
          </cell>
          <cell r="D1132" t="e">
            <v>#N/A</v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</row>
        <row r="1133">
          <cell r="B1133" t="str">
            <v/>
          </cell>
          <cell r="C1133">
            <v>9</v>
          </cell>
          <cell r="D1133" t="e">
            <v>#N/A</v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</row>
        <row r="1134">
          <cell r="B1134" t="str">
            <v/>
          </cell>
          <cell r="C1134">
            <v>10</v>
          </cell>
          <cell r="D1134" t="e">
            <v>#N/A</v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</row>
        <row r="1135">
          <cell r="B1135" t="str">
            <v/>
          </cell>
          <cell r="C1135">
            <v>11</v>
          </cell>
          <cell r="D1135" t="e">
            <v>#N/A</v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</row>
        <row r="1136">
          <cell r="B1136" t="str">
            <v/>
          </cell>
          <cell r="C1136">
            <v>12</v>
          </cell>
          <cell r="D1136" t="e">
            <v>#N/A</v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</row>
        <row r="1137">
          <cell r="B1137" t="str">
            <v/>
          </cell>
          <cell r="C1137">
            <v>13</v>
          </cell>
          <cell r="D1137" t="e">
            <v>#N/A</v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</row>
        <row r="1138">
          <cell r="B1138" t="str">
            <v/>
          </cell>
          <cell r="C1138">
            <v>14</v>
          </cell>
          <cell r="D1138" t="e">
            <v>#N/A</v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</row>
        <row r="1139">
          <cell r="B1139" t="str">
            <v/>
          </cell>
          <cell r="C1139">
            <v>15</v>
          </cell>
          <cell r="D1139" t="e">
            <v>#N/A</v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</row>
        <row r="1140">
          <cell r="B1140" t="str">
            <v/>
          </cell>
          <cell r="C1140">
            <v>16</v>
          </cell>
          <cell r="D1140" t="e">
            <v>#N/A</v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</row>
        <row r="1141">
          <cell r="B1141" t="str">
            <v/>
          </cell>
          <cell r="C1141">
            <v>17</v>
          </cell>
          <cell r="D1141" t="e">
            <v>#N/A</v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</row>
        <row r="1142">
          <cell r="B1142" t="str">
            <v/>
          </cell>
          <cell r="C1142">
            <v>18</v>
          </cell>
          <cell r="D1142" t="e">
            <v>#N/A</v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</row>
        <row r="1143">
          <cell r="B1143" t="str">
            <v/>
          </cell>
          <cell r="C1143">
            <v>19</v>
          </cell>
          <cell r="D1143" t="e">
            <v>#N/A</v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</row>
        <row r="1144">
          <cell r="B1144" t="str">
            <v/>
          </cell>
          <cell r="C1144">
            <v>20</v>
          </cell>
          <cell r="D1144" t="e">
            <v>#N/A</v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</row>
        <row r="1145">
          <cell r="B1145" t="str">
            <v/>
          </cell>
          <cell r="C1145">
            <v>21</v>
          </cell>
          <cell r="D1145" t="e">
            <v>#N/A</v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</row>
        <row r="1146">
          <cell r="B1146" t="str">
            <v/>
          </cell>
          <cell r="C1146">
            <v>22</v>
          </cell>
          <cell r="D1146" t="e">
            <v>#N/A</v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</row>
        <row r="1147">
          <cell r="B1147" t="str">
            <v/>
          </cell>
          <cell r="C1147">
            <v>23</v>
          </cell>
          <cell r="D1147" t="e">
            <v>#N/A</v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</row>
        <row r="1148">
          <cell r="B1148" t="str">
            <v/>
          </cell>
          <cell r="C1148">
            <v>24</v>
          </cell>
          <cell r="D1148" t="e">
            <v>#N/A</v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</row>
        <row r="1149">
          <cell r="B1149" t="str">
            <v/>
          </cell>
          <cell r="C1149">
            <v>25</v>
          </cell>
          <cell r="D1149" t="e">
            <v>#N/A</v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</row>
        <row r="1150">
          <cell r="B1150" t="str">
            <v/>
          </cell>
          <cell r="C1150">
            <v>26</v>
          </cell>
          <cell r="D1150" t="e">
            <v>#N/A</v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</row>
        <row r="1151">
          <cell r="B1151" t="str">
            <v/>
          </cell>
          <cell r="C1151">
            <v>27</v>
          </cell>
          <cell r="D1151" t="e">
            <v>#N/A</v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</row>
        <row r="1152">
          <cell r="B1152" t="str">
            <v/>
          </cell>
          <cell r="C1152">
            <v>28</v>
          </cell>
          <cell r="D1152" t="e">
            <v>#N/A</v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</row>
        <row r="1153">
          <cell r="B1153" t="str">
            <v/>
          </cell>
          <cell r="C1153">
            <v>29</v>
          </cell>
          <cell r="D1153" t="e">
            <v>#N/A</v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</row>
        <row r="1154">
          <cell r="B1154" t="str">
            <v/>
          </cell>
          <cell r="C1154">
            <v>30</v>
          </cell>
          <cell r="D1154" t="e">
            <v>#N/A</v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</row>
        <row r="1155">
          <cell r="B1155" t="str">
            <v/>
          </cell>
          <cell r="C1155">
            <v>31</v>
          </cell>
          <cell r="D1155" t="e">
            <v>#N/A</v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</row>
        <row r="1156">
          <cell r="B1156" t="str">
            <v/>
          </cell>
          <cell r="C1156">
            <v>32</v>
          </cell>
          <cell r="D1156" t="e">
            <v>#N/A</v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</row>
        <row r="1157">
          <cell r="B1157" t="str">
            <v/>
          </cell>
          <cell r="C1157">
            <v>33</v>
          </cell>
          <cell r="D1157" t="e">
            <v>#N/A</v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</row>
        <row r="1158">
          <cell r="B1158" t="str">
            <v/>
          </cell>
          <cell r="C1158">
            <v>34</v>
          </cell>
          <cell r="D1158" t="e">
            <v>#N/A</v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</row>
        <row r="1159">
          <cell r="B1159" t="str">
            <v/>
          </cell>
          <cell r="C1159">
            <v>35</v>
          </cell>
          <cell r="D1159" t="e">
            <v>#N/A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</row>
        <row r="1160">
          <cell r="B1160" t="str">
            <v/>
          </cell>
          <cell r="C1160">
            <v>36</v>
          </cell>
          <cell r="D1160" t="e">
            <v>#N/A</v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</row>
        <row r="1161">
          <cell r="B1161" t="str">
            <v/>
          </cell>
          <cell r="C1161">
            <v>37</v>
          </cell>
          <cell r="D1161" t="e">
            <v>#N/A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</row>
        <row r="1162">
          <cell r="B1162" t="str">
            <v/>
          </cell>
          <cell r="C1162">
            <v>38</v>
          </cell>
          <cell r="D1162" t="e">
            <v>#N/A</v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</row>
        <row r="1163">
          <cell r="B1163" t="str">
            <v/>
          </cell>
          <cell r="C1163">
            <v>39</v>
          </cell>
          <cell r="D1163" t="e">
            <v>#N/A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</row>
        <row r="1164">
          <cell r="B1164" t="str">
            <v/>
          </cell>
          <cell r="C1164">
            <v>40</v>
          </cell>
          <cell r="D1164" t="e">
            <v>#N/A</v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</row>
        <row r="1165">
          <cell r="B1165" t="str">
            <v/>
          </cell>
          <cell r="C1165">
            <v>41</v>
          </cell>
          <cell r="D1165" t="e">
            <v>#N/A</v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</row>
        <row r="1166">
          <cell r="B1166" t="str">
            <v/>
          </cell>
          <cell r="C1166">
            <v>42</v>
          </cell>
          <cell r="D1166" t="e">
            <v>#N/A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</row>
        <row r="1167">
          <cell r="B1167" t="str">
            <v/>
          </cell>
          <cell r="C1167">
            <v>43</v>
          </cell>
          <cell r="D1167" t="e">
            <v>#N/A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</row>
        <row r="1168">
          <cell r="B1168" t="str">
            <v/>
          </cell>
          <cell r="C1168">
            <v>44</v>
          </cell>
          <cell r="D1168" t="e">
            <v>#N/A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</row>
        <row r="1169">
          <cell r="B1169" t="str">
            <v/>
          </cell>
          <cell r="C1169">
            <v>45</v>
          </cell>
          <cell r="D1169" t="e">
            <v>#N/A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</row>
        <row r="1170">
          <cell r="B1170" t="str">
            <v/>
          </cell>
          <cell r="C1170">
            <v>46</v>
          </cell>
          <cell r="D1170" t="e">
            <v>#N/A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</row>
        <row r="1171">
          <cell r="B1171" t="str">
            <v/>
          </cell>
          <cell r="C1171">
            <v>47</v>
          </cell>
          <cell r="D1171" t="e">
            <v>#N/A</v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</row>
        <row r="1172">
          <cell r="B1172" t="str">
            <v/>
          </cell>
          <cell r="C1172">
            <v>48</v>
          </cell>
          <cell r="D1172" t="e">
            <v>#N/A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</row>
        <row r="1173">
          <cell r="B1173" t="str">
            <v/>
          </cell>
          <cell r="C1173">
            <v>49</v>
          </cell>
          <cell r="D1173" t="e">
            <v>#N/A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</row>
        <row r="1174">
          <cell r="B1174" t="str">
            <v/>
          </cell>
          <cell r="C1174">
            <v>50</v>
          </cell>
          <cell r="D1174" t="e">
            <v>#N/A</v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</row>
        <row r="1175">
          <cell r="B1175" t="str">
            <v/>
          </cell>
          <cell r="C1175">
            <v>51</v>
          </cell>
          <cell r="D1175" t="e">
            <v>#N/A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</row>
        <row r="1176">
          <cell r="B1176" t="str">
            <v/>
          </cell>
          <cell r="C1176">
            <v>1</v>
          </cell>
          <cell r="D1176" t="e">
            <v>#N/A</v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</row>
        <row r="1177">
          <cell r="B1177" t="str">
            <v/>
          </cell>
          <cell r="C1177">
            <v>2</v>
          </cell>
          <cell r="D1177" t="e">
            <v>#N/A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</row>
        <row r="1178">
          <cell r="B1178" t="str">
            <v/>
          </cell>
          <cell r="C1178">
            <v>3</v>
          </cell>
          <cell r="D1178" t="e">
            <v>#N/A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</row>
        <row r="1179">
          <cell r="B1179" t="str">
            <v/>
          </cell>
          <cell r="C1179">
            <v>4</v>
          </cell>
          <cell r="D1179" t="e">
            <v>#N/A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</row>
        <row r="1180">
          <cell r="B1180" t="str">
            <v/>
          </cell>
          <cell r="C1180">
            <v>5</v>
          </cell>
          <cell r="D1180" t="e">
            <v>#N/A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</row>
        <row r="1181">
          <cell r="B1181" t="str">
            <v/>
          </cell>
          <cell r="C1181">
            <v>6</v>
          </cell>
          <cell r="D1181" t="e">
            <v>#N/A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</row>
        <row r="1182">
          <cell r="B1182" t="str">
            <v/>
          </cell>
          <cell r="C1182">
            <v>7</v>
          </cell>
          <cell r="D1182" t="e">
            <v>#N/A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</row>
        <row r="1183">
          <cell r="B1183" t="str">
            <v/>
          </cell>
          <cell r="C1183">
            <v>8</v>
          </cell>
          <cell r="D1183" t="e">
            <v>#N/A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</row>
        <row r="1184">
          <cell r="B1184" t="str">
            <v/>
          </cell>
          <cell r="C1184">
            <v>9</v>
          </cell>
          <cell r="D1184" t="e">
            <v>#N/A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</row>
        <row r="1185">
          <cell r="B1185" t="str">
            <v/>
          </cell>
          <cell r="C1185">
            <v>10</v>
          </cell>
          <cell r="D1185" t="e">
            <v>#N/A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</row>
        <row r="1186">
          <cell r="B1186" t="str">
            <v/>
          </cell>
          <cell r="C1186">
            <v>11</v>
          </cell>
          <cell r="D1186" t="e">
            <v>#N/A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</row>
        <row r="1187">
          <cell r="B1187" t="str">
            <v/>
          </cell>
          <cell r="C1187">
            <v>12</v>
          </cell>
          <cell r="D1187" t="e">
            <v>#N/A</v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</row>
        <row r="1188">
          <cell r="B1188" t="str">
            <v/>
          </cell>
          <cell r="C1188">
            <v>13</v>
          </cell>
          <cell r="D1188" t="e">
            <v>#N/A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</row>
        <row r="1189">
          <cell r="B1189" t="str">
            <v/>
          </cell>
          <cell r="C1189">
            <v>14</v>
          </cell>
          <cell r="D1189" t="e">
            <v>#N/A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</row>
        <row r="1190">
          <cell r="B1190" t="str">
            <v/>
          </cell>
          <cell r="C1190">
            <v>15</v>
          </cell>
          <cell r="D1190" t="e">
            <v>#N/A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</row>
        <row r="1191">
          <cell r="B1191" t="str">
            <v/>
          </cell>
          <cell r="C1191">
            <v>16</v>
          </cell>
          <cell r="D1191" t="e">
            <v>#N/A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</row>
        <row r="1192">
          <cell r="B1192" t="str">
            <v/>
          </cell>
          <cell r="C1192">
            <v>17</v>
          </cell>
          <cell r="D1192" t="e">
            <v>#N/A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</row>
        <row r="1193">
          <cell r="B1193" t="str">
            <v/>
          </cell>
          <cell r="C1193">
            <v>18</v>
          </cell>
          <cell r="D1193" t="e">
            <v>#N/A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</row>
        <row r="1194">
          <cell r="B1194" t="str">
            <v/>
          </cell>
          <cell r="C1194">
            <v>19</v>
          </cell>
          <cell r="D1194" t="e">
            <v>#N/A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</row>
        <row r="1195">
          <cell r="B1195" t="str">
            <v/>
          </cell>
          <cell r="C1195">
            <v>20</v>
          </cell>
          <cell r="D1195" t="e">
            <v>#N/A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</row>
        <row r="1196">
          <cell r="B1196" t="str">
            <v/>
          </cell>
          <cell r="C1196">
            <v>21</v>
          </cell>
          <cell r="D1196" t="e">
            <v>#N/A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</row>
        <row r="1197">
          <cell r="B1197" t="str">
            <v/>
          </cell>
          <cell r="C1197">
            <v>22</v>
          </cell>
          <cell r="D1197" t="e">
            <v>#N/A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</row>
        <row r="1198">
          <cell r="B1198" t="str">
            <v/>
          </cell>
          <cell r="C1198">
            <v>23</v>
          </cell>
          <cell r="D1198" t="e">
            <v>#N/A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</row>
        <row r="1199">
          <cell r="B1199" t="str">
            <v/>
          </cell>
          <cell r="C1199">
            <v>24</v>
          </cell>
          <cell r="D1199" t="e">
            <v>#N/A</v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</row>
        <row r="1200">
          <cell r="B1200" t="str">
            <v/>
          </cell>
          <cell r="C1200">
            <v>25</v>
          </cell>
          <cell r="D1200" t="e">
            <v>#N/A</v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</row>
        <row r="1201">
          <cell r="B1201" t="str">
            <v/>
          </cell>
          <cell r="C1201">
            <v>26</v>
          </cell>
          <cell r="D1201" t="e">
            <v>#N/A</v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</row>
        <row r="1202">
          <cell r="B1202" t="str">
            <v/>
          </cell>
          <cell r="C1202">
            <v>27</v>
          </cell>
          <cell r="D1202" t="e">
            <v>#N/A</v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</row>
        <row r="1203">
          <cell r="B1203" t="str">
            <v/>
          </cell>
          <cell r="C1203">
            <v>28</v>
          </cell>
          <cell r="D1203" t="e">
            <v>#N/A</v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</row>
        <row r="1204">
          <cell r="B1204" t="str">
            <v/>
          </cell>
          <cell r="C1204">
            <v>29</v>
          </cell>
          <cell r="D1204" t="e">
            <v>#N/A</v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</row>
        <row r="1205">
          <cell r="B1205" t="str">
            <v/>
          </cell>
          <cell r="C1205">
            <v>30</v>
          </cell>
          <cell r="D1205" t="e">
            <v>#N/A</v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</row>
        <row r="1206">
          <cell r="B1206" t="str">
            <v/>
          </cell>
          <cell r="C1206">
            <v>31</v>
          </cell>
          <cell r="D1206" t="e">
            <v>#N/A</v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</row>
        <row r="1207">
          <cell r="B1207" t="str">
            <v/>
          </cell>
          <cell r="C1207">
            <v>32</v>
          </cell>
          <cell r="D1207" t="e">
            <v>#N/A</v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</row>
        <row r="1208">
          <cell r="B1208" t="str">
            <v/>
          </cell>
          <cell r="C1208">
            <v>33</v>
          </cell>
          <cell r="D1208" t="e">
            <v>#N/A</v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</row>
        <row r="1209">
          <cell r="B1209" t="str">
            <v/>
          </cell>
          <cell r="C1209">
            <v>34</v>
          </cell>
          <cell r="D1209" t="e">
            <v>#N/A</v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</row>
        <row r="1210">
          <cell r="B1210" t="str">
            <v/>
          </cell>
          <cell r="C1210">
            <v>35</v>
          </cell>
          <cell r="D1210" t="e">
            <v>#N/A</v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</row>
        <row r="1211">
          <cell r="B1211" t="str">
            <v/>
          </cell>
          <cell r="C1211">
            <v>36</v>
          </cell>
          <cell r="D1211" t="e">
            <v>#N/A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</row>
        <row r="1212">
          <cell r="B1212" t="str">
            <v/>
          </cell>
          <cell r="C1212">
            <v>37</v>
          </cell>
          <cell r="D1212" t="e">
            <v>#N/A</v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</row>
        <row r="1213">
          <cell r="B1213" t="str">
            <v/>
          </cell>
          <cell r="C1213">
            <v>38</v>
          </cell>
          <cell r="D1213" t="e">
            <v>#N/A</v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</row>
        <row r="1214">
          <cell r="B1214" t="str">
            <v/>
          </cell>
          <cell r="C1214">
            <v>39</v>
          </cell>
          <cell r="D1214" t="e">
            <v>#N/A</v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</row>
        <row r="1215">
          <cell r="B1215" t="str">
            <v/>
          </cell>
          <cell r="C1215">
            <v>40</v>
          </cell>
          <cell r="D1215" t="e">
            <v>#N/A</v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</row>
        <row r="1216">
          <cell r="B1216" t="str">
            <v/>
          </cell>
          <cell r="C1216">
            <v>41</v>
          </cell>
          <cell r="D1216" t="e">
            <v>#N/A</v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</row>
        <row r="1217">
          <cell r="B1217" t="str">
            <v/>
          </cell>
          <cell r="C1217">
            <v>42</v>
          </cell>
          <cell r="D1217" t="e">
            <v>#N/A</v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</row>
        <row r="1218">
          <cell r="B1218" t="str">
            <v/>
          </cell>
          <cell r="C1218">
            <v>43</v>
          </cell>
          <cell r="D1218" t="e">
            <v>#N/A</v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</row>
        <row r="1219">
          <cell r="B1219" t="str">
            <v/>
          </cell>
          <cell r="C1219">
            <v>44</v>
          </cell>
          <cell r="D1219" t="e">
            <v>#N/A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</row>
        <row r="1220">
          <cell r="B1220" t="str">
            <v/>
          </cell>
          <cell r="C1220">
            <v>45</v>
          </cell>
          <cell r="D1220" t="e">
            <v>#N/A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</row>
        <row r="1221">
          <cell r="B1221" t="str">
            <v/>
          </cell>
          <cell r="C1221">
            <v>46</v>
          </cell>
          <cell r="D1221" t="e">
            <v>#N/A</v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</row>
        <row r="1222">
          <cell r="B1222" t="str">
            <v/>
          </cell>
          <cell r="C1222">
            <v>47</v>
          </cell>
          <cell r="D1222" t="e">
            <v>#N/A</v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</row>
        <row r="1223">
          <cell r="B1223" t="str">
            <v/>
          </cell>
          <cell r="C1223">
            <v>48</v>
          </cell>
          <cell r="D1223" t="e">
            <v>#N/A</v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</row>
        <row r="1224">
          <cell r="B1224" t="str">
            <v/>
          </cell>
          <cell r="C1224">
            <v>49</v>
          </cell>
          <cell r="D1224" t="e">
            <v>#N/A</v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</row>
        <row r="1225">
          <cell r="B1225" t="str">
            <v/>
          </cell>
          <cell r="C1225">
            <v>50</v>
          </cell>
          <cell r="D1225" t="e">
            <v>#N/A</v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</row>
        <row r="1226">
          <cell r="B1226" t="str">
            <v/>
          </cell>
          <cell r="C1226">
            <v>51</v>
          </cell>
          <cell r="D1226" t="e">
            <v>#N/A</v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</row>
        <row r="1227">
          <cell r="B1227" t="str">
            <v/>
          </cell>
          <cell r="C1227">
            <v>1</v>
          </cell>
          <cell r="D1227" t="e">
            <v>#N/A</v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</row>
        <row r="1228">
          <cell r="B1228" t="str">
            <v/>
          </cell>
          <cell r="C1228">
            <v>2</v>
          </cell>
          <cell r="D1228" t="e">
            <v>#N/A</v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</row>
        <row r="1229">
          <cell r="B1229" t="str">
            <v/>
          </cell>
          <cell r="C1229">
            <v>3</v>
          </cell>
          <cell r="D1229" t="e">
            <v>#N/A</v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</row>
        <row r="1230">
          <cell r="B1230" t="str">
            <v/>
          </cell>
          <cell r="C1230">
            <v>4</v>
          </cell>
          <cell r="D1230" t="e">
            <v>#N/A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</row>
        <row r="1231">
          <cell r="B1231" t="str">
            <v/>
          </cell>
          <cell r="C1231">
            <v>5</v>
          </cell>
          <cell r="D1231" t="e">
            <v>#N/A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</row>
        <row r="1232">
          <cell r="B1232" t="str">
            <v/>
          </cell>
          <cell r="C1232">
            <v>6</v>
          </cell>
          <cell r="D1232" t="e">
            <v>#N/A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</row>
        <row r="1233">
          <cell r="B1233" t="str">
            <v/>
          </cell>
          <cell r="C1233">
            <v>7</v>
          </cell>
          <cell r="D1233" t="e">
            <v>#N/A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</row>
        <row r="1234">
          <cell r="B1234" t="str">
            <v/>
          </cell>
          <cell r="C1234">
            <v>8</v>
          </cell>
          <cell r="D1234" t="e">
            <v>#N/A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</row>
        <row r="1235">
          <cell r="B1235" t="str">
            <v/>
          </cell>
          <cell r="C1235">
            <v>9</v>
          </cell>
          <cell r="D1235" t="e">
            <v>#N/A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</row>
        <row r="1236">
          <cell r="B1236" t="str">
            <v/>
          </cell>
          <cell r="C1236">
            <v>10</v>
          </cell>
          <cell r="D1236" t="e">
            <v>#N/A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</row>
        <row r="1237">
          <cell r="B1237" t="str">
            <v/>
          </cell>
          <cell r="C1237">
            <v>11</v>
          </cell>
          <cell r="D1237" t="e">
            <v>#N/A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</row>
        <row r="1238">
          <cell r="B1238" t="str">
            <v/>
          </cell>
          <cell r="C1238">
            <v>12</v>
          </cell>
          <cell r="D1238" t="e">
            <v>#N/A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</row>
        <row r="1239">
          <cell r="B1239" t="str">
            <v/>
          </cell>
          <cell r="C1239">
            <v>13</v>
          </cell>
          <cell r="D1239" t="e">
            <v>#N/A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</row>
        <row r="1240">
          <cell r="B1240" t="str">
            <v/>
          </cell>
          <cell r="C1240">
            <v>14</v>
          </cell>
          <cell r="D1240" t="e">
            <v>#N/A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</row>
        <row r="1241">
          <cell r="B1241" t="str">
            <v/>
          </cell>
          <cell r="C1241">
            <v>15</v>
          </cell>
          <cell r="D1241" t="e">
            <v>#N/A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</row>
        <row r="1242">
          <cell r="B1242" t="str">
            <v/>
          </cell>
          <cell r="C1242">
            <v>16</v>
          </cell>
          <cell r="D1242" t="e">
            <v>#N/A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</row>
        <row r="1243">
          <cell r="B1243" t="str">
            <v/>
          </cell>
          <cell r="C1243">
            <v>17</v>
          </cell>
          <cell r="D1243" t="e">
            <v>#N/A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</row>
        <row r="1244">
          <cell r="B1244" t="str">
            <v/>
          </cell>
          <cell r="C1244">
            <v>18</v>
          </cell>
          <cell r="D1244" t="e">
            <v>#N/A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</row>
        <row r="1245">
          <cell r="B1245" t="str">
            <v/>
          </cell>
          <cell r="C1245">
            <v>19</v>
          </cell>
          <cell r="D1245" t="e">
            <v>#N/A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</row>
        <row r="1246">
          <cell r="B1246" t="str">
            <v/>
          </cell>
          <cell r="C1246">
            <v>20</v>
          </cell>
          <cell r="D1246" t="e">
            <v>#N/A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</row>
        <row r="1247">
          <cell r="B1247" t="str">
            <v/>
          </cell>
          <cell r="C1247">
            <v>21</v>
          </cell>
          <cell r="D1247" t="e">
            <v>#N/A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</row>
        <row r="1248">
          <cell r="B1248" t="str">
            <v/>
          </cell>
          <cell r="C1248">
            <v>22</v>
          </cell>
          <cell r="D1248" t="e">
            <v>#N/A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</row>
        <row r="1249">
          <cell r="B1249" t="str">
            <v/>
          </cell>
          <cell r="C1249">
            <v>23</v>
          </cell>
          <cell r="D1249" t="e">
            <v>#N/A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</row>
        <row r="1250">
          <cell r="B1250" t="str">
            <v/>
          </cell>
          <cell r="C1250">
            <v>24</v>
          </cell>
          <cell r="D1250" t="e">
            <v>#N/A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</row>
        <row r="1251">
          <cell r="B1251" t="str">
            <v/>
          </cell>
          <cell r="C1251">
            <v>25</v>
          </cell>
          <cell r="D1251" t="e">
            <v>#N/A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</row>
        <row r="1252">
          <cell r="B1252" t="str">
            <v/>
          </cell>
          <cell r="C1252">
            <v>26</v>
          </cell>
          <cell r="D1252" t="e">
            <v>#N/A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</row>
        <row r="1253">
          <cell r="B1253" t="str">
            <v/>
          </cell>
          <cell r="C1253">
            <v>27</v>
          </cell>
          <cell r="D1253" t="e">
            <v>#N/A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</row>
        <row r="1254">
          <cell r="B1254" t="str">
            <v/>
          </cell>
          <cell r="C1254">
            <v>28</v>
          </cell>
          <cell r="D1254" t="e">
            <v>#N/A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</row>
        <row r="1255">
          <cell r="B1255" t="str">
            <v/>
          </cell>
          <cell r="C1255">
            <v>29</v>
          </cell>
          <cell r="D1255" t="e">
            <v>#N/A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</row>
        <row r="1256">
          <cell r="B1256" t="str">
            <v/>
          </cell>
          <cell r="C1256">
            <v>30</v>
          </cell>
          <cell r="D1256" t="e">
            <v>#N/A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</row>
        <row r="1257">
          <cell r="B1257" t="str">
            <v/>
          </cell>
          <cell r="C1257">
            <v>31</v>
          </cell>
          <cell r="D1257" t="e">
            <v>#N/A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</row>
        <row r="1258">
          <cell r="B1258" t="str">
            <v/>
          </cell>
          <cell r="C1258">
            <v>32</v>
          </cell>
          <cell r="D1258" t="e">
            <v>#N/A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</row>
        <row r="1259">
          <cell r="B1259" t="str">
            <v/>
          </cell>
          <cell r="C1259">
            <v>33</v>
          </cell>
          <cell r="D1259" t="e">
            <v>#N/A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</row>
        <row r="1260">
          <cell r="B1260" t="str">
            <v/>
          </cell>
          <cell r="C1260">
            <v>34</v>
          </cell>
          <cell r="D1260" t="e">
            <v>#N/A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</row>
        <row r="1261">
          <cell r="B1261" t="str">
            <v/>
          </cell>
          <cell r="C1261">
            <v>35</v>
          </cell>
          <cell r="D1261" t="e">
            <v>#N/A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</row>
        <row r="1262">
          <cell r="B1262" t="str">
            <v/>
          </cell>
          <cell r="C1262">
            <v>36</v>
          </cell>
          <cell r="D1262" t="e">
            <v>#N/A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</row>
        <row r="1263">
          <cell r="B1263" t="str">
            <v/>
          </cell>
          <cell r="C1263">
            <v>37</v>
          </cell>
          <cell r="D1263" t="e">
            <v>#N/A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</row>
        <row r="1264">
          <cell r="B1264" t="str">
            <v/>
          </cell>
          <cell r="C1264">
            <v>38</v>
          </cell>
          <cell r="D1264" t="e">
            <v>#N/A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</row>
        <row r="1265">
          <cell r="B1265" t="str">
            <v/>
          </cell>
          <cell r="C1265">
            <v>39</v>
          </cell>
          <cell r="D1265" t="e">
            <v>#N/A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</row>
        <row r="1266">
          <cell r="B1266" t="str">
            <v/>
          </cell>
          <cell r="C1266">
            <v>40</v>
          </cell>
          <cell r="D1266" t="e">
            <v>#N/A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</row>
        <row r="1267">
          <cell r="B1267" t="str">
            <v/>
          </cell>
          <cell r="C1267">
            <v>41</v>
          </cell>
          <cell r="D1267" t="e">
            <v>#N/A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</row>
        <row r="1268">
          <cell r="B1268" t="str">
            <v/>
          </cell>
          <cell r="C1268">
            <v>42</v>
          </cell>
          <cell r="D1268" t="e">
            <v>#N/A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</row>
        <row r="1269">
          <cell r="B1269" t="str">
            <v/>
          </cell>
          <cell r="C1269">
            <v>43</v>
          </cell>
          <cell r="D1269" t="e">
            <v>#N/A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</row>
        <row r="1270">
          <cell r="B1270" t="str">
            <v/>
          </cell>
          <cell r="C1270">
            <v>44</v>
          </cell>
          <cell r="D1270" t="e">
            <v>#N/A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</row>
        <row r="1271">
          <cell r="B1271" t="str">
            <v/>
          </cell>
          <cell r="C1271">
            <v>45</v>
          </cell>
          <cell r="D1271" t="e">
            <v>#N/A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</row>
        <row r="1272">
          <cell r="B1272" t="str">
            <v/>
          </cell>
          <cell r="C1272">
            <v>46</v>
          </cell>
          <cell r="D1272" t="e">
            <v>#N/A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</row>
        <row r="1273">
          <cell r="B1273" t="str">
            <v/>
          </cell>
          <cell r="C1273">
            <v>47</v>
          </cell>
          <cell r="D1273" t="e">
            <v>#N/A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</row>
        <row r="1274">
          <cell r="B1274" t="str">
            <v/>
          </cell>
          <cell r="C1274">
            <v>48</v>
          </cell>
          <cell r="D1274" t="e">
            <v>#N/A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</row>
        <row r="1275">
          <cell r="B1275" t="str">
            <v/>
          </cell>
          <cell r="C1275">
            <v>49</v>
          </cell>
          <cell r="D1275" t="e">
            <v>#N/A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</row>
        <row r="1276">
          <cell r="B1276" t="str">
            <v/>
          </cell>
          <cell r="C1276">
            <v>50</v>
          </cell>
          <cell r="D1276" t="e">
            <v>#N/A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</row>
        <row r="1277">
          <cell r="B1277" t="str">
            <v/>
          </cell>
          <cell r="C1277">
            <v>51</v>
          </cell>
          <cell r="D1277" t="e">
            <v>#N/A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</row>
        <row r="1278">
          <cell r="B1278" t="str">
            <v/>
          </cell>
          <cell r="C1278">
            <v>1</v>
          </cell>
          <cell r="D1278" t="e">
            <v>#N/A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</row>
        <row r="1279">
          <cell r="B1279" t="str">
            <v/>
          </cell>
          <cell r="C1279">
            <v>2</v>
          </cell>
          <cell r="D1279" t="e">
            <v>#N/A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</row>
        <row r="1280">
          <cell r="B1280" t="str">
            <v/>
          </cell>
          <cell r="C1280">
            <v>3</v>
          </cell>
          <cell r="D1280" t="e">
            <v>#N/A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</row>
        <row r="1281">
          <cell r="B1281" t="str">
            <v/>
          </cell>
          <cell r="C1281">
            <v>4</v>
          </cell>
          <cell r="D1281" t="e">
            <v>#N/A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</row>
        <row r="1282">
          <cell r="B1282" t="str">
            <v/>
          </cell>
          <cell r="C1282">
            <v>5</v>
          </cell>
          <cell r="D1282" t="e">
            <v>#N/A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</row>
        <row r="1283">
          <cell r="B1283" t="str">
            <v/>
          </cell>
          <cell r="C1283">
            <v>6</v>
          </cell>
          <cell r="D1283" t="e">
            <v>#N/A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</row>
        <row r="1284">
          <cell r="B1284" t="str">
            <v/>
          </cell>
          <cell r="C1284">
            <v>7</v>
          </cell>
          <cell r="D1284" t="e">
            <v>#N/A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</row>
        <row r="1285">
          <cell r="B1285" t="str">
            <v/>
          </cell>
          <cell r="C1285">
            <v>8</v>
          </cell>
          <cell r="D1285" t="e">
            <v>#N/A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</row>
        <row r="1286">
          <cell r="B1286" t="str">
            <v/>
          </cell>
          <cell r="C1286">
            <v>9</v>
          </cell>
          <cell r="D1286" t="e">
            <v>#N/A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</row>
        <row r="1287">
          <cell r="B1287" t="str">
            <v/>
          </cell>
          <cell r="C1287">
            <v>10</v>
          </cell>
          <cell r="D1287" t="e">
            <v>#N/A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</row>
        <row r="1288">
          <cell r="B1288" t="str">
            <v/>
          </cell>
          <cell r="C1288">
            <v>11</v>
          </cell>
          <cell r="D1288" t="e">
            <v>#N/A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</row>
        <row r="1289">
          <cell r="B1289" t="str">
            <v/>
          </cell>
          <cell r="C1289">
            <v>12</v>
          </cell>
          <cell r="D1289" t="e">
            <v>#N/A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</row>
        <row r="1290">
          <cell r="B1290" t="str">
            <v/>
          </cell>
          <cell r="C1290">
            <v>13</v>
          </cell>
          <cell r="D1290" t="e">
            <v>#N/A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</row>
        <row r="1291">
          <cell r="B1291" t="str">
            <v/>
          </cell>
          <cell r="C1291">
            <v>14</v>
          </cell>
          <cell r="D1291" t="e">
            <v>#N/A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</row>
        <row r="1292">
          <cell r="B1292" t="str">
            <v/>
          </cell>
          <cell r="C1292">
            <v>15</v>
          </cell>
          <cell r="D1292" t="e">
            <v>#N/A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</row>
        <row r="1293">
          <cell r="B1293" t="str">
            <v/>
          </cell>
          <cell r="C1293">
            <v>16</v>
          </cell>
          <cell r="D1293" t="e">
            <v>#N/A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</row>
        <row r="1294">
          <cell r="B1294" t="str">
            <v/>
          </cell>
          <cell r="C1294">
            <v>17</v>
          </cell>
          <cell r="D1294" t="e">
            <v>#N/A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</row>
        <row r="1295">
          <cell r="B1295" t="str">
            <v/>
          </cell>
          <cell r="C1295">
            <v>18</v>
          </cell>
          <cell r="D1295" t="e">
            <v>#N/A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</row>
        <row r="1296">
          <cell r="B1296" t="str">
            <v/>
          </cell>
          <cell r="C1296">
            <v>19</v>
          </cell>
          <cell r="D1296" t="e">
            <v>#N/A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</row>
        <row r="1297">
          <cell r="B1297" t="str">
            <v/>
          </cell>
          <cell r="C1297">
            <v>20</v>
          </cell>
          <cell r="D1297" t="e">
            <v>#N/A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</row>
        <row r="1298">
          <cell r="B1298" t="str">
            <v/>
          </cell>
          <cell r="C1298">
            <v>21</v>
          </cell>
          <cell r="D1298" t="e">
            <v>#N/A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</row>
        <row r="1299">
          <cell r="B1299" t="str">
            <v/>
          </cell>
          <cell r="C1299">
            <v>22</v>
          </cell>
          <cell r="D1299" t="e">
            <v>#N/A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</row>
        <row r="1300">
          <cell r="B1300" t="str">
            <v/>
          </cell>
          <cell r="C1300">
            <v>23</v>
          </cell>
          <cell r="D1300" t="e">
            <v>#N/A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</row>
        <row r="1301">
          <cell r="B1301" t="str">
            <v/>
          </cell>
          <cell r="C1301">
            <v>24</v>
          </cell>
          <cell r="D1301" t="e">
            <v>#N/A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</row>
        <row r="1302">
          <cell r="B1302" t="str">
            <v/>
          </cell>
          <cell r="C1302">
            <v>25</v>
          </cell>
          <cell r="D1302" t="e">
            <v>#N/A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</row>
        <row r="1303">
          <cell r="B1303" t="str">
            <v/>
          </cell>
          <cell r="C1303">
            <v>26</v>
          </cell>
          <cell r="D1303" t="e">
            <v>#N/A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</row>
        <row r="1304">
          <cell r="B1304" t="str">
            <v/>
          </cell>
          <cell r="C1304">
            <v>27</v>
          </cell>
          <cell r="D1304" t="e">
            <v>#N/A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</row>
        <row r="1305">
          <cell r="B1305" t="str">
            <v/>
          </cell>
          <cell r="C1305">
            <v>28</v>
          </cell>
          <cell r="D1305" t="e">
            <v>#N/A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</row>
        <row r="1306">
          <cell r="B1306" t="str">
            <v/>
          </cell>
          <cell r="C1306">
            <v>29</v>
          </cell>
          <cell r="D1306" t="e">
            <v>#N/A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</row>
        <row r="1307">
          <cell r="B1307" t="str">
            <v/>
          </cell>
          <cell r="C1307">
            <v>30</v>
          </cell>
          <cell r="D1307" t="e">
            <v>#N/A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</row>
        <row r="1308">
          <cell r="B1308" t="str">
            <v/>
          </cell>
          <cell r="C1308">
            <v>31</v>
          </cell>
          <cell r="D1308" t="e">
            <v>#N/A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</row>
        <row r="1309">
          <cell r="B1309" t="str">
            <v/>
          </cell>
          <cell r="C1309">
            <v>32</v>
          </cell>
          <cell r="D1309" t="e">
            <v>#N/A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</row>
        <row r="1310">
          <cell r="B1310" t="str">
            <v/>
          </cell>
          <cell r="C1310">
            <v>33</v>
          </cell>
          <cell r="D1310" t="e">
            <v>#N/A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</row>
        <row r="1311">
          <cell r="B1311" t="str">
            <v/>
          </cell>
          <cell r="C1311">
            <v>34</v>
          </cell>
          <cell r="D1311" t="e">
            <v>#N/A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</row>
        <row r="1312">
          <cell r="B1312" t="str">
            <v/>
          </cell>
          <cell r="C1312">
            <v>35</v>
          </cell>
          <cell r="D1312" t="e">
            <v>#N/A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</row>
        <row r="1313">
          <cell r="B1313" t="str">
            <v/>
          </cell>
          <cell r="C1313">
            <v>36</v>
          </cell>
          <cell r="D1313" t="e">
            <v>#N/A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</row>
        <row r="1314">
          <cell r="B1314" t="str">
            <v/>
          </cell>
          <cell r="C1314">
            <v>37</v>
          </cell>
          <cell r="D1314" t="e">
            <v>#N/A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</row>
        <row r="1315">
          <cell r="B1315" t="str">
            <v/>
          </cell>
          <cell r="C1315">
            <v>38</v>
          </cell>
          <cell r="D1315" t="e">
            <v>#N/A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</row>
        <row r="1316">
          <cell r="B1316" t="str">
            <v/>
          </cell>
          <cell r="C1316">
            <v>39</v>
          </cell>
          <cell r="D1316" t="e">
            <v>#N/A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</row>
        <row r="1317">
          <cell r="B1317" t="str">
            <v/>
          </cell>
          <cell r="C1317">
            <v>40</v>
          </cell>
          <cell r="D1317" t="e">
            <v>#N/A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</row>
        <row r="1318">
          <cell r="B1318" t="str">
            <v/>
          </cell>
          <cell r="C1318">
            <v>41</v>
          </cell>
          <cell r="D1318" t="e">
            <v>#N/A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</row>
        <row r="1319">
          <cell r="B1319" t="str">
            <v/>
          </cell>
          <cell r="C1319">
            <v>42</v>
          </cell>
          <cell r="D1319" t="e">
            <v>#N/A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</row>
        <row r="1320">
          <cell r="B1320" t="str">
            <v/>
          </cell>
          <cell r="C1320">
            <v>43</v>
          </cell>
          <cell r="D1320" t="e">
            <v>#N/A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</row>
        <row r="1321">
          <cell r="B1321" t="str">
            <v/>
          </cell>
          <cell r="C1321">
            <v>44</v>
          </cell>
          <cell r="D1321" t="e">
            <v>#N/A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</row>
        <row r="1322">
          <cell r="B1322" t="str">
            <v/>
          </cell>
          <cell r="C1322">
            <v>45</v>
          </cell>
          <cell r="D1322" t="e">
            <v>#N/A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</row>
        <row r="1323">
          <cell r="B1323" t="str">
            <v/>
          </cell>
          <cell r="C1323">
            <v>46</v>
          </cell>
          <cell r="D1323" t="e">
            <v>#N/A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</row>
        <row r="1324">
          <cell r="B1324" t="str">
            <v/>
          </cell>
          <cell r="C1324">
            <v>47</v>
          </cell>
          <cell r="D1324" t="e">
            <v>#N/A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</row>
        <row r="1325">
          <cell r="B1325" t="str">
            <v/>
          </cell>
          <cell r="C1325">
            <v>48</v>
          </cell>
          <cell r="D1325" t="e">
            <v>#N/A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</row>
        <row r="1326">
          <cell r="B1326" t="str">
            <v/>
          </cell>
          <cell r="C1326">
            <v>49</v>
          </cell>
          <cell r="D1326" t="e">
            <v>#N/A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</row>
        <row r="1327">
          <cell r="B1327" t="str">
            <v/>
          </cell>
          <cell r="C1327">
            <v>50</v>
          </cell>
          <cell r="D1327" t="e">
            <v>#N/A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</row>
        <row r="1328">
          <cell r="B1328" t="str">
            <v/>
          </cell>
          <cell r="C1328">
            <v>51</v>
          </cell>
          <cell r="D1328" t="e">
            <v>#N/A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</row>
        <row r="1329">
          <cell r="B1329" t="str">
            <v/>
          </cell>
          <cell r="C1329">
            <v>1</v>
          </cell>
          <cell r="D1329" t="e">
            <v>#N/A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</row>
        <row r="1330">
          <cell r="B1330" t="str">
            <v/>
          </cell>
          <cell r="C1330">
            <v>2</v>
          </cell>
          <cell r="D1330" t="e">
            <v>#N/A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</row>
        <row r="1331">
          <cell r="B1331" t="str">
            <v/>
          </cell>
          <cell r="C1331">
            <v>3</v>
          </cell>
          <cell r="D1331" t="e">
            <v>#N/A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</row>
        <row r="1332">
          <cell r="B1332" t="str">
            <v/>
          </cell>
          <cell r="C1332">
            <v>4</v>
          </cell>
          <cell r="D1332" t="e">
            <v>#N/A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</row>
        <row r="1333">
          <cell r="B1333" t="str">
            <v/>
          </cell>
          <cell r="C1333">
            <v>5</v>
          </cell>
          <cell r="D1333" t="e">
            <v>#N/A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</row>
        <row r="1334">
          <cell r="B1334" t="str">
            <v/>
          </cell>
          <cell r="C1334">
            <v>6</v>
          </cell>
          <cell r="D1334" t="e">
            <v>#N/A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</row>
        <row r="1335">
          <cell r="B1335" t="str">
            <v/>
          </cell>
          <cell r="C1335">
            <v>7</v>
          </cell>
          <cell r="D1335" t="e">
            <v>#N/A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</row>
        <row r="1336">
          <cell r="B1336" t="str">
            <v/>
          </cell>
          <cell r="C1336">
            <v>8</v>
          </cell>
          <cell r="D1336" t="e">
            <v>#N/A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</row>
        <row r="1337">
          <cell r="B1337" t="str">
            <v/>
          </cell>
          <cell r="C1337">
            <v>9</v>
          </cell>
          <cell r="D1337" t="e">
            <v>#N/A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</row>
        <row r="1338">
          <cell r="B1338" t="str">
            <v/>
          </cell>
          <cell r="C1338">
            <v>10</v>
          </cell>
          <cell r="D1338" t="e">
            <v>#N/A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</row>
        <row r="1339">
          <cell r="B1339" t="str">
            <v/>
          </cell>
          <cell r="C1339">
            <v>11</v>
          </cell>
          <cell r="D1339" t="e">
            <v>#N/A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</row>
        <row r="1340">
          <cell r="B1340" t="str">
            <v/>
          </cell>
          <cell r="C1340">
            <v>12</v>
          </cell>
          <cell r="D1340" t="e">
            <v>#N/A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</row>
        <row r="1341">
          <cell r="B1341" t="str">
            <v/>
          </cell>
          <cell r="C1341">
            <v>13</v>
          </cell>
          <cell r="D1341" t="e">
            <v>#N/A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</row>
        <row r="1342">
          <cell r="B1342" t="str">
            <v/>
          </cell>
          <cell r="C1342">
            <v>14</v>
          </cell>
          <cell r="D1342" t="e">
            <v>#N/A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</row>
        <row r="1343">
          <cell r="B1343" t="str">
            <v/>
          </cell>
          <cell r="C1343">
            <v>15</v>
          </cell>
          <cell r="D1343" t="e">
            <v>#N/A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</row>
        <row r="1344">
          <cell r="B1344" t="str">
            <v/>
          </cell>
          <cell r="C1344">
            <v>16</v>
          </cell>
          <cell r="D1344" t="e">
            <v>#N/A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</row>
        <row r="1345">
          <cell r="B1345" t="str">
            <v/>
          </cell>
          <cell r="C1345">
            <v>17</v>
          </cell>
          <cell r="D1345" t="e">
            <v>#N/A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</row>
        <row r="1346">
          <cell r="B1346" t="str">
            <v/>
          </cell>
          <cell r="C1346">
            <v>18</v>
          </cell>
          <cell r="D1346" t="e">
            <v>#N/A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</row>
        <row r="1347">
          <cell r="B1347" t="str">
            <v/>
          </cell>
          <cell r="C1347">
            <v>19</v>
          </cell>
          <cell r="D1347" t="e">
            <v>#N/A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</row>
        <row r="1348">
          <cell r="B1348" t="str">
            <v/>
          </cell>
          <cell r="C1348">
            <v>20</v>
          </cell>
          <cell r="D1348" t="e">
            <v>#N/A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</row>
        <row r="1349">
          <cell r="B1349" t="str">
            <v/>
          </cell>
          <cell r="C1349">
            <v>21</v>
          </cell>
          <cell r="D1349" t="e">
            <v>#N/A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</row>
        <row r="1350">
          <cell r="B1350" t="str">
            <v/>
          </cell>
          <cell r="C1350">
            <v>22</v>
          </cell>
          <cell r="D1350" t="e">
            <v>#N/A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</row>
        <row r="1351">
          <cell r="B1351" t="str">
            <v/>
          </cell>
          <cell r="C1351">
            <v>23</v>
          </cell>
          <cell r="D1351" t="e">
            <v>#N/A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</row>
        <row r="1352">
          <cell r="B1352" t="str">
            <v/>
          </cell>
          <cell r="C1352">
            <v>24</v>
          </cell>
          <cell r="D1352" t="e">
            <v>#N/A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</row>
        <row r="1353">
          <cell r="B1353" t="str">
            <v/>
          </cell>
          <cell r="C1353">
            <v>25</v>
          </cell>
          <cell r="D1353" t="e">
            <v>#N/A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</row>
        <row r="1354">
          <cell r="B1354" t="str">
            <v/>
          </cell>
          <cell r="C1354">
            <v>26</v>
          </cell>
          <cell r="D1354" t="e">
            <v>#N/A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</row>
        <row r="1355">
          <cell r="B1355" t="str">
            <v/>
          </cell>
          <cell r="C1355">
            <v>27</v>
          </cell>
          <cell r="D1355" t="e">
            <v>#N/A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</row>
        <row r="1356">
          <cell r="B1356" t="str">
            <v/>
          </cell>
          <cell r="C1356">
            <v>28</v>
          </cell>
          <cell r="D1356" t="e">
            <v>#N/A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</row>
        <row r="1357">
          <cell r="B1357" t="str">
            <v/>
          </cell>
          <cell r="C1357">
            <v>29</v>
          </cell>
          <cell r="D1357" t="e">
            <v>#N/A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</row>
        <row r="1358">
          <cell r="B1358" t="str">
            <v/>
          </cell>
          <cell r="C1358">
            <v>30</v>
          </cell>
          <cell r="D1358" t="e">
            <v>#N/A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</row>
        <row r="1359">
          <cell r="B1359" t="str">
            <v/>
          </cell>
          <cell r="C1359">
            <v>31</v>
          </cell>
          <cell r="D1359" t="e">
            <v>#N/A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</row>
        <row r="1360">
          <cell r="B1360" t="str">
            <v/>
          </cell>
          <cell r="C1360">
            <v>32</v>
          </cell>
          <cell r="D1360" t="e">
            <v>#N/A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</row>
        <row r="1361">
          <cell r="B1361" t="str">
            <v/>
          </cell>
          <cell r="C1361">
            <v>33</v>
          </cell>
          <cell r="D1361" t="e">
            <v>#N/A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</row>
        <row r="1362">
          <cell r="B1362" t="str">
            <v/>
          </cell>
          <cell r="C1362">
            <v>34</v>
          </cell>
          <cell r="D1362" t="e">
            <v>#N/A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</row>
        <row r="1363">
          <cell r="B1363" t="str">
            <v/>
          </cell>
          <cell r="C1363">
            <v>35</v>
          </cell>
          <cell r="D1363" t="e">
            <v>#N/A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</row>
        <row r="1364">
          <cell r="B1364" t="str">
            <v/>
          </cell>
          <cell r="C1364">
            <v>36</v>
          </cell>
          <cell r="D1364" t="e">
            <v>#N/A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</row>
        <row r="1365">
          <cell r="B1365" t="str">
            <v/>
          </cell>
          <cell r="C1365">
            <v>37</v>
          </cell>
          <cell r="D1365" t="e">
            <v>#N/A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</row>
        <row r="1366">
          <cell r="B1366" t="str">
            <v/>
          </cell>
          <cell r="C1366">
            <v>38</v>
          </cell>
          <cell r="D1366" t="e">
            <v>#N/A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</row>
        <row r="1367">
          <cell r="B1367" t="str">
            <v/>
          </cell>
          <cell r="C1367">
            <v>39</v>
          </cell>
          <cell r="D1367" t="e">
            <v>#N/A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</row>
        <row r="1368">
          <cell r="B1368" t="str">
            <v/>
          </cell>
          <cell r="C1368">
            <v>40</v>
          </cell>
          <cell r="D1368" t="e">
            <v>#N/A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</row>
        <row r="1369">
          <cell r="B1369" t="str">
            <v/>
          </cell>
          <cell r="C1369">
            <v>41</v>
          </cell>
          <cell r="D1369" t="e">
            <v>#N/A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</row>
        <row r="1370">
          <cell r="B1370" t="str">
            <v/>
          </cell>
          <cell r="C1370">
            <v>42</v>
          </cell>
          <cell r="D1370" t="e">
            <v>#N/A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</row>
        <row r="1371">
          <cell r="B1371" t="str">
            <v/>
          </cell>
          <cell r="C1371">
            <v>43</v>
          </cell>
          <cell r="D1371" t="e">
            <v>#N/A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</row>
        <row r="1372">
          <cell r="B1372" t="str">
            <v/>
          </cell>
          <cell r="C1372">
            <v>44</v>
          </cell>
          <cell r="D1372" t="e">
            <v>#N/A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</row>
        <row r="1373">
          <cell r="B1373" t="str">
            <v/>
          </cell>
          <cell r="C1373">
            <v>45</v>
          </cell>
          <cell r="D1373" t="e">
            <v>#N/A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</row>
        <row r="1374">
          <cell r="B1374" t="str">
            <v/>
          </cell>
          <cell r="C1374">
            <v>46</v>
          </cell>
          <cell r="D1374" t="e">
            <v>#N/A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</row>
        <row r="1375">
          <cell r="B1375" t="str">
            <v/>
          </cell>
          <cell r="C1375">
            <v>47</v>
          </cell>
          <cell r="D1375" t="e">
            <v>#N/A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</row>
        <row r="1376">
          <cell r="B1376" t="str">
            <v/>
          </cell>
          <cell r="C1376">
            <v>48</v>
          </cell>
          <cell r="D1376" t="e">
            <v>#N/A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</row>
        <row r="1377">
          <cell r="B1377" t="str">
            <v/>
          </cell>
          <cell r="C1377">
            <v>49</v>
          </cell>
          <cell r="D1377" t="e">
            <v>#N/A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</row>
        <row r="1378">
          <cell r="B1378" t="str">
            <v/>
          </cell>
          <cell r="C1378">
            <v>50</v>
          </cell>
          <cell r="D1378" t="e">
            <v>#N/A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</row>
        <row r="1379">
          <cell r="B1379" t="str">
            <v/>
          </cell>
          <cell r="C1379">
            <v>51</v>
          </cell>
          <cell r="D1379" t="e">
            <v>#N/A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</row>
        <row r="1380">
          <cell r="B1380" t="str">
            <v/>
          </cell>
          <cell r="C1380">
            <v>1</v>
          </cell>
          <cell r="D1380" t="e">
            <v>#N/A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</row>
        <row r="1381">
          <cell r="B1381" t="str">
            <v/>
          </cell>
          <cell r="C1381">
            <v>2</v>
          </cell>
          <cell r="D1381" t="e">
            <v>#N/A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</row>
        <row r="1382">
          <cell r="B1382" t="str">
            <v/>
          </cell>
          <cell r="C1382">
            <v>3</v>
          </cell>
          <cell r="D1382" t="e">
            <v>#N/A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</row>
        <row r="1383">
          <cell r="B1383" t="str">
            <v/>
          </cell>
          <cell r="C1383">
            <v>4</v>
          </cell>
          <cell r="D1383" t="e">
            <v>#N/A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</row>
        <row r="1384">
          <cell r="B1384" t="str">
            <v/>
          </cell>
          <cell r="C1384">
            <v>5</v>
          </cell>
          <cell r="D1384" t="e">
            <v>#N/A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</row>
        <row r="1385">
          <cell r="B1385" t="str">
            <v/>
          </cell>
          <cell r="C1385">
            <v>6</v>
          </cell>
          <cell r="D1385" t="e">
            <v>#N/A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</row>
        <row r="1386">
          <cell r="B1386" t="str">
            <v/>
          </cell>
          <cell r="C1386">
            <v>7</v>
          </cell>
          <cell r="D1386" t="e">
            <v>#N/A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</row>
        <row r="1387">
          <cell r="B1387" t="str">
            <v/>
          </cell>
          <cell r="C1387">
            <v>8</v>
          </cell>
          <cell r="D1387" t="e">
            <v>#N/A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</row>
        <row r="1388">
          <cell r="B1388" t="str">
            <v/>
          </cell>
          <cell r="C1388">
            <v>9</v>
          </cell>
          <cell r="D1388" t="e">
            <v>#N/A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</row>
        <row r="1389">
          <cell r="B1389" t="str">
            <v/>
          </cell>
          <cell r="C1389">
            <v>10</v>
          </cell>
          <cell r="D1389" t="e">
            <v>#N/A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</row>
        <row r="1390">
          <cell r="B1390" t="str">
            <v/>
          </cell>
          <cell r="C1390">
            <v>11</v>
          </cell>
          <cell r="D1390" t="e">
            <v>#N/A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</row>
        <row r="1391">
          <cell r="B1391" t="str">
            <v/>
          </cell>
          <cell r="C1391">
            <v>12</v>
          </cell>
          <cell r="D1391" t="e">
            <v>#N/A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</row>
        <row r="1392">
          <cell r="B1392" t="str">
            <v/>
          </cell>
          <cell r="C1392">
            <v>13</v>
          </cell>
          <cell r="D1392" t="e">
            <v>#N/A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</row>
        <row r="1393">
          <cell r="B1393" t="str">
            <v/>
          </cell>
          <cell r="C1393">
            <v>14</v>
          </cell>
          <cell r="D1393" t="e">
            <v>#N/A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</row>
        <row r="1394">
          <cell r="B1394" t="str">
            <v/>
          </cell>
          <cell r="C1394">
            <v>15</v>
          </cell>
          <cell r="D1394" t="e">
            <v>#N/A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</row>
        <row r="1395">
          <cell r="B1395" t="str">
            <v/>
          </cell>
          <cell r="C1395">
            <v>16</v>
          </cell>
          <cell r="D1395" t="e">
            <v>#N/A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</row>
        <row r="1396">
          <cell r="B1396" t="str">
            <v/>
          </cell>
          <cell r="C1396">
            <v>17</v>
          </cell>
          <cell r="D1396" t="e">
            <v>#N/A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</row>
        <row r="1397">
          <cell r="B1397" t="str">
            <v/>
          </cell>
          <cell r="C1397">
            <v>18</v>
          </cell>
          <cell r="D1397" t="e">
            <v>#N/A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</row>
        <row r="1398">
          <cell r="B1398" t="str">
            <v/>
          </cell>
          <cell r="C1398">
            <v>19</v>
          </cell>
          <cell r="D1398" t="e">
            <v>#N/A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</row>
        <row r="1399">
          <cell r="B1399" t="str">
            <v/>
          </cell>
          <cell r="C1399">
            <v>20</v>
          </cell>
          <cell r="D1399" t="e">
            <v>#N/A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</row>
        <row r="1400">
          <cell r="B1400" t="str">
            <v/>
          </cell>
          <cell r="C1400">
            <v>21</v>
          </cell>
          <cell r="D1400" t="e">
            <v>#N/A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</row>
        <row r="1401">
          <cell r="B1401" t="str">
            <v/>
          </cell>
          <cell r="C1401">
            <v>22</v>
          </cell>
          <cell r="D1401" t="e">
            <v>#N/A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</row>
        <row r="1402">
          <cell r="B1402" t="str">
            <v/>
          </cell>
          <cell r="C1402">
            <v>23</v>
          </cell>
          <cell r="D1402" t="e">
            <v>#N/A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</row>
        <row r="1403">
          <cell r="B1403" t="str">
            <v/>
          </cell>
          <cell r="C1403">
            <v>24</v>
          </cell>
          <cell r="D1403" t="e">
            <v>#N/A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</row>
        <row r="1404">
          <cell r="B1404" t="str">
            <v/>
          </cell>
          <cell r="C1404">
            <v>25</v>
          </cell>
          <cell r="D1404" t="e">
            <v>#N/A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</row>
        <row r="1405">
          <cell r="B1405" t="str">
            <v/>
          </cell>
          <cell r="C1405">
            <v>26</v>
          </cell>
          <cell r="D1405" t="e">
            <v>#N/A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</row>
        <row r="1406">
          <cell r="B1406" t="str">
            <v/>
          </cell>
          <cell r="C1406">
            <v>27</v>
          </cell>
          <cell r="D1406" t="e">
            <v>#N/A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</row>
        <row r="1407">
          <cell r="B1407" t="str">
            <v/>
          </cell>
          <cell r="C1407">
            <v>28</v>
          </cell>
          <cell r="D1407" t="e">
            <v>#N/A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</row>
        <row r="1408">
          <cell r="B1408" t="str">
            <v/>
          </cell>
          <cell r="C1408">
            <v>29</v>
          </cell>
          <cell r="D1408" t="e">
            <v>#N/A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</row>
        <row r="1409">
          <cell r="B1409" t="str">
            <v/>
          </cell>
          <cell r="C1409">
            <v>30</v>
          </cell>
          <cell r="D1409" t="e">
            <v>#N/A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</row>
        <row r="1410">
          <cell r="B1410" t="str">
            <v/>
          </cell>
          <cell r="C1410">
            <v>31</v>
          </cell>
          <cell r="D1410" t="e">
            <v>#N/A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</row>
        <row r="1411">
          <cell r="B1411" t="str">
            <v/>
          </cell>
          <cell r="C1411">
            <v>32</v>
          </cell>
          <cell r="D1411" t="e">
            <v>#N/A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</row>
        <row r="1412">
          <cell r="B1412" t="str">
            <v/>
          </cell>
          <cell r="C1412">
            <v>33</v>
          </cell>
          <cell r="D1412" t="e">
            <v>#N/A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</row>
        <row r="1413">
          <cell r="B1413" t="str">
            <v/>
          </cell>
          <cell r="C1413">
            <v>34</v>
          </cell>
          <cell r="D1413" t="e">
            <v>#N/A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</row>
        <row r="1414">
          <cell r="B1414" t="str">
            <v/>
          </cell>
          <cell r="C1414">
            <v>35</v>
          </cell>
          <cell r="D1414" t="e">
            <v>#N/A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</row>
        <row r="1415">
          <cell r="B1415" t="str">
            <v/>
          </cell>
          <cell r="C1415">
            <v>36</v>
          </cell>
          <cell r="D1415" t="e">
            <v>#N/A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</row>
        <row r="1416">
          <cell r="B1416" t="str">
            <v/>
          </cell>
          <cell r="C1416">
            <v>37</v>
          </cell>
          <cell r="D1416" t="e">
            <v>#N/A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</row>
        <row r="1417">
          <cell r="B1417" t="str">
            <v/>
          </cell>
          <cell r="C1417">
            <v>38</v>
          </cell>
          <cell r="D1417" t="e">
            <v>#N/A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</row>
        <row r="1418">
          <cell r="B1418" t="str">
            <v/>
          </cell>
          <cell r="C1418">
            <v>39</v>
          </cell>
          <cell r="D1418" t="e">
            <v>#N/A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</row>
        <row r="1419">
          <cell r="B1419" t="str">
            <v/>
          </cell>
          <cell r="C1419">
            <v>40</v>
          </cell>
          <cell r="D1419" t="e">
            <v>#N/A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</row>
        <row r="1420">
          <cell r="B1420" t="str">
            <v/>
          </cell>
          <cell r="C1420">
            <v>41</v>
          </cell>
          <cell r="D1420" t="e">
            <v>#N/A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</row>
        <row r="1421">
          <cell r="B1421" t="str">
            <v/>
          </cell>
          <cell r="C1421">
            <v>42</v>
          </cell>
          <cell r="D1421" t="e">
            <v>#N/A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</row>
        <row r="1422">
          <cell r="B1422" t="str">
            <v/>
          </cell>
          <cell r="C1422">
            <v>43</v>
          </cell>
          <cell r="D1422" t="e">
            <v>#N/A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</row>
        <row r="1423">
          <cell r="B1423" t="str">
            <v/>
          </cell>
          <cell r="C1423">
            <v>44</v>
          </cell>
          <cell r="D1423" t="e">
            <v>#N/A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</row>
        <row r="1424">
          <cell r="B1424" t="str">
            <v/>
          </cell>
          <cell r="C1424">
            <v>45</v>
          </cell>
          <cell r="D1424" t="e">
            <v>#N/A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</row>
        <row r="1425">
          <cell r="B1425" t="str">
            <v/>
          </cell>
          <cell r="C1425">
            <v>46</v>
          </cell>
          <cell r="D1425" t="e">
            <v>#N/A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</row>
        <row r="1426">
          <cell r="B1426" t="str">
            <v/>
          </cell>
          <cell r="C1426">
            <v>47</v>
          </cell>
          <cell r="D1426" t="e">
            <v>#N/A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</row>
        <row r="1427">
          <cell r="B1427" t="str">
            <v/>
          </cell>
          <cell r="C1427">
            <v>48</v>
          </cell>
          <cell r="D1427" t="e">
            <v>#N/A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</row>
        <row r="1428">
          <cell r="B1428" t="str">
            <v/>
          </cell>
          <cell r="C1428">
            <v>49</v>
          </cell>
          <cell r="D1428" t="e">
            <v>#N/A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</row>
        <row r="1429">
          <cell r="B1429" t="str">
            <v/>
          </cell>
          <cell r="C1429">
            <v>50</v>
          </cell>
          <cell r="D1429" t="e">
            <v>#N/A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</row>
        <row r="1430">
          <cell r="B1430" t="str">
            <v/>
          </cell>
          <cell r="C1430">
            <v>51</v>
          </cell>
          <cell r="D1430" t="e">
            <v>#N/A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</row>
        <row r="1431">
          <cell r="B1431" t="str">
            <v/>
          </cell>
          <cell r="C1431">
            <v>1</v>
          </cell>
          <cell r="D1431" t="e">
            <v>#N/A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</row>
        <row r="1432">
          <cell r="B1432" t="str">
            <v/>
          </cell>
          <cell r="C1432">
            <v>2</v>
          </cell>
          <cell r="D1432" t="e">
            <v>#N/A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</row>
        <row r="1433">
          <cell r="B1433" t="str">
            <v/>
          </cell>
          <cell r="C1433">
            <v>3</v>
          </cell>
          <cell r="D1433" t="e">
            <v>#N/A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</row>
        <row r="1434">
          <cell r="B1434" t="str">
            <v/>
          </cell>
          <cell r="C1434">
            <v>4</v>
          </cell>
          <cell r="D1434" t="e">
            <v>#N/A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</row>
        <row r="1435">
          <cell r="B1435" t="str">
            <v/>
          </cell>
          <cell r="C1435">
            <v>5</v>
          </cell>
          <cell r="D1435" t="e">
            <v>#N/A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</row>
        <row r="1436">
          <cell r="B1436" t="str">
            <v/>
          </cell>
          <cell r="C1436">
            <v>6</v>
          </cell>
          <cell r="D1436" t="e">
            <v>#N/A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</row>
        <row r="1437">
          <cell r="B1437" t="str">
            <v/>
          </cell>
          <cell r="C1437">
            <v>7</v>
          </cell>
          <cell r="D1437" t="e">
            <v>#N/A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</row>
        <row r="1438">
          <cell r="B1438" t="str">
            <v/>
          </cell>
          <cell r="C1438">
            <v>8</v>
          </cell>
          <cell r="D1438" t="e">
            <v>#N/A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</row>
        <row r="1439">
          <cell r="B1439" t="str">
            <v/>
          </cell>
          <cell r="C1439">
            <v>9</v>
          </cell>
          <cell r="D1439" t="e">
            <v>#N/A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</row>
        <row r="1440">
          <cell r="B1440" t="str">
            <v/>
          </cell>
          <cell r="C1440">
            <v>10</v>
          </cell>
          <cell r="D1440" t="e">
            <v>#N/A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</row>
        <row r="1441">
          <cell r="B1441" t="str">
            <v/>
          </cell>
          <cell r="C1441">
            <v>11</v>
          </cell>
          <cell r="D1441" t="e">
            <v>#N/A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</row>
        <row r="1442">
          <cell r="B1442" t="str">
            <v/>
          </cell>
          <cell r="C1442">
            <v>12</v>
          </cell>
          <cell r="D1442" t="e">
            <v>#N/A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</row>
        <row r="1443">
          <cell r="B1443" t="str">
            <v/>
          </cell>
          <cell r="C1443">
            <v>13</v>
          </cell>
          <cell r="D1443" t="e">
            <v>#N/A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</row>
        <row r="1444">
          <cell r="B1444" t="str">
            <v/>
          </cell>
          <cell r="C1444">
            <v>14</v>
          </cell>
          <cell r="D1444" t="e">
            <v>#N/A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</row>
        <row r="1445">
          <cell r="B1445" t="str">
            <v/>
          </cell>
          <cell r="C1445">
            <v>15</v>
          </cell>
          <cell r="D1445" t="e">
            <v>#N/A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</row>
        <row r="1446">
          <cell r="B1446" t="str">
            <v/>
          </cell>
          <cell r="C1446">
            <v>16</v>
          </cell>
          <cell r="D1446" t="e">
            <v>#N/A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</row>
        <row r="1447">
          <cell r="B1447" t="str">
            <v/>
          </cell>
          <cell r="C1447">
            <v>17</v>
          </cell>
          <cell r="D1447" t="e">
            <v>#N/A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</row>
        <row r="1448">
          <cell r="B1448" t="str">
            <v/>
          </cell>
          <cell r="C1448">
            <v>18</v>
          </cell>
          <cell r="D1448" t="e">
            <v>#N/A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</row>
        <row r="1449">
          <cell r="B1449" t="str">
            <v/>
          </cell>
          <cell r="C1449">
            <v>19</v>
          </cell>
          <cell r="D1449" t="e">
            <v>#N/A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</row>
        <row r="1450">
          <cell r="B1450" t="str">
            <v/>
          </cell>
          <cell r="C1450">
            <v>20</v>
          </cell>
          <cell r="D1450" t="e">
            <v>#N/A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</row>
        <row r="1451">
          <cell r="B1451" t="str">
            <v/>
          </cell>
          <cell r="C1451">
            <v>21</v>
          </cell>
          <cell r="D1451" t="e">
            <v>#N/A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</row>
        <row r="1452">
          <cell r="B1452" t="str">
            <v/>
          </cell>
          <cell r="C1452">
            <v>22</v>
          </cell>
          <cell r="D1452" t="e">
            <v>#N/A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</row>
        <row r="1453">
          <cell r="B1453" t="str">
            <v/>
          </cell>
          <cell r="C1453">
            <v>23</v>
          </cell>
          <cell r="D1453" t="e">
            <v>#N/A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</row>
        <row r="1454">
          <cell r="B1454" t="str">
            <v/>
          </cell>
          <cell r="C1454">
            <v>24</v>
          </cell>
          <cell r="D1454" t="e">
            <v>#N/A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</row>
        <row r="1455">
          <cell r="B1455" t="str">
            <v/>
          </cell>
          <cell r="C1455">
            <v>25</v>
          </cell>
          <cell r="D1455" t="e">
            <v>#N/A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</row>
        <row r="1456">
          <cell r="B1456" t="str">
            <v/>
          </cell>
          <cell r="C1456">
            <v>26</v>
          </cell>
          <cell r="D1456" t="e">
            <v>#N/A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</row>
        <row r="1457">
          <cell r="B1457" t="str">
            <v/>
          </cell>
          <cell r="C1457">
            <v>27</v>
          </cell>
          <cell r="D1457" t="e">
            <v>#N/A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</row>
        <row r="1458">
          <cell r="B1458" t="str">
            <v/>
          </cell>
          <cell r="C1458">
            <v>28</v>
          </cell>
          <cell r="D1458" t="e">
            <v>#N/A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</row>
        <row r="1459">
          <cell r="B1459" t="str">
            <v/>
          </cell>
          <cell r="C1459">
            <v>29</v>
          </cell>
          <cell r="D1459" t="e">
            <v>#N/A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</row>
        <row r="1460">
          <cell r="B1460" t="str">
            <v/>
          </cell>
          <cell r="C1460">
            <v>30</v>
          </cell>
          <cell r="D1460" t="e">
            <v>#N/A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</row>
        <row r="1461">
          <cell r="B1461" t="str">
            <v/>
          </cell>
          <cell r="C1461">
            <v>31</v>
          </cell>
          <cell r="D1461" t="e">
            <v>#N/A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</row>
        <row r="1462">
          <cell r="B1462" t="str">
            <v/>
          </cell>
          <cell r="C1462">
            <v>32</v>
          </cell>
          <cell r="D1462" t="e">
            <v>#N/A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</row>
        <row r="1463">
          <cell r="B1463" t="str">
            <v/>
          </cell>
          <cell r="C1463">
            <v>33</v>
          </cell>
          <cell r="D1463" t="e">
            <v>#N/A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</row>
        <row r="1464">
          <cell r="B1464" t="str">
            <v/>
          </cell>
          <cell r="C1464">
            <v>34</v>
          </cell>
          <cell r="D1464" t="e">
            <v>#N/A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</row>
        <row r="1465">
          <cell r="B1465" t="str">
            <v/>
          </cell>
          <cell r="C1465">
            <v>35</v>
          </cell>
          <cell r="D1465" t="e">
            <v>#N/A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</row>
        <row r="1466">
          <cell r="B1466" t="str">
            <v/>
          </cell>
          <cell r="C1466">
            <v>36</v>
          </cell>
          <cell r="D1466" t="e">
            <v>#N/A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</row>
        <row r="1467">
          <cell r="B1467" t="str">
            <v/>
          </cell>
          <cell r="C1467">
            <v>37</v>
          </cell>
          <cell r="D1467" t="e">
            <v>#N/A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</row>
        <row r="1468">
          <cell r="B1468" t="str">
            <v/>
          </cell>
          <cell r="C1468">
            <v>38</v>
          </cell>
          <cell r="D1468" t="e">
            <v>#N/A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</row>
        <row r="1469">
          <cell r="B1469" t="str">
            <v/>
          </cell>
          <cell r="C1469">
            <v>39</v>
          </cell>
          <cell r="D1469" t="e">
            <v>#N/A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</row>
        <row r="1470">
          <cell r="B1470" t="str">
            <v/>
          </cell>
          <cell r="C1470">
            <v>40</v>
          </cell>
          <cell r="D1470" t="e">
            <v>#N/A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</row>
        <row r="1471">
          <cell r="B1471" t="str">
            <v/>
          </cell>
          <cell r="C1471">
            <v>41</v>
          </cell>
          <cell r="D1471" t="e">
            <v>#N/A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</row>
        <row r="1472">
          <cell r="B1472" t="str">
            <v/>
          </cell>
          <cell r="C1472">
            <v>42</v>
          </cell>
          <cell r="D1472" t="e">
            <v>#N/A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</row>
        <row r="1473">
          <cell r="B1473" t="str">
            <v/>
          </cell>
          <cell r="C1473">
            <v>43</v>
          </cell>
          <cell r="D1473" t="e">
            <v>#N/A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</row>
        <row r="1474">
          <cell r="B1474" t="str">
            <v/>
          </cell>
          <cell r="C1474">
            <v>44</v>
          </cell>
          <cell r="D1474" t="e">
            <v>#N/A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</row>
        <row r="1475">
          <cell r="B1475" t="str">
            <v/>
          </cell>
          <cell r="C1475">
            <v>45</v>
          </cell>
          <cell r="D1475" t="e">
            <v>#N/A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</row>
        <row r="1476">
          <cell r="B1476" t="str">
            <v/>
          </cell>
          <cell r="C1476">
            <v>46</v>
          </cell>
          <cell r="D1476" t="e">
            <v>#N/A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</row>
        <row r="1477">
          <cell r="B1477" t="str">
            <v/>
          </cell>
          <cell r="C1477">
            <v>47</v>
          </cell>
          <cell r="D1477" t="e">
            <v>#N/A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</row>
        <row r="1478">
          <cell r="B1478" t="str">
            <v/>
          </cell>
          <cell r="C1478">
            <v>48</v>
          </cell>
          <cell r="D1478" t="e">
            <v>#N/A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</row>
        <row r="1479">
          <cell r="B1479" t="str">
            <v/>
          </cell>
          <cell r="C1479">
            <v>49</v>
          </cell>
          <cell r="D1479" t="e">
            <v>#N/A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</row>
        <row r="1480">
          <cell r="B1480" t="str">
            <v/>
          </cell>
          <cell r="C1480">
            <v>50</v>
          </cell>
          <cell r="D1480" t="e">
            <v>#N/A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</row>
        <row r="1481">
          <cell r="B1481" t="str">
            <v/>
          </cell>
          <cell r="C1481">
            <v>51</v>
          </cell>
          <cell r="D1481" t="e">
            <v>#N/A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</row>
        <row r="1482">
          <cell r="B1482" t="str">
            <v/>
          </cell>
          <cell r="C1482">
            <v>1</v>
          </cell>
          <cell r="D1482" t="e">
            <v>#N/A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</row>
        <row r="1483">
          <cell r="B1483" t="str">
            <v/>
          </cell>
          <cell r="C1483">
            <v>2</v>
          </cell>
          <cell r="D1483" t="e">
            <v>#N/A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</row>
        <row r="1484">
          <cell r="B1484" t="str">
            <v/>
          </cell>
          <cell r="C1484">
            <v>3</v>
          </cell>
          <cell r="D1484" t="e">
            <v>#N/A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</row>
        <row r="1485">
          <cell r="B1485" t="str">
            <v/>
          </cell>
          <cell r="C1485">
            <v>4</v>
          </cell>
          <cell r="D1485" t="e">
            <v>#N/A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</row>
        <row r="1486">
          <cell r="B1486" t="str">
            <v/>
          </cell>
          <cell r="C1486">
            <v>5</v>
          </cell>
          <cell r="D1486" t="e">
            <v>#N/A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</row>
        <row r="1487">
          <cell r="B1487" t="str">
            <v/>
          </cell>
          <cell r="C1487">
            <v>6</v>
          </cell>
          <cell r="D1487" t="e">
            <v>#N/A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</row>
        <row r="1488">
          <cell r="B1488" t="str">
            <v/>
          </cell>
          <cell r="C1488">
            <v>7</v>
          </cell>
          <cell r="D1488" t="e">
            <v>#N/A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</row>
        <row r="1489">
          <cell r="B1489" t="str">
            <v/>
          </cell>
          <cell r="C1489">
            <v>8</v>
          </cell>
          <cell r="D1489" t="e">
            <v>#N/A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</row>
        <row r="1490">
          <cell r="B1490" t="str">
            <v/>
          </cell>
          <cell r="C1490">
            <v>9</v>
          </cell>
          <cell r="D1490" t="e">
            <v>#N/A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</row>
        <row r="1491">
          <cell r="B1491" t="str">
            <v/>
          </cell>
          <cell r="C1491">
            <v>10</v>
          </cell>
          <cell r="D1491" t="e">
            <v>#N/A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</row>
        <row r="1492">
          <cell r="B1492" t="str">
            <v/>
          </cell>
          <cell r="C1492">
            <v>11</v>
          </cell>
          <cell r="D1492" t="e">
            <v>#N/A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</row>
        <row r="1493">
          <cell r="B1493" t="str">
            <v/>
          </cell>
          <cell r="C1493">
            <v>12</v>
          </cell>
          <cell r="D1493" t="e">
            <v>#N/A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</row>
        <row r="1494">
          <cell r="B1494" t="str">
            <v/>
          </cell>
          <cell r="C1494">
            <v>13</v>
          </cell>
          <cell r="D1494" t="e">
            <v>#N/A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</row>
        <row r="1495">
          <cell r="B1495" t="str">
            <v/>
          </cell>
          <cell r="C1495">
            <v>14</v>
          </cell>
          <cell r="D1495" t="e">
            <v>#N/A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</row>
        <row r="1496">
          <cell r="B1496" t="str">
            <v/>
          </cell>
          <cell r="C1496">
            <v>15</v>
          </cell>
          <cell r="D1496" t="e">
            <v>#N/A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</row>
        <row r="1497">
          <cell r="B1497" t="str">
            <v/>
          </cell>
          <cell r="C1497">
            <v>16</v>
          </cell>
          <cell r="D1497" t="e">
            <v>#N/A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</row>
        <row r="1498">
          <cell r="B1498" t="str">
            <v/>
          </cell>
          <cell r="C1498">
            <v>17</v>
          </cell>
          <cell r="D1498" t="e">
            <v>#N/A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</row>
        <row r="1499">
          <cell r="B1499" t="str">
            <v/>
          </cell>
          <cell r="C1499">
            <v>18</v>
          </cell>
          <cell r="D1499" t="e">
            <v>#N/A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</row>
        <row r="1500">
          <cell r="B1500" t="str">
            <v/>
          </cell>
          <cell r="C1500">
            <v>19</v>
          </cell>
          <cell r="D1500" t="e">
            <v>#N/A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</row>
        <row r="1501">
          <cell r="B1501" t="str">
            <v/>
          </cell>
          <cell r="C1501">
            <v>20</v>
          </cell>
          <cell r="D1501" t="e">
            <v>#N/A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</row>
        <row r="1502">
          <cell r="B1502" t="str">
            <v/>
          </cell>
          <cell r="C1502">
            <v>21</v>
          </cell>
          <cell r="D1502" t="e">
            <v>#N/A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</row>
        <row r="1503">
          <cell r="B1503" t="str">
            <v/>
          </cell>
          <cell r="C1503">
            <v>22</v>
          </cell>
          <cell r="D1503" t="e">
            <v>#N/A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</row>
        <row r="1504">
          <cell r="B1504" t="str">
            <v/>
          </cell>
          <cell r="C1504">
            <v>23</v>
          </cell>
          <cell r="D1504" t="e">
            <v>#N/A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</row>
        <row r="1505">
          <cell r="B1505" t="str">
            <v/>
          </cell>
          <cell r="C1505">
            <v>24</v>
          </cell>
          <cell r="D1505" t="e">
            <v>#N/A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</row>
        <row r="1506">
          <cell r="B1506" t="str">
            <v/>
          </cell>
          <cell r="C1506">
            <v>25</v>
          </cell>
          <cell r="D1506" t="e">
            <v>#N/A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</row>
        <row r="1507">
          <cell r="B1507" t="str">
            <v/>
          </cell>
          <cell r="C1507">
            <v>26</v>
          </cell>
          <cell r="D1507" t="e">
            <v>#N/A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</row>
        <row r="1508">
          <cell r="B1508" t="str">
            <v/>
          </cell>
          <cell r="C1508">
            <v>27</v>
          </cell>
          <cell r="D1508" t="e">
            <v>#N/A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</row>
        <row r="1509">
          <cell r="B1509" t="str">
            <v/>
          </cell>
          <cell r="C1509">
            <v>28</v>
          </cell>
          <cell r="D1509" t="e">
            <v>#N/A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</row>
        <row r="1510">
          <cell r="B1510" t="str">
            <v/>
          </cell>
          <cell r="C1510">
            <v>29</v>
          </cell>
          <cell r="D1510" t="e">
            <v>#N/A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</row>
        <row r="1511">
          <cell r="B1511" t="str">
            <v/>
          </cell>
          <cell r="C1511">
            <v>30</v>
          </cell>
          <cell r="D1511" t="e">
            <v>#N/A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</row>
        <row r="1512">
          <cell r="B1512" t="str">
            <v/>
          </cell>
          <cell r="C1512">
            <v>31</v>
          </cell>
          <cell r="D1512" t="e">
            <v>#N/A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</row>
        <row r="1513">
          <cell r="B1513" t="str">
            <v/>
          </cell>
          <cell r="C1513">
            <v>32</v>
          </cell>
          <cell r="D1513" t="e">
            <v>#N/A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</row>
        <row r="1514">
          <cell r="B1514" t="str">
            <v/>
          </cell>
          <cell r="C1514">
            <v>33</v>
          </cell>
          <cell r="D1514" t="e">
            <v>#N/A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</row>
        <row r="1515">
          <cell r="B1515" t="str">
            <v/>
          </cell>
          <cell r="C1515">
            <v>34</v>
          </cell>
          <cell r="D1515" t="e">
            <v>#N/A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</row>
        <row r="1516">
          <cell r="B1516" t="str">
            <v/>
          </cell>
          <cell r="C1516">
            <v>35</v>
          </cell>
          <cell r="D1516" t="e">
            <v>#N/A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</row>
        <row r="1517">
          <cell r="B1517" t="str">
            <v/>
          </cell>
          <cell r="C1517">
            <v>36</v>
          </cell>
          <cell r="D1517" t="e">
            <v>#N/A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</row>
        <row r="1518">
          <cell r="B1518" t="str">
            <v/>
          </cell>
          <cell r="C1518">
            <v>37</v>
          </cell>
          <cell r="D1518" t="e">
            <v>#N/A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</row>
        <row r="1519">
          <cell r="B1519" t="str">
            <v/>
          </cell>
          <cell r="C1519">
            <v>38</v>
          </cell>
          <cell r="D1519" t="e">
            <v>#N/A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</row>
        <row r="1520">
          <cell r="B1520" t="str">
            <v/>
          </cell>
          <cell r="C1520">
            <v>39</v>
          </cell>
          <cell r="D1520" t="e">
            <v>#N/A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</row>
        <row r="1521">
          <cell r="B1521" t="str">
            <v/>
          </cell>
          <cell r="C1521">
            <v>40</v>
          </cell>
          <cell r="D1521" t="e">
            <v>#N/A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</row>
        <row r="1522">
          <cell r="B1522" t="str">
            <v/>
          </cell>
          <cell r="C1522">
            <v>41</v>
          </cell>
          <cell r="D1522" t="e">
            <v>#N/A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</row>
        <row r="1523">
          <cell r="B1523" t="str">
            <v/>
          </cell>
          <cell r="C1523">
            <v>42</v>
          </cell>
          <cell r="D1523" t="e">
            <v>#N/A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</row>
        <row r="1524">
          <cell r="B1524" t="str">
            <v/>
          </cell>
          <cell r="C1524">
            <v>43</v>
          </cell>
          <cell r="D1524" t="e">
            <v>#N/A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</row>
        <row r="1525">
          <cell r="B1525" t="str">
            <v/>
          </cell>
          <cell r="C1525">
            <v>44</v>
          </cell>
          <cell r="D1525" t="e">
            <v>#N/A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</row>
        <row r="1526">
          <cell r="B1526" t="str">
            <v/>
          </cell>
          <cell r="C1526">
            <v>45</v>
          </cell>
          <cell r="D1526" t="e">
            <v>#N/A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</row>
        <row r="1527">
          <cell r="B1527" t="str">
            <v/>
          </cell>
          <cell r="C1527">
            <v>46</v>
          </cell>
          <cell r="D1527" t="e">
            <v>#N/A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</row>
        <row r="1528">
          <cell r="B1528" t="str">
            <v/>
          </cell>
          <cell r="C1528">
            <v>47</v>
          </cell>
          <cell r="D1528" t="e">
            <v>#N/A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</row>
        <row r="1529">
          <cell r="B1529" t="str">
            <v/>
          </cell>
          <cell r="C1529">
            <v>48</v>
          </cell>
          <cell r="D1529" t="e">
            <v>#N/A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</row>
        <row r="1530">
          <cell r="B1530" t="str">
            <v/>
          </cell>
          <cell r="C1530">
            <v>49</v>
          </cell>
          <cell r="D1530" t="e">
            <v>#N/A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  <cell r="J1530" t="str">
            <v/>
          </cell>
        </row>
        <row r="1531">
          <cell r="B1531" t="str">
            <v/>
          </cell>
          <cell r="C1531">
            <v>50</v>
          </cell>
          <cell r="D1531" t="e">
            <v>#N/A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  <cell r="J1531" t="str">
            <v/>
          </cell>
        </row>
        <row r="1532">
          <cell r="B1532" t="str">
            <v/>
          </cell>
          <cell r="C1532">
            <v>51</v>
          </cell>
          <cell r="D1532" t="e">
            <v>#N/A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  <cell r="J1532" t="str">
            <v/>
          </cell>
        </row>
        <row r="1533">
          <cell r="B1533" t="str">
            <v/>
          </cell>
          <cell r="C1533">
            <v>1</v>
          </cell>
          <cell r="D1533" t="e">
            <v>#N/A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</row>
        <row r="1534">
          <cell r="B1534" t="str">
            <v/>
          </cell>
          <cell r="C1534">
            <v>2</v>
          </cell>
          <cell r="D1534" t="e">
            <v>#N/A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  <cell r="J1534" t="str">
            <v/>
          </cell>
        </row>
        <row r="1535">
          <cell r="B1535" t="str">
            <v/>
          </cell>
          <cell r="C1535">
            <v>3</v>
          </cell>
          <cell r="D1535" t="e">
            <v>#N/A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</row>
        <row r="1536">
          <cell r="B1536" t="str">
            <v/>
          </cell>
          <cell r="C1536">
            <v>4</v>
          </cell>
          <cell r="D1536" t="e">
            <v>#N/A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  <cell r="J1536" t="str">
            <v/>
          </cell>
        </row>
        <row r="1537">
          <cell r="B1537" t="str">
            <v/>
          </cell>
          <cell r="C1537">
            <v>5</v>
          </cell>
          <cell r="D1537" t="e">
            <v>#N/A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  <cell r="J1537" t="str">
            <v/>
          </cell>
        </row>
        <row r="1538">
          <cell r="B1538" t="str">
            <v/>
          </cell>
          <cell r="C1538">
            <v>6</v>
          </cell>
          <cell r="D1538" t="e">
            <v>#N/A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  <cell r="J1538" t="str">
            <v/>
          </cell>
        </row>
        <row r="1539">
          <cell r="B1539" t="str">
            <v/>
          </cell>
          <cell r="C1539">
            <v>7</v>
          </cell>
          <cell r="D1539" t="e">
            <v>#N/A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  <cell r="J1539" t="str">
            <v/>
          </cell>
        </row>
        <row r="1540">
          <cell r="B1540" t="str">
            <v/>
          </cell>
          <cell r="C1540">
            <v>8</v>
          </cell>
          <cell r="D1540" t="e">
            <v>#N/A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  <cell r="J1540" t="str">
            <v/>
          </cell>
        </row>
        <row r="1541">
          <cell r="B1541" t="str">
            <v/>
          </cell>
          <cell r="C1541">
            <v>9</v>
          </cell>
          <cell r="D1541" t="e">
            <v>#N/A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  <cell r="J1541" t="str">
            <v/>
          </cell>
        </row>
        <row r="1542">
          <cell r="B1542" t="str">
            <v/>
          </cell>
          <cell r="C1542">
            <v>10</v>
          </cell>
          <cell r="D1542" t="e">
            <v>#N/A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  <cell r="J1542" t="str">
            <v/>
          </cell>
        </row>
        <row r="1543">
          <cell r="B1543" t="str">
            <v/>
          </cell>
          <cell r="C1543">
            <v>11</v>
          </cell>
          <cell r="D1543" t="e">
            <v>#N/A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  <cell r="J1543" t="str">
            <v/>
          </cell>
        </row>
        <row r="1544">
          <cell r="B1544" t="str">
            <v/>
          </cell>
          <cell r="C1544">
            <v>12</v>
          </cell>
          <cell r="D1544" t="e">
            <v>#N/A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  <cell r="J1544" t="str">
            <v/>
          </cell>
        </row>
        <row r="1545">
          <cell r="B1545" t="str">
            <v/>
          </cell>
          <cell r="C1545">
            <v>13</v>
          </cell>
          <cell r="D1545" t="e">
            <v>#N/A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  <cell r="J1545" t="str">
            <v/>
          </cell>
        </row>
        <row r="1546">
          <cell r="B1546" t="str">
            <v/>
          </cell>
          <cell r="C1546">
            <v>14</v>
          </cell>
          <cell r="D1546" t="e">
            <v>#N/A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  <cell r="J1546" t="str">
            <v/>
          </cell>
        </row>
        <row r="1547">
          <cell r="B1547" t="str">
            <v/>
          </cell>
          <cell r="C1547">
            <v>15</v>
          </cell>
          <cell r="D1547" t="e">
            <v>#N/A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  <cell r="J1547" t="str">
            <v/>
          </cell>
        </row>
        <row r="1548">
          <cell r="B1548" t="str">
            <v/>
          </cell>
          <cell r="C1548">
            <v>16</v>
          </cell>
          <cell r="D1548" t="e">
            <v>#N/A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  <cell r="J1548" t="str">
            <v/>
          </cell>
        </row>
        <row r="1549">
          <cell r="B1549" t="str">
            <v/>
          </cell>
          <cell r="C1549">
            <v>17</v>
          </cell>
          <cell r="D1549" t="e">
            <v>#N/A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  <cell r="J1549" t="str">
            <v/>
          </cell>
        </row>
        <row r="1550">
          <cell r="B1550" t="str">
            <v/>
          </cell>
          <cell r="C1550">
            <v>18</v>
          </cell>
          <cell r="D1550" t="e">
            <v>#N/A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  <cell r="J1550" t="str">
            <v/>
          </cell>
        </row>
        <row r="1551">
          <cell r="B1551" t="str">
            <v/>
          </cell>
          <cell r="C1551">
            <v>19</v>
          </cell>
          <cell r="D1551" t="e">
            <v>#N/A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</row>
        <row r="1552">
          <cell r="B1552" t="str">
            <v/>
          </cell>
          <cell r="C1552">
            <v>20</v>
          </cell>
          <cell r="D1552" t="e">
            <v>#N/A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  <cell r="J1552" t="str">
            <v/>
          </cell>
        </row>
        <row r="1553">
          <cell r="B1553" t="str">
            <v/>
          </cell>
          <cell r="C1553">
            <v>21</v>
          </cell>
          <cell r="D1553" t="e">
            <v>#N/A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  <cell r="J1553" t="str">
            <v/>
          </cell>
        </row>
        <row r="1554">
          <cell r="B1554" t="str">
            <v/>
          </cell>
          <cell r="C1554">
            <v>22</v>
          </cell>
          <cell r="D1554" t="e">
            <v>#N/A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  <cell r="J1554" t="str">
            <v/>
          </cell>
        </row>
        <row r="1555">
          <cell r="B1555" t="str">
            <v/>
          </cell>
          <cell r="C1555">
            <v>23</v>
          </cell>
          <cell r="D1555" t="e">
            <v>#N/A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  <cell r="J1555" t="str">
            <v/>
          </cell>
        </row>
        <row r="1556">
          <cell r="B1556" t="str">
            <v/>
          </cell>
          <cell r="C1556">
            <v>24</v>
          </cell>
          <cell r="D1556" t="e">
            <v>#N/A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  <cell r="J1556" t="str">
            <v/>
          </cell>
        </row>
        <row r="1557">
          <cell r="B1557" t="str">
            <v/>
          </cell>
          <cell r="C1557">
            <v>25</v>
          </cell>
          <cell r="D1557" t="e">
            <v>#N/A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  <cell r="J1557" t="str">
            <v/>
          </cell>
        </row>
        <row r="1558">
          <cell r="B1558" t="str">
            <v/>
          </cell>
          <cell r="C1558">
            <v>26</v>
          </cell>
          <cell r="D1558" t="e">
            <v>#N/A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  <cell r="J1558" t="str">
            <v/>
          </cell>
        </row>
        <row r="1559">
          <cell r="B1559" t="str">
            <v/>
          </cell>
          <cell r="C1559">
            <v>27</v>
          </cell>
          <cell r="D1559" t="e">
            <v>#N/A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  <cell r="J1559" t="str">
            <v/>
          </cell>
        </row>
        <row r="1560">
          <cell r="B1560" t="str">
            <v/>
          </cell>
          <cell r="C1560">
            <v>28</v>
          </cell>
          <cell r="D1560" t="e">
            <v>#N/A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  <cell r="J1560" t="str">
            <v/>
          </cell>
        </row>
        <row r="1561">
          <cell r="B1561" t="str">
            <v/>
          </cell>
          <cell r="C1561">
            <v>29</v>
          </cell>
          <cell r="D1561" t="e">
            <v>#N/A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  <cell r="J1561" t="str">
            <v/>
          </cell>
        </row>
        <row r="1562">
          <cell r="B1562" t="str">
            <v/>
          </cell>
          <cell r="C1562">
            <v>30</v>
          </cell>
          <cell r="D1562" t="e">
            <v>#N/A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  <cell r="J1562" t="str">
            <v/>
          </cell>
        </row>
        <row r="1563">
          <cell r="B1563" t="str">
            <v/>
          </cell>
          <cell r="C1563">
            <v>31</v>
          </cell>
          <cell r="D1563" t="e">
            <v>#N/A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  <cell r="J1563" t="str">
            <v/>
          </cell>
        </row>
        <row r="1564">
          <cell r="B1564" t="str">
            <v/>
          </cell>
          <cell r="C1564">
            <v>32</v>
          </cell>
          <cell r="D1564" t="e">
            <v>#N/A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  <cell r="J1564" t="str">
            <v/>
          </cell>
        </row>
        <row r="1565">
          <cell r="B1565" t="str">
            <v/>
          </cell>
          <cell r="C1565">
            <v>33</v>
          </cell>
          <cell r="D1565" t="e">
            <v>#N/A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  <cell r="J1565" t="str">
            <v/>
          </cell>
        </row>
        <row r="1566">
          <cell r="B1566" t="str">
            <v/>
          </cell>
          <cell r="C1566">
            <v>34</v>
          </cell>
          <cell r="D1566" t="e">
            <v>#N/A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  <cell r="J1566" t="str">
            <v/>
          </cell>
        </row>
        <row r="1567">
          <cell r="B1567" t="str">
            <v/>
          </cell>
          <cell r="C1567">
            <v>35</v>
          </cell>
          <cell r="D1567" t="e">
            <v>#N/A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  <cell r="J1567" t="str">
            <v/>
          </cell>
        </row>
        <row r="1568">
          <cell r="B1568" t="str">
            <v/>
          </cell>
          <cell r="C1568">
            <v>36</v>
          </cell>
          <cell r="D1568" t="e">
            <v>#N/A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  <cell r="J1568" t="str">
            <v/>
          </cell>
        </row>
        <row r="1569">
          <cell r="B1569" t="str">
            <v/>
          </cell>
          <cell r="C1569">
            <v>37</v>
          </cell>
          <cell r="D1569" t="e">
            <v>#N/A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  <cell r="J1569" t="str">
            <v/>
          </cell>
        </row>
        <row r="1570">
          <cell r="B1570" t="str">
            <v/>
          </cell>
          <cell r="C1570">
            <v>38</v>
          </cell>
          <cell r="D1570" t="e">
            <v>#N/A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  <cell r="J1570" t="str">
            <v/>
          </cell>
        </row>
        <row r="1571">
          <cell r="B1571" t="str">
            <v/>
          </cell>
          <cell r="C1571">
            <v>39</v>
          </cell>
          <cell r="D1571" t="e">
            <v>#N/A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  <cell r="J1571" t="str">
            <v/>
          </cell>
        </row>
        <row r="1572">
          <cell r="B1572" t="str">
            <v/>
          </cell>
          <cell r="C1572">
            <v>40</v>
          </cell>
          <cell r="D1572" t="e">
            <v>#N/A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  <cell r="J1572" t="str">
            <v/>
          </cell>
        </row>
        <row r="1573">
          <cell r="B1573" t="str">
            <v/>
          </cell>
          <cell r="C1573">
            <v>41</v>
          </cell>
          <cell r="D1573" t="e">
            <v>#N/A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  <cell r="J1573" t="str">
            <v/>
          </cell>
        </row>
        <row r="1574">
          <cell r="B1574" t="str">
            <v/>
          </cell>
          <cell r="C1574">
            <v>42</v>
          </cell>
          <cell r="D1574" t="e">
            <v>#N/A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  <cell r="J1574" t="str">
            <v/>
          </cell>
        </row>
        <row r="1575">
          <cell r="B1575" t="str">
            <v/>
          </cell>
          <cell r="C1575">
            <v>43</v>
          </cell>
          <cell r="D1575" t="e">
            <v>#N/A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  <cell r="J1575" t="str">
            <v/>
          </cell>
        </row>
        <row r="1576">
          <cell r="B1576" t="str">
            <v/>
          </cell>
          <cell r="C1576">
            <v>44</v>
          </cell>
          <cell r="D1576" t="e">
            <v>#N/A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  <cell r="J1576" t="str">
            <v/>
          </cell>
        </row>
        <row r="1577">
          <cell r="B1577" t="str">
            <v/>
          </cell>
          <cell r="C1577">
            <v>45</v>
          </cell>
          <cell r="D1577" t="e">
            <v>#N/A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  <cell r="J1577" t="str">
            <v/>
          </cell>
        </row>
        <row r="1578">
          <cell r="B1578" t="str">
            <v/>
          </cell>
          <cell r="C1578">
            <v>46</v>
          </cell>
          <cell r="D1578" t="e">
            <v>#N/A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  <cell r="J1578" t="str">
            <v/>
          </cell>
        </row>
        <row r="1579">
          <cell r="B1579" t="str">
            <v/>
          </cell>
          <cell r="C1579">
            <v>47</v>
          </cell>
          <cell r="D1579" t="e">
            <v>#N/A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  <cell r="J1579" t="str">
            <v/>
          </cell>
        </row>
        <row r="1580">
          <cell r="B1580" t="str">
            <v/>
          </cell>
          <cell r="C1580">
            <v>48</v>
          </cell>
          <cell r="D1580" t="e">
            <v>#N/A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  <cell r="J1580" t="str">
            <v/>
          </cell>
        </row>
        <row r="1581">
          <cell r="B1581" t="str">
            <v/>
          </cell>
          <cell r="C1581">
            <v>49</v>
          </cell>
          <cell r="D1581" t="e">
            <v>#N/A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  <cell r="J1581" t="str">
            <v/>
          </cell>
        </row>
        <row r="1582">
          <cell r="B1582" t="str">
            <v/>
          </cell>
          <cell r="C1582">
            <v>50</v>
          </cell>
          <cell r="D1582" t="e">
            <v>#N/A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  <cell r="J1582" t="str">
            <v/>
          </cell>
        </row>
        <row r="1583">
          <cell r="B1583" t="str">
            <v/>
          </cell>
          <cell r="C1583">
            <v>51</v>
          </cell>
          <cell r="D1583" t="e">
            <v>#N/A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  <cell r="J1583" t="str">
            <v/>
          </cell>
        </row>
        <row r="1584">
          <cell r="B1584" t="str">
            <v/>
          </cell>
          <cell r="C1584">
            <v>1</v>
          </cell>
          <cell r="D1584" t="e">
            <v>#N/A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  <cell r="J1584" t="str">
            <v/>
          </cell>
        </row>
        <row r="1585">
          <cell r="B1585" t="str">
            <v/>
          </cell>
          <cell r="C1585">
            <v>2</v>
          </cell>
          <cell r="D1585" t="e">
            <v>#N/A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  <cell r="J1585" t="str">
            <v/>
          </cell>
        </row>
        <row r="1586">
          <cell r="B1586" t="str">
            <v/>
          </cell>
          <cell r="C1586">
            <v>3</v>
          </cell>
          <cell r="D1586" t="e">
            <v>#N/A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  <cell r="J1586" t="str">
            <v/>
          </cell>
        </row>
        <row r="1587">
          <cell r="B1587" t="str">
            <v/>
          </cell>
          <cell r="C1587">
            <v>4</v>
          </cell>
          <cell r="D1587" t="e">
            <v>#N/A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  <cell r="J1587" t="str">
            <v/>
          </cell>
        </row>
        <row r="1588">
          <cell r="B1588" t="str">
            <v/>
          </cell>
          <cell r="C1588">
            <v>5</v>
          </cell>
          <cell r="D1588" t="e">
            <v>#N/A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  <cell r="J1588" t="str">
            <v/>
          </cell>
        </row>
        <row r="1589">
          <cell r="B1589" t="str">
            <v/>
          </cell>
          <cell r="C1589">
            <v>6</v>
          </cell>
          <cell r="D1589" t="e">
            <v>#N/A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  <cell r="J1589" t="str">
            <v/>
          </cell>
        </row>
        <row r="1590">
          <cell r="B1590" t="str">
            <v/>
          </cell>
          <cell r="C1590">
            <v>7</v>
          </cell>
          <cell r="D1590" t="e">
            <v>#N/A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</row>
        <row r="1591">
          <cell r="B1591" t="str">
            <v/>
          </cell>
          <cell r="C1591">
            <v>8</v>
          </cell>
          <cell r="D1591" t="e">
            <v>#N/A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  <cell r="J1591" t="str">
            <v/>
          </cell>
        </row>
        <row r="1592">
          <cell r="B1592" t="str">
            <v/>
          </cell>
          <cell r="C1592">
            <v>9</v>
          </cell>
          <cell r="D1592" t="e">
            <v>#N/A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  <cell r="J1592" t="str">
            <v/>
          </cell>
        </row>
        <row r="1593">
          <cell r="B1593" t="str">
            <v/>
          </cell>
          <cell r="C1593">
            <v>10</v>
          </cell>
          <cell r="D1593" t="e">
            <v>#N/A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  <cell r="J1593" t="str">
            <v/>
          </cell>
        </row>
        <row r="1594">
          <cell r="B1594" t="str">
            <v/>
          </cell>
          <cell r="C1594">
            <v>11</v>
          </cell>
          <cell r="D1594" t="e">
            <v>#N/A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</row>
        <row r="1595">
          <cell r="B1595" t="str">
            <v/>
          </cell>
          <cell r="C1595">
            <v>12</v>
          </cell>
          <cell r="D1595" t="e">
            <v>#N/A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  <cell r="J1595" t="str">
            <v/>
          </cell>
        </row>
        <row r="1596">
          <cell r="B1596" t="str">
            <v/>
          </cell>
          <cell r="C1596">
            <v>13</v>
          </cell>
          <cell r="D1596" t="e">
            <v>#N/A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  <cell r="J1596" t="str">
            <v/>
          </cell>
        </row>
        <row r="1597">
          <cell r="B1597" t="str">
            <v/>
          </cell>
          <cell r="C1597">
            <v>14</v>
          </cell>
          <cell r="D1597" t="e">
            <v>#N/A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  <cell r="J1597" t="str">
            <v/>
          </cell>
        </row>
        <row r="1598">
          <cell r="B1598" t="str">
            <v/>
          </cell>
          <cell r="C1598">
            <v>15</v>
          </cell>
          <cell r="D1598" t="e">
            <v>#N/A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  <cell r="J1598" t="str">
            <v/>
          </cell>
        </row>
        <row r="1599">
          <cell r="B1599" t="str">
            <v/>
          </cell>
          <cell r="C1599">
            <v>16</v>
          </cell>
          <cell r="D1599" t="e">
            <v>#N/A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</row>
        <row r="1600">
          <cell r="B1600" t="str">
            <v/>
          </cell>
          <cell r="C1600">
            <v>17</v>
          </cell>
          <cell r="D1600" t="e">
            <v>#N/A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  <cell r="J1600" t="str">
            <v/>
          </cell>
        </row>
        <row r="1601">
          <cell r="B1601" t="str">
            <v/>
          </cell>
          <cell r="C1601">
            <v>18</v>
          </cell>
          <cell r="D1601" t="e">
            <v>#N/A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  <cell r="J1601" t="str">
            <v/>
          </cell>
        </row>
        <row r="1602">
          <cell r="B1602" t="str">
            <v/>
          </cell>
          <cell r="C1602">
            <v>19</v>
          </cell>
          <cell r="D1602" t="e">
            <v>#N/A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  <cell r="J1602" t="str">
            <v/>
          </cell>
        </row>
        <row r="1603">
          <cell r="B1603" t="str">
            <v/>
          </cell>
          <cell r="C1603">
            <v>20</v>
          </cell>
          <cell r="D1603" t="e">
            <v>#N/A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</row>
        <row r="1604">
          <cell r="B1604" t="str">
            <v/>
          </cell>
          <cell r="C1604">
            <v>21</v>
          </cell>
          <cell r="D1604" t="e">
            <v>#N/A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  <cell r="J1604" t="str">
            <v/>
          </cell>
        </row>
        <row r="1605">
          <cell r="B1605" t="str">
            <v/>
          </cell>
          <cell r="C1605">
            <v>22</v>
          </cell>
          <cell r="D1605" t="e">
            <v>#N/A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  <cell r="J1605" t="str">
            <v/>
          </cell>
        </row>
        <row r="1606">
          <cell r="B1606" t="str">
            <v/>
          </cell>
          <cell r="C1606">
            <v>23</v>
          </cell>
          <cell r="D1606" t="e">
            <v>#N/A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  <cell r="J1606" t="str">
            <v/>
          </cell>
        </row>
        <row r="1607">
          <cell r="B1607" t="str">
            <v/>
          </cell>
          <cell r="C1607">
            <v>24</v>
          </cell>
          <cell r="D1607" t="e">
            <v>#N/A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  <cell r="J1607" t="str">
            <v/>
          </cell>
        </row>
        <row r="1608">
          <cell r="B1608" t="str">
            <v/>
          </cell>
          <cell r="C1608">
            <v>25</v>
          </cell>
          <cell r="D1608" t="e">
            <v>#N/A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  <cell r="J1608" t="str">
            <v/>
          </cell>
        </row>
        <row r="1609">
          <cell r="B1609" t="str">
            <v/>
          </cell>
          <cell r="C1609">
            <v>26</v>
          </cell>
          <cell r="D1609" t="e">
            <v>#N/A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  <cell r="J1609" t="str">
            <v/>
          </cell>
        </row>
        <row r="1610">
          <cell r="B1610" t="str">
            <v/>
          </cell>
          <cell r="C1610">
            <v>27</v>
          </cell>
          <cell r="D1610" t="e">
            <v>#N/A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  <cell r="J1610" t="str">
            <v/>
          </cell>
        </row>
        <row r="1611">
          <cell r="B1611" t="str">
            <v/>
          </cell>
          <cell r="C1611">
            <v>28</v>
          </cell>
          <cell r="D1611" t="e">
            <v>#N/A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  <cell r="J1611" t="str">
            <v/>
          </cell>
        </row>
        <row r="1612">
          <cell r="B1612" t="str">
            <v/>
          </cell>
          <cell r="C1612">
            <v>29</v>
          </cell>
          <cell r="D1612" t="e">
            <v>#N/A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  <cell r="J1612" t="str">
            <v/>
          </cell>
        </row>
        <row r="1613">
          <cell r="B1613" t="str">
            <v/>
          </cell>
          <cell r="C1613">
            <v>30</v>
          </cell>
          <cell r="D1613" t="e">
            <v>#N/A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  <cell r="J1613" t="str">
            <v/>
          </cell>
        </row>
        <row r="1614">
          <cell r="B1614" t="str">
            <v/>
          </cell>
          <cell r="C1614">
            <v>31</v>
          </cell>
          <cell r="D1614" t="e">
            <v>#N/A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  <cell r="J1614" t="str">
            <v/>
          </cell>
        </row>
        <row r="1615">
          <cell r="B1615" t="str">
            <v/>
          </cell>
          <cell r="C1615">
            <v>32</v>
          </cell>
          <cell r="D1615" t="e">
            <v>#N/A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</row>
        <row r="1616">
          <cell r="B1616" t="str">
            <v/>
          </cell>
          <cell r="C1616">
            <v>33</v>
          </cell>
          <cell r="D1616" t="e">
            <v>#N/A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  <cell r="J1616" t="str">
            <v/>
          </cell>
        </row>
        <row r="1617">
          <cell r="B1617" t="str">
            <v/>
          </cell>
          <cell r="C1617">
            <v>34</v>
          </cell>
          <cell r="D1617" t="e">
            <v>#N/A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  <cell r="J1617" t="str">
            <v/>
          </cell>
        </row>
        <row r="1618">
          <cell r="B1618" t="str">
            <v/>
          </cell>
          <cell r="C1618">
            <v>35</v>
          </cell>
          <cell r="D1618" t="e">
            <v>#N/A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  <cell r="J1618" t="str">
            <v/>
          </cell>
        </row>
        <row r="1619">
          <cell r="B1619" t="str">
            <v/>
          </cell>
          <cell r="C1619">
            <v>36</v>
          </cell>
          <cell r="D1619" t="e">
            <v>#N/A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</row>
        <row r="1620">
          <cell r="B1620" t="str">
            <v/>
          </cell>
          <cell r="C1620">
            <v>37</v>
          </cell>
          <cell r="D1620" t="e">
            <v>#N/A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  <cell r="J1620" t="str">
            <v/>
          </cell>
        </row>
        <row r="1621">
          <cell r="B1621" t="str">
            <v/>
          </cell>
          <cell r="C1621">
            <v>38</v>
          </cell>
          <cell r="D1621" t="e">
            <v>#N/A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</row>
        <row r="1622">
          <cell r="B1622" t="str">
            <v/>
          </cell>
          <cell r="C1622">
            <v>39</v>
          </cell>
          <cell r="D1622" t="e">
            <v>#N/A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</row>
        <row r="1623">
          <cell r="B1623" t="str">
            <v/>
          </cell>
          <cell r="C1623">
            <v>40</v>
          </cell>
          <cell r="D1623" t="e">
            <v>#N/A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</row>
        <row r="1624">
          <cell r="B1624" t="str">
            <v/>
          </cell>
          <cell r="C1624">
            <v>41</v>
          </cell>
          <cell r="D1624" t="e">
            <v>#N/A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  <cell r="J1624" t="str">
            <v/>
          </cell>
        </row>
        <row r="1625">
          <cell r="B1625" t="str">
            <v/>
          </cell>
          <cell r="C1625">
            <v>42</v>
          </cell>
          <cell r="D1625" t="e">
            <v>#N/A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  <cell r="J1625" t="str">
            <v/>
          </cell>
        </row>
        <row r="1626">
          <cell r="B1626" t="str">
            <v/>
          </cell>
          <cell r="C1626">
            <v>43</v>
          </cell>
          <cell r="D1626" t="e">
            <v>#N/A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  <cell r="J1626" t="str">
            <v/>
          </cell>
        </row>
        <row r="1627">
          <cell r="B1627" t="str">
            <v/>
          </cell>
          <cell r="C1627">
            <v>44</v>
          </cell>
          <cell r="D1627" t="e">
            <v>#N/A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  <cell r="J1627" t="str">
            <v/>
          </cell>
        </row>
        <row r="1628">
          <cell r="B1628" t="str">
            <v/>
          </cell>
          <cell r="C1628">
            <v>45</v>
          </cell>
          <cell r="D1628" t="e">
            <v>#N/A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  <cell r="J1628" t="str">
            <v/>
          </cell>
        </row>
        <row r="1629">
          <cell r="B1629" t="str">
            <v/>
          </cell>
          <cell r="C1629">
            <v>46</v>
          </cell>
          <cell r="D1629" t="e">
            <v>#N/A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  <cell r="J1629" t="str">
            <v/>
          </cell>
        </row>
        <row r="1630">
          <cell r="B1630" t="str">
            <v/>
          </cell>
          <cell r="C1630">
            <v>47</v>
          </cell>
          <cell r="D1630" t="e">
            <v>#N/A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  <cell r="J1630" t="str">
            <v/>
          </cell>
        </row>
        <row r="1631">
          <cell r="B1631" t="str">
            <v/>
          </cell>
          <cell r="C1631">
            <v>48</v>
          </cell>
          <cell r="D1631" t="e">
            <v>#N/A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  <cell r="J1631" t="str">
            <v/>
          </cell>
        </row>
        <row r="1632">
          <cell r="B1632" t="str">
            <v/>
          </cell>
          <cell r="C1632">
            <v>49</v>
          </cell>
          <cell r="D1632" t="e">
            <v>#N/A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  <cell r="J1632" t="str">
            <v/>
          </cell>
        </row>
        <row r="1633">
          <cell r="B1633" t="str">
            <v/>
          </cell>
          <cell r="C1633">
            <v>50</v>
          </cell>
          <cell r="D1633" t="e">
            <v>#N/A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  <cell r="J1633" t="str">
            <v/>
          </cell>
        </row>
        <row r="1634">
          <cell r="B1634" t="str">
            <v/>
          </cell>
          <cell r="C1634">
            <v>51</v>
          </cell>
          <cell r="D1634" t="e">
            <v>#N/A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  <cell r="J1634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80581-D457-42A5-A580-487A1AA07209}" name="TEAMS_GbG" displayName="TEAMS_GbG" ref="B3:GW163" totalsRowShown="0" headerRowDxfId="1222" dataDxfId="1221">
  <autoFilter ref="B3:GW163" xr:uid="{00080581-D457-42A5-A580-487A1AA07209}"/>
  <tableColumns count="204">
    <tableColumn id="1" xr3:uid="{EA9961D5-86B0-49C5-9BC8-306ADA80F8A8}" name="ROUND" dataDxfId="1220"/>
    <tableColumn id="2" xr3:uid="{3F754705-FAC0-4B79-8C54-2DC5CFD69470}" name="TM TAG" dataDxfId="1219"/>
    <tableColumn id="3" xr3:uid="{2CDBB342-7FF7-42B6-B058-E2F9F023B863}" name="OPP TAG" dataDxfId="1218"/>
    <tableColumn id="4" xr3:uid="{ABC8FC4D-2F6E-4669-98F6-C0C116B69D7D}" name="TM NAME" dataDxfId="1217"/>
    <tableColumn id="5" xr3:uid="{B17C6F26-4031-4279-A50F-AB2E8D0C7AF5}" name="OPP NAME" dataDxfId="1216"/>
    <tableColumn id="6" xr3:uid="{788E36EB-3225-49DD-866E-BCE5B3D50EF3}" name="DATE" dataDxfId="1215"/>
    <tableColumn id="7" xr3:uid="{B12A48BF-8D2F-431A-AB81-9AE18D609F1E}" name="H/A" dataDxfId="1214"/>
    <tableColumn id="8" xr3:uid="{C01626EA-3536-4F7F-8F8C-ED06C3A61C37}" name="GROUP" dataDxfId="1213"/>
    <tableColumn id="9" xr3:uid="{B6DE27B0-A2EF-404A-9AA7-8C1BDFC6FD12}" name="W/L" dataDxfId="1212"/>
    <tableColumn id="10" xr3:uid="{E3CF5A8C-B2F2-4C70-B151-56657B714890}" name="MIN" dataDxfId="1211"/>
    <tableColumn id="11" xr3:uid="{02822AC2-D73C-487B-9F60-3AC4941B909B}" name="PTS" dataDxfId="1210"/>
    <tableColumn id="12" xr3:uid="{E1A5342A-00CC-4CE8-B8BF-C6B31D1644DD}" name="2PTM" dataDxfId="1209"/>
    <tableColumn id="13" xr3:uid="{F21772B7-2745-464E-8D48-69428665CBA5}" name="2PTA" dataDxfId="1208"/>
    <tableColumn id="14" xr3:uid="{0F6C5AC5-76B5-4916-A6CE-08320E53D1C0}" name="2PT%" dataDxfId="1207"/>
    <tableColumn id="15" xr3:uid="{9FF34461-19B6-441D-9251-3BD87EBDF96D}" name="3PTM" dataDxfId="1206"/>
    <tableColumn id="16" xr3:uid="{94E8628B-BDA9-4776-A71B-D52DF5E1610A}" name="3PTA" dataDxfId="1205"/>
    <tableColumn id="17" xr3:uid="{18A1D4E9-879A-4A88-88DC-A68D8687E85B}" name="3PT%" dataDxfId="1204"/>
    <tableColumn id="18" xr3:uid="{2BB92F57-20D6-483A-B723-CF7CC3CB4061}" name="FGM" dataDxfId="1203"/>
    <tableColumn id="19" xr3:uid="{FD57CEAB-8E61-4879-BE66-C139C0A0165C}" name="FGA" dataDxfId="1202"/>
    <tableColumn id="20" xr3:uid="{034C5A02-8477-4366-8B56-30EE696FF997}" name="FG%" dataDxfId="1201"/>
    <tableColumn id="21" xr3:uid="{140D40DC-9D11-4406-A189-08FFF2F6AC3F}" name="FTM" dataDxfId="1200"/>
    <tableColumn id="22" xr3:uid="{9272292F-9270-4710-AF40-D9C68272282B}" name="FTA" dataDxfId="1199"/>
    <tableColumn id="23" xr3:uid="{DF633D43-422F-4523-A706-35D73E1273E1}" name="FT%" dataDxfId="1198"/>
    <tableColumn id="24" xr3:uid="{150F7D4B-75E2-4AFC-A9C3-5D197DAD47A6}" name="OR" dataDxfId="1197"/>
    <tableColumn id="25" xr3:uid="{DA1511BB-0D91-471C-A6C4-6E6BF930B61A}" name="DR" dataDxfId="1196"/>
    <tableColumn id="26" xr3:uid="{8F351297-E5BE-4107-8357-BCCB1AB0350A}" name="TR" dataDxfId="1195"/>
    <tableColumn id="27" xr3:uid="{EA62B20A-6838-4FD4-B1B4-090728E47E20}" name="AST" dataDxfId="1194"/>
    <tableColumn id="31" xr3:uid="{4CE58566-9617-4762-A99A-1CF7B824A98F}" name="TO" dataDxfId="1193"/>
    <tableColumn id="30" xr3:uid="{BBEE3808-F5F4-484E-AB5D-E6C55CAC62FF}" name="ST" dataDxfId="1192"/>
    <tableColumn id="32" xr3:uid="{6FDD874E-7375-46DA-BF9F-AF50C44011B4}" name="BLK" dataDxfId="1191"/>
    <tableColumn id="33" xr3:uid="{E2C77F64-0705-4165-BB06-54EA2AA5156C}" name="BLKA" dataDxfId="1190"/>
    <tableColumn id="28" xr3:uid="{4C87A464-CC48-4D74-8D09-13D21EC54087}" name="PF" dataDxfId="1189"/>
    <tableColumn id="29" xr3:uid="{B4F5E7A2-CB5A-4711-BD45-F61A623FF7B3}" name="DF" dataDxfId="1188"/>
    <tableColumn id="34" xr3:uid="{BEF2345F-95A7-491C-9800-2170C92BF63E}" name="VAL" dataDxfId="1187"/>
    <tableColumn id="35" xr3:uid="{F462F0E5-10F6-4105-9ABE-6B7052768136}" name="+ / -" dataDxfId="1186"/>
    <tableColumn id="36" xr3:uid="{8DCF5E18-07AB-428F-BD2D-9156CE2A4917}" name="POSS" dataDxfId="1185"/>
    <tableColumn id="157" xr3:uid="{7AD08DC8-BA98-40AF-A089-563F89101229}" name="SHOOTING CHANCES" dataDxfId="1184"/>
    <tableColumn id="183" xr3:uid="{955E003B-B2C6-46CD-AFCE-15C5E613400C}" name="OFF PPP" dataDxfId="1183"/>
    <tableColumn id="184" xr3:uid="{9BC63099-2ED4-4385-B83F-A99F1643FC33}" name="DEF PPP" dataDxfId="1182"/>
    <tableColumn id="37" xr3:uid="{AC0D0A93-81FF-41AC-8FDA-2317566D821F}" name="OFF RTG" dataDxfId="1181"/>
    <tableColumn id="38" xr3:uid="{55B8A798-0D0B-4388-AE2D-E5659213D9C3}" name="DEF RTG" dataDxfId="1180"/>
    <tableColumn id="39" xr3:uid="{6E302474-FB88-40A5-995F-1C241D4200BC}" name="NET RTG" dataDxfId="1179"/>
    <tableColumn id="54" xr3:uid="{9D8DD0CE-E9AA-45CD-8BBE-43CC06E13BFF}" name="eFG%" dataDxfId="1178"/>
    <tableColumn id="55" xr3:uid="{1B4EEA1A-2173-46E6-B277-C21CF70389A3}" name="TS%" dataDxfId="1177"/>
    <tableColumn id="195" xr3:uid="{081EC1EC-7DE9-46C1-9FEF-8B784F19BF53}" name="RIM FREQ" dataDxfId="1176"/>
    <tableColumn id="196" xr3:uid="{51D6F37B-AC59-433B-874E-90D6DD68B52E}" name="RIM PPS" dataDxfId="1175"/>
    <tableColumn id="197" xr3:uid="{079026DB-D669-4397-A82E-7F32D375466E}" name="PAINT FREQ" dataDxfId="1174"/>
    <tableColumn id="198" xr3:uid="{32251EA4-7399-4E06-960C-3CEC7CDB5774}" name="PAINT PPS" dataDxfId="1173"/>
    <tableColumn id="199" xr3:uid="{A13292D0-B900-4D84-BDF5-C6327BEF8F4A}" name="MID FREQ" dataDxfId="1172"/>
    <tableColumn id="200" xr3:uid="{22D77DBB-E75A-41A7-BA17-C020B4A3689D}" name="MID PPS" dataDxfId="1171"/>
    <tableColumn id="201" xr3:uid="{B0CBFDC8-D004-4895-99DC-93DF032ED5BD}" name="C3 FREQ" dataDxfId="1170"/>
    <tableColumn id="202" xr3:uid="{E1340C6D-B7EF-46EC-9D9E-BF17E56864CD}" name="C3 PPS" dataDxfId="1169"/>
    <tableColumn id="40" xr3:uid="{E67468FF-73B8-45F6-8875-61F6FF09DB78}" name="L3 FREQ" dataDxfId="1168"/>
    <tableColumn id="41" xr3:uid="{D485DFB5-0954-45AF-B81F-4E9E140E934A}" name="L3 PPS" dataDxfId="1167"/>
    <tableColumn id="42" xr3:uid="{8FCAC0E6-DAEC-4DB4-A882-CA254DAD601A}" name="FT Ratio" dataDxfId="1166"/>
    <tableColumn id="49" xr3:uid="{0880CAA1-78DB-45B2-B2B7-771FA57E084F}" name="TO%" dataDxfId="1165"/>
    <tableColumn id="46" xr3:uid="{68DD449F-5AA9-452E-B493-B673E0B9C943}" name="AST%" dataDxfId="1164"/>
    <tableColumn id="191" xr3:uid="{B2E6DEE2-5FBA-4E32-AEB3-AB900AC69E9B}" name="AST% (2P)" dataDxfId="1163"/>
    <tableColumn id="192" xr3:uid="{0B253474-4716-4148-B762-22133CE3A5F9}" name="AST% (3P)" dataDxfId="1162"/>
    <tableColumn id="193" xr3:uid="{8D815AFB-2C88-4975-AD50-3E43D0E07FC5}" name="AST% (FT)" dataDxfId="1161"/>
    <tableColumn id="47" xr3:uid="{2A792EB9-8DF8-4AB1-AF20-6B168BC55310}" name="AST Ratio" dataDxfId="1160"/>
    <tableColumn id="48" xr3:uid="{5AD9BE1F-3719-4C0B-8EBC-5AB21017B5B3}" name="AST/TO" dataDxfId="1159"/>
    <tableColumn id="43" xr3:uid="{8F8795CA-3213-429E-8DA0-A6D37ABF84E5}" name="OR%" dataDxfId="1158"/>
    <tableColumn id="185" xr3:uid="{224544A7-B620-4B83-9820-47EE9ACCD001}" name="OR% (after 2P)" dataDxfId="1157"/>
    <tableColumn id="186" xr3:uid="{988F893D-F431-4B7C-AD75-52FF1D87A710}" name="OR% (after 3P)" dataDxfId="1156"/>
    <tableColumn id="187" xr3:uid="{5FC2C992-D501-43CC-B3FF-7E1122DE7517}" name="OR% (after FT)" dataDxfId="1155"/>
    <tableColumn id="44" xr3:uid="{D539B0DA-7C0D-41D7-9F48-BC9733C40930}" name="DR%" dataDxfId="1154"/>
    <tableColumn id="188" xr3:uid="{9D331159-56F1-423B-8035-18134D6C3DDF}" name="DR% (after 2P)" dataDxfId="1153"/>
    <tableColumn id="189" xr3:uid="{976CDAE9-4A38-4E3D-A1FD-581044A05020}" name="DR% (after 3P)" dataDxfId="1152"/>
    <tableColumn id="190" xr3:uid="{0B4188D1-3AAD-4002-93EB-AF14DA2FFC2D}" name="DR% (after FT)" dataDxfId="1151"/>
    <tableColumn id="45" xr3:uid="{FCAD130E-2BB2-4F64-806A-590C413AF53D}" name="TR%" dataDxfId="1150"/>
    <tableColumn id="50" xr3:uid="{155E0832-F3E0-47F0-945C-880B5C0D21EF}" name="ST%" dataDxfId="1149"/>
    <tableColumn id="53" xr3:uid="{E61CC433-0326-4B85-96D4-73FE128450CB}" name="BLK%" dataDxfId="1148"/>
    <tableColumn id="203" xr3:uid="{72AA4A92-2C3C-4EA1-A160-9BDA67ECB71B}" name="KILLS" dataDxfId="1147"/>
    <tableColumn id="51" xr3:uid="{90A97092-1DD7-4C5D-916B-C269168DF095}" name="PSF FREQ" dataDxfId="1146"/>
    <tableColumn id="52" xr3:uid="{B836A9C2-465D-40F3-B6CE-8C72CB4E3744}" name="DSF FREQ" dataDxfId="1145"/>
    <tableColumn id="56" xr3:uid="{348EA47B-CCCA-4C85-B8F1-7EA861A7AD97}" name="ASTED_2FG" dataDxfId="1144"/>
    <tableColumn id="57" xr3:uid="{F448E195-A05E-46B5-A293-3F1B17200286}" name="ASTED_3FG" dataDxfId="1143"/>
    <tableColumn id="58" xr3:uid="{7850B032-A0C4-4C0E-AE00-702E2CB15E73}" name="ASTED_FT" dataDxfId="1142"/>
    <tableColumn id="180" xr3:uid="{DC28FABA-8861-45C7-9AE7-57270ED2FFA6}" name="ASTED_FT PTS" dataDxfId="1141"/>
    <tableColumn id="59" xr3:uid="{1479D060-2EA5-40B3-B5C8-1D33BA5DE533}" name="OR_RIM" dataDxfId="1140"/>
    <tableColumn id="60" xr3:uid="{87E8E2CC-A70F-49D7-81D5-1BE9870461BC}" name="TM OR_RIM" dataDxfId="1139"/>
    <tableColumn id="61" xr3:uid="{4BC09F30-E109-4706-99D5-1DD226886C10}" name="OR_PAINT" dataDxfId="1138"/>
    <tableColumn id="62" xr3:uid="{8E4AFF1C-F077-4F93-A5F3-DBE4C7B8D3A4}" name="TM OR_PAINT" dataDxfId="1137"/>
    <tableColumn id="63" xr3:uid="{5BEF544E-AB2C-4160-AFBA-F2F5D5933EF6}" name="OR_NP2" dataDxfId="1136"/>
    <tableColumn id="64" xr3:uid="{12753528-1FDC-44F0-B045-7F1876733163}" name="TM OR_NP2" dataDxfId="1135"/>
    <tableColumn id="65" xr3:uid="{5B458402-2D14-4118-B75D-82F5038D2E7A}" name="OR_3C" dataDxfId="1134"/>
    <tableColumn id="66" xr3:uid="{AC02F323-2ACB-4F5A-BB3E-2211C66AD62E}" name="TM OR_3C" dataDxfId="1133"/>
    <tableColumn id="67" xr3:uid="{6F6974B7-83F6-4F2F-BFB1-254D1189A9A9}" name="OR_3L" dataDxfId="1132"/>
    <tableColumn id="68" xr3:uid="{3B325FB0-2E3F-4698-B362-C36D1E287641}" name="TM OR_3L" dataDxfId="1131"/>
    <tableColumn id="69" xr3:uid="{29872FA4-EC4B-4412-90AD-79F11F7F932E}" name="OR_FT" dataDxfId="1130"/>
    <tableColumn id="70" xr3:uid="{71002697-04AB-4EE2-9022-6EC62CCC8E3D}" name="TM OR_FT" dataDxfId="1129"/>
    <tableColumn id="71" xr3:uid="{B3F3BDF9-ABA8-47DD-91B9-37261EB9DA3D}" name="DR_RIM" dataDxfId="1128"/>
    <tableColumn id="72" xr3:uid="{56988636-B3E2-498C-BCD0-A838C9290AC2}" name="TM DR_RIM" dataDxfId="1127"/>
    <tableColumn id="73" xr3:uid="{AEC2DD4D-BFFA-4D7A-8A6C-EC45B1D7DBFB}" name="DR_PAINT" dataDxfId="1126"/>
    <tableColumn id="74" xr3:uid="{3D2CE5D6-EEB3-4963-8057-1F553714F696}" name="TM DR_PAINT" dataDxfId="1125"/>
    <tableColumn id="75" xr3:uid="{3D41A80B-B95F-4159-B28D-E475C987D620}" name="DR_NP2" dataDxfId="1124"/>
    <tableColumn id="76" xr3:uid="{CF059F63-4966-4423-BFE6-BB40F97E03CB}" name="TM DR_NP2" dataDxfId="1123"/>
    <tableColumn id="77" xr3:uid="{24B73507-5124-4598-96BF-0808B933EA69}" name="DR_3C" dataDxfId="1122"/>
    <tableColumn id="78" xr3:uid="{4BDF66E6-281F-46A8-B379-53F091DC26FF}" name="TM DR_3C" dataDxfId="1121"/>
    <tableColumn id="79" xr3:uid="{2DBB11B1-8497-4AA0-9D87-4A3576D96E6C}" name="DR_3L" dataDxfId="1120"/>
    <tableColumn id="80" xr3:uid="{C9F6846D-9412-4151-B3D4-03CC30322B00}" name="TM DR_3L" dataDxfId="1119"/>
    <tableColumn id="81" xr3:uid="{40A24873-A234-4271-ADDD-A24117C34E8C}" name="DR_FT" dataDxfId="1118"/>
    <tableColumn id="82" xr3:uid="{FA0CB712-786E-406A-8061-0F6C402184AF}" name="TM DR_FT" dataDxfId="1117"/>
    <tableColumn id="83" xr3:uid="{34663692-5E64-402E-80C2-46F72519CB5A}" name="FTM_T" dataDxfId="1116"/>
    <tableColumn id="84" xr3:uid="{4562E74A-BA7B-4087-AA89-8006F8F44939}" name="FTA_T" dataDxfId="1115"/>
    <tableColumn id="85" xr3:uid="{53AB7E43-0B58-438C-994D-9C6201580641}" name="FTM_1" dataDxfId="1114"/>
    <tableColumn id="86" xr3:uid="{9FB7023E-B698-42C1-89F9-C52163AB5875}" name="FTA_1" dataDxfId="1113"/>
    <tableColumn id="87" xr3:uid="{C04D17A9-0236-4C19-93AE-DF501BD2276A}" name="FTM_2" dataDxfId="1112"/>
    <tableColumn id="88" xr3:uid="{A04F7646-8795-45F9-B6BE-1CF58890541F}" name="FTA_2" dataDxfId="1111"/>
    <tableColumn id="89" xr3:uid="{EDE85F71-67EC-4897-9BA8-DE7F8DC7A53E}" name="FT 0/2" dataDxfId="1110"/>
    <tableColumn id="90" xr3:uid="{D6B79DC8-319B-4B22-A723-4A97B46D09CA}" name="FTM_3" dataDxfId="1109"/>
    <tableColumn id="91" xr3:uid="{B9F6974C-CF2E-42E8-A9D4-AAA05CA0609B}" name="FTA_3" dataDxfId="1108"/>
    <tableColumn id="92" xr3:uid="{D82C918D-CCF4-493E-B0EC-072C51B8D6B4}" name="FT 0/3" dataDxfId="1107"/>
    <tableColumn id="93" xr3:uid="{E23C4A39-2595-43A6-9291-5193ABE68A5F}" name="RIM_M" dataDxfId="1106"/>
    <tableColumn id="94" xr3:uid="{9FB070FB-3135-4FC5-93F0-ACEC960D64DF}" name="RIM_A" dataDxfId="1105"/>
    <tableColumn id="95" xr3:uid="{FC71F72B-BAA6-4300-AD8C-2EE1143AFC03}" name="PAINT_M" dataDxfId="1104"/>
    <tableColumn id="96" xr3:uid="{AB1D9827-5CD6-4348-8452-70E5C0411DCF}" name="PAINT_A" dataDxfId="1103"/>
    <tableColumn id="97" xr3:uid="{D2FEC978-9215-4BE6-877F-5CA76455481D}" name="MID_M" dataDxfId="1102"/>
    <tableColumn id="98" xr3:uid="{3B529B73-CC12-49B7-861F-667BC4BC1553}" name="MID_A" dataDxfId="1101"/>
    <tableColumn id="99" xr3:uid="{45D8CCC5-4ED7-4E0F-BAFE-701A2FF4F0E3}" name="3C_M" dataDxfId="1100"/>
    <tableColumn id="100" xr3:uid="{5A04A90E-643A-40CF-A23F-69BDF903F12D}" name="3C_A" dataDxfId="1099"/>
    <tableColumn id="101" xr3:uid="{0F1C6EAD-7354-46CB-8184-8BFA61D24655}" name="3L_M" dataDxfId="1098"/>
    <tableColumn id="102" xr3:uid="{3E672AF3-D9FB-4DDB-9837-A3D0F7A38A6D}" name="3L_A" dataDxfId="1097"/>
    <tableColumn id="103" xr3:uid="{C9244E2B-B8BE-47B5-8F67-E54C3C327529}" name="3H_M" dataDxfId="1096"/>
    <tableColumn id="104" xr3:uid="{CCF7A723-CB73-4F2E-B88F-86A3F89DC59D}" name="3H_A" dataDxfId="1095"/>
    <tableColumn id="105" xr3:uid="{B5DABE32-49DF-41D2-82F5-E56E1F422EEA}" name="OPP PTS" dataDxfId="1094"/>
    <tableColumn id="106" xr3:uid="{C4EE509E-4AFC-41FC-B3F2-ED5C0209FBDB}" name="OPP 2PTM" dataDxfId="1093"/>
    <tableColumn id="107" xr3:uid="{3CB709E5-8761-4B55-BFF6-F5C79FBF61B1}" name="OPP 2PTA" dataDxfId="1092"/>
    <tableColumn id="108" xr3:uid="{A64EE2C2-12C4-4203-89FE-1879E939C1DB}" name="OPP 2PT%" dataDxfId="1091"/>
    <tableColumn id="109" xr3:uid="{6E9B1F3C-8FDA-4F52-BA56-4C52D01DBE31}" name="OPP 3PTM" dataDxfId="1090"/>
    <tableColumn id="110" xr3:uid="{3B2CF792-9D34-491A-A6A7-17F6AC5B5767}" name="OPP 3PTA" dataDxfId="1089"/>
    <tableColumn id="111" xr3:uid="{6DEEF5BA-1219-4F41-BC0E-C4C3EC8FD693}" name="OPP 3PT%" dataDxfId="1088"/>
    <tableColumn id="112" xr3:uid="{88B89CD5-BB43-47CB-A2B9-1A8A9D2B6930}" name="OPP FGM" dataDxfId="1087"/>
    <tableColumn id="113" xr3:uid="{13B7B7CF-A349-4C2C-AFCC-E43B338EEA17}" name="OPP FGA" dataDxfId="1086"/>
    <tableColumn id="114" xr3:uid="{5DDCFB4C-689B-4CEA-9CFC-6D32DBF82A79}" name="OPP FG%" dataDxfId="1085"/>
    <tableColumn id="115" xr3:uid="{EBB3CC5E-A547-439E-821E-C84723AD19F9}" name="OPP FTM" dataDxfId="1084"/>
    <tableColumn id="116" xr3:uid="{7992F70B-09FC-43DB-84FC-F375102EDD46}" name="OPP FTA" dataDxfId="1083"/>
    <tableColumn id="117" xr3:uid="{2023CC2B-27C1-4004-9566-AA0980A9D6C9}" name="OPP FT%" dataDxfId="1082"/>
    <tableColumn id="118" xr3:uid="{34D33C46-882B-40DC-8D48-07DCAD491619}" name="OPP OR" dataDxfId="1081"/>
    <tableColumn id="119" xr3:uid="{3A41C198-F65F-4733-BBDB-CF4174D3E7F0}" name="OPP DR" dataDxfId="1080"/>
    <tableColumn id="120" xr3:uid="{350F245A-4FB3-4F16-91BE-6503C10556B3}" name="OPP TR" dataDxfId="1079"/>
    <tableColumn id="121" xr3:uid="{F3293221-EF8D-44BA-AC5E-34D0F15E08E6}" name="OPP AST" dataDxfId="1078"/>
    <tableColumn id="122" xr3:uid="{E1BBEAED-C810-49F5-81A5-D8AC23843D2B}" name="OPP PF" dataDxfId="1077"/>
    <tableColumn id="123" xr3:uid="{07BFE96C-E83C-473C-8521-DB302EB20AFA}" name="OPP DF" dataDxfId="1076"/>
    <tableColumn id="124" xr3:uid="{7B12C0A2-1245-4D2F-8ECE-E3010B7D0287}" name="OPP ST" dataDxfId="1075"/>
    <tableColumn id="125" xr3:uid="{FD1AD7DD-3C1C-49E8-B872-AED045484A3D}" name="OPP TO" dataDxfId="1074"/>
    <tableColumn id="126" xr3:uid="{FA3F78B4-D775-4B3C-823E-13C3A46733D2}" name="OPP BLK" dataDxfId="1073"/>
    <tableColumn id="182" xr3:uid="{4BAD311B-7756-4288-9E88-B806883974B9}" name="OPP BLKA" dataDxfId="1072"/>
    <tableColumn id="127" xr3:uid="{9AAD5188-4C76-4265-A755-40778A9ED290}" name="OPP VAL" dataDxfId="1071"/>
    <tableColumn id="128" xr3:uid="{65A11B01-179D-43F0-B2E2-7F9B34BB1DE8}" name="OPP + / -" dataDxfId="1070"/>
    <tableColumn id="129" xr3:uid="{2446B555-417F-4DE7-9229-890E67468440}" name="OPP POSS" dataDxfId="1069"/>
    <tableColumn id="194" xr3:uid="{CED8485B-EEEA-43BF-AA66-FCF2FCFACFF0}" name="OPP SHOOTING CHANCES" dataDxfId="1068"/>
    <tableColumn id="204" xr3:uid="{A57F9B79-4F9B-47D3-AE11-BAE3215474C0}" name="OPP KILLS" dataDxfId="1067"/>
    <tableColumn id="130" xr3:uid="{D9E8D714-69C9-4B64-8EB1-B8FD8884DBAE}" name="OPP ASTED_2FG" dataDxfId="1066"/>
    <tableColumn id="131" xr3:uid="{948F1330-B197-4303-93B2-B100456DECA7}" name="OPP ASTED_3FG" dataDxfId="1065"/>
    <tableColumn id="132" xr3:uid="{D42A8510-D314-4C5C-9684-4922E8CB8A69}" name="OPP ASTED_FT" dataDxfId="1064"/>
    <tableColumn id="181" xr3:uid="{7E2F6288-85B9-41FC-A3AE-793511A7278F}" name="OPP ASTED_FT PTS" dataDxfId="1063"/>
    <tableColumn id="133" xr3:uid="{EC8455AA-C54C-4B00-B278-D7FF7CCB7309}" name="OPP OR_RIM" dataDxfId="1062"/>
    <tableColumn id="134" xr3:uid="{41959BC0-E559-4C82-842F-CE7989B70584}" name="OPP TM OR_RIM" dataDxfId="1061"/>
    <tableColumn id="135" xr3:uid="{B50D7648-30DF-422B-99CA-BAD6DB90CA30}" name="OPP OR_PAINT" dataDxfId="1060"/>
    <tableColumn id="136" xr3:uid="{435B98C7-B55E-48DF-825B-4F27DD00B1D9}" name="OPP TM OR_PAINT" dataDxfId="1059"/>
    <tableColumn id="137" xr3:uid="{A2B93048-2020-40B5-AA82-FBBCD11EBC76}" name="OPP OR_NP2" dataDxfId="1058"/>
    <tableColumn id="138" xr3:uid="{B4B1B766-7C1D-4C70-A173-B842A85F40A9}" name="OPP TM OR_NP2" dataDxfId="1057"/>
    <tableColumn id="139" xr3:uid="{35D6E6D4-1CF7-4C5C-B792-AAF68D7DFBCB}" name="OPP OR_3C" dataDxfId="1056"/>
    <tableColumn id="140" xr3:uid="{F22302DB-677B-4116-80AB-FD3E64289B11}" name="OPP TM OR_3C" dataDxfId="1055"/>
    <tableColumn id="141" xr3:uid="{B849CD6D-8E2E-46EC-AA17-BCBFA2149D13}" name="OPP OR_3L" dataDxfId="1054"/>
    <tableColumn id="142" xr3:uid="{F2A26631-221B-498B-8CD9-0B69A718774B}" name="OPP TM OR_3L" dataDxfId="1053"/>
    <tableColumn id="143" xr3:uid="{D83FBB69-BB6F-43C2-BAE1-17B75E4ED4A9}" name="OPP OR_FT" dataDxfId="1052"/>
    <tableColumn id="144" xr3:uid="{814151C1-E0C4-4E89-96C2-E7DDDBBAA342}" name="OPP TM OR_FT" dataDxfId="1051"/>
    <tableColumn id="145" xr3:uid="{71BA7C81-FADD-4AE9-B97D-CC695A5AE5C0}" name="OPP DR_RIM" dataDxfId="1050"/>
    <tableColumn id="146" xr3:uid="{C66CE0FD-81B4-40FF-8287-508B647C5A84}" name="OPP TM DR_RIM" dataDxfId="1049"/>
    <tableColumn id="147" xr3:uid="{8CA261FE-8BA7-4D76-8395-2D97F1BDCDEE}" name="OPP DR_PAINT" dataDxfId="1048"/>
    <tableColumn id="148" xr3:uid="{F7579DF1-7654-4F40-AA57-4C233FEC355A}" name="OPP TM DR_PAINT" dataDxfId="1047"/>
    <tableColumn id="149" xr3:uid="{DC8F77DB-B6CA-4D10-9F79-9E5D5DD15194}" name="OPP DR_NP2" dataDxfId="1046"/>
    <tableColumn id="150" xr3:uid="{B8A75FBA-60A6-465E-B950-3F571807DE51}" name="OPP TM DR_NP2" dataDxfId="1045"/>
    <tableColumn id="151" xr3:uid="{C8FF4B4A-B411-4221-A46E-6F721A78A815}" name="OPP DR_3C" dataDxfId="1044"/>
    <tableColumn id="152" xr3:uid="{521CAB73-25D4-462F-878E-545FF7685275}" name="OPP TM DR_3C" dataDxfId="1043"/>
    <tableColumn id="153" xr3:uid="{BF7101EA-B339-4C13-805C-FD3AE8B4F3D6}" name="OPP DR_3L" dataDxfId="1042"/>
    <tableColumn id="154" xr3:uid="{7F27CE36-4047-41A8-B08A-74C497D8711C}" name="OPP TM DR_3L" dataDxfId="1041"/>
    <tableColumn id="155" xr3:uid="{3517E67C-1D50-4773-ACF3-404CCA93A62E}" name="OPP DR_FT" dataDxfId="1040"/>
    <tableColumn id="156" xr3:uid="{C70FE4CD-02D6-4478-BB03-16436B433867}" name="OPP TM DR_FT" dataDxfId="1039"/>
    <tableColumn id="158" xr3:uid="{8BF4EBBE-9156-40CF-B447-212B1C536994}" name="OPP FTM_T" dataDxfId="1038"/>
    <tableColumn id="159" xr3:uid="{7472CB70-A315-47CF-A0FC-6A4887EA5968}" name="OPP FTA_T" dataDxfId="1037"/>
    <tableColumn id="160" xr3:uid="{56F2AC81-3CE1-455B-AF61-0581C583A800}" name="OPP FTM_1" dataDxfId="1036"/>
    <tableColumn id="161" xr3:uid="{25FF9742-66BC-4BC0-9FB3-7799C4CE1428}" name="OPP FTA_1" dataDxfId="1035"/>
    <tableColumn id="162" xr3:uid="{F628E334-F4A7-47B9-A495-9B10A79C4A9E}" name="OPP FTM_2" dataDxfId="1034"/>
    <tableColumn id="163" xr3:uid="{C228478E-416A-4D90-B745-E0C5CADAD224}" name="OPP FTA_2" dataDxfId="1033"/>
    <tableColumn id="164" xr3:uid="{3327585F-8C8C-43CD-83FD-64B461E004AE}" name="OPP FT 0/2" dataDxfId="1032"/>
    <tableColumn id="165" xr3:uid="{43726F08-2DB1-46E4-A7E8-3B0DA302F2DB}" name="OPP FTM_3" dataDxfId="1031"/>
    <tableColumn id="166" xr3:uid="{BC464E33-5EB3-47A4-B7CC-4889DF388176}" name="OPP FTA_3" dataDxfId="1030"/>
    <tableColumn id="167" xr3:uid="{7898EAA1-9BED-4656-B01A-30C7C04D53BD}" name="OPP FT 0/3" dataDxfId="1029"/>
    <tableColumn id="168" xr3:uid="{0B96AD0C-BCDE-4BAA-BD3F-28FFCD2738C5}" name="OPP RIM_M" dataDxfId="1028"/>
    <tableColumn id="169" xr3:uid="{8FFB726F-DDDD-4736-8E68-2EBCA7546082}" name="OPP RIM_A" dataDxfId="1027"/>
    <tableColumn id="170" xr3:uid="{54F739C5-7659-4EBE-9192-5EC0068CB6C9}" name="OPP PAINT_M" dataDxfId="1026"/>
    <tableColumn id="171" xr3:uid="{CEB357B6-93D5-4380-8020-6A4913251EFA}" name="OPP PAINT_A" dataDxfId="1025"/>
    <tableColumn id="172" xr3:uid="{3C65CB3D-E276-42A8-9434-34B379129EE5}" name="OPP MID_M" dataDxfId="1024"/>
    <tableColumn id="173" xr3:uid="{4DD34870-BFB7-48C9-933D-254FB71B02CE}" name="OPP MID_A" dataDxfId="1023"/>
    <tableColumn id="174" xr3:uid="{6B0D7B36-047E-4CE3-A874-8315F38372B0}" name="OPP 3C_M" dataDxfId="1022"/>
    <tableColumn id="175" xr3:uid="{71524320-87CC-4C4B-812D-D4014CC852B5}" name="OPP 3C_A" dataDxfId="1021"/>
    <tableColumn id="176" xr3:uid="{B99AACFD-B49E-4E61-9F97-71FC04587F8E}" name="OPP 3L_M" dataDxfId="1020"/>
    <tableColumn id="177" xr3:uid="{5291C905-F907-46B7-93D6-ADB495E1F61B}" name="OPP 3L_A" dataDxfId="1019"/>
    <tableColumn id="178" xr3:uid="{C08FDFF7-5FFE-4E19-A7F5-9E5C9FC6DF3A}" name="OPP 3H_M" dataDxfId="1018"/>
    <tableColumn id="179" xr3:uid="{E1FF9E50-BAB1-42CB-8C15-9B2FB558F314}" name="OPP 3H_A" dataDxfId="1017"/>
  </tableColumns>
  <tableStyleInfo name="HaS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C504F5-28FA-464D-B701-9982A2AEE969}" name="OPPS_GbG" displayName="OPPS_GbG" ref="B3:GW163" totalsRowShown="0" headerRowDxfId="1016" dataDxfId="1015">
  <autoFilter ref="B3:GW163" xr:uid="{FCC504F5-28FA-464D-B701-9982A2AEE969}"/>
  <tableColumns count="204">
    <tableColumn id="1" xr3:uid="{D46D1825-F295-4E54-B1AA-FE25D23DC24F}" name="ROUND" dataDxfId="1014"/>
    <tableColumn id="2" xr3:uid="{7A19322B-4838-432E-93BC-5DFD791A97CA}" name="TM TAG" dataDxfId="1013"/>
    <tableColumn id="3" xr3:uid="{FE6D4DED-92E9-4366-B20B-E46BE08A24AD}" name="OPP TAG" dataDxfId="1012"/>
    <tableColumn id="4" xr3:uid="{94CCA35F-69A0-4E31-9870-BA1723930CC6}" name="TM NAME" dataDxfId="1011"/>
    <tableColumn id="5" xr3:uid="{5C8882FB-9572-43BC-85AE-8F0C0456CD0B}" name="OPP NAME" dataDxfId="1010"/>
    <tableColumn id="6" xr3:uid="{431F86A4-FFF5-45DD-9945-51D3125CA6FD}" name="DATE" dataDxfId="1009"/>
    <tableColumn id="7" xr3:uid="{A5903672-1CBF-4963-9A9B-B00D1534DA5D}" name="H/A" dataDxfId="1008"/>
    <tableColumn id="8" xr3:uid="{7940A931-4080-4A36-8020-C960D226C380}" name="GROUP" dataDxfId="1007"/>
    <tableColumn id="9" xr3:uid="{BA76928F-0901-4985-940A-AE00B1A7E2D0}" name="W/L" dataDxfId="1006"/>
    <tableColumn id="10" xr3:uid="{3895587F-2080-4E64-8938-E30F907BCF26}" name="MIN" dataDxfId="1005"/>
    <tableColumn id="11" xr3:uid="{2995ECC9-7C17-49B1-BC75-77BA050FF634}" name="PTS" dataDxfId="1004"/>
    <tableColumn id="12" xr3:uid="{8290BC55-F0D7-4D77-B708-B3E8223DAD7D}" name="2PTM" dataDxfId="1003"/>
    <tableColumn id="13" xr3:uid="{919E96AE-AFCE-4F5F-BCC5-856546F05570}" name="2PTA" dataDxfId="1002"/>
    <tableColumn id="14" xr3:uid="{0D8A0CB0-A032-4F74-8733-A4AF1B7C389C}" name="2PT%" dataDxfId="1001"/>
    <tableColumn id="15" xr3:uid="{9956CE35-845C-45F9-8338-8453237B37C0}" name="3PTM" dataDxfId="1000"/>
    <tableColumn id="16" xr3:uid="{36022118-1CD6-4E44-8B6D-8ABA5C216FEB}" name="3PTA" dataDxfId="999"/>
    <tableColumn id="17" xr3:uid="{4475BD7D-3C5A-43A1-B0E6-494D245141E5}" name="3PT%" dataDxfId="998"/>
    <tableColumn id="18" xr3:uid="{F2757A8F-4513-4918-B257-88534C45C5BE}" name="FGM" dataDxfId="997"/>
    <tableColumn id="19" xr3:uid="{717A8E35-24D7-4561-AAAE-A9460A7BC515}" name="FGA" dataDxfId="996"/>
    <tableColumn id="20" xr3:uid="{686092D5-9762-437A-AEC1-6009BE51E545}" name="FG%" dataDxfId="995"/>
    <tableColumn id="21" xr3:uid="{09CEDE3B-EFF2-4ED4-BDB6-2459D8F31C50}" name="FTM" dataDxfId="994"/>
    <tableColumn id="22" xr3:uid="{26EF59A8-253E-4E6C-9BBC-417F767E4A54}" name="FTA" dataDxfId="993"/>
    <tableColumn id="23" xr3:uid="{BFEE81DF-FC89-4AA9-A563-ED90289AE49B}" name="FT%" dataDxfId="992"/>
    <tableColumn id="24" xr3:uid="{63ABB364-B100-4D13-9FE0-D651A8E16425}" name="OR" dataDxfId="991"/>
    <tableColumn id="25" xr3:uid="{419C8C02-5B2C-4F75-96E4-CAA54F04C457}" name="DR" dataDxfId="990"/>
    <tableColumn id="26" xr3:uid="{7341ADF5-A640-4B79-8D53-E48C15366747}" name="TR" dataDxfId="989"/>
    <tableColumn id="27" xr3:uid="{8ECBDBEC-694F-41EA-871D-7E4DED68542E}" name="AST" dataDxfId="988"/>
    <tableColumn id="31" xr3:uid="{BA652886-162F-43AA-9CF1-7843F757BDC3}" name="TO" dataDxfId="987"/>
    <tableColumn id="30" xr3:uid="{E4D2CA8E-508A-4C97-98AE-0F55ABA67B09}" name="ST" dataDxfId="986"/>
    <tableColumn id="32" xr3:uid="{61DDEEF7-5763-47E9-ACC5-797E6DC97E32}" name="BLK" dataDxfId="985"/>
    <tableColumn id="33" xr3:uid="{4CEEB1BE-E467-4007-A7CF-6CC82178DA52}" name="BLKA" dataDxfId="984"/>
    <tableColumn id="28" xr3:uid="{02953812-2346-4B6D-B62F-8216C356BA4D}" name="PF" dataDxfId="983"/>
    <tableColumn id="29" xr3:uid="{47A9EDB7-2164-40C9-8B8E-C4ECB8F76428}" name="DF" dataDxfId="982"/>
    <tableColumn id="34" xr3:uid="{059F7882-AEA1-4763-8262-12585BFF7944}" name="VAL" dataDxfId="981"/>
    <tableColumn id="35" xr3:uid="{E3783EA0-362F-4F27-8692-942923AF8E55}" name="+ / -" dataDxfId="980"/>
    <tableColumn id="36" xr3:uid="{AB1F0703-6E80-44AE-A457-797300E3093F}" name="POSS" dataDxfId="979"/>
    <tableColumn id="182" xr3:uid="{15AF9D61-98FA-4521-B1AA-6B3A5E2DB9D2}" name="SHOOTING CHANCES" dataDxfId="978"/>
    <tableColumn id="183" xr3:uid="{02622F9A-6B34-4643-86A8-10172FADC11F}" name="OFF PPP" dataDxfId="977"/>
    <tableColumn id="184" xr3:uid="{D539DCED-89F4-4648-8BFE-7E773F7283CE}" name="DEF PPP" dataDxfId="976"/>
    <tableColumn id="37" xr3:uid="{043E0925-98C8-4A28-A721-DD159AB6EB92}" name="OFF RTG" dataDxfId="975"/>
    <tableColumn id="38" xr3:uid="{725A364D-9647-4ED7-BDBE-FED4083FA2F1}" name="DEF RTG" dataDxfId="974"/>
    <tableColumn id="39" xr3:uid="{DE65E6FA-91F8-4B21-AF58-EE09BF12037E}" name="NET RTG" dataDxfId="973"/>
    <tableColumn id="54" xr3:uid="{DF064E3D-C0BB-4E96-BBB9-8D45DE0D056F}" name="eFG%" dataDxfId="972"/>
    <tableColumn id="55" xr3:uid="{C50135BE-C216-43FB-B5EC-78FDD4A3342B}" name="TS%" dataDxfId="971"/>
    <tableColumn id="195" xr3:uid="{4A9CAF4D-C3C6-4369-B424-C1B233D67F27}" name="RIM FREQ" dataDxfId="970"/>
    <tableColumn id="196" xr3:uid="{73958179-EB32-48E7-9211-CC80A33ECA73}" name="RIM PPS" dataDxfId="969"/>
    <tableColumn id="197" xr3:uid="{53F1A1B2-D7E3-4252-892E-7F6E1990B6BF}" name="PAINT FREQ" dataDxfId="968"/>
    <tableColumn id="198" xr3:uid="{BD7EA6D3-8F4F-467C-B21C-E8557C75D9E9}" name="PAINT PPS" dataDxfId="967"/>
    <tableColumn id="199" xr3:uid="{49C19DC7-952B-4AEA-8B67-C5C29CE378C7}" name="MID FREQ" dataDxfId="966"/>
    <tableColumn id="200" xr3:uid="{8BA55123-224A-45DC-B38E-DC7470D16E24}" name="MID PPS" dataDxfId="965"/>
    <tableColumn id="201" xr3:uid="{FF90E479-1085-4414-986F-3DAD5B5A5EE7}" name="C3 FREQ" dataDxfId="964"/>
    <tableColumn id="202" xr3:uid="{D6BB991C-9E1C-4C7C-B61C-59EC052B576F}" name="C3 PPS" dataDxfId="963"/>
    <tableColumn id="40" xr3:uid="{BB2652DB-E804-4AD7-B394-D07304C22C7A}" name="L3 FREQ" dataDxfId="962"/>
    <tableColumn id="41" xr3:uid="{1933AA8C-40F9-4B0F-9185-8CEB5EB3F324}" name="L3 PPS" dataDxfId="961"/>
    <tableColumn id="42" xr3:uid="{E35FAB4C-C8FB-48C9-BAE1-3CDE314C5A03}" name="FT Ratio" dataDxfId="960"/>
    <tableColumn id="49" xr3:uid="{26A7F906-653B-4D67-96BF-EF988D3FF504}" name="TO%" dataDxfId="959"/>
    <tableColumn id="46" xr3:uid="{D22FC0EC-0DBC-4F0D-89D5-0F9C09B9C31E}" name="AST%" dataDxfId="958"/>
    <tableColumn id="191" xr3:uid="{7A17552B-626F-494F-B6ED-593DEDECBAB1}" name="AST% (2P)" dataDxfId="957"/>
    <tableColumn id="192" xr3:uid="{D605A7D8-18C0-4B00-94D4-7872240BACEC}" name="AST% (3P)" dataDxfId="956"/>
    <tableColumn id="193" xr3:uid="{E82355E9-936E-498E-869A-DAF2ACD00C61}" name="AST% (FT)" dataDxfId="955"/>
    <tableColumn id="47" xr3:uid="{4955F4C0-6298-47DE-9142-8038CB8BB812}" name="AST Ratio" dataDxfId="954"/>
    <tableColumn id="48" xr3:uid="{315A6031-0BCB-4926-A165-66FFFE39B6F0}" name="AST/TO" dataDxfId="953"/>
    <tableColumn id="43" xr3:uid="{1E11B55A-3946-4F17-AFB3-C71725CEF65C}" name="OR%" dataDxfId="952"/>
    <tableColumn id="185" xr3:uid="{9F96BBF7-E667-4DD2-9A13-88B074F81204}" name="OR% (after 2P)" dataDxfId="951"/>
    <tableColumn id="186" xr3:uid="{019566A6-878A-486A-B7FF-26F9B0E29734}" name="OR% (after 3P)" dataDxfId="950"/>
    <tableColumn id="187" xr3:uid="{3E609370-EEA3-46E7-9BCC-202E718408D8}" name="OR% (after FT)" dataDxfId="949"/>
    <tableColumn id="44" xr3:uid="{4E4D34EE-0FC6-47A9-82BE-F0E4A32379AC}" name="DR%" dataDxfId="948"/>
    <tableColumn id="188" xr3:uid="{A29203E8-0B5A-4DEA-A27F-08410ABB548C}" name="DR% (after 2P)" dataDxfId="947"/>
    <tableColumn id="189" xr3:uid="{9E971217-CEDE-4A32-A806-8C4CF8252140}" name="DR% (after 3P)" dataDxfId="946"/>
    <tableColumn id="190" xr3:uid="{1541E62B-56E5-487F-931E-FBE24BD62D02}" name="DR% (after FT)" dataDxfId="945"/>
    <tableColumn id="45" xr3:uid="{5868875B-6044-4850-89A9-BDCC2127539B}" name="TR%" dataDxfId="944"/>
    <tableColumn id="50" xr3:uid="{A384D584-FDE3-45AB-BA59-D0A3E4449CA5}" name="ST%" dataDxfId="943"/>
    <tableColumn id="53" xr3:uid="{89EC037D-5D23-4429-A19B-991D8D436DD3}" name="BLK%" dataDxfId="942"/>
    <tableColumn id="203" xr3:uid="{E2DB5683-E990-4746-8A7E-8BC9E89C517B}" name="KILLS" dataDxfId="941"/>
    <tableColumn id="51" xr3:uid="{B005AA57-3887-47B1-966A-A144CF2829A8}" name="PSF FREQ" dataDxfId="940"/>
    <tableColumn id="52" xr3:uid="{261FC320-702B-40E6-B701-7E5C716F1ED0}" name="DSF FREQ" dataDxfId="939"/>
    <tableColumn id="56" xr3:uid="{73849D76-9E5E-44D7-B045-EC9431BBC94C}" name="ASTED_2FG" dataDxfId="938"/>
    <tableColumn id="57" xr3:uid="{9999B6DD-C1F4-4A17-AB9E-9241EFBACDCD}" name="ASTED_3FG" dataDxfId="937"/>
    <tableColumn id="58" xr3:uid="{42F3D393-8C8C-4A1B-A259-581D3343598B}" name="ASTED_FT" dataDxfId="936"/>
    <tableColumn id="59" xr3:uid="{8E14C627-AF1D-4562-83B8-25EAA14AB89E}" name="ASTED_FT PTS" dataDxfId="935"/>
    <tableColumn id="60" xr3:uid="{D1859399-20F8-47D7-BB46-7051624F234D}" name="OR_RIM" dataDxfId="934"/>
    <tableColumn id="61" xr3:uid="{FF4C2104-DFEA-4F8D-9D8A-10E1E1EA78D1}" name="TM OR_RIM" dataDxfId="933"/>
    <tableColumn id="62" xr3:uid="{113225AC-1C8E-4A0C-B305-74E731A08DE6}" name="OR_PAINT" dataDxfId="932"/>
    <tableColumn id="63" xr3:uid="{CC1F590D-AB55-4183-8D56-CC8B1E960065}" name="TM OR_PAINT" dataDxfId="931"/>
    <tableColumn id="64" xr3:uid="{95642E48-DC61-423A-A1C7-F521DB685A40}" name="OR_NP2" dataDxfId="930"/>
    <tableColumn id="65" xr3:uid="{F4AFC8A3-8349-42AE-9F18-1B485A806FC5}" name="TM OR_NP2" dataDxfId="929"/>
    <tableColumn id="66" xr3:uid="{B0A91211-C873-4015-A1B9-802ABFC03337}" name="OR_3C" dataDxfId="928"/>
    <tableColumn id="67" xr3:uid="{1405F606-A22F-44CD-A3EC-23846B190FE0}" name="TM OR_3C" dataDxfId="927"/>
    <tableColumn id="68" xr3:uid="{1BB8CD0D-68EC-4608-B096-CC23BA95B411}" name="OR_3L" dataDxfId="926"/>
    <tableColumn id="69" xr3:uid="{6DE151E6-E5C2-4649-A826-7787DF4A9F6A}" name="TM OR_3L" dataDxfId="925"/>
    <tableColumn id="70" xr3:uid="{349D913A-859C-4286-91F1-0FD6B4F6B4BE}" name="OR_FT" dataDxfId="924"/>
    <tableColumn id="71" xr3:uid="{7A5E7D36-AF1A-456D-9C75-6ECBE37EF5EE}" name="TM OR_FT" dataDxfId="923"/>
    <tableColumn id="72" xr3:uid="{2741A54A-9E55-42F4-BD0D-7578E20FD187}" name="DR_RIM" dataDxfId="922"/>
    <tableColumn id="73" xr3:uid="{E85625ED-08F4-44AF-B67F-02BBB82B2747}" name="TM DR_RIM" dataDxfId="921"/>
    <tableColumn id="74" xr3:uid="{63FAA760-B5EC-4A3D-B323-57AFEE30C90E}" name="DR_PAINT" dataDxfId="920"/>
    <tableColumn id="75" xr3:uid="{EC025261-9BB6-437C-B523-995245C6995C}" name="TM DR_PAINT" dataDxfId="919"/>
    <tableColumn id="76" xr3:uid="{62A7A666-0DFC-4344-8FB6-19FB6E13627A}" name="DR_NP2" dataDxfId="918"/>
    <tableColumn id="77" xr3:uid="{E33F6C85-92C5-4F5C-9795-F7B3679AA2F5}" name="TM DR_NP2" dataDxfId="917"/>
    <tableColumn id="78" xr3:uid="{2D225D36-8A3F-493D-8993-D638F47A1450}" name="DR_3C" dataDxfId="916"/>
    <tableColumn id="79" xr3:uid="{C4754CB7-8571-4051-A449-7C6A245449C1}" name="TM DR_3C" dataDxfId="915"/>
    <tableColumn id="80" xr3:uid="{63943BA3-18F5-41F3-8E3B-F9DBF2A29649}" name="DR_3L" dataDxfId="914"/>
    <tableColumn id="81" xr3:uid="{289593B9-7B36-42DC-8936-DD0F2823B53E}" name="TM DR_3L" dataDxfId="913"/>
    <tableColumn id="82" xr3:uid="{FC955DE3-1121-46C2-9F69-CAF8BF143827}" name="DR_FT" dataDxfId="912"/>
    <tableColumn id="83" xr3:uid="{773182D5-CB35-435A-85C2-B137B88BE809}" name="TM DR_FT" dataDxfId="911"/>
    <tableColumn id="84" xr3:uid="{588F0439-40AF-4D01-96B3-C0CCFB923B42}" name="FTM_T" dataDxfId="910"/>
    <tableColumn id="85" xr3:uid="{3B34D0FD-D14E-4A3F-AEA6-971FEB97060F}" name="FTA_T" dataDxfId="909"/>
    <tableColumn id="86" xr3:uid="{E2B2CBC6-9129-4E23-B5F2-0A6F2100D131}" name="FTM_1" dataDxfId="908"/>
    <tableColumn id="87" xr3:uid="{6F83FC65-829D-47D6-B835-4645EA46F98A}" name="FTA_1" dataDxfId="907"/>
    <tableColumn id="88" xr3:uid="{BCC11587-DFF6-4394-9F0C-7F348609D3B7}" name="FTM_2" dataDxfId="906"/>
    <tableColumn id="89" xr3:uid="{6CD528D7-BDAC-4A07-B00F-9369BE16E421}" name="FTA_2" dataDxfId="905"/>
    <tableColumn id="90" xr3:uid="{2AFD8CA7-068D-4BCF-8855-5F0A7B38F8E2}" name="FT 0/2" dataDxfId="904"/>
    <tableColumn id="91" xr3:uid="{B9F58DB7-D9B6-4842-BE22-CC61408D08A1}" name="FTM_3" dataDxfId="903"/>
    <tableColumn id="92" xr3:uid="{C2D864CF-EFFA-4B58-B99D-E2F643E1476E}" name="FTA_3" dataDxfId="902"/>
    <tableColumn id="93" xr3:uid="{B5895E08-268F-415A-AE30-DACDF355B63D}" name="FT 0/3" dataDxfId="901"/>
    <tableColumn id="94" xr3:uid="{488DFCAD-216D-4C00-956D-2646025803FD}" name="RIM_M" dataDxfId="900"/>
    <tableColumn id="95" xr3:uid="{8E1AD214-EEEF-4F4D-81E2-5666E3308021}" name="RIM_A" dataDxfId="899"/>
    <tableColumn id="96" xr3:uid="{6A5ED455-838C-4243-B577-1392E1F36BE9}" name="PAINT_M" dataDxfId="898"/>
    <tableColumn id="97" xr3:uid="{FC2E7E1D-E780-4C4D-92DD-F6A79FAFF35F}" name="PAINT_A" dataDxfId="897"/>
    <tableColumn id="98" xr3:uid="{F8A72EC6-9F31-4758-A880-E0B2F5FE7EEA}" name="MID_M" dataDxfId="896"/>
    <tableColumn id="99" xr3:uid="{764C94C2-D8C0-4832-BDD1-727EA1CEECA9}" name="MID_A" dataDxfId="895"/>
    <tableColumn id="100" xr3:uid="{0C532459-B162-4551-8BA5-D6A33997DCA1}" name="3C_M" dataDxfId="894"/>
    <tableColumn id="101" xr3:uid="{DFBC0E11-4581-404B-A89C-B44EE9632C3D}" name="3C_A" dataDxfId="893"/>
    <tableColumn id="102" xr3:uid="{C31BE550-3006-4798-8769-CE653B249A26}" name="3L_M" dataDxfId="892"/>
    <tableColumn id="103" xr3:uid="{CF50E3DA-2854-4AE4-BBA7-B25520996503}" name="3L_A" dataDxfId="891"/>
    <tableColumn id="104" xr3:uid="{C47759F6-128F-44FA-9948-6C76D373322C}" name="3H_M" dataDxfId="890"/>
    <tableColumn id="105" xr3:uid="{74ABCA58-5D1A-4CDB-A6C4-0D5FDB1D411D}" name="3H_A" dataDxfId="889"/>
    <tableColumn id="106" xr3:uid="{16A6A5ED-F88F-4229-8428-F098B7B2B86A}" name="OPP PTS" dataDxfId="888"/>
    <tableColumn id="107" xr3:uid="{1443BE93-A0D5-44E1-99BC-55B325E6BD5B}" name="OPP 2PTM" dataDxfId="887"/>
    <tableColumn id="108" xr3:uid="{1E3F70F7-5046-449B-914D-FAFA2A5BF7C3}" name="OPP 2PTA" dataDxfId="886"/>
    <tableColumn id="109" xr3:uid="{D9CF34A8-53D1-47DE-9D85-BB7C170D2000}" name="OPP 2PT%" dataDxfId="885"/>
    <tableColumn id="110" xr3:uid="{0C88C606-BBAA-4FD8-8660-356F274DEDA8}" name="OPP 3PTM" dataDxfId="884"/>
    <tableColumn id="111" xr3:uid="{30C3371A-FE3E-4A3D-AE8D-450D1A407B43}" name="OPP 3PTA" dataDxfId="883"/>
    <tableColumn id="112" xr3:uid="{D2B0F4ED-F74B-4B9A-8E87-C077D039EE7A}" name="OPP 3PT%" dataDxfId="882"/>
    <tableColumn id="113" xr3:uid="{88375447-516D-4833-8700-054BF10789DC}" name="OPP FGM" dataDxfId="881"/>
    <tableColumn id="114" xr3:uid="{C89D608C-52FE-4FD6-A0BC-91445D641499}" name="OPP FGA" dataDxfId="880"/>
    <tableColumn id="115" xr3:uid="{2619350C-138D-4D6B-94A9-6B588D7968E4}" name="OPP FG%" dataDxfId="879"/>
    <tableColumn id="116" xr3:uid="{E5C04076-3267-4AFE-97D8-0F9354B41DCA}" name="OPP FTM" dataDxfId="878"/>
    <tableColumn id="117" xr3:uid="{E1D5150E-0DA3-438F-8E8B-BE7151DF4416}" name="OPP FTA" dataDxfId="877"/>
    <tableColumn id="118" xr3:uid="{DDA3CAA2-50E7-45FB-9D41-62757588AFA4}" name="OPP FT%" dataDxfId="876"/>
    <tableColumn id="119" xr3:uid="{D896B975-D5E5-4993-B18B-11021FFCC416}" name="OPP OR" dataDxfId="875"/>
    <tableColumn id="120" xr3:uid="{4C0AAA1E-E638-4784-B0BF-D355F90E7049}" name="OPP DR" dataDxfId="874"/>
    <tableColumn id="121" xr3:uid="{B1B56218-4A2C-4385-927C-BB52FEA53877}" name="OPP TR" dataDxfId="873"/>
    <tableColumn id="122" xr3:uid="{A2FA9E8A-5B85-413E-B221-0B3959F80967}" name="OPP AST" dataDxfId="872"/>
    <tableColumn id="123" xr3:uid="{388D762C-D41E-4689-93AE-232A07F384F7}" name="OPP PF" dataDxfId="871"/>
    <tableColumn id="124" xr3:uid="{1133809C-611E-47F6-895A-0BC17F84F50C}" name="OPP DF" dataDxfId="870"/>
    <tableColumn id="125" xr3:uid="{6E102382-A822-4EF5-BAE7-21BDCE16A65B}" name="OPP ST" dataDxfId="869"/>
    <tableColumn id="126" xr3:uid="{1795F42F-A854-49D3-9F10-008D645925B6}" name="OPP TO" dataDxfId="868"/>
    <tableColumn id="127" xr3:uid="{E05E5528-38EA-4D9F-A910-1FF07B83C012}" name="OPP BLK" dataDxfId="867"/>
    <tableColumn id="128" xr3:uid="{3EEDF686-81F3-44F5-B35F-F08C4F4F78F9}" name="OPP BLKA" dataDxfId="866"/>
    <tableColumn id="129" xr3:uid="{E85066C7-E6B4-48F8-9669-3B5013D66453}" name="OPP VAL" dataDxfId="865"/>
    <tableColumn id="130" xr3:uid="{19EDB4CB-9139-4747-A4BB-1AD307D86037}" name="OPP + / -" dataDxfId="864"/>
    <tableColumn id="131" xr3:uid="{636D0A4B-A2FE-4489-BA26-1CE76BD93464}" name="OPP POSS" dataDxfId="863"/>
    <tableColumn id="194" xr3:uid="{58B2BBB5-7C54-47B1-B7BF-FBB68ED75FE8}" name="OPP SHOOTING CHANCES" dataDxfId="862"/>
    <tableColumn id="204" xr3:uid="{5B11502D-BE32-4C8F-939A-FE833DD049A4}" name="OPP KILLS" dataDxfId="861"/>
    <tableColumn id="132" xr3:uid="{0B448855-23E9-4ADB-B181-7EF5B5582A47}" name="OPP ASTED_2FG" dataDxfId="860"/>
    <tableColumn id="133" xr3:uid="{6C9FFCF3-9949-4215-B11E-7F07B15A72D2}" name="OPP ASTED_3FG" dataDxfId="859"/>
    <tableColumn id="134" xr3:uid="{F1BC47EF-6CF6-466F-8FFF-7AD996FF8DE8}" name="OPP ASTED_FT" dataDxfId="858"/>
    <tableColumn id="135" xr3:uid="{635BE640-3610-4281-834F-0A36A3ECEC8C}" name="OPP ASTED_FT PTS" dataDxfId="857"/>
    <tableColumn id="136" xr3:uid="{ED3F07C4-1CD8-4C5E-8F4D-90515D93DD4C}" name="OPP OR_RIM" dataDxfId="856"/>
    <tableColumn id="137" xr3:uid="{48EFAAC7-1867-43D1-9923-E15C53D30305}" name="OPP TM OR_RIM" dataDxfId="855"/>
    <tableColumn id="138" xr3:uid="{9838C654-D90E-4151-93B4-3E1D9F2A0641}" name="OPP OR_PAINT" dataDxfId="854"/>
    <tableColumn id="139" xr3:uid="{AB0CBE17-1DAB-4BDB-9F5B-B03C34167511}" name="OPP TM OR_PAINT" dataDxfId="853"/>
    <tableColumn id="140" xr3:uid="{562046E4-189E-48C9-93D0-E5BF91CD65D0}" name="OPP OR_NP2" dataDxfId="852"/>
    <tableColumn id="141" xr3:uid="{A1AC936A-CF9C-42AF-A772-54E9F477F8AB}" name="OPP TM OR_NP2" dataDxfId="851"/>
    <tableColumn id="142" xr3:uid="{CFE0EC11-38CC-4595-93EC-8B734476B356}" name="OPP OR_3C" dataDxfId="850"/>
    <tableColumn id="143" xr3:uid="{AE189458-057B-4299-8FCF-7C273226505D}" name="OPP TM OR_3C" dataDxfId="849"/>
    <tableColumn id="144" xr3:uid="{D0422BD2-8B14-4311-BE9D-9670B0D6CD4C}" name="OPP OR_3L" dataDxfId="848"/>
    <tableColumn id="145" xr3:uid="{D2010F10-9B66-43E8-A4D4-35366E748EC8}" name="OPP TM OR_3L" dataDxfId="847"/>
    <tableColumn id="146" xr3:uid="{91058E80-D1A7-4274-93AF-26362301E226}" name="OPP OR_FT" dataDxfId="846"/>
    <tableColumn id="147" xr3:uid="{3776EA00-F4E2-4AA8-83B3-1C27D1A0FB20}" name="OPP TM OR_FT" dataDxfId="845"/>
    <tableColumn id="148" xr3:uid="{2934AFEE-5526-49FC-9359-12780A111D77}" name="OPP DR_RIM" dataDxfId="844"/>
    <tableColumn id="149" xr3:uid="{7BE46911-301C-4402-B4DA-96047E7F27EA}" name="OPP TM DR_RIM" dataDxfId="843"/>
    <tableColumn id="150" xr3:uid="{DB62A496-599A-4FC4-8669-00467BA0025E}" name="OPP DR_PAINT" dataDxfId="842"/>
    <tableColumn id="151" xr3:uid="{88667327-80DE-4F61-87D2-82C0A361F782}" name="OPP TM DR_PAINT" dataDxfId="841"/>
    <tableColumn id="152" xr3:uid="{EE56958A-96CB-413E-BE9E-A37B16FB594D}" name="OPP DR_NP2" dataDxfId="840"/>
    <tableColumn id="153" xr3:uid="{9ACD8FAF-BCD5-4F48-B60D-6D8E36825DF2}" name="OPP TM DR_NP2" dataDxfId="839"/>
    <tableColumn id="154" xr3:uid="{6ACCB387-7F02-407C-8C89-BDBDC94A164C}" name="OPP DR_3C" dataDxfId="838"/>
    <tableColumn id="155" xr3:uid="{664A38D1-587E-4712-91C5-8609371F2DAA}" name="OPP TM DR_3C" dataDxfId="837"/>
    <tableColumn id="156" xr3:uid="{69BF14FA-1919-40D0-A94C-6F6953677CC7}" name="OPP DR_3L" dataDxfId="836"/>
    <tableColumn id="157" xr3:uid="{8AC53118-19E1-4B5B-AEE1-00557C8ABBDA}" name="OPP TM DR_3L" dataDxfId="835"/>
    <tableColumn id="158" xr3:uid="{5FA634A1-3C81-43A8-A413-502645720822}" name="OPP DR_FT" dataDxfId="834"/>
    <tableColumn id="159" xr3:uid="{B8A051BA-7BB2-46F4-ADC8-AFBE9DE7B7B0}" name="OPP TM DR_FT" dataDxfId="833"/>
    <tableColumn id="160" xr3:uid="{2CDC7A7E-36D7-4CD7-903C-A9534A5A09B9}" name="OPP FTM_T" dataDxfId="832"/>
    <tableColumn id="161" xr3:uid="{97D6F8ED-6552-4403-8157-AA4587BFA2EA}" name="OPP FTA_T" dataDxfId="831"/>
    <tableColumn id="162" xr3:uid="{02D76684-557C-4332-915F-A73CABD26348}" name="OPP FTM_1" dataDxfId="830"/>
    <tableColumn id="163" xr3:uid="{0BB2D647-548E-4C75-A692-E07CC4BD19CB}" name="OPP FTA_1" dataDxfId="829"/>
    <tableColumn id="164" xr3:uid="{279DC68C-D120-49E0-9D2C-3BC262EA7650}" name="OPP FTM_2" dataDxfId="828"/>
    <tableColumn id="165" xr3:uid="{A0BE14BE-25AB-4C24-A9C2-E5F2D7451BC9}" name="OPP FTA_2" dataDxfId="827"/>
    <tableColumn id="166" xr3:uid="{1D66D077-6078-487B-B254-96D5B104DB8C}" name="OPP FT 0/2" dataDxfId="826"/>
    <tableColumn id="167" xr3:uid="{96B04BD3-CBD0-43A7-9514-FD9AB938EAE7}" name="OPP FTM_3" dataDxfId="825"/>
    <tableColumn id="168" xr3:uid="{48616B96-E4A1-4338-B25B-D6434C11F1E2}" name="OPP FTA_3" dataDxfId="824"/>
    <tableColumn id="169" xr3:uid="{C8CD8C75-61C1-4D40-AC64-34F97C348F1C}" name="OPP FT 0/3" dataDxfId="823"/>
    <tableColumn id="170" xr3:uid="{FB374F8E-249D-46EE-A9EB-E9626A052506}" name="OPP RIM_M" dataDxfId="822"/>
    <tableColumn id="171" xr3:uid="{D5A53628-E7E9-43B7-9FE6-802FB8A57150}" name="OPP RIM_A" dataDxfId="821"/>
    <tableColumn id="172" xr3:uid="{F6EBF460-B41A-4E9B-8E90-D67F19AD9DE0}" name="OPP PAINT_M" dataDxfId="820"/>
    <tableColumn id="173" xr3:uid="{55EA41DB-9836-444A-B4EC-271C85283CC7}" name="OPP PAINT_A" dataDxfId="819"/>
    <tableColumn id="174" xr3:uid="{ED70B8E1-2171-4192-9D1B-0D5DB27AF8AB}" name="OPP MID_M" dataDxfId="818"/>
    <tableColumn id="175" xr3:uid="{8C9A04E1-6F3B-4DEF-A948-4456F7A4403B}" name="OPP MID_A" dataDxfId="817"/>
    <tableColumn id="176" xr3:uid="{5C5AD454-B7A8-4F41-B8D3-CF512DC51E51}" name="OPP 3C_M" dataDxfId="816"/>
    <tableColumn id="177" xr3:uid="{40685C77-DFF5-4823-9F69-AE53FF3207FB}" name="OPP 3C_A" dataDxfId="815"/>
    <tableColumn id="178" xr3:uid="{794E64E4-E125-44BB-89FF-A75888CF68A3}" name="OPP 3L_M" dataDxfId="814"/>
    <tableColumn id="179" xr3:uid="{7EFF3136-6330-4234-9665-14C757E5754D}" name="OPP 3L_A" dataDxfId="813"/>
    <tableColumn id="180" xr3:uid="{2E7C41F1-38CF-4F39-B459-A5A05E37F5A3}" name="OPP 3H_M" dataDxfId="812"/>
    <tableColumn id="181" xr3:uid="{D7DF63A5-5E53-4A26-BCB6-2DEDBD17E20C}" name="OPP 3H_A" dataDxfId="811"/>
  </tableColumns>
  <tableStyleInfo name="HaS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25E251-407D-46AA-994A-263E4DF188FE}" name="TEAMS_STATS" displayName="TEAMS_STATS" ref="B7:GU40" totalsRowCount="1" headerRowDxfId="810" dataDxfId="809">
  <autoFilter ref="B7:GU39" xr:uid="{5525E251-407D-46AA-994A-263E4DF188FE}">
    <filterColumn colId="1">
      <customFilters>
        <customFilter operator="notEqual" val=" "/>
      </customFilters>
    </filterColumn>
  </autoFilter>
  <tableColumns count="202">
    <tableColumn id="1" xr3:uid="{FE18F5A2-E507-4273-91E9-146FD9E38C73}" name="RNK" dataDxfId="808" totalsRowDxfId="807">
      <calculatedColumnFormula>_xlfn.AGGREGATE(3,5,$C$7:C7)</calculatedColumnFormula>
    </tableColumn>
    <tableColumn id="2" xr3:uid="{469D1F75-CB00-49FF-B95A-06C247480615}" name="TM NAME" dataDxfId="806" totalsRowDxfId="805"/>
    <tableColumn id="3" xr3:uid="{9D8DDCD1-4987-4063-A657-CD020462E8AD}" name="GP" dataDxfId="804" totalsRowDxfId="803">
      <calculatedColumnFormula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calculatedColumnFormula>
    </tableColumn>
    <tableColumn id="4" xr3:uid="{D953EE99-0207-48C8-A07E-6CF1AE3F7549}" name="W" dataDxfId="802" totalsRowDxfId="801">
      <calculatedColumnFormula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calculatedColumnFormula>
    </tableColumn>
    <tableColumn id="5" xr3:uid="{5471F4B5-887B-49CD-8CBE-FF581D65EACB}" name="L" dataDxfId="800" totalsRowDxfId="799">
      <calculatedColumnFormula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calculatedColumnFormula>
    </tableColumn>
    <tableColumn id="6" xr3:uid="{9237CD23-F2E3-4775-9E2B-74F7341A5CE2}" name="MIN" totalsRowFunction="average" dataDxfId="798" totalsRowDxfId="797">
      <calculatedColumnFormula>IF($D8=0,"DNP",SUMIFS(TEAMS_GbG[MIN],TEAMS_GbG[[TM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" xr3:uid="{04D22C8D-291B-430D-834C-DE1EF9FE2F61}" name="PTS" totalsRowFunction="average" dataDxfId="796" totalsRowDxfId="795">
      <calculatedColumnFormula>IF($D8=0,"DNP",SUMIFS(TEAMS_GbG[PTS],TEAMS_GbG[[TM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" xr3:uid="{7EA1DFDF-33BD-4AB2-8F88-9A8D39B0DE29}" name="2PTM" totalsRowFunction="average" dataDxfId="794" totalsRowDxfId="793">
      <calculatedColumnFormula>IF($D8=0,"DNP",SUMIFS(TEAMS_GbG[2PTM],TEAMS_GbG[[TM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" xr3:uid="{6938CC63-191B-4B32-A568-B920B8F79866}" name="2PTA" totalsRowFunction="average" dataDxfId="792" totalsRowDxfId="791">
      <calculatedColumnFormula>IF($D8=0,"DNP",SUMIFS(TEAMS_GbG[2PTA],TEAMS_GbG[[TM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" xr3:uid="{577D0C2C-0F54-47D8-BDF1-C442A1980B90}" name="2PT%" totalsRowFunction="average" dataDxfId="790" totalsRowDxfId="789">
      <calculatedColumnFormula>IF($D8=0,"DNP",IF(J8=0,"-",I8/J8))</calculatedColumnFormula>
    </tableColumn>
    <tableColumn id="11" xr3:uid="{E3912155-31BE-4352-B191-D9DF6B2C2F8A}" name="3PTM" totalsRowFunction="average" dataDxfId="788" totalsRowDxfId="787">
      <calculatedColumnFormula>IF($D8=0,"DNP",SUMIFS(TEAMS_GbG[3PTM],TEAMS_GbG[[TM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" xr3:uid="{EB6D3AD1-41EA-4E4D-BF83-8A76062F9FA0}" name="3PTA" totalsRowFunction="average" dataDxfId="786" totalsRowDxfId="785">
      <calculatedColumnFormula>IF($D8=0,"DNP",SUMIFS(TEAMS_GbG[3PTA],TEAMS_GbG[[TM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" xr3:uid="{47F3C40C-6A58-4648-BA72-1CCD1079AF8B}" name="3PT%" totalsRowFunction="average" dataDxfId="784" totalsRowDxfId="783">
      <calculatedColumnFormula>IF($D8=0,"DNP",IF(M8=0,"-",L8/M8))</calculatedColumnFormula>
    </tableColumn>
    <tableColumn id="14" xr3:uid="{572F37AC-1329-43A8-927A-ECF775CF8C15}" name="FGM" totalsRowFunction="average" dataDxfId="782" totalsRowDxfId="781">
      <calculatedColumnFormula>IF($D8=0,"DNP",SUMIFS(TEAMS_GbG[FGM],TEAMS_GbG[[TM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" xr3:uid="{F9E75390-9B9B-4718-B98C-E4138DA988A7}" name="FGA" totalsRowFunction="average" dataDxfId="780" totalsRowDxfId="779">
      <calculatedColumnFormula>IF($D8=0,"DNP",SUMIFS(TEAMS_GbG[FGA],TEAMS_GbG[[TM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" xr3:uid="{04C33479-DAED-44A3-823D-B76CB805AB48}" name="FG%" totalsRowFunction="average" dataDxfId="778" totalsRowDxfId="777">
      <calculatedColumnFormula>IF($D8=0,"DNP",IF(P8=0,"-",O8/P8))</calculatedColumnFormula>
    </tableColumn>
    <tableColumn id="17" xr3:uid="{D39FA302-7F15-4309-B09D-8EA81841513C}" name="FTM" totalsRowFunction="average" dataDxfId="776" totalsRowDxfId="775">
      <calculatedColumnFormula>IF($D8=0,"DNP",SUMIFS(TEAMS_GbG[FTM],TEAMS_GbG[[TM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" xr3:uid="{DD70DDCF-64D9-4E35-84FB-DBC8022BD515}" name="FTA" totalsRowFunction="average" dataDxfId="774" totalsRowDxfId="773">
      <calculatedColumnFormula>IF($D8=0,"DNP",SUMIFS(TEAMS_GbG[FTA],TEAMS_GbG[[TM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9" xr3:uid="{71769C97-725E-4725-A25F-59381E875D8C}" name="FT%" totalsRowFunction="average" dataDxfId="772" totalsRowDxfId="771">
      <calculatedColumnFormula>IF($D8=0,"DNP",IF(S8=0,"-",R8/S8))</calculatedColumnFormula>
    </tableColumn>
    <tableColumn id="20" xr3:uid="{90B95EAE-6B67-4595-9E30-BE67A0FEA95D}" name="OR" totalsRowFunction="average" dataDxfId="770" totalsRowDxfId="769">
      <calculatedColumnFormula>IF($D8=0,"DNP",SUMIFS(TEAMS_GbG[OR],TEAMS_GbG[[TM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1" xr3:uid="{7F872D7A-29BF-4F34-A111-DF68D9015E36}" name="DR" totalsRowFunction="average" dataDxfId="768" totalsRowDxfId="767">
      <calculatedColumnFormula>IF($D8=0,"DNP",SUMIFS(TEAMS_GbG[DR],TEAMS_GbG[[TM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2" xr3:uid="{8FA58E81-4B34-4D72-844F-6D3A562CF50F}" name="TR" totalsRowFunction="average" dataDxfId="766" totalsRowDxfId="765">
      <calculatedColumnFormula>IF($D8=0,"DNP",SUMIFS(TEAMS_GbG[TR],TEAMS_GbG[[TM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3" xr3:uid="{5377241D-754C-49BE-A32B-B8B544C015F0}" name="AST" totalsRowFunction="average" dataDxfId="764" totalsRowDxfId="763">
      <calculatedColumnFormula>IF($D8=0,"DNP",SUMIFS(TEAMS_GbG[AST],TEAMS_GbG[[TM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7" xr3:uid="{0D043BC7-8403-4DA0-ABBC-B2B6B1265C3B}" name="TO" totalsRowFunction="average" dataDxfId="762" totalsRowDxfId="761">
      <calculatedColumnFormula>IF($D8=0,"DNP",SUMIFS(TEAMS_GbG[TO],TEAMS_GbG[[TM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6" xr3:uid="{237AF69B-9021-4EBB-8FB3-94D43E025FAD}" name="ST" totalsRowFunction="average" dataDxfId="760" totalsRowDxfId="759">
      <calculatedColumnFormula>IF($D8=0,"DNP",SUMIFS(TEAMS_GbG[ST],TEAMS_GbG[[TM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8" xr3:uid="{984919CB-3AA4-4013-8984-EFAF424B8DF6}" name="BLK" totalsRowFunction="average" dataDxfId="758" totalsRowDxfId="757">
      <calculatedColumnFormula>IF($D8=0,"DNP",SUMIFS(TEAMS_GbG[BLK],TEAMS_GbG[[TM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9" xr3:uid="{1E5918BB-09DB-4A18-8514-06362648B1D0}" name="BLKA" totalsRowFunction="average" dataDxfId="756" totalsRowDxfId="755">
      <calculatedColumnFormula>IF($D8=0,"DNP",SUMIFS(TEAMS_GbG[BLKA],TEAMS_GbG[[TM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4" xr3:uid="{6A611D5C-1A53-4777-9E9E-3A7C46B8404A}" name="PF" totalsRowFunction="average" dataDxfId="754" totalsRowDxfId="753">
      <calculatedColumnFormula>IF($D8=0,"DNP",SUMIFS(TEAMS_GbG[PF],TEAMS_GbG[[TM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5" xr3:uid="{E2A36EB2-5273-475E-88A6-67037D374B3D}" name="DF" totalsRowFunction="average" dataDxfId="752" totalsRowDxfId="751">
      <calculatedColumnFormula>IF($D8=0,"DNP",SUMIFS(TEAMS_GbG[DF],TEAMS_GbG[[TM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30" xr3:uid="{EB03E6E6-1DE8-4D28-8B81-D8F11111A75C}" name="VAL" totalsRowFunction="average" dataDxfId="750" totalsRowDxfId="749">
      <calculatedColumnFormula>IF($D8=0,"DNP",SUMIFS(TEAMS_GbG[VAL],TEAMS_GbG[[TM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31" xr3:uid="{F691E8A7-FDC0-467F-A456-DCE038B7BC4C}" name="+ / -" totalsRowFunction="average" dataDxfId="748" totalsRowDxfId="747">
      <calculatedColumnFormula>IF($D8=0,"DNP",SUMIFS(TEAMS_GbG[+ / -],TEAMS_GbG[[TM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33" xr3:uid="{6B41B87F-1137-4CFE-AA7E-54DF11D44B18}" name="PACE" totalsRowFunction="average" dataDxfId="746" totalsRowDxfId="745">
      <calculatedColumnFormula>IF($D8=0,"DNP",AH8/G8*200)</calculatedColumnFormula>
    </tableColumn>
    <tableColumn id="32" xr3:uid="{D48D477B-185B-4D66-A43C-28DC4DE927E4}" name="POSS" totalsRowFunction="average" dataDxfId="744" totalsRowDxfId="743">
      <calculatedColumnFormula>IF($D8=0,"DNP",SUMIFS(TEAMS_GbG[POSS],TEAMS_GbG[[TM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8" xr3:uid="{358F8E4E-218A-4929-BB59-F91B4E9964BA}" name="SHOOTING CHANCES" totalsRowFunction="average" dataDxfId="742" totalsRowDxfId="741">
      <calculatedColumnFormula>IF($D8=0,"DNP",SUMIFS(TEAMS_GbG[SHOOTING CHANCES],TEAMS_GbG[[TM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9" xr3:uid="{47252123-465C-47F2-8695-A74053F8BF9D}" name="OFF PPP" totalsRowFunction="average" dataDxfId="740" totalsRowDxfId="739">
      <calculatedColumnFormula>IF($D8=0,"DNP",H8/AI8)</calculatedColumnFormula>
    </tableColumn>
    <tableColumn id="190" xr3:uid="{7B509350-B6F9-4052-8465-82808887D50B}" name="DEF PPP" totalsRowFunction="average" dataDxfId="738" totalsRowDxfId="737">
      <calculatedColumnFormula>IF($D8=0,"DNP",DU8/EU8)</calculatedColumnFormula>
    </tableColumn>
    <tableColumn id="34" xr3:uid="{4780BBA9-21C4-4CE6-8061-5C1434B644A0}" name="OFF RTG" totalsRowFunction="average" dataDxfId="736" totalsRowDxfId="735">
      <calculatedColumnFormula>IF($D8=0,"DNP",H8/AH8*100)</calculatedColumnFormula>
    </tableColumn>
    <tableColumn id="35" xr3:uid="{402A80BA-D3A3-4D0B-B3BA-5FCF835FB6C1}" name="DEF RTG" totalsRowFunction="average" dataDxfId="734" totalsRowDxfId="733">
      <calculatedColumnFormula>IF($D8=0,"DNP",DU8/ET8*100)</calculatedColumnFormula>
    </tableColumn>
    <tableColumn id="36" xr3:uid="{703ED587-CAC6-474D-BF1E-2FC6B5C7944D}" name="NET RTG" totalsRowFunction="average" dataDxfId="732" totalsRowDxfId="731">
      <calculatedColumnFormula>IF($D8=0,"DNP",AL8-AM8)</calculatedColumnFormula>
    </tableColumn>
    <tableColumn id="60" xr3:uid="{947DE78B-9C63-4853-87A0-21D09174BFF4}" name="eFG%" totalsRowFunction="average" dataDxfId="730" totalsRowDxfId="729">
      <calculatedColumnFormula>IF($D8=0,"DNP",(I8+1.5*L8)/P8)</calculatedColumnFormula>
    </tableColumn>
    <tableColumn id="61" xr3:uid="{D7C6F476-5145-4F29-B3F3-8006671EF8EE}" name="TS%" totalsRowFunction="average" dataDxfId="728" totalsRowDxfId="727">
      <calculatedColumnFormula>IF($D8=0,"DNP",H8/(2*(P8+DD8/2+DG8/3)))</calculatedColumnFormula>
    </tableColumn>
    <tableColumn id="192" xr3:uid="{40F290EA-E1E4-424A-A0D6-9112FD5787A9}" name="RIM FREQ" totalsRowFunction="average" dataDxfId="726" totalsRowDxfId="725">
      <calculatedColumnFormula>IF($D8=0,"DNP",IF($AI8=0,"-",DJ8/$AI8))</calculatedColumnFormula>
    </tableColumn>
    <tableColumn id="193" xr3:uid="{FBC593A7-A993-473C-A203-8E328F5F69D7}" name="RIM PPS" totalsRowFunction="average" dataDxfId="724" totalsRowDxfId="723">
      <calculatedColumnFormula>IF($D8=0,"DNP",IF(DJ8=0,"-",2*DI8/DJ8))</calculatedColumnFormula>
    </tableColumn>
    <tableColumn id="194" xr3:uid="{40FAED9F-0142-413F-95FF-07A664B5261C}" name="PAINT FREQ" totalsRowFunction="average" dataDxfId="722" totalsRowDxfId="721">
      <calculatedColumnFormula>IF($D8=0,"DNP",IF($AI8=0,"-",DL8/$AI8))</calculatedColumnFormula>
    </tableColumn>
    <tableColumn id="195" xr3:uid="{D4F2F7DF-2901-474E-9C01-094D61EE237F}" name="PAINT PPS" totalsRowFunction="average" dataDxfId="720" totalsRowDxfId="719">
      <calculatedColumnFormula>IF($D8=0,"DNP",IF(DL8=0,"-",2*DK8/DL8))</calculatedColumnFormula>
    </tableColumn>
    <tableColumn id="196" xr3:uid="{58FE6C34-463E-4862-B7EC-0AC9307B5E63}" name="MID FREQ" totalsRowFunction="average" dataDxfId="718" totalsRowDxfId="717">
      <calculatedColumnFormula>IF($D8=0,"DNP",IF($AI8=0,"-",DN8/$AI8))</calculatedColumnFormula>
    </tableColumn>
    <tableColumn id="197" xr3:uid="{0C93E266-4F62-40C8-BCAC-4AAC11360A36}" name="MID PPS" totalsRowFunction="average" dataDxfId="716" totalsRowDxfId="715">
      <calculatedColumnFormula>IF($D8=0,"DNP",IF(DN8=0,"-",2*DM8/DN8))</calculatedColumnFormula>
    </tableColumn>
    <tableColumn id="198" xr3:uid="{1B256697-3935-4CD8-BDB7-3F2A639426D1}" name="C3 FREQ" totalsRowFunction="average" dataDxfId="714" totalsRowDxfId="713">
      <calculatedColumnFormula>IF($D8=0,"DNP",IF($AI8=0,"-",DP8/$AI8))</calculatedColumnFormula>
    </tableColumn>
    <tableColumn id="199" xr3:uid="{3545C764-A745-4E3E-BA6A-A3A5F4D66055}" name="C3 PPS" totalsRowFunction="average" dataDxfId="712" totalsRowDxfId="711">
      <calculatedColumnFormula>IF($D8=0,"DNP",IF(DP8=0,"-",3*DO8/DP8))</calculatedColumnFormula>
    </tableColumn>
    <tableColumn id="37" xr3:uid="{CF76C5C2-EC11-45ED-9556-DED5C41B52E5}" name="L3 FREQ" totalsRowFunction="average" dataDxfId="710" totalsRowDxfId="709">
      <calculatedColumnFormula>IF($D8=0,"DNP",IF($AI8=0,"-",DR8/$AI8))</calculatedColumnFormula>
    </tableColumn>
    <tableColumn id="38" xr3:uid="{FC5B0C93-B485-4610-BC08-684E97062104}" name="L3 PPS" totalsRowFunction="average" dataDxfId="708" totalsRowDxfId="707">
      <calculatedColumnFormula>IF($D8=0,"DNP",IF(DR8=0,"-",3*DQ8/DR8))</calculatedColumnFormula>
    </tableColumn>
    <tableColumn id="39" xr3:uid="{6325FC32-E504-498F-83AD-9D265CDAE10A}" name="FT Ratio" totalsRowFunction="average" dataDxfId="706" totalsRowDxfId="705">
      <calculatedColumnFormula>IF($D8=0,"DNP",(DD8/2+DG8/3)/AI8)</calculatedColumnFormula>
    </tableColumn>
    <tableColumn id="55" xr3:uid="{D90352E3-817D-40FD-B127-21F0B8889059}" name="TO%" totalsRowFunction="average" dataDxfId="704" totalsRowDxfId="703">
      <calculatedColumnFormula>IF($D8=0,"DNP",Y8/(AH8+U8))</calculatedColumnFormula>
    </tableColumn>
    <tableColumn id="49" xr3:uid="{220F555F-011B-4B36-A3F5-5D0E161124B3}" name="AST%" totalsRowFunction="average" dataDxfId="702" totalsRowDxfId="701">
      <calculatedColumnFormula>IF($D8=0,"DNP",(BW8+BX8+BY8)/(O8+DD8/2-DE8+DG8/3-DH8))</calculatedColumnFormula>
    </tableColumn>
    <tableColumn id="50" xr3:uid="{BD5D10C3-D492-4C5E-9E94-679DFB77CCE9}" name="AST% (2P)" totalsRowFunction="average" dataDxfId="700" totalsRowDxfId="699">
      <calculatedColumnFormula>IF($D8=0,"DNP",(BW8/I8))</calculatedColumnFormula>
    </tableColumn>
    <tableColumn id="51" xr3:uid="{4C75EC63-AF18-46D1-9B1F-70D9950BD060}" name="AST% (3P)" totalsRowFunction="average" dataDxfId="698" totalsRowDxfId="697">
      <calculatedColumnFormula>IF($D8=0,"DNP",IFERROR(BX8/L8,"-"))</calculatedColumnFormula>
    </tableColumn>
    <tableColumn id="52" xr3:uid="{D2F3D257-3905-43F3-AEF4-A4F27C24AE1A}" name="AST% (FT)" totalsRowFunction="average" dataDxfId="696" totalsRowDxfId="695">
      <calculatedColumnFormula>IF($D8=0,"DNP",(BY8/(DD8/2-DE8+DG8/3-DH8)))</calculatedColumnFormula>
    </tableColumn>
    <tableColumn id="53" xr3:uid="{6496DC31-B6CE-49F5-877C-51F3050CFDC5}" name="AST Ratio" totalsRowFunction="average" dataDxfId="694" totalsRowDxfId="693">
      <calculatedColumnFormula>IF($D8=0,"DNP",X8/(AH8+U8))</calculatedColumnFormula>
    </tableColumn>
    <tableColumn id="54" xr3:uid="{36A47827-D406-42CC-A02A-B9B174680C29}" name="AST/TO" totalsRowFunction="average" dataDxfId="692" totalsRowDxfId="691">
      <calculatedColumnFormula>IF($D8=0,"DNP",X8/Y8)</calculatedColumnFormula>
    </tableColumn>
    <tableColumn id="40" xr3:uid="{08B6DC89-6129-4269-A21D-5DE8F9039BDD}" name="OR%" totalsRowFunction="average" dataDxfId="690" totalsRowDxfId="689">
      <calculatedColumnFormula>IF($D8=0,"DNP",U8/(U8+EI8))</calculatedColumnFormula>
    </tableColumn>
    <tableColumn id="41" xr3:uid="{78362D3A-4698-4A80-A4E9-C1EDB10B64DB}" name="OR% (after 2P)" totalsRowFunction="average" dataDxfId="688" totalsRowDxfId="687">
      <calculatedColumnFormula>IF($D8=0,"DNP",(CA8+CB8+CC8+CD8+CE8+CF8)/(CA8+CB8+CC8+CD8+CE8+CF8+FM8+FN8+FO8+FP8+FQ8+FR8))</calculatedColumnFormula>
    </tableColumn>
    <tableColumn id="42" xr3:uid="{47EE9A36-C021-4768-A914-850E9561DB38}" name="OR% (after 3P)" totalsRowFunction="average" dataDxfId="686" totalsRowDxfId="685">
      <calculatedColumnFormula>IF($D8=0,"DNP",(CG8+CH8+CI8+CJ8)/(CG8+CH8+CI8+CJ8+FS8+FT8+FU8+FV8))</calculatedColumnFormula>
    </tableColumn>
    <tableColumn id="43" xr3:uid="{EEA5CC36-62A6-4563-9D02-FA0B0E20CD84}" name="OR% (after FT)" totalsRowFunction="average" dataDxfId="684" totalsRowDxfId="683">
      <calculatedColumnFormula>IF($D8=0,"DNP",IF(CK8+CL8+FW8+FX8=0,"-",(CK8+CL8)/(CK8+CL8+FW8+FX8)))</calculatedColumnFormula>
    </tableColumn>
    <tableColumn id="44" xr3:uid="{CBA2C136-2624-4434-BCAE-1A5CB7931393}" name="DR%" totalsRowFunction="average" dataDxfId="682" totalsRowDxfId="681">
      <calculatedColumnFormula>IF($D8=0,"DNP",V8/(V8+EH8))</calculatedColumnFormula>
    </tableColumn>
    <tableColumn id="45" xr3:uid="{8C2BDB90-BFCD-4862-8EE6-9ABCA48AAC52}" name="DR% (after 2P)" totalsRowFunction="average" dataDxfId="680" totalsRowDxfId="679">
      <calculatedColumnFormula>IF($D8=0,"DNP",(CM8+CN8+CO8+CP8+CQ8+CR8)/(CM8+CN8+CO8+CP8+CQ8+CR8+FA8+FB8+FC8+FD8+FE8+FF8))</calculatedColumnFormula>
    </tableColumn>
    <tableColumn id="46" xr3:uid="{87AEA007-23C8-4EF7-92FE-5DBE0CC9A30A}" name="DR% (after 3P)" totalsRowFunction="average" dataDxfId="678" totalsRowDxfId="677">
      <calculatedColumnFormula>IF($D8=0,"DNP",(CS8+CT8+CU8+CV8)/(CS8+CT8+CU8+CV8+FG8+FH8+FI8+FJ8))</calculatedColumnFormula>
    </tableColumn>
    <tableColumn id="47" xr3:uid="{1301CECB-ED6D-41CC-81DE-BA94A49E9AEC}" name="DR% (after FT)" totalsRowFunction="average" dataDxfId="676" totalsRowDxfId="675">
      <calculatedColumnFormula>IF($D8=0,"DNP",IF(CW8+CX8+FK8+FL8=0,"-",(CW8+CX8)/(CW8+CX8+FK8+FL8)))</calculatedColumnFormula>
    </tableColumn>
    <tableColumn id="48" xr3:uid="{4963D8B6-563E-4DC4-B6C5-E01333848073}" name="TR%" totalsRowFunction="average" dataDxfId="674" totalsRowDxfId="673">
      <calculatedColumnFormula>IF($D8=0,"DNP",W8/(W8+EJ8))</calculatedColumnFormula>
    </tableColumn>
    <tableColumn id="56" xr3:uid="{5CAC01F7-27E7-422B-8B8C-B800E9F1D0A3}" name="ST%" totalsRowFunction="average" dataDxfId="672" totalsRowDxfId="671">
      <calculatedColumnFormula>IF($D8=0,"DNP",Z8/ET8)</calculatedColumnFormula>
    </tableColumn>
    <tableColumn id="59" xr3:uid="{40266446-E336-4159-983D-A5A56690D46C}" name="BLK%" totalsRowFunction="average" dataDxfId="670" totalsRowDxfId="669">
      <calculatedColumnFormula>IF($D8=0,"DNP",AA8/EC8)</calculatedColumnFormula>
    </tableColumn>
    <tableColumn id="200" xr3:uid="{A9DD1E33-DE5E-426D-B051-32866005562B}" name="KILLS" totalsRowFunction="average" dataDxfId="668" totalsRowDxfId="667">
      <calculatedColumnFormula>IF($D8=0,"DNP",SUMIFS(TEAMS_GbG[KILLS],TEAMS_GbG[[TM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57" xr3:uid="{ED8812F5-C9E2-4D0B-BA99-2A76DEE1003C}" name="PSF FREQ" totalsRowFunction="average" dataDxfId="666" totalsRowDxfId="665">
      <calculatedColumnFormula>IF($D8=0,"DNP",(GB8+GD8/2+GG8/3)/AC8)</calculatedColumnFormula>
    </tableColumn>
    <tableColumn id="58" xr3:uid="{EA278000-FF7C-45F5-89EE-54D3AAFAB7A5}" name="DSF FREQ" totalsRowFunction="average" dataDxfId="664" totalsRowDxfId="663">
      <calculatedColumnFormula>IF($D8=0,"DNP",IFERROR((DB8+DD8/2+DG8/3)/AD8,"-"))</calculatedColumnFormula>
    </tableColumn>
    <tableColumn id="62" xr3:uid="{F35521ED-5AFD-4AA7-99F6-EF51F00DE1A7}" name="ASTED_2FG" totalsRowFunction="average" dataDxfId="662" totalsRowDxfId="661">
      <calculatedColumnFormula>IF($D8=0,"DNP",SUMIFS(TEAMS_GbG[ASTED_2FG],TEAMS_GbG[[TM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3" xr3:uid="{7A3E890C-B5B7-4778-947A-0AB68497F531}" name="ASTED_3FG" totalsRowFunction="average" dataDxfId="660" totalsRowDxfId="659">
      <calculatedColumnFormula>IF($D8=0,"DNP",SUMIFS(TEAMS_GbG[ASTED_3FG],TEAMS_GbG[[TM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4" xr3:uid="{CD6C7056-D75B-4968-BB8F-16A56209A799}" name="ASTED_FT" totalsRowFunction="average" dataDxfId="658" totalsRowDxfId="657">
      <calculatedColumnFormula>IF($D8=0,"DNP",SUMIFS(TEAMS_GbG[ASTED_FT],TEAMS_GbG[[TM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5" xr3:uid="{9EC9CF90-B693-4DDF-A3F8-CC0741FCCC0A}" name="ASTED_FT PTS" totalsRowFunction="average" dataDxfId="656" totalsRowDxfId="655">
      <calculatedColumnFormula>IF($D8=0,"DNP",SUMIFS(TEAMS_GbG[ASTED_FT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6" xr3:uid="{BDB9A45C-46FC-4FD4-824C-12364E70936A}" name="OR_RIM" totalsRowFunction="average" dataDxfId="654" totalsRowDxfId="653">
      <calculatedColumnFormula>IF($D8=0,"DNP",SUMIFS(TEAMS_GbG[OR_RIM],TEAMS_GbG[[TM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7" xr3:uid="{B47504C9-83C0-4482-A34B-C47DA92E3577}" name="TM OR_RIM" totalsRowFunction="average" dataDxfId="652" totalsRowDxfId="651">
      <calculatedColumnFormula>IF($D8=0,"DNP",SUMIFS(TEAMS_GbG[TM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8" xr3:uid="{E47E49B1-BCA8-4C6A-ABC5-6AC483DCE2A3}" name="OR_PAINT" totalsRowFunction="average" dataDxfId="650" totalsRowDxfId="649">
      <calculatedColumnFormula>IF($D8=0,"DNP",SUMIFS(TEAMS_GbG[OR_PAINT],TEAMS_GbG[[TM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9" xr3:uid="{EF182A53-696D-4A8F-BBD2-82B4670AED82}" name="TM OR_PAINT" totalsRowFunction="average" dataDxfId="648" totalsRowDxfId="647">
      <calculatedColumnFormula>IF($D8=0,"DNP",SUMIFS(TEAMS_GbG[TM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0" xr3:uid="{0D7AB9CF-6490-4BB0-9ED2-E9227F450C17}" name="OR_NP2" totalsRowFunction="average" dataDxfId="646" totalsRowDxfId="645">
      <calculatedColumnFormula>IF($D8=0,"DNP",SUMIFS(TEAMS_GbG[OR_NP2],TEAMS_GbG[[TM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1" xr3:uid="{A3597BAF-34BD-4AE2-9C45-E28EA206ECFD}" name="TM OR_NP2" totalsRowFunction="average" dataDxfId="644" totalsRowDxfId="643">
      <calculatedColumnFormula>IF($D8=0,"DNP",SUMIFS(TEAMS_GbG[TM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2" xr3:uid="{24E59B09-D3AA-4DC8-AA31-3C2A33793872}" name="OR_3C" totalsRowFunction="average" dataDxfId="642" totalsRowDxfId="641">
      <calculatedColumnFormula>IF($D8=0,"DNP",SUMIFS(TEAMS_GbG[OR_3C],TEAMS_GbG[[TM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3" xr3:uid="{D89C6D6E-5CC8-46F8-A36F-02B203D1981D}" name="TM OR_3C" totalsRowFunction="average" dataDxfId="640" totalsRowDxfId="639">
      <calculatedColumnFormula>IF($D8=0,"DNP",SUMIFS(TEAMS_GbG[TM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4" xr3:uid="{B512C0FB-B304-4A22-9916-8A48EAAF3481}" name="OR_3L" totalsRowFunction="average" dataDxfId="638" totalsRowDxfId="637">
      <calculatedColumnFormula>IF($D8=0,"DNP",SUMIFS(TEAMS_GbG[OR_3L],TEAMS_GbG[[TM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5" xr3:uid="{BAC9488C-D2AE-43E0-8800-95386FEC0A90}" name="TM OR_3L" totalsRowFunction="average" dataDxfId="636" totalsRowDxfId="635">
      <calculatedColumnFormula>IF($D8=0,"DNP",SUMIFS(TEAMS_GbG[TM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6" xr3:uid="{DE34C133-54ED-474E-B14B-3E684E82BAEB}" name="OR_FT" totalsRowFunction="average" dataDxfId="634" totalsRowDxfId="633">
      <calculatedColumnFormula>IF($D8=0,"DNP",SUMIFS(TEAMS_GbG[OR_FT],TEAMS_GbG[[TM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7" xr3:uid="{5B5E6A35-E8DC-475C-9195-B30AE997C629}" name="TM OR_FT" totalsRowFunction="average" dataDxfId="632" totalsRowDxfId="631">
      <calculatedColumnFormula>IF($D8=0,"DNP",SUMIFS(TEAMS_GbG[TM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8" xr3:uid="{59672B21-43CC-474E-871F-982768AC06C0}" name="DR_RIM" totalsRowFunction="average" dataDxfId="630" totalsRowDxfId="629">
      <calculatedColumnFormula>IF($D8=0,"DNP",SUMIFS(TEAMS_GbG[DR_RIM],TEAMS_GbG[[TM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9" xr3:uid="{E13329E3-BC9D-4F36-A37C-85F8EDFBB43F}" name="TM DR_RIM" totalsRowFunction="average" dataDxfId="628" totalsRowDxfId="627">
      <calculatedColumnFormula>IF($D8=0,"DNP",SUMIFS(TEAMS_GbG[TM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0" xr3:uid="{41CF3B03-4004-432E-B9F6-8C114ADB3724}" name="DR_PAINT" totalsRowFunction="average" dataDxfId="626" totalsRowDxfId="625">
      <calculatedColumnFormula>IF($D8=0,"DNP",SUMIFS(TEAMS_GbG[DR_PAINT],TEAMS_GbG[[TM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1" xr3:uid="{2D475BF4-A9D3-4D58-9D65-55C4637C10A8}" name="TM DR_PAINT" totalsRowFunction="average" dataDxfId="624" totalsRowDxfId="623">
      <calculatedColumnFormula>IF($D8=0,"DNP",SUMIFS(TEAMS_GbG[TM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2" xr3:uid="{623C2481-AE98-4FBF-8993-D752EE40E802}" name="DR_NP2" totalsRowFunction="average" dataDxfId="622" totalsRowDxfId="621">
      <calculatedColumnFormula>IF($D8=0,"DNP",SUMIFS(TEAMS_GbG[DR_NP2],TEAMS_GbG[[TM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3" xr3:uid="{0F8ACC5D-B05E-4432-95A7-0170CF2C4A98}" name="TM DR_NP2" totalsRowFunction="average" dataDxfId="620" totalsRowDxfId="619">
      <calculatedColumnFormula>IF($D8=0,"DNP",SUMIFS(TEAMS_GbG[TM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4" xr3:uid="{47D98CF7-9DCE-4DC0-80EC-1177067AD52B}" name="DR_3C" totalsRowFunction="average" dataDxfId="618" totalsRowDxfId="617">
      <calculatedColumnFormula>IF($D8=0,"DNP",SUMIFS(TEAMS_GbG[DR_3C],TEAMS_GbG[[TM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5" xr3:uid="{0DFBE5D2-1421-4802-AE95-54DD404814A1}" name="TM DR_3C" totalsRowFunction="average" dataDxfId="616" totalsRowDxfId="615">
      <calculatedColumnFormula>IF($D8=0,"DNP",SUMIFS(TEAMS_GbG[TM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6" xr3:uid="{4D2E7241-F3B5-4103-9E79-345B9E61C676}" name="DR_3L" totalsRowFunction="average" dataDxfId="614" totalsRowDxfId="613">
      <calculatedColumnFormula>IF($D8=0,"DNP",SUMIFS(TEAMS_GbG[DR_3L],TEAMS_GbG[[TM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7" xr3:uid="{747B23CE-B792-45B4-B164-52357752C0D0}" name="TM DR_3L" totalsRowFunction="average" dataDxfId="612" totalsRowDxfId="611">
      <calculatedColumnFormula>IF($D8=0,"DNP",SUMIFS(TEAMS_GbG[TM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8" xr3:uid="{BC0D618B-1FEC-4F5B-A7A8-DB90FA295B82}" name="DR_FT" totalsRowFunction="average" dataDxfId="610" totalsRowDxfId="609">
      <calculatedColumnFormula>IF($D8=0,"DNP",SUMIFS(TEAMS_GbG[DR_FT],TEAMS_GbG[[TM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9" xr3:uid="{7AD4B0AC-8489-416F-A81C-3C822584A2E2}" name="TM DR_FT" totalsRowFunction="average" dataDxfId="608" totalsRowDxfId="607">
      <calculatedColumnFormula>IF($D8=0,"DNP",SUMIFS(TEAMS_GbG[TM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0" xr3:uid="{15A641D7-32A6-46FD-B353-0D05F5C70E0F}" name="FTM_T" totalsRowFunction="average" dataDxfId="606" totalsRowDxfId="605">
      <calculatedColumnFormula>IF($D8=0,"DNP",SUMIFS(TEAMS_GbG[FTM_T],TEAMS_GbG[[TM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1" xr3:uid="{42877855-CCA2-4093-BD34-FC871DEE32C7}" name="FTA_T" totalsRowFunction="average" dataDxfId="604" totalsRowDxfId="603">
      <calculatedColumnFormula>IF($D8=0,"DNP",SUMIFS(TEAMS_GbG[FTA_T],TEAMS_GbG[[TM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2" xr3:uid="{4A0E6D5E-241D-414F-8FFE-3470E659BCDF}" name="FTM_1" totalsRowFunction="average" dataDxfId="602" totalsRowDxfId="601">
      <calculatedColumnFormula>IF($D8=0,"DNP",SUMIFS(TEAMS_GbG[FTM_1],TEAMS_GbG[[TM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3" xr3:uid="{189F45EB-982C-40EC-895E-FC9A00F8463D}" name="FTA_1" totalsRowFunction="average" dataDxfId="600" totalsRowDxfId="599">
      <calculatedColumnFormula>IF($D8=0,"DNP",SUMIFS(TEAMS_GbG[FTA_1],TEAMS_GbG[[TM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4" xr3:uid="{F73EEDCE-1FD0-47F7-A60B-ED97157092F3}" name="FTM_2" totalsRowFunction="average" dataDxfId="598" totalsRowDxfId="597">
      <calculatedColumnFormula>IF($D8=0,"DNP",SUMIFS(TEAMS_GbG[FTM_2],TEAMS_GbG[[TM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5" xr3:uid="{A3DC6DE9-CAEB-4DBD-AC5F-8874119F8D6B}" name="FTA_2" totalsRowFunction="average" dataDxfId="596" totalsRowDxfId="595">
      <calculatedColumnFormula>IF($D8=0,"DNP",SUMIFS(TEAMS_GbG[FTA_2],TEAMS_GbG[[TM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6" xr3:uid="{BE7CE3DE-8F8A-4423-BFED-CC161B85508F}" name="FT 0/2" totalsRowFunction="average" dataDxfId="594" totalsRowDxfId="593">
      <calculatedColumnFormula>IF($D8=0,"DNP",SUMIFS(TEAMS_GbG[FT 0/2],TEAMS_GbG[[TM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7" xr3:uid="{F42F305D-90EA-4E70-B852-C4C5931E63EB}" name="FTM_3" totalsRowFunction="average" dataDxfId="592" totalsRowDxfId="591">
      <calculatedColumnFormula>IF($D8=0,"DNP",SUMIFS(TEAMS_GbG[FTM_3],TEAMS_GbG[[TM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8" xr3:uid="{DE2ED0D4-4072-4EF2-8F71-781C77516EBB}" name="FTA_3" totalsRowFunction="average" dataDxfId="590" totalsRowDxfId="589">
      <calculatedColumnFormula>IF($D8=0,"DNP",SUMIFS(TEAMS_GbG[FTA_3],TEAMS_GbG[[TM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9" xr3:uid="{53C5B065-840E-4EE4-8F83-344BD14A8723}" name="FT 0/3" totalsRowFunction="average" dataDxfId="588" totalsRowDxfId="587">
      <calculatedColumnFormula>IF($D8=0,"DNP",SUMIFS(TEAMS_GbG[FT 0/3],TEAMS_GbG[[TM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0" xr3:uid="{302A45E9-166C-4AAC-8A51-7224B35E81E3}" name="RIM_M" totalsRowFunction="average" dataDxfId="586" totalsRowDxfId="585">
      <calculatedColumnFormula>IF($D8=0,"DNP",SUMIFS(TEAMS_GbG[RIM_M],TEAMS_GbG[[TM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1" xr3:uid="{725677E8-F9CC-4392-A20D-46C786DFE997}" name="RIM_A" totalsRowFunction="average" dataDxfId="584" totalsRowDxfId="583">
      <calculatedColumnFormula>IF($D8=0,"DNP",SUMIFS(TEAMS_GbG[RIM_A],TEAMS_GbG[[TM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2" xr3:uid="{0F3744D9-8C01-47E2-8840-D74F6CDC01D0}" name="PAINT_M" totalsRowFunction="average" dataDxfId="582" totalsRowDxfId="581">
      <calculatedColumnFormula>IF($D8=0,"DNP",SUMIFS(TEAMS_GbG[PAINT_M],TEAMS_GbG[[TM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3" xr3:uid="{F71D1E41-F023-472F-94D0-2B6FCB84B11B}" name="PAINT_A" totalsRowFunction="average" dataDxfId="580" totalsRowDxfId="579">
      <calculatedColumnFormula>IF($D8=0,"DNP",SUMIFS(TEAMS_GbG[PAINT_A],TEAMS_GbG[[TM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4" xr3:uid="{0E96ACC7-4552-43DF-BAE2-CF470542A59C}" name="MID_M" totalsRowFunction="average" dataDxfId="578" totalsRowDxfId="577">
      <calculatedColumnFormula>IF($D8=0,"DNP",SUMIFS(TEAMS_GbG[MID_M],TEAMS_GbG[[TM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5" xr3:uid="{9EBEED3F-BAAD-4B87-BC85-B44105A096F5}" name="MID_A" totalsRowFunction="average" dataDxfId="576" totalsRowDxfId="575">
      <calculatedColumnFormula>IF($D8=0,"DNP",SUMIFS(TEAMS_GbG[MID_A],TEAMS_GbG[[TM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6" xr3:uid="{CB5B551F-B21D-4A27-B61C-29E34F0B1997}" name="3C_M" totalsRowFunction="average" dataDxfId="574" totalsRowDxfId="573">
      <calculatedColumnFormula>IF($D8=0,"DNP",SUMIFS(TEAMS_GbG[3C_M],TEAMS_GbG[[TM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7" xr3:uid="{EE8746C5-EF52-4519-AEE4-00DF114F176E}" name="3C_A" totalsRowFunction="average" dataDxfId="572" totalsRowDxfId="571">
      <calculatedColumnFormula>IF($D8=0,"DNP",SUMIFS(TEAMS_GbG[3C_A],TEAMS_GbG[[TM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8" xr3:uid="{97D93752-5CD9-48A2-A1AF-C945F387AB92}" name="3L_M" totalsRowFunction="average" dataDxfId="570" totalsRowDxfId="569">
      <calculatedColumnFormula>IF($D8=0,"DNP",SUMIFS(TEAMS_GbG[3L_M],TEAMS_GbG[[TM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9" xr3:uid="{89743E04-3C5B-4482-B9C2-E3C39ABF24DC}" name="3L_A" totalsRowFunction="average" dataDxfId="568" totalsRowDxfId="567">
      <calculatedColumnFormula>IF($D8=0,"DNP",SUMIFS(TEAMS_GbG[3L_A],TEAMS_GbG[[TM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0" xr3:uid="{577B8D5A-E8BD-4B29-9E86-CDEDC80DCD86}" name="3H_M" totalsRowFunction="average" dataDxfId="566" totalsRowDxfId="565">
      <calculatedColumnFormula>IF($D8=0,"DNP",SUMIFS(TEAMS_GbG[3H_M],TEAMS_GbG[[TM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1" xr3:uid="{5EA2FA73-4F00-46CE-ADEA-CAF77738DD15}" name="3H_A" totalsRowFunction="average" dataDxfId="564" totalsRowDxfId="563">
      <calculatedColumnFormula>IF($D8=0,"DNP",SUMIFS(TEAMS_GbG[3H_A],TEAMS_GbG[[TM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2" xr3:uid="{C4B6C574-25F2-4BA1-9087-3E5CAC7B9E5A}" name="OPP PTS" totalsRowFunction="average" dataDxfId="562" totalsRowDxfId="561">
      <calculatedColumnFormula>IF($D8=0,"DNP",SUMIFS(TEAMS_GbG[OPP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3" xr3:uid="{9BC3C191-82C4-4E0D-A105-6481BC9429ED}" name="OPP 2PTM" totalsRowFunction="average" dataDxfId="560" totalsRowDxfId="559">
      <calculatedColumnFormula>IF($D8=0,"DNP",SUMIFS(TEAMS_GbG[OPP 2PTM],TEAMS_GbG[[TM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4" xr3:uid="{2B61B02C-0A31-4DE6-B3D7-02F0D46C3F99}" name="OPP 2PTA" totalsRowFunction="average" dataDxfId="558" totalsRowDxfId="557">
      <calculatedColumnFormula>IF($D8=0,"DNP",SUMIFS(TEAMS_GbG[OPP 2PTA],TEAMS_GbG[[TM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5" xr3:uid="{D6DD9305-723F-4238-90FC-0E2B69645BB3}" name="OPP 2PT%" totalsRowFunction="average" dataDxfId="556" totalsRowDxfId="555">
      <calculatedColumnFormula>IF($D8=0,"DNP",IF(DW8=0,"-",DV8/DW8))</calculatedColumnFormula>
    </tableColumn>
    <tableColumn id="116" xr3:uid="{77A1B6B2-7627-4476-B0A4-3669D0FA5FC9}" name="OPP 3PTM" totalsRowFunction="average" dataDxfId="554" totalsRowDxfId="553">
      <calculatedColumnFormula>IF($D8=0,"DNP",SUMIFS(TEAMS_GbG[OPP 3PTM],TEAMS_GbG[[TM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7" xr3:uid="{2902EFC8-BCD4-4639-992F-CC2BEC32BF1D}" name="OPP 3PTA" totalsRowFunction="average" dataDxfId="552" totalsRowDxfId="551">
      <calculatedColumnFormula>IF($D8=0,"DNP",SUMIFS(TEAMS_GbG[OPP 3PTA],TEAMS_GbG[[TM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8" xr3:uid="{A1225A00-03F6-47B4-8746-F83808E93556}" name="OPP 3PT%" totalsRowFunction="average" dataDxfId="550" totalsRowDxfId="549">
      <calculatedColumnFormula>IF($D8=0,"DNP",IF(DZ8=0,"-",DY8/DZ8))</calculatedColumnFormula>
    </tableColumn>
    <tableColumn id="119" xr3:uid="{9CA5E697-D130-4AC5-9B89-91E70CB53146}" name="OPP FGM" totalsRowFunction="average" dataDxfId="548" totalsRowDxfId="547">
      <calculatedColumnFormula>IF($D8=0,"DNP",SUMIFS(TEAMS_GbG[OPP FGM],TEAMS_GbG[[TM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0" xr3:uid="{833CADDA-6A2B-4858-A4DF-1C4F2DA40352}" name="OPP FGA" totalsRowFunction="average" dataDxfId="546" totalsRowDxfId="545">
      <calculatedColumnFormula>IF($D8=0,"DNP",SUMIFS(TEAMS_GbG[OPP FGA],TEAMS_GbG[[TM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1" xr3:uid="{7FB2DB99-A70F-45A8-9C84-747872E48F61}" name="OPP FG%" totalsRowFunction="average" dataDxfId="544" totalsRowDxfId="543">
      <calculatedColumnFormula>IF($D8=0,"DNP",IF(EC8=0,"-",EB8/EC8))</calculatedColumnFormula>
    </tableColumn>
    <tableColumn id="122" xr3:uid="{B500DF00-48C5-4D67-BB54-A23594EC006C}" name="OPP FTM" totalsRowFunction="average" dataDxfId="542" totalsRowDxfId="541">
      <calculatedColumnFormula>IF($D8=0,"DNP",SUMIFS(TEAMS_GbG[OPP FTM],TEAMS_GbG[[TM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3" xr3:uid="{7D399AD2-57C0-417E-A764-1E96B0C10331}" name="OPP FTA" totalsRowFunction="average" dataDxfId="540" totalsRowDxfId="539">
      <calculatedColumnFormula>IF($D8=0,"DNP",SUMIFS(TEAMS_GbG[OPP FTA],TEAMS_GbG[[TM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4" xr3:uid="{C9A0619A-4A57-4DBF-8A68-DD421D680C14}" name="OPP FT%" totalsRowFunction="average" dataDxfId="538" totalsRowDxfId="537">
      <calculatedColumnFormula>IF($D8=0,"DNP",IF(EF8=0,"-",EE8/EF8))</calculatedColumnFormula>
    </tableColumn>
    <tableColumn id="125" xr3:uid="{C5AC7506-AB51-4271-BD02-6EEA193C16EB}" name="OPP OR" totalsRowFunction="average" dataDxfId="536" totalsRowDxfId="535">
      <calculatedColumnFormula>IF($D8=0,"DNP",SUMIFS(TEAMS_GbG[OPP OR],TEAMS_GbG[[TM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6" xr3:uid="{9FBFD027-EF52-466D-A34B-1B8A5DBE74A7}" name="OPP DR" totalsRowFunction="average" dataDxfId="534" totalsRowDxfId="533">
      <calculatedColumnFormula>IF($D8=0,"DNP",SUMIFS(TEAMS_GbG[OPP DR],TEAMS_GbG[[TM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7" xr3:uid="{7E141AE6-C245-44DA-92D5-1E065EA3D2E2}" name="OPP TR" totalsRowFunction="average" dataDxfId="532" totalsRowDxfId="531">
      <calculatedColumnFormula>IF($D8=0,"DNP",SUMIFS(TEAMS_GbG[OPP TR],TEAMS_GbG[[TM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8" xr3:uid="{4BBA01C4-2635-40EA-90DF-DE846B5B8E77}" name="OPP AST" totalsRowFunction="average" dataDxfId="530" totalsRowDxfId="529">
      <calculatedColumnFormula>IF($D8=0,"DNP",SUMIFS(TEAMS_GbG[OPP AST],TEAMS_GbG[[TM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9" xr3:uid="{38A8633E-F254-409A-B747-B4DFB936A77F}" name="OPP PF" totalsRowFunction="average" dataDxfId="528" totalsRowDxfId="527">
      <calculatedColumnFormula>IF($D8=0,"DNP",SUMIFS(TEAMS_GbG[OPP PF],TEAMS_GbG[[TM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0" xr3:uid="{A0C09706-55F4-43CC-8D98-D7EF3B6AD1CB}" name="OPP DF" totalsRowFunction="average" dataDxfId="526" totalsRowDxfId="525">
      <calculatedColumnFormula>IF($D8=0,"DNP",SUMIFS(TEAMS_GbG[OPP DF],TEAMS_GbG[[TM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1" xr3:uid="{E9AA0E35-E011-46A2-A500-CB04D6BE070A}" name="OPP ST" totalsRowFunction="average" dataDxfId="524" totalsRowDxfId="523">
      <calculatedColumnFormula>IF($D8=0,"DNP",SUMIFS(TEAMS_GbG[OPP 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2" xr3:uid="{F0E9076B-9EFC-4741-B28E-11FB69A8D5A1}" name="OPP TO" totalsRowFunction="average" dataDxfId="522" totalsRowDxfId="521">
      <calculatedColumnFormula>IF($D8=0,"DNP",SUMIFS(TEAMS_GbG[OPP TO],TEAMS_GbG[[TM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3" xr3:uid="{7FB95EAD-AEB7-48C3-833F-C54E41631C24}" name="OPP BLK" totalsRowFunction="average" dataDxfId="520" totalsRowDxfId="519">
      <calculatedColumnFormula>IF($D8=0,"DNP",SUMIFS(TEAMS_GbG[OPP BLK],TEAMS_GbG[[TM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4" xr3:uid="{41966DDC-3D94-484C-AFDB-A4E2E8BC19D8}" name="OPP BLKA" totalsRowFunction="average" dataDxfId="518" totalsRowDxfId="517">
      <calculatedColumnFormula>IF($D8=0,"DNP",SUMIFS(TEAMS_GbG[OPP BLKA],TEAMS_GbG[[TM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5" xr3:uid="{22F21ECF-4BC7-4C1E-A048-6BB0DF1418C5}" name="OPP VAL" totalsRowFunction="average" dataDxfId="516" totalsRowDxfId="515">
      <calculatedColumnFormula>IF($D8=0,"DNP",SUMIFS(TEAMS_GbG[OPP VAL],TEAMS_GbG[[TM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6" xr3:uid="{AB0FCAFC-5BF0-468D-814B-E481FB3C1F09}" name="OPP + / -" totalsRowFunction="average" dataDxfId="514" totalsRowDxfId="513">
      <calculatedColumnFormula>IF($D8=0,"DNP",SUMIFS(TEAMS_GbG[OPP + / -],TEAMS_GbG[[TM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7" xr3:uid="{8532734E-0BCD-4EDF-9076-F1DAEAF7BEA7}" name="OPP POSS" totalsRowFunction="average" dataDxfId="512" totalsRowDxfId="511">
      <calculatedColumnFormula>IF($D8=0,"DNP",SUMIFS(TEAMS_GbG[OPP POSS],TEAMS_GbG[[TM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91" xr3:uid="{1C030F13-ABCC-4444-8FCF-C1BD8A17E561}" name="OPP SHOOTING CHANCES" totalsRowFunction="average" dataDxfId="510" totalsRowDxfId="509">
      <calculatedColumnFormula>IF($D8=0,"DNP",SUMIFS(TEAMS_GbG[OPP SHOOTING CHANCES],TEAMS_GbG[[TM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01" xr3:uid="{9817EF72-755A-4C03-9D82-73D8FCBA9187}" name="OPP KILLS" totalsRowFunction="average" dataDxfId="508" totalsRowDxfId="507">
      <calculatedColumnFormula>IF($D8=0,"DNP",SUMIFS(TEAMS_GbG[OPP KILLS],TEAMS_GbG[[TM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8" xr3:uid="{963A11DA-2234-4700-B193-9BDCE18E7CBB}" name="OPP ASTED_2FG" totalsRowFunction="average" dataDxfId="506" totalsRowDxfId="505">
      <calculatedColumnFormula>IF($D8=0,"DNP",SUMIFS(TEAMS_GbG[OPP ASTED_2FG],TEAMS_GbG[[TM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9" xr3:uid="{3D3FC13B-4315-4F08-8ADB-1C4C8D79E68C}" name="OPP ASTED_3FG" totalsRowFunction="average" dataDxfId="504" totalsRowDxfId="503">
      <calculatedColumnFormula>IF($D8=0,"DNP",SUMIFS(TEAMS_GbG[OPP ASTED_3FG],TEAMS_GbG[[TM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0" xr3:uid="{54E89979-BB43-4F86-8C54-556C9785F01C}" name="OPP ASTED_FT" totalsRowFunction="average" dataDxfId="502" totalsRowDxfId="501">
      <calculatedColumnFormula>IF($D8=0,"DNP",SUMIFS(TEAMS_GbG[OPP ASTED_FT],TEAMS_GbG[[TM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1" xr3:uid="{809E179D-00A2-4F9E-B58B-79FE506DFA93}" name="OPP ASTED_FT PTS" totalsRowFunction="average" dataDxfId="500" totalsRowDxfId="499">
      <calculatedColumnFormula>IF($D8=0,"DNP",SUMIFS(TEAMS_GbG[OPP ASTED_FT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2" xr3:uid="{7E7D905A-E498-4ACD-AB5B-4F2E10E0E880}" name="OPP OR_RIM" totalsRowFunction="average" dataDxfId="498" totalsRowDxfId="497">
      <calculatedColumnFormula>IF($D8=0,"DNP",SUMIFS(TEAMS_GbG[OPP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3" xr3:uid="{A374FA86-6FC9-49E7-9A88-5B37B17E2DD5}" name="OPP TM OR_RIM" totalsRowFunction="average" dataDxfId="496" totalsRowDxfId="495">
      <calculatedColumnFormula>IF($D8=0,"DNP",SUMIFS(TEAMS_GbG[OPP TM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4" xr3:uid="{FB2203CC-23AE-449B-875B-18ACBAC209F0}" name="OPP OR_PAINT" totalsRowFunction="average" dataDxfId="494" totalsRowDxfId="493">
      <calculatedColumnFormula>IF($D8=0,"DNP",SUMIFS(TEAMS_GbG[OPP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5" xr3:uid="{EF54BE88-7C6D-46B9-B6D0-E2E4629AC35F}" name="OPP TM OR_PAINT" totalsRowFunction="average" dataDxfId="492" totalsRowDxfId="491">
      <calculatedColumnFormula>IF($D8=0,"DNP",SUMIFS(TEAMS_GbG[OPP TM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6" xr3:uid="{61B4DC01-84D1-460D-BC9E-904643844569}" name="OPP OR_NP2" totalsRowFunction="average" dataDxfId="490" totalsRowDxfId="489">
      <calculatedColumnFormula>IF($D8=0,"DNP",SUMIFS(TEAMS_GbG[OPP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7" xr3:uid="{F44C32F6-200C-492C-8F04-2C73118F2CFD}" name="OPP TM OR_NP2" totalsRowFunction="average" dataDxfId="488" totalsRowDxfId="487">
      <calculatedColumnFormula>IF($D8=0,"DNP",SUMIFS(TEAMS_GbG[OPP TM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8" xr3:uid="{4D82D88E-4F20-48F6-92E0-ACF9F2DD2225}" name="OPP OR_3C" totalsRowFunction="average" dataDxfId="486" totalsRowDxfId="485">
      <calculatedColumnFormula>IF($D8=0,"DNP",SUMIFS(TEAMS_GbG[OPP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9" xr3:uid="{6D3F1A3E-C9C8-42B8-8FB6-887A78C36BA1}" name="OPP TM OR_3C" totalsRowFunction="average" dataDxfId="484" totalsRowDxfId="483">
      <calculatedColumnFormula>IF($D8=0,"DNP",SUMIFS(TEAMS_GbG[OPP TM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0" xr3:uid="{17A86FFF-FABD-4CD4-A2A4-465B05112865}" name="OPP OR_3L" totalsRowFunction="average" dataDxfId="482" totalsRowDxfId="481">
      <calculatedColumnFormula>IF($D8=0,"DNP",SUMIFS(TEAMS_GbG[OPP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1" xr3:uid="{72D02F6D-2D0F-422D-ABEB-F9442641DE86}" name="OPP TM OR_3L" totalsRowFunction="average" dataDxfId="480" totalsRowDxfId="479">
      <calculatedColumnFormula>IF($D8=0,"DNP",SUMIFS(TEAMS_GbG[OPP TM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2" xr3:uid="{9C31B72D-0F28-4E3A-A05D-9812C6F84BAC}" name="OPP OR_FT" totalsRowFunction="average" dataDxfId="478" totalsRowDxfId="477">
      <calculatedColumnFormula>IF($D8=0,"DNP",SUMIFS(TEAMS_GbG[OPP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3" xr3:uid="{13A573FF-99B3-4FC8-8482-0E28C9CC5293}" name="OPP TM OR_FT" totalsRowFunction="average" dataDxfId="476" totalsRowDxfId="475">
      <calculatedColumnFormula>IF($D8=0,"DNP",SUMIFS(TEAMS_GbG[OPP TM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4" xr3:uid="{BEA6DF1D-5B37-403C-B4AC-F4C6AD76D701}" name="OPP DR_RIM" totalsRowFunction="average" dataDxfId="474" totalsRowDxfId="473">
      <calculatedColumnFormula>IF($D8=0,"DNP",SUMIFS(TEAMS_GbG[OPP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5" xr3:uid="{DA33ED7A-ED4E-4C48-A419-B56A9832C894}" name="OPP TM DR_RIM" totalsRowFunction="average" dataDxfId="472" totalsRowDxfId="471">
      <calculatedColumnFormula>IF($D8=0,"DNP",SUMIFS(TEAMS_GbG[OPP TM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6" xr3:uid="{A3A6F080-D956-4CEE-BE67-BC0F3E38AC25}" name="OPP DR_PAINT" totalsRowFunction="average" dataDxfId="470" totalsRowDxfId="469">
      <calculatedColumnFormula>IF($D8=0,"DNP",SUMIFS(TEAMS_GbG[OPP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7" xr3:uid="{BCA84F95-E65C-429B-A0FF-E403707C2E79}" name="OPP TM DR_PAINT" totalsRowFunction="average" dataDxfId="468" totalsRowDxfId="467">
      <calculatedColumnFormula>IF($D8=0,"DNP",SUMIFS(TEAMS_GbG[OPP TM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8" xr3:uid="{05BF4D8F-72A8-458B-96D9-A192FBE448D5}" name="OPP DR_NP2" totalsRowFunction="average" dataDxfId="466" totalsRowDxfId="465">
      <calculatedColumnFormula>IF($D8=0,"DNP",SUMIFS(TEAMS_GbG[OPP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9" xr3:uid="{1518836C-1112-4C4E-A364-A433A4463C23}" name="OPP TM DR_NP2" totalsRowFunction="average" dataDxfId="464" totalsRowDxfId="463">
      <calculatedColumnFormula>IF($D8=0,"DNP",SUMIFS(TEAMS_GbG[OPP TM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0" xr3:uid="{0A27A05F-264F-49A8-AF2C-299A7EF0E563}" name="OPP DR_3C" totalsRowFunction="average" dataDxfId="462" totalsRowDxfId="461">
      <calculatedColumnFormula>IF($D8=0,"DNP",SUMIFS(TEAMS_GbG[OPP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1" xr3:uid="{053E5166-755A-4C5E-A381-44BAAB46C4F1}" name="OPP TM DR_3C" totalsRowFunction="average" dataDxfId="460" totalsRowDxfId="459">
      <calculatedColumnFormula>IF($D8=0,"DNP",SUMIFS(TEAMS_GbG[OPP TM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2" xr3:uid="{F11C8658-C1EA-4BF1-9B3E-383F259BFDDF}" name="OPP DR_3L" totalsRowFunction="average" dataDxfId="458" totalsRowDxfId="457">
      <calculatedColumnFormula>IF($D8=0,"DNP",SUMIFS(TEAMS_GbG[OPP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3" xr3:uid="{11458B2C-1A74-4E09-9B91-EB5C3A1E163B}" name="OPP TM DR_3L" totalsRowFunction="average" dataDxfId="456" totalsRowDxfId="455">
      <calculatedColumnFormula>IF($D8=0,"DNP",SUMIFS(TEAMS_GbG[OPP TM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4" xr3:uid="{1530E7B0-8243-4D2B-85F6-718A378A329B}" name="OPP DR_FT" totalsRowFunction="average" dataDxfId="454" totalsRowDxfId="453">
      <calculatedColumnFormula>IF($D8=0,"DNP",SUMIFS(TEAMS_GbG[OPP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5" xr3:uid="{C2DC1CBC-7E30-44F4-8CB6-D57CCB0D3BEE}" name="OPP TM DR_FT" totalsRowFunction="average" dataDxfId="452" totalsRowDxfId="451">
      <calculatedColumnFormula>IF($D8=0,"DNP",SUMIFS(TEAMS_GbG[OPP TM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6" xr3:uid="{00FA24CF-5ED9-4060-8A96-58394BA011FF}" name="OPP FTM_T" totalsRowFunction="average" dataDxfId="450" totalsRowDxfId="449">
      <calculatedColumnFormula>IF($D8=0,"DNP",SUMIFS(TEAMS_GbG[OPP FTM_T],TEAMS_GbG[[TM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7" xr3:uid="{45F14CC3-EDFA-49EB-9249-84BE35A13E53}" name="OPP FTA_T" totalsRowFunction="average" dataDxfId="448" totalsRowDxfId="447">
      <calculatedColumnFormula>IF($D8=0,"DNP",SUMIFS(TEAMS_GbG[OPP FTA_T],TEAMS_GbG[[TM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8" xr3:uid="{A64CF62D-4D32-4168-93F6-36258960DF7F}" name="OPP FTM_1" totalsRowFunction="average" dataDxfId="446" totalsRowDxfId="445">
      <calculatedColumnFormula>IF($D8=0,"DNP",SUMIFS(TEAMS_GbG[OPP FTM_1],TEAMS_GbG[[TM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9" xr3:uid="{7D5B19C4-A0DB-426B-87F7-ED354308DF43}" name="OPP FTA_1" totalsRowFunction="average" dataDxfId="444" totalsRowDxfId="443">
      <calculatedColumnFormula>IF($D8=0,"DNP",SUMIFS(TEAMS_GbG[OPP FTA_1],TEAMS_GbG[[TM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0" xr3:uid="{8EC9EC2E-D4B2-4EF3-BBD6-3D3A218DBA93}" name="OPP FTM_2" totalsRowFunction="average" dataDxfId="442" totalsRowDxfId="441">
      <calculatedColumnFormula>IF($D8=0,"DNP",SUMIFS(TEAMS_GbG[OPP FTM_2],TEAMS_GbG[[TM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1" xr3:uid="{B5734F6C-5B96-46D4-9A43-071A338D1DA2}" name="OPP FTA_2" totalsRowFunction="average" dataDxfId="440" totalsRowDxfId="439">
      <calculatedColumnFormula>IF($D8=0,"DNP",SUMIFS(TEAMS_GbG[OPP FTA_2],TEAMS_GbG[[TM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2" xr3:uid="{517AD336-DC5B-43C3-B470-255C58A72D5A}" name="OPP FT 0/2" totalsRowFunction="average" dataDxfId="438" totalsRowDxfId="437">
      <calculatedColumnFormula>IF($D8=0,"DNP",SUMIFS(TEAMS_GbG[OPP FT 0/2],TEAMS_GbG[[TM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3" xr3:uid="{78367851-DE53-45F5-8650-9B9C0951FCAC}" name="OPP FTM_3" totalsRowFunction="average" dataDxfId="436" totalsRowDxfId="435">
      <calculatedColumnFormula>IF($D8=0,"DNP",SUMIFS(TEAMS_GbG[OPP FTM_3],TEAMS_GbG[[TM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4" xr3:uid="{AD1D9903-FB25-488E-89C7-73D413085FD8}" name="OPP FTA_3" totalsRowFunction="average" dataDxfId="434" totalsRowDxfId="433">
      <calculatedColumnFormula>IF($D8=0,"DNP",SUMIFS(TEAMS_GbG[OPP FTA_3],TEAMS_GbG[[TM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5" xr3:uid="{4612B6F2-25E7-419A-8FB7-A6EFCA5DDF01}" name="OPP FT 0/3" totalsRowFunction="average" dataDxfId="432" totalsRowDxfId="431">
      <calculatedColumnFormula>IF($D8=0,"DNP",SUMIFS(TEAMS_GbG[OPP FT 0/3],TEAMS_GbG[[TM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6" xr3:uid="{EBAACE14-4D4B-4E0E-ABEE-48F088BD5513}" name="OPP RIM_M" totalsRowFunction="average" dataDxfId="430" totalsRowDxfId="429">
      <calculatedColumnFormula>IF($D8=0,"DNP",SUMIFS(TEAMS_GbG[OPP RIM_M],TEAMS_GbG[[TM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7" xr3:uid="{EE10F883-B14C-4EE6-A334-B328562D19CD}" name="OPP RIM_A" totalsRowFunction="average" dataDxfId="428" totalsRowDxfId="427">
      <calculatedColumnFormula>IF($D8=0,"DNP",SUMIFS(TEAMS_GbG[OPP RIM_A],TEAMS_GbG[[TM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8" xr3:uid="{73E3FB25-017B-499C-AA80-40A42112097E}" name="OPP PAINT_M" totalsRowFunction="average" dataDxfId="426" totalsRowDxfId="425">
      <calculatedColumnFormula>IF($D8=0,"DNP",SUMIFS(TEAMS_GbG[OPP PAINT_M],TEAMS_GbG[[TM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9" xr3:uid="{2EA70A75-4290-4F91-A152-50671C37CCB5}" name="OPP PAINT_A" totalsRowFunction="average" dataDxfId="424" totalsRowDxfId="423">
      <calculatedColumnFormula>IF($D8=0,"DNP",SUMIFS(TEAMS_GbG[OPP PAINT_A],TEAMS_GbG[[TM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0" xr3:uid="{DC2190FA-497E-4D99-B188-358A914A71A4}" name="OPP MID_M" totalsRowFunction="average" dataDxfId="422" totalsRowDxfId="421">
      <calculatedColumnFormula>IF($D8=0,"DNP",SUMIFS(TEAMS_GbG[OPP MID_M],TEAMS_GbG[[TM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1" xr3:uid="{A8E1A16B-6199-49D3-A8E4-84DC95C78E9B}" name="OPP MID_A" totalsRowFunction="average" dataDxfId="420" totalsRowDxfId="419">
      <calculatedColumnFormula>IF($D8=0,"DNP",SUMIFS(TEAMS_GbG[OPP MID_A],TEAMS_GbG[[TM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2" xr3:uid="{2831994F-3F84-4134-ADC0-59822C3CDDC3}" name="OPP 3C_M" totalsRowFunction="average" dataDxfId="418" totalsRowDxfId="417">
      <calculatedColumnFormula>IF($D8=0,"DNP",SUMIFS(TEAMS_GbG[OPP 3C_M],TEAMS_GbG[[TM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3" xr3:uid="{238544C4-523F-4516-96C8-74A256E5EC28}" name="OPP 3C_A" totalsRowFunction="average" dataDxfId="416" totalsRowDxfId="415">
      <calculatedColumnFormula>IF($D8=0,"DNP",SUMIFS(TEAMS_GbG[OPP 3C_A],TEAMS_GbG[[TM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4" xr3:uid="{81288F4A-DAAA-4BCA-B690-0C878927F57E}" name="OPP 3L_M" totalsRowFunction="average" dataDxfId="414" totalsRowDxfId="413">
      <calculatedColumnFormula>IF($D8=0,"DNP",SUMIFS(TEAMS_GbG[OPP 3L_M],TEAMS_GbG[[TM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5" xr3:uid="{502609F9-2B7E-45BA-947C-5E338C67DD95}" name="OPP 3L_A" totalsRowFunction="average" dataDxfId="412" totalsRowDxfId="411">
      <calculatedColumnFormula>IF($D8=0,"DNP",SUMIFS(TEAMS_GbG[OPP 3L_A],TEAMS_GbG[[TM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6" xr3:uid="{EBE0178C-51C6-4E4E-A4DF-A3B1BCC00348}" name="OPP 3H_M" totalsRowFunction="average" dataDxfId="410" totalsRowDxfId="409">
      <calculatedColumnFormula>IF($D8=0,"DNP",SUMIFS(TEAMS_GbG[OPP 3H_M],TEAMS_GbG[[TM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7" xr3:uid="{E1BE3519-B33B-4E6B-9BAE-078D95A8A297}" name="OPP 3H_A" totalsRowFunction="average" dataDxfId="408" totalsRowDxfId="407">
      <calculatedColumnFormula>IF($D8=0,"DNP",SUMIFS(TEAMS_GbG[OPP 3H_A],TEAMS_GbG[[TM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02" xr3:uid="{0BDDF526-001A-4010-A04F-B178732EB4CA}" name="SoS" dataDxfId="406" totalsRowDxfId="405">
      <calculatedColumnFormula>IF(TEAMS_STATS[[#This Row],[TM NAME]]="","",INDEX(SoS!$C$113:$C$144,MATCH(TEAMS_STATS[[#This Row],[TM NAME]],SoS!$B$113:$B$144,0)))</calculatedColumnFormula>
    </tableColumn>
  </tableColumns>
  <tableStyleInfo name="HaS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90771E-1234-4569-A228-73E08EF1C041}" name="OPPS_STATS" displayName="OPPS_STATS" ref="B7:GT40" totalsRowCount="1" headerRowDxfId="403" dataDxfId="402">
  <autoFilter ref="B7:GT39" xr:uid="{5525E251-407D-46AA-994A-263E4DF188FE}">
    <filterColumn colId="1">
      <customFilters>
        <customFilter operator="notEqual" val=" "/>
      </customFilters>
    </filterColumn>
  </autoFilter>
  <tableColumns count="201">
    <tableColumn id="1" xr3:uid="{B9C93F7A-D021-4D28-9F16-8C567A1409A5}" name="RNK" dataDxfId="401" totalsRowDxfId="400">
      <calculatedColumnFormula>_xlfn.AGGREGATE(3,5,$C$7:C7)</calculatedColumnFormula>
    </tableColumn>
    <tableColumn id="2" xr3:uid="{2D23C08E-00B2-4AB1-B51D-5175F922C707}" name="TM NAME" dataDxfId="399" totalsRowDxfId="398">
      <calculatedColumnFormula>BASIS_INFO!F3</calculatedColumnFormula>
    </tableColumn>
    <tableColumn id="3" xr3:uid="{5850FAA6-B399-4389-830A-65D250804CC8}" name="GP" dataDxfId="397" totalsRowDxfId="396">
      <calculatedColumnFormula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calculatedColumnFormula>
    </tableColumn>
    <tableColumn id="4" xr3:uid="{7BE26F4D-ED3E-4282-83A2-641C8AB589F7}" name="W" dataDxfId="395" totalsRowDxfId="394">
      <calculatedColumnFormula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calculatedColumnFormula>
    </tableColumn>
    <tableColumn id="5" xr3:uid="{2AF6B54A-8583-410B-BEFF-215B6291DF2C}" name="L" dataDxfId="393" totalsRowDxfId="392">
      <calculatedColumnFormula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calculatedColumnFormula>
    </tableColumn>
    <tableColumn id="6" xr3:uid="{57A967D3-B30F-4CB3-BC05-F29EF29E49C3}" name="MIN" totalsRowFunction="average" dataDxfId="391" totalsRowDxfId="390">
      <calculatedColumnFormula>IF($D8=0,"DNP",SUMIFS(TEAMS_GbG[MIN],TEAMS_GbG[[TM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" xr3:uid="{C42C3269-3DA1-4C9F-9CA9-6F4F1F19D6D6}" name="PTS" totalsRowFunction="average" dataDxfId="389" totalsRowDxfId="388">
      <calculatedColumnFormula>IF($D8=0,"DNP",SUMIFS(TEAMS_GbG[PTS],TEAMS_GbG[[TM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" xr3:uid="{20620128-ED01-41AD-BAA5-97C181B19ED2}" name="2PTM" totalsRowFunction="average" dataDxfId="387" totalsRowDxfId="386">
      <calculatedColumnFormula>IF($D8=0,"DNP",SUMIFS(TEAMS_GbG[2PTM],TEAMS_GbG[[TM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" xr3:uid="{EB7914C2-51AD-4AD7-B492-39337ADA775F}" name="2PTA" totalsRowFunction="average" dataDxfId="385" totalsRowDxfId="384">
      <calculatedColumnFormula>IF($D8=0,"DNP",SUMIFS(TEAMS_GbG[2PTA],TEAMS_GbG[[TM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" xr3:uid="{C7B11F60-F081-4F78-9097-A2DE60B06A8D}" name="2PT%" totalsRowFunction="average" dataDxfId="383" totalsRowDxfId="382">
      <calculatedColumnFormula>IF($D8=0,"DNP",IF(J8=0,"-",I8/J8))</calculatedColumnFormula>
    </tableColumn>
    <tableColumn id="11" xr3:uid="{ED4CA72D-54A5-4C19-8BAE-D9ECBB1C6E0A}" name="3PTM" totalsRowFunction="average" dataDxfId="381" totalsRowDxfId="380">
      <calculatedColumnFormula>IF($D8=0,"DNP",SUMIFS(TEAMS_GbG[3PTM],TEAMS_GbG[[TM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" xr3:uid="{69CE07EC-1271-4B0E-BFB7-12DD5AAE3596}" name="3PTA" totalsRowFunction="average" dataDxfId="379" totalsRowDxfId="378">
      <calculatedColumnFormula>IF($D8=0,"DNP",SUMIFS(TEAMS_GbG[3PTA],TEAMS_GbG[[TM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" xr3:uid="{6BD535EA-1970-4C6F-87C8-AD68249ED769}" name="3PT%" totalsRowFunction="average" dataDxfId="377" totalsRowDxfId="376">
      <calculatedColumnFormula>IF($D8=0,"DNP",IF(M8=0,"-",L8/M8))</calculatedColumnFormula>
    </tableColumn>
    <tableColumn id="14" xr3:uid="{7C8FC256-9351-4755-9446-2FD53C143C43}" name="FGM" totalsRowFunction="average" dataDxfId="375" totalsRowDxfId="374">
      <calculatedColumnFormula>IF($D8=0,"DNP",SUMIFS(TEAMS_GbG[FGM],TEAMS_GbG[[TM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" xr3:uid="{CDF0CD2E-99A2-4B02-A609-EFF83C6447A1}" name="FGA" totalsRowFunction="average" dataDxfId="373" totalsRowDxfId="372">
      <calculatedColumnFormula>IF($D8=0,"DNP",SUMIFS(TEAMS_GbG[FGA],TEAMS_GbG[[TM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" xr3:uid="{69C3F5F4-55DF-421B-9DDA-1A3B47C3E902}" name="FG%" totalsRowFunction="average" dataDxfId="371" totalsRowDxfId="370">
      <calculatedColumnFormula>IF($D8=0,"DNP",IF(P8=0,"-",O8/P8))</calculatedColumnFormula>
    </tableColumn>
    <tableColumn id="17" xr3:uid="{5567324A-DBCE-493E-89D7-C23CE6DD2EE1}" name="FTM" totalsRowFunction="average" dataDxfId="369" totalsRowDxfId="368">
      <calculatedColumnFormula>IF($D8=0,"DNP",SUMIFS(TEAMS_GbG[FTM],TEAMS_GbG[[TM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" xr3:uid="{8F499F9F-FC50-425E-81E4-CA4B3B5018DA}" name="FTA" totalsRowFunction="average" dataDxfId="367" totalsRowDxfId="366">
      <calculatedColumnFormula>IF($D8=0,"DNP",SUMIFS(TEAMS_GbG[FTA],TEAMS_GbG[[TM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9" xr3:uid="{903BC494-27E2-46BF-9979-88631CF9B4DC}" name="FT%" totalsRowFunction="average" dataDxfId="365" totalsRowDxfId="364">
      <calculatedColumnFormula>IF($D8=0,"DNP",IF(S8=0,"-",R8/S8))</calculatedColumnFormula>
    </tableColumn>
    <tableColumn id="20" xr3:uid="{CE10EA8B-57DE-4729-96E0-C6207D1BE14E}" name="OR" totalsRowFunction="average" dataDxfId="363" totalsRowDxfId="362">
      <calculatedColumnFormula>IF($D8=0,"DNP",SUMIFS(TEAMS_GbG[OR],TEAMS_GbG[[TM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1" xr3:uid="{A7DF529B-7C36-4D58-A7CA-C4C43B096D34}" name="DR" totalsRowFunction="average" dataDxfId="361" totalsRowDxfId="360">
      <calculatedColumnFormula>IF($D8=0,"DNP",SUMIFS(TEAMS_GbG[DR],TEAMS_GbG[[TM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2" xr3:uid="{F2F442A0-F1C9-4830-9D9C-8123F8AE169E}" name="TR" totalsRowFunction="average" dataDxfId="359" totalsRowDxfId="358">
      <calculatedColumnFormula>IF($D8=0,"DNP",SUMIFS(TEAMS_GbG[TR],TEAMS_GbG[[TM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3" xr3:uid="{0F9C29F2-88B0-4938-ACFC-02A7FCB3F157}" name="AST" totalsRowFunction="average" dataDxfId="357" totalsRowDxfId="356">
      <calculatedColumnFormula>IF($D8=0,"DNP",SUMIFS(TEAMS_GbG[AST],TEAMS_GbG[[TM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7" xr3:uid="{2BA11055-7E32-4150-9C3C-280D86C6E525}" name="TO" totalsRowFunction="average" dataDxfId="355" totalsRowDxfId="354">
      <calculatedColumnFormula>IF($D8=0,"DNP",SUMIFS(TEAMS_GbG[TO],TEAMS_GbG[[TM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6" xr3:uid="{F7DFC1A4-6E83-4654-AF9D-7B8FDE46B0B6}" name="ST" totalsRowFunction="average" dataDxfId="353" totalsRowDxfId="352">
      <calculatedColumnFormula>IF($D8=0,"DNP",SUMIFS(TEAMS_GbG[ST],TEAMS_GbG[[TM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8" xr3:uid="{3D4D3DA9-2FFD-4BB8-9638-3E18A8D183AA}" name="BLK" totalsRowFunction="average" dataDxfId="351" totalsRowDxfId="350">
      <calculatedColumnFormula>IF($D8=0,"DNP",SUMIFS(TEAMS_GbG[BLK],TEAMS_GbG[[TM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9" xr3:uid="{D213B2FE-A499-4C6D-8BE3-D03AEB30C1CF}" name="BLKA" totalsRowFunction="average" dataDxfId="349" totalsRowDxfId="348">
      <calculatedColumnFormula>IF($D8=0,"DNP",SUMIFS(TEAMS_GbG[BLKA],TEAMS_GbG[[TM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4" xr3:uid="{D7DE8C82-480A-4710-8024-EF2BC492251A}" name="PF" totalsRowFunction="average" dataDxfId="347" totalsRowDxfId="346">
      <calculatedColumnFormula>IF($D8=0,"DNP",SUMIFS(TEAMS_GbG[PF],TEAMS_GbG[[TM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5" xr3:uid="{EB2F0C6A-CC4B-4A63-9FEB-17F111A15A0A}" name="DF" totalsRowFunction="average" dataDxfId="345" totalsRowDxfId="344">
      <calculatedColumnFormula>IF($D8=0,"DNP",SUMIFS(TEAMS_GbG[DF],TEAMS_GbG[[TM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30" xr3:uid="{22F4047D-FD72-465A-81D5-8D69EBE3B89E}" name="VAL" totalsRowFunction="average" dataDxfId="343" totalsRowDxfId="342">
      <calculatedColumnFormula>IF($D8=0,"DNP",SUMIFS(TEAMS_GbG[VAL],TEAMS_GbG[[TM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31" xr3:uid="{F557F0CB-3E0C-4862-B526-6B1B57A1E6A3}" name="+ / -" totalsRowFunction="average" dataDxfId="341" totalsRowDxfId="340">
      <calculatedColumnFormula>IF($D8=0,"DNP",SUMIFS(TEAMS_GbG[+ / -],TEAMS_GbG[[TM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33" xr3:uid="{4C322771-B9C8-4B77-9CB0-1CBCA4C2E333}" name="PACE" totalsRowFunction="average" dataDxfId="339" totalsRowDxfId="338">
      <calculatedColumnFormula>IF($D8=0,"DNP",AH8/G8*200)</calculatedColumnFormula>
    </tableColumn>
    <tableColumn id="32" xr3:uid="{F2BE6D3A-1C83-4BC9-B452-8117255949BC}" name="POSS" totalsRowFunction="average" dataDxfId="337" totalsRowDxfId="336">
      <calculatedColumnFormula>IF($D8=0,"DNP",SUMIFS(TEAMS_GbG[POSS],TEAMS_GbG[[TM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8" xr3:uid="{0206997B-EC88-4443-9DE9-4A0661EEC974}" name="SHOOTING CHANCES" totalsRowFunction="average" dataDxfId="335" totalsRowDxfId="334">
      <calculatedColumnFormula>IF($D8=0,"DNP",SUMIFS(OPPS_GbG[SHOOTING CHANCES],OPPS_GbG[[TM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9" xr3:uid="{5C33C35A-8BF9-4A7D-B1E0-6267E898F23E}" name="OFF PPP" totalsRowFunction="average" dataDxfId="333" totalsRowDxfId="332">
      <calculatedColumnFormula>IF($D8=0,"DNP",H8/AI8)</calculatedColumnFormula>
    </tableColumn>
    <tableColumn id="190" xr3:uid="{0322E20D-C6B2-4025-B787-A140D52FD939}" name="DEF PPP" totalsRowFunction="average" dataDxfId="331" totalsRowDxfId="330">
      <calculatedColumnFormula>IF($D8=0,"DNP",DU8/EU8)</calculatedColumnFormula>
    </tableColumn>
    <tableColumn id="34" xr3:uid="{4DCC4915-82AE-4803-A5E7-5F284BB099D8}" name="OFF RTG" totalsRowFunction="average" dataDxfId="329" totalsRowDxfId="328">
      <calculatedColumnFormula>IF($D8=0,"DNP",H8/AH8*100)</calculatedColumnFormula>
    </tableColumn>
    <tableColumn id="35" xr3:uid="{CA0A2A9B-2A1F-4AD1-B446-F8DE597224C5}" name="DEF RTG" totalsRowFunction="average" dataDxfId="327" totalsRowDxfId="326">
      <calculatedColumnFormula>IF($D8=0,"DNP",DU8/ET8*100)</calculatedColumnFormula>
    </tableColumn>
    <tableColumn id="36" xr3:uid="{7ADC42FA-D0DE-4184-A1DC-1B8C23AF5BA6}" name="NET RTG" totalsRowFunction="average" dataDxfId="325" totalsRowDxfId="324">
      <calculatedColumnFormula>IF($D8=0,"DNP",AL8-AM8)</calculatedColumnFormula>
    </tableColumn>
    <tableColumn id="60" xr3:uid="{96172383-32D2-4016-A260-215851B11A59}" name="eFG%" totalsRowFunction="average" dataDxfId="323" totalsRowDxfId="322">
      <calculatedColumnFormula>IF($D8=0,"DNP",(I8+1.5*L8)/P8)</calculatedColumnFormula>
    </tableColumn>
    <tableColumn id="61" xr3:uid="{C5C131AB-7349-4438-9FA0-23C66330B83A}" name="TS%" totalsRowFunction="average" dataDxfId="321" totalsRowDxfId="320">
      <calculatedColumnFormula>IF($D8=0,"DNP",H8/(2*(P8+DD8/2+DG8/3)))</calculatedColumnFormula>
    </tableColumn>
    <tableColumn id="192" xr3:uid="{0C4C43CA-5DF9-46DE-A7F3-8893060912E4}" name="RIM FREQ" totalsRowFunction="average" dataDxfId="319" totalsRowDxfId="318">
      <calculatedColumnFormula>IF($D8=0,"DNP",IF($AI8=0,"-",DJ8/$AI8))</calculatedColumnFormula>
    </tableColumn>
    <tableColumn id="193" xr3:uid="{88EFD3D2-483A-4EE9-A14B-8742C7961228}" name="RIM PPS" totalsRowFunction="average" dataDxfId="317" totalsRowDxfId="316">
      <calculatedColumnFormula>IF($D8=0,"DNP",IF(DJ8=0,"-",2*DI8/DJ8))</calculatedColumnFormula>
    </tableColumn>
    <tableColumn id="194" xr3:uid="{44581AF6-5C78-4007-9E62-32161C1D13C9}" name="PAINT FREQ" totalsRowFunction="average" dataDxfId="315" totalsRowDxfId="314">
      <calculatedColumnFormula>IF($D8=0,"DNP",IF($AI8=0,"-",DL8/$AI8))</calculatedColumnFormula>
    </tableColumn>
    <tableColumn id="195" xr3:uid="{938621C5-266C-4E66-B89B-A7BCADB7FF7A}" name="PAINT PPS" totalsRowFunction="average" dataDxfId="313" totalsRowDxfId="312">
      <calculatedColumnFormula>IF($D8=0,"DNP",IF(DL8=0,"-",2*DK8/DL8))</calculatedColumnFormula>
    </tableColumn>
    <tableColumn id="196" xr3:uid="{85BF5CF2-FF9D-4D82-A442-34D4FB6E54EE}" name="MID FREQ" totalsRowFunction="average" dataDxfId="311" totalsRowDxfId="310">
      <calculatedColumnFormula>IF($D8=0,"DNP",IF($AI8=0,"-",DN8/$AI8))</calculatedColumnFormula>
    </tableColumn>
    <tableColumn id="197" xr3:uid="{77519400-9E43-4F67-8722-F68CBDCA6907}" name="MID PPS" totalsRowFunction="average" dataDxfId="309" totalsRowDxfId="308">
      <calculatedColumnFormula>IF($D8=0,"DNP",IF(DN8=0,"-",2*DM8/DN8))</calculatedColumnFormula>
    </tableColumn>
    <tableColumn id="198" xr3:uid="{A5B0250D-D2F3-44A0-A742-B465F5FDA4C1}" name="C3 FREQ" totalsRowFunction="average" dataDxfId="307" totalsRowDxfId="306">
      <calculatedColumnFormula>IF($D8=0,"DNP",IF($AI8=0,"-",DP8/$AI8))</calculatedColumnFormula>
    </tableColumn>
    <tableColumn id="199" xr3:uid="{5F439317-8369-4A30-8802-0EC43BBFAF74}" name="C3 PPS" totalsRowFunction="average" dataDxfId="305" totalsRowDxfId="304">
      <calculatedColumnFormula>IF($D8=0,"DNP",IF(DP8=0,"-",3*DO8/DP8))</calculatedColumnFormula>
    </tableColumn>
    <tableColumn id="37" xr3:uid="{77DEAD41-F23C-498A-A1EF-76021D135A6C}" name="L3 FREQ" totalsRowFunction="average" dataDxfId="303" totalsRowDxfId="302">
      <calculatedColumnFormula>IF($D8=0,"DNP",IF($AI8=0,"-",DR8/$AI8))</calculatedColumnFormula>
    </tableColumn>
    <tableColumn id="38" xr3:uid="{A8A762CB-8880-4173-9BFF-32B4D1488A7E}" name="L3 PPS" totalsRowFunction="average" dataDxfId="301" totalsRowDxfId="300">
      <calculatedColumnFormula>IF($D8=0,"DNP",IF(DR8=0,"-",3*DQ8/DR8))</calculatedColumnFormula>
    </tableColumn>
    <tableColumn id="39" xr3:uid="{2FF07350-E08A-44EE-9FF5-C52FE85C63AF}" name="FT Ratio" totalsRowFunction="average" dataDxfId="299" totalsRowDxfId="298">
      <calculatedColumnFormula>IF($D8=0,"DNP",(DD8/2+DG8/3)/AI8)</calculatedColumnFormula>
    </tableColumn>
    <tableColumn id="55" xr3:uid="{F4222418-AA82-495A-9768-BBD40217977C}" name="TO%" totalsRowFunction="average" dataDxfId="297" totalsRowDxfId="296">
      <calculatedColumnFormula>IF($D8=0,"DNP",Y8/(AH8+U8))</calculatedColumnFormula>
    </tableColumn>
    <tableColumn id="49" xr3:uid="{DCBD8A79-0280-4532-AAAF-70790FBAF672}" name="AST%" totalsRowFunction="average" dataDxfId="295" totalsRowDxfId="294">
      <calculatedColumnFormula>IF($D8=0,"DNP",(BW8+BX8+BY8)/(O8+DD8/2-DE8+DG8/3-DH8))</calculatedColumnFormula>
    </tableColumn>
    <tableColumn id="50" xr3:uid="{5C30F2A7-1417-4FFD-9E8E-8301B7936800}" name="AST% (2P)" totalsRowFunction="average" dataDxfId="293" totalsRowDxfId="292">
      <calculatedColumnFormula>IF($D8=0,"DNP",(BW8/I8))</calculatedColumnFormula>
    </tableColumn>
    <tableColumn id="51" xr3:uid="{DF67515F-C7B0-4FCB-AF4A-F33A3B2354A2}" name="AST% (3P)" totalsRowFunction="average" dataDxfId="291" totalsRowDxfId="290">
      <calculatedColumnFormula>IF($D8=0,"DNP",IFERROR(BX8/L8,"-"))</calculatedColumnFormula>
    </tableColumn>
    <tableColumn id="52" xr3:uid="{D373A037-534E-4BB0-A0DD-8A9C232E00AB}" name="AST% (FT)" totalsRowFunction="average" dataDxfId="289" totalsRowDxfId="288">
      <calculatedColumnFormula>IF($D8=0,"DNP",(BY8/(DD8/2-DE8+DG8/3-DH8)))</calculatedColumnFormula>
    </tableColumn>
    <tableColumn id="53" xr3:uid="{DE227414-E968-4479-92C9-BA2A8EF3A94C}" name="AST Ratio" totalsRowFunction="average" dataDxfId="287" totalsRowDxfId="286">
      <calculatedColumnFormula>IF($D8=0,"DNP",X8/(AH8+U8))</calculatedColumnFormula>
    </tableColumn>
    <tableColumn id="54" xr3:uid="{F50F4AE9-F100-4A56-B8CE-9DA60D2DF6F5}" name="AST/TO" totalsRowFunction="average" dataDxfId="285" totalsRowDxfId="284">
      <calculatedColumnFormula>IF($D8=0,"DNP",X8/Y8)</calculatedColumnFormula>
    </tableColumn>
    <tableColumn id="40" xr3:uid="{82F202DE-E2FE-4A49-85B5-2D5D70656AED}" name="OR%" totalsRowFunction="average" dataDxfId="283" totalsRowDxfId="282">
      <calculatedColumnFormula>IF($D8=0,"DNP",U8/(U8+EI8))</calculatedColumnFormula>
    </tableColumn>
    <tableColumn id="41" xr3:uid="{C0363E22-C1C1-4DBD-908E-46F344D8B746}" name="OR% (after 2P)" totalsRowFunction="average" dataDxfId="281" totalsRowDxfId="280">
      <calculatedColumnFormula>IF($D8=0,"DNP",(CA8+CB8+CC8+CD8+CE8+CF8)/(CA8+CB8+CC8+CD8+CE8+CF8+FM8+FN8+FO8+FP8+FQ8+FR8))</calculatedColumnFormula>
    </tableColumn>
    <tableColumn id="42" xr3:uid="{23ABB4DE-3F62-4E3B-A093-7045F6FED078}" name="OR% (after 3P)" totalsRowFunction="average" dataDxfId="279" totalsRowDxfId="278">
      <calculatedColumnFormula>IF($D8=0,"DNP",(CG8+CH8+CI8+CJ8)/(CG8+CH8+CI8+CJ8+FS8+FT8+FU8+FV8))</calculatedColumnFormula>
    </tableColumn>
    <tableColumn id="43" xr3:uid="{38E74BA8-F81F-41A0-9369-18D9E61417F3}" name="OR% (after FT)" totalsRowFunction="average" dataDxfId="277" totalsRowDxfId="276">
      <calculatedColumnFormula>IF($D8=0,"DNP",IF(CK8+CL8+FW8+FX8=0,"-",(CK8+CL8)/(CK8+CL8+FW8+FX8)))</calculatedColumnFormula>
    </tableColumn>
    <tableColumn id="44" xr3:uid="{3F8AB0A5-A105-4148-A244-01D99EA89F64}" name="DR%" totalsRowFunction="average" dataDxfId="275" totalsRowDxfId="274">
      <calculatedColumnFormula>IF($D8=0,"DNP",V8/(V8+EH8))</calculatedColumnFormula>
    </tableColumn>
    <tableColumn id="45" xr3:uid="{9000B144-19B8-4B72-AE28-F770204D902F}" name="DR% (after 2P)" totalsRowFunction="average" dataDxfId="273" totalsRowDxfId="272">
      <calculatedColumnFormula>IF($D8=0,"DNP",(CM8+CN8+CO8+CP8+CQ8+CR8)/(CM8+CN8+CO8+CP8+CQ8+CR8+FA8+FB8+FC8+FD8+FE8+FF8))</calculatedColumnFormula>
    </tableColumn>
    <tableColumn id="46" xr3:uid="{E978B983-7AD2-4F91-9044-977A275DAFD6}" name="DR% (after 3P)" totalsRowFunction="average" dataDxfId="271" totalsRowDxfId="270">
      <calculatedColumnFormula>IF($D8=0,"DNP",(CS8+CT8+CU8+CV8)/(CS8+CT8+CU8+CV8+FG8+FH8+FI8+FJ8))</calculatedColumnFormula>
    </tableColumn>
    <tableColumn id="47" xr3:uid="{87FE6278-2FA2-4E55-AAD8-707CF1A36706}" name="DR% (after FT)" totalsRowFunction="average" dataDxfId="269" totalsRowDxfId="268">
      <calculatedColumnFormula>IF($D8=0,"DNP",IF(CW8+CX8+FK8+FL8=0,"-",(CW8+CX8)/(CW8+CX8+FK8+FL8)))</calculatedColumnFormula>
    </tableColumn>
    <tableColumn id="48" xr3:uid="{6CC5471E-826F-42AB-9443-7764E9A70E44}" name="TR%" totalsRowFunction="average" dataDxfId="267" totalsRowDxfId="266">
      <calculatedColumnFormula>IF($D8=0,"DNP",W8/(W8+EJ8))</calculatedColumnFormula>
    </tableColumn>
    <tableColumn id="56" xr3:uid="{DC07A7ED-7985-4F32-B9D8-1B8F469FADDB}" name="ST%" totalsRowFunction="average" dataDxfId="265" totalsRowDxfId="264">
      <calculatedColumnFormula>IF($D8=0,"DNP",Z8/ET8)</calculatedColumnFormula>
    </tableColumn>
    <tableColumn id="59" xr3:uid="{1FC9CDF4-6ADC-45FD-B63A-66978BA09B25}" name="BLK%" totalsRowFunction="average" dataDxfId="263" totalsRowDxfId="262">
      <calculatedColumnFormula>IF($D8=0,"DNP",AA8/EC8)</calculatedColumnFormula>
    </tableColumn>
    <tableColumn id="200" xr3:uid="{04E9AEDE-288B-4243-8C53-323888C4F6B8}" name="KILLS" totalsRowFunction="average" dataDxfId="261" totalsRowDxfId="260">
      <calculatedColumnFormula>IF($D8=0,"DNP",SUMIFS(OPPS_GbG[KILLS],OPPS_GbG[[TM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57" xr3:uid="{98072B28-6988-4849-B3F8-9DFDC020B627}" name="PSF FREQ" totalsRowFunction="average" dataDxfId="259" totalsRowDxfId="258">
      <calculatedColumnFormula>IF($D8=0,"DNP",(GB8+GD8/2+GG8/3)/AC8)</calculatedColumnFormula>
    </tableColumn>
    <tableColumn id="58" xr3:uid="{6ED9A374-007E-45C2-941D-A2194256D517}" name="DSF FREQ" totalsRowFunction="average" dataDxfId="257" totalsRowDxfId="256">
      <calculatedColumnFormula>IF($D8=0,"DNP",IFERROR((DB8+DD8/2+DG8/3)/AD8,"-"))</calculatedColumnFormula>
    </tableColumn>
    <tableColumn id="62" xr3:uid="{59A18942-B89E-46F5-9D98-3658D7486914}" name="ASTED_2FG" totalsRowFunction="average" dataDxfId="255" totalsRowDxfId="254">
      <calculatedColumnFormula>IF($D8=0,"DNP",SUMIFS(TEAMS_GbG[ASTED_2FG],TEAMS_GbG[[TM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3" xr3:uid="{4752DF8C-DCC8-4EC2-BAAA-0A4B030E45B1}" name="ASTED_3FG" totalsRowFunction="average" dataDxfId="253" totalsRowDxfId="252">
      <calculatedColumnFormula>IF($D8=0,"DNP",SUMIFS(TEAMS_GbG[ASTED_3FG],TEAMS_GbG[[TM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4" xr3:uid="{5903AC83-2CB5-4FAB-BF6B-F0BF1168076F}" name="ASTED_FT" totalsRowFunction="average" dataDxfId="251" totalsRowDxfId="250">
      <calculatedColumnFormula>IF($D8=0,"DNP",SUMIFS(TEAMS_GbG[ASTED_FT],TEAMS_GbG[[TM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5" xr3:uid="{CDFE1BDE-5500-49C2-B82C-C2465321BE09}" name="ASTED_FT PTS" totalsRowFunction="average" dataDxfId="249" totalsRowDxfId="248">
      <calculatedColumnFormula>IF($D8=0,"DNP",SUMIFS(TEAMS_GbG[ASTED_FT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6" xr3:uid="{80DFDEF4-1800-4FA0-9850-9048EC4DA591}" name="OR_RIM" totalsRowFunction="average" dataDxfId="247" totalsRowDxfId="246">
      <calculatedColumnFormula>IF($D8=0,"DNP",SUMIFS(TEAMS_GbG[OR_RIM],TEAMS_GbG[[TM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7" xr3:uid="{E3CD5BCC-2872-4469-B2F2-028A8830FE35}" name="TM OR_RIM" totalsRowFunction="average" dataDxfId="245" totalsRowDxfId="244">
      <calculatedColumnFormula>IF($D8=0,"DNP",SUMIFS(TEAMS_GbG[TM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8" xr3:uid="{E7721832-5915-4664-A02F-5F18F9097369}" name="OR_PAINT" totalsRowFunction="average" dataDxfId="243" totalsRowDxfId="242">
      <calculatedColumnFormula>IF($D8=0,"DNP",SUMIFS(TEAMS_GbG[OR_PAINT],TEAMS_GbG[[TM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69" xr3:uid="{976B4043-447B-43E0-AB60-3589F648ED57}" name="TM OR_PAINT" totalsRowFunction="average" dataDxfId="241" totalsRowDxfId="240">
      <calculatedColumnFormula>IF($D8=0,"DNP",SUMIFS(TEAMS_GbG[TM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0" xr3:uid="{8E5AD295-9CD4-4AC0-8F41-E3D22A2CA21B}" name="OR_NP2" totalsRowFunction="average" dataDxfId="239" totalsRowDxfId="238">
      <calculatedColumnFormula>IF($D8=0,"DNP",SUMIFS(TEAMS_GbG[OR_NP2],TEAMS_GbG[[TM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1" xr3:uid="{1B5BF39E-A450-4B33-A629-D33A16849478}" name="TM OR_NP2" totalsRowFunction="average" dataDxfId="237" totalsRowDxfId="236">
      <calculatedColumnFormula>IF($D8=0,"DNP",SUMIFS(TEAMS_GbG[TM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2" xr3:uid="{619C1AC2-D90E-4B47-A378-7431572D725E}" name="OR_3C" totalsRowFunction="average" dataDxfId="235" totalsRowDxfId="234">
      <calculatedColumnFormula>IF($D8=0,"DNP",SUMIFS(TEAMS_GbG[OR_3C],TEAMS_GbG[[TM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3" xr3:uid="{98DAFB03-3A75-45E9-858A-A4DE8755ABB3}" name="TM OR_3C" totalsRowFunction="average" dataDxfId="233" totalsRowDxfId="232">
      <calculatedColumnFormula>IF($D8=0,"DNP",SUMIFS(TEAMS_GbG[TM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4" xr3:uid="{50E16B8C-FDC3-42B0-A326-B6699C35137F}" name="OR_3L" totalsRowFunction="average" dataDxfId="231" totalsRowDxfId="230">
      <calculatedColumnFormula>IF($D8=0,"DNP",SUMIFS(TEAMS_GbG[OR_3L],TEAMS_GbG[[TM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5" xr3:uid="{C3ED0587-E376-4B31-868C-9FBFB074EA03}" name="TM OR_3L" totalsRowFunction="average" dataDxfId="229" totalsRowDxfId="228">
      <calculatedColumnFormula>IF($D8=0,"DNP",SUMIFS(TEAMS_GbG[TM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6" xr3:uid="{E083D0E5-5FD4-4390-99B1-05642E0CC9BC}" name="OR_FT" totalsRowFunction="average" dataDxfId="227" totalsRowDxfId="226">
      <calculatedColumnFormula>IF($D8=0,"DNP",SUMIFS(TEAMS_GbG[OR_FT],TEAMS_GbG[[TM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7" xr3:uid="{B9ADA26A-45DA-4BBF-8D4A-9E55BC6503AB}" name="TM OR_FT" totalsRowFunction="average" dataDxfId="225" totalsRowDxfId="224">
      <calculatedColumnFormula>IF($D8=0,"DNP",SUMIFS(TEAMS_GbG[TM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8" xr3:uid="{01EFA811-662F-4C2B-81E0-9300F5585369}" name="DR_RIM" totalsRowFunction="average" dataDxfId="223" totalsRowDxfId="222">
      <calculatedColumnFormula>IF($D8=0,"DNP",SUMIFS(TEAMS_GbG[DR_RIM],TEAMS_GbG[[TM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79" xr3:uid="{54243B33-04BC-4AE2-9607-EF2E0A82B936}" name="TM DR_RIM" totalsRowFunction="average" dataDxfId="221" totalsRowDxfId="220">
      <calculatedColumnFormula>IF($D8=0,"DNP",SUMIFS(TEAMS_GbG[TM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0" xr3:uid="{E2006223-C00E-4557-8C68-086BEBABC519}" name="DR_PAINT" totalsRowFunction="average" dataDxfId="219" totalsRowDxfId="218">
      <calculatedColumnFormula>IF($D8=0,"DNP",SUMIFS(TEAMS_GbG[DR_PAINT],TEAMS_GbG[[TM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1" xr3:uid="{39463A39-78BC-468A-BB4F-555E0AE43224}" name="TM DR_PAINT" totalsRowFunction="average" dataDxfId="217" totalsRowDxfId="216">
      <calculatedColumnFormula>IF($D8=0,"DNP",SUMIFS(TEAMS_GbG[TM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2" xr3:uid="{CB5E0F76-0D4D-44FD-ACE0-D482589DA94F}" name="DR_NP2" totalsRowFunction="average" dataDxfId="215" totalsRowDxfId="214">
      <calculatedColumnFormula>IF($D8=0,"DNP",SUMIFS(TEAMS_GbG[DR_NP2],TEAMS_GbG[[TM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3" xr3:uid="{7E62DDF9-FE9A-4277-80B9-17772B1D5B13}" name="TM DR_NP2" totalsRowFunction="average" dataDxfId="213" totalsRowDxfId="212">
      <calculatedColumnFormula>IF($D8=0,"DNP",SUMIFS(TEAMS_GbG[TM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4" xr3:uid="{4D1F2D70-317E-4313-BD0E-D40DD3547C23}" name="DR_3C" totalsRowFunction="average" dataDxfId="211" totalsRowDxfId="210">
      <calculatedColumnFormula>IF($D8=0,"DNP",SUMIFS(TEAMS_GbG[DR_3C],TEAMS_GbG[[TM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5" xr3:uid="{F3DC7BBD-FB7A-466E-9884-DE51BC3A0C40}" name="TM DR_3C" totalsRowFunction="average" dataDxfId="209" totalsRowDxfId="208">
      <calculatedColumnFormula>IF($D8=0,"DNP",SUMIFS(TEAMS_GbG[TM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6" xr3:uid="{F071047A-1D4C-4C42-81A0-96BCA2AF6ED5}" name="DR_3L" totalsRowFunction="average" dataDxfId="207" totalsRowDxfId="206">
      <calculatedColumnFormula>IF($D8=0,"DNP",SUMIFS(TEAMS_GbG[DR_3L],TEAMS_GbG[[TM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7" xr3:uid="{F1207429-50AC-4243-A417-9BD7B660318B}" name="TM DR_3L" totalsRowFunction="average" dataDxfId="205" totalsRowDxfId="204">
      <calculatedColumnFormula>IF($D8=0,"DNP",SUMIFS(TEAMS_GbG[TM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8" xr3:uid="{2C4A6866-E4BD-4CFA-B828-7C0FD1B9C88B}" name="DR_FT" totalsRowFunction="average" dataDxfId="203" totalsRowDxfId="202">
      <calculatedColumnFormula>IF($D8=0,"DNP",SUMIFS(TEAMS_GbG[DR_FT],TEAMS_GbG[[TM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89" xr3:uid="{34569C48-208A-496C-9774-27320DA36396}" name="TM DR_FT" totalsRowFunction="average" dataDxfId="201" totalsRowDxfId="200">
      <calculatedColumnFormula>IF($D8=0,"DNP",SUMIFS(TEAMS_GbG[TM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0" xr3:uid="{9A63F39A-D9E2-4208-AA9A-E6D56A6A1A60}" name="FTM_T" totalsRowFunction="average" dataDxfId="199" totalsRowDxfId="198">
      <calculatedColumnFormula>IF($D8=0,"DNP",SUMIFS(TEAMS_GbG[FTM_T],TEAMS_GbG[[TM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1" xr3:uid="{E4084312-47E3-48A4-BAB9-0963CD990C09}" name="FTA_T" totalsRowFunction="average" dataDxfId="197" totalsRowDxfId="196">
      <calculatedColumnFormula>IF($D8=0,"DNP",SUMIFS(TEAMS_GbG[FTA_T],TEAMS_GbG[[TM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2" xr3:uid="{6028C4FD-229F-4914-86E4-50CF1C265C72}" name="FTM_1" totalsRowFunction="average" dataDxfId="195" totalsRowDxfId="194">
      <calculatedColumnFormula>IF($D8=0,"DNP",SUMIFS(TEAMS_GbG[FTM_1],TEAMS_GbG[[TM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3" xr3:uid="{D8658BBF-8ADD-481F-817B-2AB7DC8FD7AA}" name="FTA_1" totalsRowFunction="average" dataDxfId="193" totalsRowDxfId="192">
      <calculatedColumnFormula>IF($D8=0,"DNP",SUMIFS(TEAMS_GbG[FTA_1],TEAMS_GbG[[TM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4" xr3:uid="{C218B7A5-E509-43C0-A9C4-4853CE20DB77}" name="FTM_2" totalsRowFunction="average" dataDxfId="191" totalsRowDxfId="190">
      <calculatedColumnFormula>IF($D8=0,"DNP",SUMIFS(TEAMS_GbG[FTM_2],TEAMS_GbG[[TM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5" xr3:uid="{45F2EE4F-514B-4073-BD8E-470880B9C7E7}" name="FTA_2" totalsRowFunction="average" dataDxfId="189" totalsRowDxfId="188">
      <calculatedColumnFormula>IF($D8=0,"DNP",SUMIFS(TEAMS_GbG[FTA_2],TEAMS_GbG[[TM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6" xr3:uid="{749DBB06-2BC2-433A-BB66-C31EE0ABDEE8}" name="FT 0/2" totalsRowFunction="average" dataDxfId="187" totalsRowDxfId="186">
      <calculatedColumnFormula>IF($D8=0,"DNP",SUMIFS(TEAMS_GbG[FT 0/2],TEAMS_GbG[[TM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7" xr3:uid="{D0F59503-B7FC-4D9C-8993-100C5C01AE03}" name="FTM_3" totalsRowFunction="average" dataDxfId="185" totalsRowDxfId="184">
      <calculatedColumnFormula>IF($D8=0,"DNP",SUMIFS(TEAMS_GbG[FTM_3],TEAMS_GbG[[TM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8" xr3:uid="{CDA9899A-0C43-4C76-8B65-AB0998EE68B4}" name="FTA_3" totalsRowFunction="average" dataDxfId="183" totalsRowDxfId="182">
      <calculatedColumnFormula>IF($D8=0,"DNP",SUMIFS(TEAMS_GbG[FTA_3],TEAMS_GbG[[TM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99" xr3:uid="{2F9AC1D0-6431-4DE1-8A93-3BFF8C3E56B3}" name="FT 0/3" totalsRowFunction="average" dataDxfId="181" totalsRowDxfId="180">
      <calculatedColumnFormula>IF($D8=0,"DNP",SUMIFS(TEAMS_GbG[FT 0/3],TEAMS_GbG[[TM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0" xr3:uid="{E81E8779-833A-41FB-A510-233AB72E6C93}" name="RIM_M" totalsRowFunction="average" dataDxfId="179" totalsRowDxfId="178">
      <calculatedColumnFormula>IF($D8=0,"DNP",SUMIFS(TEAMS_GbG[RIM_M],TEAMS_GbG[[TM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1" xr3:uid="{716FB537-BF27-442D-BE17-FDCE9C76812F}" name="RIM_A" totalsRowFunction="average" dataDxfId="177" totalsRowDxfId="176">
      <calculatedColumnFormula>IF($D8=0,"DNP",SUMIFS(TEAMS_GbG[RIM_A],TEAMS_GbG[[TM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2" xr3:uid="{2B408702-ECB7-4F84-AE5C-39EC726F25B4}" name="PAINT_M" totalsRowFunction="average" dataDxfId="175" totalsRowDxfId="174">
      <calculatedColumnFormula>IF($D8=0,"DNP",SUMIFS(TEAMS_GbG[PAINT_M],TEAMS_GbG[[TM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3" xr3:uid="{A64937E6-FCF6-4FAB-8FEC-4D4B298833FF}" name="PAINT_A" totalsRowFunction="average" dataDxfId="173" totalsRowDxfId="172">
      <calculatedColumnFormula>IF($D8=0,"DNP",SUMIFS(TEAMS_GbG[PAINT_A],TEAMS_GbG[[TM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4" xr3:uid="{4E4EFE53-7801-4485-BEEF-A66D76FA4AFA}" name="MID_M" totalsRowFunction="average" dataDxfId="171" totalsRowDxfId="170">
      <calculatedColumnFormula>IF($D8=0,"DNP",SUMIFS(TEAMS_GbG[MID_M],TEAMS_GbG[[TM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5" xr3:uid="{66442432-7216-4624-87EF-23D8AEB7D5AA}" name="MID_A" totalsRowFunction="average" dataDxfId="169" totalsRowDxfId="168">
      <calculatedColumnFormula>IF($D8=0,"DNP",SUMIFS(TEAMS_GbG[MID_A],TEAMS_GbG[[TM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6" xr3:uid="{BB391C9D-9A7C-426A-B437-221DEAB8B256}" name="3C_M" totalsRowFunction="average" dataDxfId="167" totalsRowDxfId="166">
      <calculatedColumnFormula>IF($D8=0,"DNP",SUMIFS(TEAMS_GbG[3C_M],TEAMS_GbG[[TM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7" xr3:uid="{152EEB05-A6B8-4937-BD80-43E0ADBF1E85}" name="3C_A" totalsRowFunction="average" dataDxfId="165" totalsRowDxfId="164">
      <calculatedColumnFormula>IF($D8=0,"DNP",SUMIFS(TEAMS_GbG[3C_A],TEAMS_GbG[[TM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8" xr3:uid="{B9FB7817-6D19-424F-9601-B29E30F452EC}" name="3L_M" totalsRowFunction="average" dataDxfId="163" totalsRowDxfId="162">
      <calculatedColumnFormula>IF($D8=0,"DNP",SUMIFS(TEAMS_GbG[3L_M],TEAMS_GbG[[TM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09" xr3:uid="{B4B7D413-69AE-4084-A967-BACA5FE63777}" name="3L_A" totalsRowFunction="average" dataDxfId="161" totalsRowDxfId="160">
      <calculatedColumnFormula>IF($D8=0,"DNP",SUMIFS(TEAMS_GbG[3L_A],TEAMS_GbG[[TM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0" xr3:uid="{95E1200D-C9E0-48F3-BB13-8A5FC5E1F118}" name="3H_M" totalsRowFunction="average" dataDxfId="159" totalsRowDxfId="158">
      <calculatedColumnFormula>IF($D8=0,"DNP",SUMIFS(TEAMS_GbG[3H_M],TEAMS_GbG[[TM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1" xr3:uid="{8DE5B395-4D5A-40F4-A6E4-B066D3361E3E}" name="3H_A" totalsRowFunction="average" dataDxfId="157" totalsRowDxfId="156">
      <calculatedColumnFormula>IF($D8=0,"DNP",SUMIFS(TEAMS_GbG[3H_A],TEAMS_GbG[[TM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2" xr3:uid="{966AD0D4-B1E3-46BA-8266-CB7FBA25A4F8}" name="OPP PTS" totalsRowFunction="average" dataDxfId="155" totalsRowDxfId="154">
      <calculatedColumnFormula>IF($D8=0,"DNP",SUMIFS(TEAMS_GbG[OPP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3" xr3:uid="{AA8E4FE7-0383-4869-8ED2-20703ADD0804}" name="OPP 2PTM" totalsRowFunction="average" dataDxfId="153" totalsRowDxfId="152">
      <calculatedColumnFormula>IF($D8=0,"DNP",SUMIFS(TEAMS_GbG[OPP 2PTM],TEAMS_GbG[[TM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4" xr3:uid="{FAE0193F-EADC-4F11-8C4A-FD67480E4285}" name="OPP 2PTA" totalsRowFunction="average" dataDxfId="151" totalsRowDxfId="150">
      <calculatedColumnFormula>IF($D8=0,"DNP",SUMIFS(TEAMS_GbG[OPP 2PTA],TEAMS_GbG[[TM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5" xr3:uid="{BB763D24-A086-4B38-BA62-751E4400CCEA}" name="OPP 2PT%" totalsRowFunction="average" dataDxfId="149" totalsRowDxfId="148">
      <calculatedColumnFormula>IF($D8=0,"DNP",IF(DW8=0,"-",DV8/DW8))</calculatedColumnFormula>
    </tableColumn>
    <tableColumn id="116" xr3:uid="{307A4BAE-9167-4686-93F8-32DBF2E9C3DC}" name="OPP 3PTM" totalsRowFunction="average" dataDxfId="147" totalsRowDxfId="146">
      <calculatedColumnFormula>IF($D8=0,"DNP",SUMIFS(TEAMS_GbG[OPP 3PTM],TEAMS_GbG[[TM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7" xr3:uid="{C3825179-2947-4637-8F80-597CD5FCF7D8}" name="OPP 3PTA" totalsRowFunction="average" dataDxfId="145" totalsRowDxfId="144">
      <calculatedColumnFormula>IF($D8=0,"DNP",SUMIFS(TEAMS_GbG[OPP 3PTA],TEAMS_GbG[[TM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18" xr3:uid="{D338B6AA-77DE-4D4A-9158-33769FE19FAC}" name="OPP 3PT%" totalsRowFunction="average" dataDxfId="143" totalsRowDxfId="142">
      <calculatedColumnFormula>IF($D8=0,"DNP",IF(DZ8=0,"-",DY8/DZ8))</calculatedColumnFormula>
    </tableColumn>
    <tableColumn id="119" xr3:uid="{43088C52-A543-4D12-ACCF-26AA9E74CAD9}" name="OPP FGM" totalsRowFunction="average" dataDxfId="141" totalsRowDxfId="140">
      <calculatedColumnFormula>IF($D8=0,"DNP",SUMIFS(TEAMS_GbG[OPP FGM],TEAMS_GbG[[TM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0" xr3:uid="{72BA5752-CD74-4B80-9888-5B0563C2FB18}" name="OPP FGA" totalsRowFunction="average" dataDxfId="139" totalsRowDxfId="138">
      <calculatedColumnFormula>IF($D8=0,"DNP",SUMIFS(TEAMS_GbG[OPP FGA],TEAMS_GbG[[TM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1" xr3:uid="{0CE6A3CC-F216-47EB-8F12-79C5F0810F03}" name="OPP FG%" totalsRowFunction="average" dataDxfId="137" totalsRowDxfId="136">
      <calculatedColumnFormula>IF($D8=0,"DNP",IF(EC8=0,"-",EB8/EC8))</calculatedColumnFormula>
    </tableColumn>
    <tableColumn id="122" xr3:uid="{4ED4A05A-2E60-42E6-8B2E-0F216B15FCD2}" name="OPP FTM" totalsRowFunction="average" dataDxfId="135" totalsRowDxfId="134">
      <calculatedColumnFormula>IF($D8=0,"DNP",SUMIFS(TEAMS_GbG[OPP FTM],TEAMS_GbG[[TM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3" xr3:uid="{154480A0-9233-477A-94FC-E6BA9E0F09AC}" name="OPP FTA" totalsRowFunction="average" dataDxfId="133" totalsRowDxfId="132">
      <calculatedColumnFormula>IF($D8=0,"DNP",SUMIFS(TEAMS_GbG[OPP FTA],TEAMS_GbG[[TM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4" xr3:uid="{459E935D-8AE3-43AA-A80E-F2D6EF06F9CC}" name="OPP FT%" totalsRowFunction="average" dataDxfId="131" totalsRowDxfId="130">
      <calculatedColumnFormula>IF($D8=0,"DNP",IF(EF8=0,"-",EE8/EF8))</calculatedColumnFormula>
    </tableColumn>
    <tableColumn id="125" xr3:uid="{6FC2E53D-ABEA-48EF-B29A-EBA8A6081ECA}" name="OPP OR" totalsRowFunction="average" dataDxfId="129" totalsRowDxfId="128">
      <calculatedColumnFormula>IF($D8=0,"DNP",SUMIFS(TEAMS_GbG[OPP OR],TEAMS_GbG[[TM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6" xr3:uid="{617CE5BD-38E5-48D2-9566-FBAFEA063A55}" name="OPP DR" totalsRowFunction="average" dataDxfId="127" totalsRowDxfId="126">
      <calculatedColumnFormula>IF($D8=0,"DNP",SUMIFS(TEAMS_GbG[OPP DR],TEAMS_GbG[[TM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7" xr3:uid="{08D6A6F2-6051-4A9A-B097-140E87C2C0C0}" name="OPP TR" totalsRowFunction="average" dataDxfId="125" totalsRowDxfId="124">
      <calculatedColumnFormula>IF($D8=0,"DNP",SUMIFS(TEAMS_GbG[OPP TR],TEAMS_GbG[[TM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8" xr3:uid="{973C8DAD-DAB2-46A2-8470-4BFF35947760}" name="OPP AST" totalsRowFunction="average" dataDxfId="123" totalsRowDxfId="122">
      <calculatedColumnFormula>IF($D8=0,"DNP",SUMIFS(TEAMS_GbG[OPP AST],TEAMS_GbG[[TM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29" xr3:uid="{3BE1E8DA-9372-4D0B-97CB-C54D19B5038A}" name="OPP PF" totalsRowFunction="average" dataDxfId="121" totalsRowDxfId="120">
      <calculatedColumnFormula>IF($D8=0,"DNP",SUMIFS(TEAMS_GbG[OPP PF],TEAMS_GbG[[TM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0" xr3:uid="{45C0F975-A81E-4100-875D-50E835FF9F2F}" name="OPP DF" totalsRowFunction="average" dataDxfId="119" totalsRowDxfId="118">
      <calculatedColumnFormula>IF($D8=0,"DNP",SUMIFS(TEAMS_GbG[OPP DF],TEAMS_GbG[[TM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1" xr3:uid="{D7415EFB-002A-4714-BFD2-F391D194D324}" name="OPP ST" totalsRowFunction="average" dataDxfId="117" totalsRowDxfId="116">
      <calculatedColumnFormula>IF($D8=0,"DNP",SUMIFS(TEAMS_GbG[OPP 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2" xr3:uid="{4DA810EA-4C2B-47E7-BAEE-75C6C60FBA74}" name="OPP TO" totalsRowFunction="average" dataDxfId="115" totalsRowDxfId="114">
      <calculatedColumnFormula>IF($D8=0,"DNP",SUMIFS(TEAMS_GbG[OPP TO],TEAMS_GbG[[TM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3" xr3:uid="{EABD70C4-7BF1-45D2-9003-C79B1C49E334}" name="OPP BLK" totalsRowFunction="average" dataDxfId="113" totalsRowDxfId="112">
      <calculatedColumnFormula>IF($D8=0,"DNP",SUMIFS(TEAMS_GbG[OPP BLK],TEAMS_GbG[[TM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4" xr3:uid="{1FB99B95-0850-41C2-9FDB-65654BB136EE}" name="OPP BLKA" totalsRowFunction="average" dataDxfId="111" totalsRowDxfId="110">
      <calculatedColumnFormula>IF($D8=0,"DNP",SUMIFS(TEAMS_GbG[OPP BLKA],TEAMS_GbG[[TM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5" xr3:uid="{7059B8E6-200A-47A5-93F1-624C8567D4F1}" name="OPP VAL" totalsRowFunction="average" dataDxfId="109" totalsRowDxfId="108">
      <calculatedColumnFormula>IF($D8=0,"DNP",SUMIFS(TEAMS_GbG[OPP VAL],TEAMS_GbG[[TM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6" xr3:uid="{B46E8A9A-DB01-4660-B770-DC60AE0DCC0E}" name="OPP + / -" totalsRowFunction="average" dataDxfId="107" totalsRowDxfId="106">
      <calculatedColumnFormula>IF($D8=0,"DNP",SUMIFS(TEAMS_GbG[OPP + / -],TEAMS_GbG[[TM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7" xr3:uid="{75070100-0A57-44E5-ADBB-0E4E14A014B9}" name="OPP POSS" totalsRowFunction="average" dataDxfId="105" totalsRowDxfId="104">
      <calculatedColumnFormula>IF($D8=0,"DNP",SUMIFS(TEAMS_GbG[OPP POSS],TEAMS_GbG[[TM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91" xr3:uid="{9D614749-038D-443E-A9B5-F569B4AA2CD4}" name="OPP SHOOTING CHANCES" totalsRowFunction="average" dataDxfId="103" totalsRowDxfId="102">
      <calculatedColumnFormula>IF($D8=0,"DNP",SUMIFS(OPPS_GbG[OPP SHOOTING CHANCES],OPPS_GbG[[TM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201" xr3:uid="{2424566D-170B-48D6-BA86-B0C50C8B9E2B}" name="OPP KILLS" totalsRowFunction="average" dataDxfId="101" totalsRowDxfId="100">
      <calculatedColumnFormula>IF($D8=0,"DNP",SUMIFS(OPPS_GbG[OPP KILLS],OPPS_GbG[[TM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8" xr3:uid="{5E8ED96F-E884-4E04-81B2-ED776204FAF9}" name="OPP ASTED_2FG" totalsRowFunction="average" dataDxfId="99" totalsRowDxfId="98">
      <calculatedColumnFormula>IF($D8=0,"DNP",SUMIFS(TEAMS_GbG[OPP ASTED_2FG],TEAMS_GbG[[TM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39" xr3:uid="{8E408A4B-828A-4D0B-823D-E79C70DD73D7}" name="OPP ASTED_3FG" totalsRowFunction="average" dataDxfId="97" totalsRowDxfId="96">
      <calculatedColumnFormula>IF($D8=0,"DNP",SUMIFS(TEAMS_GbG[OPP ASTED_3FG],TEAMS_GbG[[TM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0" xr3:uid="{568179AB-1DE8-4361-ABBD-75BBA7627076}" name="OPP ASTED_FT" totalsRowFunction="average" dataDxfId="95" totalsRowDxfId="94">
      <calculatedColumnFormula>IF($D8=0,"DNP",SUMIFS(TEAMS_GbG[OPP ASTED_FT],TEAMS_GbG[[TM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1" xr3:uid="{735F12C3-B860-41E1-8E21-3162AAFEE1FD}" name="OPP ASTED_FT PTS" totalsRowFunction="average" dataDxfId="93" totalsRowDxfId="92">
      <calculatedColumnFormula>IF($D8=0,"DNP",SUMIFS(TEAMS_GbG[OPP ASTED_FT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2" xr3:uid="{C50F34EE-7B38-43A5-B653-4553205AD575}" name="OPP OR_RIM" totalsRowFunction="average" dataDxfId="91" totalsRowDxfId="90">
      <calculatedColumnFormula>IF($D8=0,"DNP",SUMIFS(TEAMS_GbG[OPP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3" xr3:uid="{5C11BB09-2C15-4EA6-95D7-ABCED42154EE}" name="OPP TM OR_RIM" totalsRowFunction="average" dataDxfId="89" totalsRowDxfId="88">
      <calculatedColumnFormula>IF($D8=0,"DNP",SUMIFS(TEAMS_GbG[OPP TM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4" xr3:uid="{0E5EA42D-DB4F-4FEF-9B39-509C993E69AE}" name="OPP OR_PAINT" totalsRowFunction="average" dataDxfId="87" totalsRowDxfId="86">
      <calculatedColumnFormula>IF($D8=0,"DNP",SUMIFS(TEAMS_GbG[OPP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5" xr3:uid="{E14A42E7-CBCD-4129-BD73-B2981E150B1B}" name="OPP TM OR_PAINT" totalsRowFunction="average" dataDxfId="85" totalsRowDxfId="84">
      <calculatedColumnFormula>IF($D8=0,"DNP",SUMIFS(TEAMS_GbG[OPP TM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6" xr3:uid="{A2717BB0-732D-4389-A845-82385F48ECD3}" name="OPP OR_NP2" totalsRowFunction="average" dataDxfId="83" totalsRowDxfId="82">
      <calculatedColumnFormula>IF($D8=0,"DNP",SUMIFS(TEAMS_GbG[OPP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7" xr3:uid="{186B2354-6E17-40AA-AE10-E751880F1C49}" name="OPP TM OR_NP2" totalsRowFunction="average" dataDxfId="81" totalsRowDxfId="80">
      <calculatedColumnFormula>IF($D8=0,"DNP",SUMIFS(TEAMS_GbG[OPP TM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8" xr3:uid="{F9341B1F-1AA5-4016-9B9F-025CF457BCD3}" name="OPP OR_3C" totalsRowFunction="average" dataDxfId="79" totalsRowDxfId="78">
      <calculatedColumnFormula>IF($D8=0,"DNP",SUMIFS(TEAMS_GbG[OPP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49" xr3:uid="{94B2BF92-F2C9-4F0E-BC06-6B90EA9AC8CC}" name="OPP TM OR_3C" totalsRowFunction="average" dataDxfId="77" totalsRowDxfId="76">
      <calculatedColumnFormula>IF($D8=0,"DNP",SUMIFS(TEAMS_GbG[OPP TM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0" xr3:uid="{FB4A0430-EC90-4156-9325-8BEFEC115FA0}" name="OPP OR_3L" totalsRowFunction="average" dataDxfId="75" totalsRowDxfId="74">
      <calculatedColumnFormula>IF($D8=0,"DNP",SUMIFS(TEAMS_GbG[OPP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1" xr3:uid="{09FB2CF6-AE59-4CC3-9205-6731F4217D2C}" name="OPP TM OR_3L" totalsRowFunction="average" dataDxfId="73" totalsRowDxfId="72">
      <calculatedColumnFormula>IF($D8=0,"DNP",SUMIFS(TEAMS_GbG[OPP TM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2" xr3:uid="{75AA4734-A8A5-461C-91E2-B54A328D1C0C}" name="OPP OR_FT" totalsRowFunction="average" dataDxfId="71" totalsRowDxfId="70">
      <calculatedColumnFormula>IF($D8=0,"DNP",SUMIFS(TEAMS_GbG[OPP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3" xr3:uid="{71578095-D9CA-4156-8D99-FAD88055E338}" name="OPP TM OR_FT" totalsRowFunction="average" dataDxfId="69" totalsRowDxfId="68">
      <calculatedColumnFormula>IF($D8=0,"DNP",SUMIFS(TEAMS_GbG[OPP TM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4" xr3:uid="{B887922F-2974-4306-8E7D-021B4B7CD3A5}" name="OPP DR_RIM" totalsRowFunction="average" dataDxfId="67" totalsRowDxfId="66">
      <calculatedColumnFormula>IF($D8=0,"DNP",SUMIFS(TEAMS_GbG[OPP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5" xr3:uid="{260856D0-8F3B-467F-9891-0149C4A0E0BC}" name="OPP TM DR_RIM" totalsRowFunction="average" dataDxfId="65" totalsRowDxfId="64">
      <calculatedColumnFormula>IF($D8=0,"DNP",SUMIFS(TEAMS_GbG[OPP TM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6" xr3:uid="{066A37C9-87F8-4716-AFF6-C718826AF7C6}" name="OPP DR_PAINT" totalsRowFunction="average" dataDxfId="63" totalsRowDxfId="62">
      <calculatedColumnFormula>IF($D8=0,"DNP",SUMIFS(TEAMS_GbG[OPP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7" xr3:uid="{B53BB51D-0B83-4E89-A19D-82AC2F3D8929}" name="OPP TM DR_PAINT" totalsRowFunction="average" dataDxfId="61" totalsRowDxfId="60">
      <calculatedColumnFormula>IF($D8=0,"DNP",SUMIFS(TEAMS_GbG[OPP TM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8" xr3:uid="{4259AAF3-01C6-4E26-A641-498F4AD93A17}" name="OPP DR_NP2" totalsRowFunction="average" dataDxfId="59" totalsRowDxfId="58">
      <calculatedColumnFormula>IF($D8=0,"DNP",SUMIFS(TEAMS_GbG[OPP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59" xr3:uid="{5311C1F8-01C8-48F8-8266-63B1B7D4C3FF}" name="OPP TM DR_NP2" totalsRowFunction="average" dataDxfId="57" totalsRowDxfId="56">
      <calculatedColumnFormula>IF($D8=0,"DNP",SUMIFS(TEAMS_GbG[OPP TM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0" xr3:uid="{4B91D308-8953-4679-ABD9-A5E932E9F6A0}" name="OPP DR_3C" totalsRowFunction="average" dataDxfId="55" totalsRowDxfId="54">
      <calculatedColumnFormula>IF($D8=0,"DNP",SUMIFS(TEAMS_GbG[OPP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1" xr3:uid="{BE8210C3-7D1A-486B-A8C3-3932C3FB7DDA}" name="OPP TM DR_3C" totalsRowFunction="average" dataDxfId="53" totalsRowDxfId="52">
      <calculatedColumnFormula>IF($D8=0,"DNP",SUMIFS(TEAMS_GbG[OPP TM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2" xr3:uid="{468BB202-0B17-4C9E-AD07-3E28CA135424}" name="OPP DR_3L" totalsRowFunction="average" dataDxfId="51" totalsRowDxfId="50">
      <calculatedColumnFormula>IF($D8=0,"DNP",SUMIFS(TEAMS_GbG[OPP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3" xr3:uid="{42106910-A65D-4CD5-930A-96D6034E63A3}" name="OPP TM DR_3L" totalsRowFunction="average" dataDxfId="49" totalsRowDxfId="48">
      <calculatedColumnFormula>IF($D8=0,"DNP",SUMIFS(TEAMS_GbG[OPP TM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4" xr3:uid="{977A600D-6996-40CB-93B0-5B8189BF8F3F}" name="OPP DR_FT" totalsRowFunction="average" dataDxfId="47" totalsRowDxfId="46">
      <calculatedColumnFormula>IF($D8=0,"DNP",SUMIFS(TEAMS_GbG[OPP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5" xr3:uid="{9A1A7B6E-2F86-4A6E-8E72-D6D82528E95D}" name="OPP TM DR_FT" totalsRowFunction="average" dataDxfId="45" totalsRowDxfId="44">
      <calculatedColumnFormula>IF($D8=0,"DNP",SUMIFS(TEAMS_GbG[OPP TM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6" xr3:uid="{2DB80AC4-B62B-4B51-AD69-D939AF4BD272}" name="OPP FTM_T" totalsRowFunction="average" dataDxfId="43" totalsRowDxfId="42">
      <calculatedColumnFormula>IF($D8=0,"DNP",SUMIFS(TEAMS_GbG[OPP FTM_T],TEAMS_GbG[[TM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7" xr3:uid="{D06B6675-EBCE-4E4B-BE30-0EC55D648E95}" name="OPP FTA_T" totalsRowFunction="average" dataDxfId="41" totalsRowDxfId="40">
      <calculatedColumnFormula>IF($D8=0,"DNP",SUMIFS(TEAMS_GbG[OPP FTA_T],TEAMS_GbG[[TM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8" xr3:uid="{CF1B1B66-DD36-4B2A-AF0C-9024F6343AAC}" name="OPP FTM_1" totalsRowFunction="average" dataDxfId="39" totalsRowDxfId="38">
      <calculatedColumnFormula>IF($D8=0,"DNP",SUMIFS(TEAMS_GbG[OPP FTM_1],TEAMS_GbG[[TM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69" xr3:uid="{CB4D0812-87B6-4EA6-81BB-EEE6A387E1B5}" name="OPP FTA_1" totalsRowFunction="average" dataDxfId="37" totalsRowDxfId="36">
      <calculatedColumnFormula>IF($D8=0,"DNP",SUMIFS(TEAMS_GbG[OPP FTA_1],TEAMS_GbG[[TM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0" xr3:uid="{EC65DC86-DB22-44F1-B256-19F46E94C5EE}" name="OPP FTM_2" totalsRowFunction="average" dataDxfId="35" totalsRowDxfId="34">
      <calculatedColumnFormula>IF($D8=0,"DNP",SUMIFS(TEAMS_GbG[OPP FTM_2],TEAMS_GbG[[TM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1" xr3:uid="{FB2D8C11-935D-4490-A9EC-5F207A78D75A}" name="OPP FTA_2" totalsRowFunction="average" dataDxfId="33" totalsRowDxfId="32">
      <calculatedColumnFormula>IF($D8=0,"DNP",SUMIFS(TEAMS_GbG[OPP FTA_2],TEAMS_GbG[[TM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2" xr3:uid="{B410C6A9-4D04-4CB7-BDA3-6E3157529794}" name="OPP FT 0/2" totalsRowFunction="average" dataDxfId="31" totalsRowDxfId="30">
      <calculatedColumnFormula>IF($D8=0,"DNP",SUMIFS(TEAMS_GbG[OPP FT 0/2],TEAMS_GbG[[TM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3" xr3:uid="{7CDE8F77-834D-419B-9ABF-265C1A487BA5}" name="OPP FTM_3" totalsRowFunction="average" dataDxfId="29" totalsRowDxfId="28">
      <calculatedColumnFormula>IF($D8=0,"DNP",SUMIFS(TEAMS_GbG[OPP FTM_3],TEAMS_GbG[[TM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4" xr3:uid="{CED0B87C-6ACF-4756-9B14-A2A4C1813361}" name="OPP FTA_3" totalsRowFunction="average" dataDxfId="27" totalsRowDxfId="26">
      <calculatedColumnFormula>IF($D8=0,"DNP",SUMIFS(TEAMS_GbG[OPP FTA_3],TEAMS_GbG[[TM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5" xr3:uid="{3EC976C4-8F14-4737-8EC5-D444196C8E51}" name="OPP FT 0/3" totalsRowFunction="average" dataDxfId="25" totalsRowDxfId="24">
      <calculatedColumnFormula>IF($D8=0,"DNP",SUMIFS(TEAMS_GbG[OPP FT 0/3],TEAMS_GbG[[TM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6" xr3:uid="{A34C584C-E84F-47C4-9351-8F6EE95A1073}" name="OPP RIM_M" totalsRowFunction="average" dataDxfId="23" totalsRowDxfId="22">
      <calculatedColumnFormula>IF($D8=0,"DNP",SUMIFS(TEAMS_GbG[OPP RIM_M],TEAMS_GbG[[TM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7" xr3:uid="{80F0C9A4-EE86-4BAA-A542-4996AB93C8F5}" name="OPP RIM_A" totalsRowFunction="average" dataDxfId="21" totalsRowDxfId="20">
      <calculatedColumnFormula>IF($D8=0,"DNP",SUMIFS(TEAMS_GbG[OPP RIM_A],TEAMS_GbG[[TM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8" xr3:uid="{D7699E19-D911-493D-8CF9-637C1633AF16}" name="OPP PAINT_M" totalsRowFunction="average" dataDxfId="19" totalsRowDxfId="18">
      <calculatedColumnFormula>IF($D8=0,"DNP",SUMIFS(TEAMS_GbG[OPP PAINT_M],TEAMS_GbG[[TM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79" xr3:uid="{1D6C28A4-0F08-47EF-B30D-AF70D1EE2ABB}" name="OPP PAINT_A" totalsRowFunction="average" dataDxfId="17" totalsRowDxfId="16">
      <calculatedColumnFormula>IF($D8=0,"DNP",SUMIFS(TEAMS_GbG[OPP PAINT_A],TEAMS_GbG[[TM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0" xr3:uid="{4B282CB4-F567-4C6F-9D9B-3DE516F51B9A}" name="OPP MID_M" totalsRowFunction="average" dataDxfId="15" totalsRowDxfId="14">
      <calculatedColumnFormula>IF($D8=0,"DNP",SUMIFS(TEAMS_GbG[OPP MID_M],TEAMS_GbG[[TM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1" xr3:uid="{57D6D0EB-C854-4CD7-B4B1-9D9C5851FAFC}" name="OPP MID_A" totalsRowFunction="average" dataDxfId="13" totalsRowDxfId="12">
      <calculatedColumnFormula>IF($D8=0,"DNP",SUMIFS(TEAMS_GbG[OPP MID_A],TEAMS_GbG[[TM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2" xr3:uid="{307F83A3-8485-4DE4-96E7-77C486460AA5}" name="OPP 3C_M" totalsRowFunction="average" dataDxfId="11" totalsRowDxfId="10">
      <calculatedColumnFormula>IF($D8=0,"DNP",SUMIFS(TEAMS_GbG[OPP 3C_M],TEAMS_GbG[[TM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3" xr3:uid="{98C7D3AD-E9D3-4ED2-9B11-DDA5A2BC612E}" name="OPP 3C_A" totalsRowFunction="average" dataDxfId="9" totalsRowDxfId="8">
      <calculatedColumnFormula>IF($D8=0,"DNP",SUMIFS(TEAMS_GbG[OPP 3C_A],TEAMS_GbG[[TM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4" xr3:uid="{62CC0E58-7C90-450B-9DD7-C07EB1937D9D}" name="OPP 3L_M" totalsRowFunction="average" dataDxfId="7" totalsRowDxfId="6">
      <calculatedColumnFormula>IF($D8=0,"DNP",SUMIFS(TEAMS_GbG[OPP 3L_M],TEAMS_GbG[[TM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5" xr3:uid="{709049B8-D073-41F8-8B42-B5518D9E20F9}" name="OPP 3L_A" totalsRowFunction="average" dataDxfId="5" totalsRowDxfId="4">
      <calculatedColumnFormula>IF($D8=0,"DNP",SUMIFS(TEAMS_GbG[OPP 3L_A],TEAMS_GbG[[TM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6" xr3:uid="{C37D9CCA-2C51-45DB-8E31-E96BFE0A3DCF}" name="OPP 3H_M" totalsRowFunction="average" dataDxfId="3" totalsRowDxfId="2">
      <calculatedColumnFormula>IF($D8=0,"DNP",SUMIFS(TEAMS_GbG[OPP 3H_M],TEAMS_GbG[[TM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  <tableColumn id="187" xr3:uid="{579862A1-3313-4290-AC35-73E90D405141}" name="OPP 3H_A" totalsRowFunction="average" dataDxfId="1" totalsRowDxfId="0">
      <calculatedColumnFormula>IF($D8=0,"DNP",SUMIFS(TEAMS_GbG[OPP 3H_A],TEAMS_GbG[[TM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calculatedColumnFormula>
    </tableColumn>
  </tableColumns>
  <tableStyleInfo name="HaS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2"/>
  <dimension ref="A2:T34"/>
  <sheetViews>
    <sheetView workbookViewId="0">
      <selection activeCell="F3" sqref="F3"/>
    </sheetView>
  </sheetViews>
  <sheetFormatPr defaultColWidth="8.85546875" defaultRowHeight="15" x14ac:dyDescent="0.25"/>
  <cols>
    <col min="1" max="1" width="21.85546875" style="1" bestFit="1" customWidth="1"/>
    <col min="2" max="2" width="13.28515625" style="1" bestFit="1" customWidth="1"/>
    <col min="3" max="5" width="8.85546875" style="1"/>
    <col min="6" max="6" width="31" style="1" bestFit="1" customWidth="1"/>
    <col min="7" max="16384" width="8.85546875" style="1"/>
  </cols>
  <sheetData>
    <row r="2" spans="1:20" x14ac:dyDescent="0.25">
      <c r="A2" s="2" t="s">
        <v>0</v>
      </c>
      <c r="E2" s="5" t="s">
        <v>1</v>
      </c>
      <c r="F2" s="5" t="s">
        <v>2</v>
      </c>
      <c r="G2" s="5" t="s">
        <v>3</v>
      </c>
      <c r="H2" s="5" t="s">
        <v>4</v>
      </c>
      <c r="I2" s="5" t="s">
        <v>5</v>
      </c>
      <c r="L2" s="5" t="s">
        <v>6</v>
      </c>
      <c r="M2" s="5" t="s">
        <v>7</v>
      </c>
      <c r="P2" s="1" t="s">
        <v>8</v>
      </c>
      <c r="Q2" s="1" t="s">
        <v>9</v>
      </c>
      <c r="R2" s="1" t="s">
        <v>10</v>
      </c>
      <c r="T2" s="1" t="s">
        <v>11</v>
      </c>
    </row>
    <row r="3" spans="1:20" x14ac:dyDescent="0.25">
      <c r="A3" s="1" t="s">
        <v>12</v>
      </c>
      <c r="B3" s="4" t="str">
        <f>IF([1]BASIS_INFO!B3="","",[1]BASIS_INFO!B3)</f>
        <v>EUROLEAGUE</v>
      </c>
      <c r="E3" s="3">
        <v>1</v>
      </c>
      <c r="F3" s="1" t="str">
        <f>IF([1]BASIS_INFO!F3="","",[1]BASIS_INFO!F3)</f>
        <v>ALBA Berlin</v>
      </c>
      <c r="G3" s="3" t="str">
        <f>IF([1]BASIS_INFO!G3="","",[1]BASIS_INFO!G3)</f>
        <v>BER</v>
      </c>
      <c r="H3" s="3" t="str">
        <f>IF([1]BASIS_INFO!H3="","",[1]BASIS_INFO!H3)</f>
        <v>-</v>
      </c>
      <c r="I3" s="3" t="str">
        <f>IF([1]BASIS_INFO!I3="","",[1]BASIS_INFO!I3)</f>
        <v>-</v>
      </c>
      <c r="L3" s="3" t="s">
        <v>13</v>
      </c>
      <c r="M3" s="3">
        <v>100</v>
      </c>
      <c r="P3" s="1" t="s">
        <v>14</v>
      </c>
      <c r="Q3" s="1" t="s">
        <v>15</v>
      </c>
      <c r="R3" s="1" t="s">
        <v>16</v>
      </c>
      <c r="T3" s="1" t="str">
        <f>IF(B6="","",B6)</f>
        <v>REGULAR SEASON</v>
      </c>
    </row>
    <row r="4" spans="1:20" x14ac:dyDescent="0.25">
      <c r="A4" s="1" t="s">
        <v>17</v>
      </c>
      <c r="B4" s="4" t="str">
        <f>IF([1]BASIS_INFO!B4="","",[1]BASIS_INFO!B4)</f>
        <v>23-24</v>
      </c>
      <c r="E4" s="3">
        <v>2</v>
      </c>
      <c r="F4" s="1" t="str">
        <f>IF([1]BASIS_INFO!F4="","",[1]BASIS_INFO!F4)</f>
        <v>Anadolu Efes Istanbul</v>
      </c>
      <c r="G4" s="3" t="str">
        <f>IF([1]BASIS_INFO!G4="","",[1]BASIS_INFO!G4)</f>
        <v>EFE</v>
      </c>
      <c r="H4" s="3" t="str">
        <f>IF([1]BASIS_INFO!H4="","",[1]BASIS_INFO!H4)</f>
        <v>-</v>
      </c>
      <c r="I4" s="3" t="str">
        <f>IF([1]BASIS_INFO!I4="","",[1]BASIS_INFO!I4)</f>
        <v>-</v>
      </c>
      <c r="L4" s="3" t="s">
        <v>18</v>
      </c>
      <c r="M4" s="3">
        <v>120</v>
      </c>
      <c r="Q4" s="1" t="s">
        <v>19</v>
      </c>
      <c r="R4" s="1" t="s">
        <v>20</v>
      </c>
      <c r="T4" s="1" t="str">
        <f t="shared" ref="T4:T6" si="0">IF(B7="","",B7)</f>
        <v>PLAY-OFF</v>
      </c>
    </row>
    <row r="5" spans="1:20" x14ac:dyDescent="0.25">
      <c r="A5" s="1" t="s">
        <v>21</v>
      </c>
      <c r="B5" s="4">
        <f>IF([1]BASIS_INFO!B5="","",[1]BASIS_INFO!B5)</f>
        <v>3</v>
      </c>
      <c r="E5" s="3">
        <v>3</v>
      </c>
      <c r="F5" s="1" t="str">
        <f>IF([1]BASIS_INFO!F5="","",[1]BASIS_INFO!F5)</f>
        <v>AS Monaco</v>
      </c>
      <c r="G5" s="3" t="str">
        <f>IF([1]BASIS_INFO!G5="","",[1]BASIS_INFO!G5)</f>
        <v>ASM</v>
      </c>
      <c r="H5" s="3" t="str">
        <f>IF([1]BASIS_INFO!H5="","",[1]BASIS_INFO!H5)</f>
        <v>-</v>
      </c>
      <c r="I5" s="3" t="str">
        <f>IF([1]BASIS_INFO!I5="","",[1]BASIS_INFO!I5)</f>
        <v>-</v>
      </c>
      <c r="L5" s="3" t="s">
        <v>22</v>
      </c>
      <c r="M5" s="3">
        <v>200</v>
      </c>
      <c r="T5" s="1" t="str">
        <f t="shared" si="0"/>
        <v>FINAL 4</v>
      </c>
    </row>
    <row r="6" spans="1:20" x14ac:dyDescent="0.25">
      <c r="A6" s="1" t="s">
        <v>23</v>
      </c>
      <c r="B6" s="4" t="str">
        <f>IF([1]BASIS_INFO!B6="","",[1]BASIS_INFO!B6)</f>
        <v>REGULAR SEASON</v>
      </c>
      <c r="E6" s="3">
        <v>4</v>
      </c>
      <c r="F6" s="1" t="str">
        <f>IF([1]BASIS_INFO!F6="","",[1]BASIS_INFO!F6)</f>
        <v>Baskonia Vitoria-Gasteiz</v>
      </c>
      <c r="G6" s="3" t="str">
        <f>IF([1]BASIS_INFO!G6="","",[1]BASIS_INFO!G6)</f>
        <v>BAS</v>
      </c>
      <c r="H6" s="3" t="str">
        <f>IF([1]BASIS_INFO!H6="","",[1]BASIS_INFO!H6)</f>
        <v>-</v>
      </c>
      <c r="I6" s="3" t="str">
        <f>IF([1]BASIS_INFO!I6="","",[1]BASIS_INFO!I6)</f>
        <v>-</v>
      </c>
      <c r="L6" s="3" t="s">
        <v>24</v>
      </c>
      <c r="M6" s="3">
        <v>230</v>
      </c>
      <c r="T6" s="1" t="str">
        <f t="shared" si="0"/>
        <v/>
      </c>
    </row>
    <row r="7" spans="1:20" x14ac:dyDescent="0.25">
      <c r="A7" s="1" t="s">
        <v>25</v>
      </c>
      <c r="B7" s="4" t="str">
        <f>IF([1]BASIS_INFO!B7="","",[1]BASIS_INFO!B7)</f>
        <v>PLAY-OFF</v>
      </c>
      <c r="E7" s="3">
        <v>5</v>
      </c>
      <c r="F7" s="1" t="str">
        <f>IF([1]BASIS_INFO!F7="","",[1]BASIS_INFO!F7)</f>
        <v>Crvena Zvezda Meridianbet Belgrade</v>
      </c>
      <c r="G7" s="3" t="str">
        <f>IF([1]BASIS_INFO!G7="","",[1]BASIS_INFO!G7)</f>
        <v>CZB</v>
      </c>
      <c r="H7" s="3" t="str">
        <f>IF([1]BASIS_INFO!H7="","",[1]BASIS_INFO!H7)</f>
        <v>-</v>
      </c>
      <c r="I7" s="3" t="str">
        <f>IF([1]BASIS_INFO!I7="","",[1]BASIS_INFO!I7)</f>
        <v>-</v>
      </c>
      <c r="L7" s="3" t="s">
        <v>26</v>
      </c>
      <c r="M7" s="3">
        <v>300</v>
      </c>
    </row>
    <row r="8" spans="1:20" x14ac:dyDescent="0.25">
      <c r="A8" s="1" t="s">
        <v>27</v>
      </c>
      <c r="B8" s="4" t="str">
        <f>IF([1]BASIS_INFO!B8="","",[1]BASIS_INFO!B8)</f>
        <v>FINAL 4</v>
      </c>
      <c r="E8" s="3">
        <v>6</v>
      </c>
      <c r="F8" s="1" t="str">
        <f>IF([1]BASIS_INFO!F8="","",[1]BASIS_INFO!F8)</f>
        <v>EA7 Emporio Armani Milan</v>
      </c>
      <c r="G8" s="3" t="str">
        <f>IF([1]BASIS_INFO!G8="","",[1]BASIS_INFO!G8)</f>
        <v>MIL</v>
      </c>
      <c r="H8" s="3" t="str">
        <f>IF([1]BASIS_INFO!H8="","",[1]BASIS_INFO!H8)</f>
        <v>-</v>
      </c>
      <c r="I8" s="3" t="str">
        <f>IF([1]BASIS_INFO!I8="","",[1]BASIS_INFO!I8)</f>
        <v>-</v>
      </c>
      <c r="L8" s="3" t="s">
        <v>28</v>
      </c>
      <c r="M8" s="3">
        <v>340</v>
      </c>
    </row>
    <row r="9" spans="1:20" x14ac:dyDescent="0.25">
      <c r="A9" s="1" t="s">
        <v>29</v>
      </c>
      <c r="B9" s="4" t="str">
        <f>IF([1]BASIS_INFO!B9="","",[1]BASIS_INFO!B9)</f>
        <v/>
      </c>
      <c r="E9" s="3">
        <v>7</v>
      </c>
      <c r="F9" s="1" t="str">
        <f>IF([1]BASIS_INFO!F9="","",[1]BASIS_INFO!F9)</f>
        <v>FC Barcelona</v>
      </c>
      <c r="G9" s="3" t="str">
        <f>IF([1]BASIS_INFO!G9="","",[1]BASIS_INFO!G9)</f>
        <v>FCB</v>
      </c>
      <c r="H9" s="3" t="str">
        <f>IF([1]BASIS_INFO!H9="","",[1]BASIS_INFO!H9)</f>
        <v>-</v>
      </c>
      <c r="I9" s="3" t="str">
        <f>IF([1]BASIS_INFO!I9="","",[1]BASIS_INFO!I9)</f>
        <v>-</v>
      </c>
      <c r="L9" s="3" t="s">
        <v>30</v>
      </c>
      <c r="M9" s="3">
        <v>400</v>
      </c>
    </row>
    <row r="10" spans="1:20" x14ac:dyDescent="0.25">
      <c r="A10" s="1" t="s">
        <v>31</v>
      </c>
      <c r="B10" s="3">
        <f>IF([1]BASIS_INFO!B10="","",[1]BASIS_INFO!B10)</f>
        <v>1</v>
      </c>
      <c r="E10" s="3">
        <v>8</v>
      </c>
      <c r="F10" s="1" t="str">
        <f>IF([1]BASIS_INFO!F10="","",[1]BASIS_INFO!F10)</f>
        <v>FC Bayern Munich</v>
      </c>
      <c r="G10" s="3" t="str">
        <f>IF([1]BASIS_INFO!G10="","",[1]BASIS_INFO!G10)</f>
        <v>BAY</v>
      </c>
      <c r="H10" s="3" t="str">
        <f>IF([1]BASIS_INFO!H10="","",[1]BASIS_INFO!H10)</f>
        <v>-</v>
      </c>
      <c r="I10" s="3" t="str">
        <f>IF([1]BASIS_INFO!I10="","",[1]BASIS_INFO!I10)</f>
        <v>-</v>
      </c>
      <c r="L10" s="3" t="s">
        <v>32</v>
      </c>
      <c r="M10" s="3">
        <v>450</v>
      </c>
    </row>
    <row r="11" spans="1:20" x14ac:dyDescent="0.25">
      <c r="A11" s="1" t="s">
        <v>33</v>
      </c>
      <c r="B11" s="3">
        <f>IF([1]BASIS_INFO!B11="","",[1]BASIS_INFO!B11)</f>
        <v>35</v>
      </c>
      <c r="E11" s="3">
        <v>9</v>
      </c>
      <c r="F11" s="1" t="str">
        <f>IF([1]BASIS_INFO!F11="","",[1]BASIS_INFO!F11)</f>
        <v>Fenerbahce Beko Istanbul</v>
      </c>
      <c r="G11" s="3" t="str">
        <f>IF([1]BASIS_INFO!G11="","",[1]BASIS_INFO!G11)</f>
        <v>FEN</v>
      </c>
      <c r="H11" s="3" t="str">
        <f>IF([1]BASIS_INFO!H11="","",[1]BASIS_INFO!H11)</f>
        <v>-</v>
      </c>
      <c r="I11" s="3" t="str">
        <f>IF([1]BASIS_INFO!I11="","",[1]BASIS_INFO!I11)</f>
        <v>-</v>
      </c>
      <c r="L11" s="3" t="s">
        <v>34</v>
      </c>
      <c r="M11" s="3">
        <v>500</v>
      </c>
    </row>
    <row r="12" spans="1:20" x14ac:dyDescent="0.25">
      <c r="A12" s="1" t="s">
        <v>35</v>
      </c>
      <c r="B12" s="3">
        <f>IF([1]BASIS_INFO!B12="","",[1]BASIS_INFO!B12)</f>
        <v>40</v>
      </c>
      <c r="E12" s="3">
        <v>10</v>
      </c>
      <c r="F12" s="1" t="str">
        <f>IF([1]BASIS_INFO!F12="","",[1]BASIS_INFO!F12)</f>
        <v>LDLC ASVEL Villeurbanne</v>
      </c>
      <c r="G12" s="3" t="str">
        <f>IF([1]BASIS_INFO!G12="","",[1]BASIS_INFO!G12)</f>
        <v>ASV</v>
      </c>
      <c r="H12" s="3" t="str">
        <f>IF([1]BASIS_INFO!H12="","",[1]BASIS_INFO!H12)</f>
        <v>-</v>
      </c>
      <c r="I12" s="3" t="str">
        <f>IF([1]BASIS_INFO!I12="","",[1]BASIS_INFO!I12)</f>
        <v>-</v>
      </c>
    </row>
    <row r="13" spans="1:20" x14ac:dyDescent="0.25">
      <c r="A13" s="1" t="s">
        <v>36</v>
      </c>
      <c r="B13" s="3" t="str">
        <f>IF([1]BASIS_INFO!B13="","",[1]BASIS_INFO!B13)</f>
        <v/>
      </c>
      <c r="E13" s="3">
        <v>11</v>
      </c>
      <c r="F13" s="1" t="str">
        <f>IF([1]BASIS_INFO!F13="","",[1]BASIS_INFO!F13)</f>
        <v>Maccabi Playtika Tel Aviv</v>
      </c>
      <c r="G13" s="3" t="str">
        <f>IF([1]BASIS_INFO!G13="","",[1]BASIS_INFO!G13)</f>
        <v>MTA</v>
      </c>
      <c r="H13" s="3" t="str">
        <f>IF([1]BASIS_INFO!H13="","",[1]BASIS_INFO!H13)</f>
        <v>-</v>
      </c>
      <c r="I13" s="3" t="str">
        <f>IF([1]BASIS_INFO!I13="","",[1]BASIS_INFO!I13)</f>
        <v>-</v>
      </c>
    </row>
    <row r="14" spans="1:20" x14ac:dyDescent="0.25">
      <c r="A14" s="1" t="s">
        <v>37</v>
      </c>
      <c r="B14" s="3">
        <f>IF([1]BASIS_INFO!B14="","",[1]BASIS_INFO!B14)</f>
        <v>42</v>
      </c>
      <c r="E14" s="3">
        <v>12</v>
      </c>
      <c r="F14" s="1" t="str">
        <f>IF([1]BASIS_INFO!F14="","",[1]BASIS_INFO!F14)</f>
        <v>Olympiacos Piraeus</v>
      </c>
      <c r="G14" s="3" t="str">
        <f>IF([1]BASIS_INFO!G14="","",[1]BASIS_INFO!G14)</f>
        <v>OLY</v>
      </c>
      <c r="H14" s="3" t="str">
        <f>IF([1]BASIS_INFO!H14="","",[1]BASIS_INFO!H14)</f>
        <v>-</v>
      </c>
      <c r="I14" s="3" t="str">
        <f>IF([1]BASIS_INFO!I14="","",[1]BASIS_INFO!I14)</f>
        <v>-</v>
      </c>
    </row>
    <row r="15" spans="1:20" x14ac:dyDescent="0.25">
      <c r="A15" s="1" t="s">
        <v>38</v>
      </c>
      <c r="B15" s="3">
        <f>IF([1]BASIS_INFO!B15="","",[1]BASIS_INFO!B15)</f>
        <v>18</v>
      </c>
      <c r="E15" s="3">
        <v>13</v>
      </c>
      <c r="F15" s="1" t="str">
        <f>IF([1]BASIS_INFO!F15="","",[1]BASIS_INFO!F15)</f>
        <v>Panathinaikos Athens</v>
      </c>
      <c r="G15" s="3" t="str">
        <f>IF([1]BASIS_INFO!G15="","",[1]BASIS_INFO!G15)</f>
        <v>PAN</v>
      </c>
      <c r="H15" s="3" t="str">
        <f>IF([1]BASIS_INFO!H15="","",[1]BASIS_INFO!H15)</f>
        <v>-</v>
      </c>
      <c r="I15" s="3" t="str">
        <f>IF([1]BASIS_INFO!I15="","",[1]BASIS_INFO!I15)</f>
        <v>-</v>
      </c>
    </row>
    <row r="16" spans="1:20" x14ac:dyDescent="0.25">
      <c r="A16" s="1" t="s">
        <v>39</v>
      </c>
      <c r="B16" s="3">
        <f>IF([1]BASIS_INFO!B16="","",[1]BASIS_INFO!B16)</f>
        <v>10</v>
      </c>
      <c r="E16" s="3">
        <v>14</v>
      </c>
      <c r="F16" s="1" t="str">
        <f>IF([1]BASIS_INFO!F16="","",[1]BASIS_INFO!F16)</f>
        <v>Partizan Mozzart Bet Belgrade</v>
      </c>
      <c r="G16" s="3" t="str">
        <f>IF([1]BASIS_INFO!G16="","",[1]BASIS_INFO!G16)</f>
        <v>PAR</v>
      </c>
      <c r="H16" s="3" t="str">
        <f>IF([1]BASIS_INFO!H16="","",[1]BASIS_INFO!H16)</f>
        <v>-</v>
      </c>
      <c r="I16" s="3" t="str">
        <f>IF([1]BASIS_INFO!I16="","",[1]BASIS_INFO!I16)</f>
        <v>-</v>
      </c>
    </row>
    <row r="17" spans="1:9" x14ac:dyDescent="0.25">
      <c r="A17" s="1" t="s">
        <v>40</v>
      </c>
      <c r="B17" s="3">
        <f>IF([1]BASIS_INFO!B17="","",[1]BASIS_INFO!B17)</f>
        <v>4</v>
      </c>
      <c r="E17" s="3">
        <v>15</v>
      </c>
      <c r="F17" s="1" t="str">
        <f>IF([1]BASIS_INFO!F17="","",[1]BASIS_INFO!F17)</f>
        <v>Real Madrid</v>
      </c>
      <c r="G17" s="3" t="str">
        <f>IF([1]BASIS_INFO!G17="","",[1]BASIS_INFO!G17)</f>
        <v>RMB</v>
      </c>
      <c r="H17" s="3" t="str">
        <f>IF([1]BASIS_INFO!H17="","",[1]BASIS_INFO!H17)</f>
        <v>-</v>
      </c>
      <c r="I17" s="3" t="str">
        <f>IF([1]BASIS_INFO!I17="","",[1]BASIS_INFO!I17)</f>
        <v>-</v>
      </c>
    </row>
    <row r="18" spans="1:9" x14ac:dyDescent="0.25">
      <c r="A18" s="1" t="s">
        <v>41</v>
      </c>
      <c r="B18" s="3" t="str">
        <f>IF([1]BASIS_INFO!B18="","",[1]BASIS_INFO!B18)</f>
        <v/>
      </c>
      <c r="E18" s="3">
        <v>16</v>
      </c>
      <c r="F18" s="1" t="str">
        <f>IF([1]BASIS_INFO!F18="","",[1]BASIS_INFO!F18)</f>
        <v>Valencia Basket</v>
      </c>
      <c r="G18" s="3" t="str">
        <f>IF([1]BASIS_INFO!G18="","",[1]BASIS_INFO!G18)</f>
        <v>VAL</v>
      </c>
      <c r="H18" s="3" t="str">
        <f>IF([1]BASIS_INFO!H18="","",[1]BASIS_INFO!H18)</f>
        <v>-</v>
      </c>
      <c r="I18" s="3" t="str">
        <f>IF([1]BASIS_INFO!I18="","",[1]BASIS_INFO!I18)</f>
        <v>-</v>
      </c>
    </row>
    <row r="19" spans="1:9" x14ac:dyDescent="0.25">
      <c r="E19" s="3">
        <v>17</v>
      </c>
      <c r="F19" s="1" t="str">
        <f>IF([1]BASIS_INFO!F19="","",[1]BASIS_INFO!F19)</f>
        <v>Virtus Segafredo Bologna</v>
      </c>
      <c r="G19" s="3" t="str">
        <f>IF([1]BASIS_INFO!G19="","",[1]BASIS_INFO!G19)</f>
        <v>VIR</v>
      </c>
      <c r="H19" s="3" t="str">
        <f>IF([1]BASIS_INFO!H19="","",[1]BASIS_INFO!H19)</f>
        <v>-</v>
      </c>
      <c r="I19" s="3" t="str">
        <f>IF([1]BASIS_INFO!I19="","",[1]BASIS_INFO!I19)</f>
        <v>-</v>
      </c>
    </row>
    <row r="20" spans="1:9" x14ac:dyDescent="0.25">
      <c r="E20" s="3">
        <v>18</v>
      </c>
      <c r="F20" s="1" t="str">
        <f>IF([1]BASIS_INFO!F20="","",[1]BASIS_INFO!F20)</f>
        <v>Zalgiris Kaunas</v>
      </c>
      <c r="G20" s="3" t="str">
        <f>IF([1]BASIS_INFO!G20="","",[1]BASIS_INFO!G20)</f>
        <v>ZAL</v>
      </c>
      <c r="H20" s="3" t="str">
        <f>IF([1]BASIS_INFO!H20="","",[1]BASIS_INFO!H20)</f>
        <v>-</v>
      </c>
      <c r="I20" s="3" t="str">
        <f>IF([1]BASIS_INFO!I20="","",[1]BASIS_INFO!I20)</f>
        <v>-</v>
      </c>
    </row>
    <row r="21" spans="1:9" x14ac:dyDescent="0.25">
      <c r="E21" s="3">
        <v>19</v>
      </c>
      <c r="F21" s="1" t="str">
        <f>IF([1]BASIS_INFO!F21="","",[1]BASIS_INFO!F21)</f>
        <v/>
      </c>
      <c r="G21" s="3" t="str">
        <f>IF([1]BASIS_INFO!G21="","",[1]BASIS_INFO!G21)</f>
        <v/>
      </c>
      <c r="H21" s="3" t="str">
        <f>IF([1]BASIS_INFO!H21="","",[1]BASIS_INFO!H21)</f>
        <v/>
      </c>
      <c r="I21" s="3" t="str">
        <f>IF([1]BASIS_INFO!I21="","",[1]BASIS_INFO!I21)</f>
        <v/>
      </c>
    </row>
    <row r="22" spans="1:9" x14ac:dyDescent="0.25">
      <c r="E22" s="3">
        <v>20</v>
      </c>
      <c r="F22" s="1" t="str">
        <f>IF([1]BASIS_INFO!F22="","",[1]BASIS_INFO!F22)</f>
        <v/>
      </c>
      <c r="G22" s="3" t="str">
        <f>IF([1]BASIS_INFO!G22="","",[1]BASIS_INFO!G22)</f>
        <v/>
      </c>
      <c r="H22" s="3" t="str">
        <f>IF([1]BASIS_INFO!H22="","",[1]BASIS_INFO!H22)</f>
        <v/>
      </c>
      <c r="I22" s="3" t="str">
        <f>IF([1]BASIS_INFO!I22="","",[1]BASIS_INFO!I22)</f>
        <v/>
      </c>
    </row>
    <row r="23" spans="1:9" x14ac:dyDescent="0.25">
      <c r="E23" s="3">
        <v>21</v>
      </c>
      <c r="F23" s="1" t="str">
        <f>IF([1]BASIS_INFO!F23="","",[1]BASIS_INFO!F23)</f>
        <v/>
      </c>
      <c r="G23" s="3" t="str">
        <f>IF([1]BASIS_INFO!G23="","",[1]BASIS_INFO!G23)</f>
        <v/>
      </c>
      <c r="H23" s="3" t="str">
        <f>IF([1]BASIS_INFO!H23="","",[1]BASIS_INFO!H23)</f>
        <v/>
      </c>
      <c r="I23" s="3" t="str">
        <f>IF([1]BASIS_INFO!I23="","",[1]BASIS_INFO!I23)</f>
        <v/>
      </c>
    </row>
    <row r="24" spans="1:9" x14ac:dyDescent="0.25">
      <c r="E24" s="3">
        <v>22</v>
      </c>
      <c r="F24" s="1" t="str">
        <f>IF([1]BASIS_INFO!F24="","",[1]BASIS_INFO!F24)</f>
        <v/>
      </c>
      <c r="G24" s="3" t="str">
        <f>IF([1]BASIS_INFO!G24="","",[1]BASIS_INFO!G24)</f>
        <v/>
      </c>
      <c r="H24" s="3" t="str">
        <f>IF([1]BASIS_INFO!H24="","",[1]BASIS_INFO!H24)</f>
        <v/>
      </c>
      <c r="I24" s="3" t="str">
        <f>IF([1]BASIS_INFO!I24="","",[1]BASIS_INFO!I24)</f>
        <v/>
      </c>
    </row>
    <row r="25" spans="1:9" x14ac:dyDescent="0.25">
      <c r="E25" s="3">
        <v>23</v>
      </c>
      <c r="F25" s="1" t="str">
        <f>IF([1]BASIS_INFO!F25="","",[1]BASIS_INFO!F25)</f>
        <v/>
      </c>
      <c r="G25" s="3" t="str">
        <f>IF([1]BASIS_INFO!G25="","",[1]BASIS_INFO!G25)</f>
        <v/>
      </c>
      <c r="H25" s="3" t="str">
        <f>IF([1]BASIS_INFO!H25="","",[1]BASIS_INFO!H25)</f>
        <v/>
      </c>
      <c r="I25" s="3" t="str">
        <f>IF([1]BASIS_INFO!I25="","",[1]BASIS_INFO!I25)</f>
        <v/>
      </c>
    </row>
    <row r="26" spans="1:9" x14ac:dyDescent="0.25">
      <c r="E26" s="3">
        <v>24</v>
      </c>
      <c r="F26" s="1" t="str">
        <f>IF([1]BASIS_INFO!F26="","",[1]BASIS_INFO!F26)</f>
        <v/>
      </c>
      <c r="G26" s="3" t="str">
        <f>IF([1]BASIS_INFO!G26="","",[1]BASIS_INFO!G26)</f>
        <v/>
      </c>
      <c r="H26" s="3" t="str">
        <f>IF([1]BASIS_INFO!H26="","",[1]BASIS_INFO!H26)</f>
        <v/>
      </c>
      <c r="I26" s="3" t="str">
        <f>IF([1]BASIS_INFO!I26="","",[1]BASIS_INFO!I26)</f>
        <v/>
      </c>
    </row>
    <row r="27" spans="1:9" x14ac:dyDescent="0.25">
      <c r="E27" s="3">
        <v>25</v>
      </c>
      <c r="F27" s="1" t="str">
        <f>IF([1]BASIS_INFO!F27="","",[1]BASIS_INFO!F27)</f>
        <v/>
      </c>
      <c r="G27" s="3" t="str">
        <f>IF([1]BASIS_INFO!G27="","",[1]BASIS_INFO!G27)</f>
        <v/>
      </c>
      <c r="H27" s="3" t="str">
        <f>IF([1]BASIS_INFO!H27="","",[1]BASIS_INFO!H27)</f>
        <v/>
      </c>
      <c r="I27" s="3" t="str">
        <f>IF([1]BASIS_INFO!I27="","",[1]BASIS_INFO!I27)</f>
        <v/>
      </c>
    </row>
    <row r="28" spans="1:9" x14ac:dyDescent="0.25">
      <c r="E28" s="3">
        <v>26</v>
      </c>
      <c r="F28" s="1" t="str">
        <f>IF([1]BASIS_INFO!F28="","",[1]BASIS_INFO!F28)</f>
        <v/>
      </c>
      <c r="G28" s="3" t="str">
        <f>IF([1]BASIS_INFO!G28="","",[1]BASIS_INFO!G28)</f>
        <v/>
      </c>
      <c r="H28" s="3" t="str">
        <f>IF([1]BASIS_INFO!H28="","",[1]BASIS_INFO!H28)</f>
        <v/>
      </c>
      <c r="I28" s="3" t="str">
        <f>IF([1]BASIS_INFO!I28="","",[1]BASIS_INFO!I28)</f>
        <v/>
      </c>
    </row>
    <row r="29" spans="1:9" x14ac:dyDescent="0.25">
      <c r="E29" s="3">
        <v>27</v>
      </c>
      <c r="F29" s="1" t="str">
        <f>IF([1]BASIS_INFO!F29="","",[1]BASIS_INFO!F29)</f>
        <v/>
      </c>
      <c r="G29" s="3" t="str">
        <f>IF([1]BASIS_INFO!G29="","",[1]BASIS_INFO!G29)</f>
        <v/>
      </c>
      <c r="H29" s="3" t="str">
        <f>IF([1]BASIS_INFO!H29="","",[1]BASIS_INFO!H29)</f>
        <v/>
      </c>
      <c r="I29" s="3" t="str">
        <f>IF([1]BASIS_INFO!I29="","",[1]BASIS_INFO!I29)</f>
        <v/>
      </c>
    </row>
    <row r="30" spans="1:9" x14ac:dyDescent="0.25">
      <c r="E30" s="3">
        <v>28</v>
      </c>
      <c r="F30" s="1" t="str">
        <f>IF([1]BASIS_INFO!F30="","",[1]BASIS_INFO!F30)</f>
        <v/>
      </c>
      <c r="G30" s="3" t="str">
        <f>IF([1]BASIS_INFO!G30="","",[1]BASIS_INFO!G30)</f>
        <v/>
      </c>
      <c r="H30" s="3" t="str">
        <f>IF([1]BASIS_INFO!H30="","",[1]BASIS_INFO!H30)</f>
        <v/>
      </c>
      <c r="I30" s="3" t="str">
        <f>IF([1]BASIS_INFO!I30="","",[1]BASIS_INFO!I30)</f>
        <v/>
      </c>
    </row>
    <row r="31" spans="1:9" x14ac:dyDescent="0.25">
      <c r="E31" s="3">
        <v>29</v>
      </c>
      <c r="F31" s="1" t="str">
        <f>IF([1]BASIS_INFO!F31="","",[1]BASIS_INFO!F31)</f>
        <v/>
      </c>
      <c r="G31" s="3" t="str">
        <f>IF([1]BASIS_INFO!G31="","",[1]BASIS_INFO!G31)</f>
        <v/>
      </c>
      <c r="H31" s="3" t="str">
        <f>IF([1]BASIS_INFO!H31="","",[1]BASIS_INFO!H31)</f>
        <v/>
      </c>
      <c r="I31" s="3" t="str">
        <f>IF([1]BASIS_INFO!I31="","",[1]BASIS_INFO!I31)</f>
        <v/>
      </c>
    </row>
    <row r="32" spans="1:9" x14ac:dyDescent="0.25">
      <c r="E32" s="3">
        <v>30</v>
      </c>
      <c r="F32" s="1" t="str">
        <f>IF([1]BASIS_INFO!F32="","",[1]BASIS_INFO!F32)</f>
        <v/>
      </c>
      <c r="G32" s="3" t="str">
        <f>IF([1]BASIS_INFO!G32="","",[1]BASIS_INFO!G32)</f>
        <v/>
      </c>
      <c r="H32" s="3" t="str">
        <f>IF([1]BASIS_INFO!H32="","",[1]BASIS_INFO!H32)</f>
        <v/>
      </c>
      <c r="I32" s="3" t="str">
        <f>IF([1]BASIS_INFO!I32="","",[1]BASIS_INFO!I32)</f>
        <v/>
      </c>
    </row>
    <row r="33" spans="5:9" x14ac:dyDescent="0.25">
      <c r="E33" s="3">
        <v>31</v>
      </c>
      <c r="F33" s="1" t="str">
        <f>IF([1]BASIS_INFO!F33="","",[1]BASIS_INFO!F33)</f>
        <v/>
      </c>
      <c r="G33" s="3" t="str">
        <f>IF([1]BASIS_INFO!G33="","",[1]BASIS_INFO!G33)</f>
        <v/>
      </c>
      <c r="H33" s="3" t="str">
        <f>IF([1]BASIS_INFO!H33="","",[1]BASIS_INFO!H33)</f>
        <v/>
      </c>
      <c r="I33" s="3" t="str">
        <f>IF([1]BASIS_INFO!I33="","",[1]BASIS_INFO!I33)</f>
        <v/>
      </c>
    </row>
    <row r="34" spans="5:9" x14ac:dyDescent="0.25">
      <c r="E34" s="3">
        <v>32</v>
      </c>
      <c r="F34" s="1" t="str">
        <f>IF([1]BASIS_INFO!F34="","",[1]BASIS_INFO!F34)</f>
        <v/>
      </c>
      <c r="G34" s="3" t="str">
        <f>IF([1]BASIS_INFO!G34="","",[1]BASIS_INFO!G34)</f>
        <v/>
      </c>
      <c r="H34" s="3" t="str">
        <f>IF([1]BASIS_INFO!H34="","",[1]BASIS_INFO!H34)</f>
        <v/>
      </c>
      <c r="I34" s="3" t="str">
        <f>IF([1]BASIS_INFO!I34="","",[1]BASIS_INFO!I34)</f>
        <v/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2E1F2-510C-4741-8223-50CAD840B9EE}">
  <sheetPr codeName="Foglio16"/>
  <dimension ref="A1:CK500"/>
  <sheetViews>
    <sheetView workbookViewId="0">
      <selection activeCell="B10" sqref="B10:B13"/>
    </sheetView>
  </sheetViews>
  <sheetFormatPr defaultColWidth="8.85546875" defaultRowHeight="15" x14ac:dyDescent="0.25"/>
  <cols>
    <col min="2" max="3" width="23.85546875" bestFit="1" customWidth="1"/>
    <col min="4" max="4" width="6.7109375" style="8" bestFit="1" customWidth="1"/>
    <col min="5" max="5" width="5.140625" bestFit="1" customWidth="1"/>
    <col min="6" max="6" width="7.5703125" bestFit="1" customWidth="1"/>
    <col min="7" max="7" width="4.5703125" bestFit="1" customWidth="1"/>
    <col min="8" max="8" width="31.85546875" bestFit="1" customWidth="1"/>
    <col min="9" max="9" width="7.85546875" style="8" bestFit="1" customWidth="1"/>
    <col min="10" max="10" width="27.7109375" bestFit="1" customWidth="1"/>
    <col min="11" max="11" width="28.140625" bestFit="1" customWidth="1"/>
    <col min="12" max="12" width="19.85546875" bestFit="1" customWidth="1"/>
    <col min="13" max="13" width="20.28515625" bestFit="1" customWidth="1"/>
    <col min="15" max="15" width="10.7109375" bestFit="1" customWidth="1"/>
  </cols>
  <sheetData>
    <row r="1" spans="1:13" s="1" customFormat="1" x14ac:dyDescent="0.25">
      <c r="B1"/>
      <c r="C1" s="4"/>
      <c r="D1" s="3"/>
      <c r="E1" s="3"/>
      <c r="F1" s="3"/>
      <c r="G1" s="3"/>
      <c r="H1" s="3"/>
      <c r="I1" s="3"/>
      <c r="K1" s="4"/>
      <c r="L1" s="4"/>
      <c r="M1"/>
    </row>
    <row r="2" spans="1:13" s="1" customFormat="1" x14ac:dyDescent="0.25">
      <c r="A2" s="5" t="s">
        <v>7</v>
      </c>
      <c r="B2" s="5" t="s">
        <v>42</v>
      </c>
      <c r="C2" s="5" t="s">
        <v>43</v>
      </c>
      <c r="D2" s="5" t="s">
        <v>6</v>
      </c>
      <c r="E2" s="5" t="s">
        <v>44</v>
      </c>
      <c r="F2" s="5" t="s">
        <v>45</v>
      </c>
      <c r="G2" s="5" t="s">
        <v>46</v>
      </c>
      <c r="H2" s="5" t="s">
        <v>47</v>
      </c>
      <c r="I2" s="5" t="s">
        <v>3</v>
      </c>
      <c r="J2" s="5" t="s">
        <v>48</v>
      </c>
      <c r="K2" s="5" t="s">
        <v>49</v>
      </c>
      <c r="L2" s="5" t="s">
        <v>50</v>
      </c>
      <c r="M2"/>
    </row>
    <row r="3" spans="1:13" s="1" customFormat="1" x14ac:dyDescent="0.25">
      <c r="A3" s="3">
        <f>IF(B3="","",COUNTIF($H$3:H3,H3))</f>
        <v>1</v>
      </c>
      <c r="B3" s="4" t="str">
        <f>IF([1]ROSTERS!B3="","",[1]ROSTERS!B3)</f>
        <v>Bean Justin</v>
      </c>
      <c r="C3" s="4" t="str">
        <f>IF([1]ROSTERS!C3="","",[1]ROSTERS!C3)</f>
        <v>Justin Bean</v>
      </c>
      <c r="D3" s="3" t="str">
        <f>IF([1]ROSTERS!D3="","",[1]ROSTERS!D3)</f>
        <v>F/PF</v>
      </c>
      <c r="E3" s="3" t="str">
        <f>IF([1]ROSTERS!E3="","",[1]ROSTERS!E3)</f>
        <v>USA</v>
      </c>
      <c r="F3" s="3">
        <f>IF([1]ROSTERS!F3="","",[1]ROSTERS!F3)</f>
        <v>201</v>
      </c>
      <c r="G3" s="3">
        <f>IF([1]ROSTERS!G3="","",[1]ROSTERS!G3)</f>
        <v>28</v>
      </c>
      <c r="H3" s="3" t="str">
        <f>IF([1]ROSTERS!H3="","",[1]ROSTERS!H3)</f>
        <v>ALBA Berlin</v>
      </c>
      <c r="I3" s="3" t="str">
        <f>IF([1]ROSTERS!I3="","",[1]ROSTERS!I3)</f>
        <v>BER</v>
      </c>
      <c r="J3" s="3" t="str">
        <f>IF([1]ROSTERS!J3="","",[1]ROSTERS!J3)</f>
        <v>BER.BeanJustin</v>
      </c>
      <c r="K3" s="4" t="str">
        <f>IF([1]ROSTERS!K3="","",[1]ROSTERS!K3)</f>
        <v>BER.Justin Bean</v>
      </c>
      <c r="L3" s="4" t="str">
        <f>IF([1]ROSTERS!L3="","",[1]ROSTERS!L3)</f>
        <v>Bean J.</v>
      </c>
      <c r="M3"/>
    </row>
    <row r="4" spans="1:13" s="1" customFormat="1" x14ac:dyDescent="0.25">
      <c r="A4" s="3">
        <f>IF(B4="","",COUNTIF($H$3:H4,H4))</f>
        <v>2</v>
      </c>
      <c r="B4" s="4" t="str">
        <f>IF([1]ROSTERS!B4="","",[1]ROSTERS!B4)</f>
        <v>Brown Sterling</v>
      </c>
      <c r="C4" s="4" t="str">
        <f>IF([1]ROSTERS!C4="","",[1]ROSTERS!C4)</f>
        <v>Sterling Brown</v>
      </c>
      <c r="D4" s="3" t="str">
        <f>IF([1]ROSTERS!D4="","",[1]ROSTERS!D4)</f>
        <v>SG</v>
      </c>
      <c r="E4" s="3" t="str">
        <f>IF([1]ROSTERS!E4="","",[1]ROSTERS!E4)</f>
        <v>USA</v>
      </c>
      <c r="F4" s="3">
        <f>IF([1]ROSTERS!F4="","",[1]ROSTERS!F4)</f>
        <v>198</v>
      </c>
      <c r="G4" s="3">
        <f>IF([1]ROSTERS!G4="","",[1]ROSTERS!G4)</f>
        <v>29</v>
      </c>
      <c r="H4" s="3" t="str">
        <f>IF([1]ROSTERS!H4="","",[1]ROSTERS!H4)</f>
        <v>ALBA Berlin</v>
      </c>
      <c r="I4" s="3" t="str">
        <f>IF([1]ROSTERS!I4="","",[1]ROSTERS!I4)</f>
        <v>BER</v>
      </c>
      <c r="J4" s="3" t="str">
        <f>IF([1]ROSTERS!J4="","",[1]ROSTERS!J4)</f>
        <v>BER.BrownSterling</v>
      </c>
      <c r="K4" s="4" t="str">
        <f>IF([1]ROSTERS!K4="","",[1]ROSTERS!K4)</f>
        <v>BER.Sterling Brown</v>
      </c>
      <c r="L4" s="4" t="str">
        <f>IF([1]ROSTERS!L4="","",[1]ROSTERS!L4)</f>
        <v>Brown S.</v>
      </c>
      <c r="M4"/>
    </row>
    <row r="5" spans="1:13" s="1" customFormat="1" x14ac:dyDescent="0.25">
      <c r="A5" s="3">
        <f>IF(B5="","",COUNTIF($H$3:H5,H5))</f>
        <v>3</v>
      </c>
      <c r="B5" s="4" t="str">
        <f>IF([1]ROSTERS!B5="","",[1]ROSTERS!B5)</f>
        <v>Delow Malte</v>
      </c>
      <c r="C5" s="4" t="str">
        <f>IF([1]ROSTERS!C5="","",[1]ROSTERS!C5)</f>
        <v>Malte Delow</v>
      </c>
      <c r="D5" s="3" t="str">
        <f>IF([1]ROSTERS!D5="","",[1]ROSTERS!D5)</f>
        <v>SG</v>
      </c>
      <c r="E5" s="3" t="str">
        <f>IF([1]ROSTERS!E5="","",[1]ROSTERS!E5)</f>
        <v>GER</v>
      </c>
      <c r="F5" s="3">
        <f>IF([1]ROSTERS!F5="","",[1]ROSTERS!F5)</f>
        <v>194</v>
      </c>
      <c r="G5" s="3">
        <f>IF([1]ROSTERS!G5="","",[1]ROSTERS!G5)</f>
        <v>23</v>
      </c>
      <c r="H5" s="3" t="str">
        <f>IF([1]ROSTERS!H5="","",[1]ROSTERS!H5)</f>
        <v>ALBA Berlin</v>
      </c>
      <c r="I5" s="3" t="str">
        <f>IF([1]ROSTERS!I5="","",[1]ROSTERS!I5)</f>
        <v>BER</v>
      </c>
      <c r="J5" s="3" t="str">
        <f>IF([1]ROSTERS!J5="","",[1]ROSTERS!J5)</f>
        <v>BER.DelowMalte</v>
      </c>
      <c r="K5" s="4" t="str">
        <f>IF([1]ROSTERS!K5="","",[1]ROSTERS!K5)</f>
        <v>BER.Malte Delow</v>
      </c>
      <c r="L5" s="4" t="str">
        <f>IF([1]ROSTERS!L5="","",[1]ROSTERS!L5)</f>
        <v>Delow M.</v>
      </c>
      <c r="M5"/>
    </row>
    <row r="6" spans="1:13" s="1" customFormat="1" x14ac:dyDescent="0.25">
      <c r="A6" s="3">
        <f>IF(B6="","",COUNTIF($H$3:H6,H6))</f>
        <v>4</v>
      </c>
      <c r="B6" s="4" t="str">
        <f>IF([1]ROSTERS!B6="","",[1]ROSTERS!B6)</f>
        <v>Koumadje Khalifa</v>
      </c>
      <c r="C6" s="4" t="str">
        <f>IF([1]ROSTERS!C6="","",[1]ROSTERS!C6)</f>
        <v>Khalifa Koumadje</v>
      </c>
      <c r="D6" s="3" t="str">
        <f>IF([1]ROSTERS!D6="","",[1]ROSTERS!D6)</f>
        <v>C</v>
      </c>
      <c r="E6" s="3" t="str">
        <f>IF([1]ROSTERS!E6="","",[1]ROSTERS!E6)</f>
        <v>CHA</v>
      </c>
      <c r="F6" s="3">
        <f>IF([1]ROSTERS!F6="","",[1]ROSTERS!F6)</f>
        <v>223</v>
      </c>
      <c r="G6" s="3">
        <f>IF([1]ROSTERS!G6="","",[1]ROSTERS!G6)</f>
        <v>28</v>
      </c>
      <c r="H6" s="3" t="str">
        <f>IF([1]ROSTERS!H6="","",[1]ROSTERS!H6)</f>
        <v>ALBA Berlin</v>
      </c>
      <c r="I6" s="3" t="str">
        <f>IF([1]ROSTERS!I6="","",[1]ROSTERS!I6)</f>
        <v>BER</v>
      </c>
      <c r="J6" s="3" t="str">
        <f>IF([1]ROSTERS!J6="","",[1]ROSTERS!J6)</f>
        <v>BER.KoumadjeKhalifa</v>
      </c>
      <c r="K6" s="4" t="str">
        <f>IF([1]ROSTERS!K6="","",[1]ROSTERS!K6)</f>
        <v>BER.Khalifa Koumadje</v>
      </c>
      <c r="L6" s="4" t="str">
        <f>IF([1]ROSTERS!L6="","",[1]ROSTERS!L6)</f>
        <v>Koumadje K.</v>
      </c>
      <c r="M6"/>
    </row>
    <row r="7" spans="1:13" s="1" customFormat="1" x14ac:dyDescent="0.25">
      <c r="A7" s="3">
        <f>IF(B7="","",COUNTIF($H$3:H7,H7))</f>
        <v>5</v>
      </c>
      <c r="B7" s="4" t="str">
        <f>IF([1]ROSTERS!B7="","",[1]ROSTERS!B7)</f>
        <v>Mattisseck Jonas</v>
      </c>
      <c r="C7" s="4" t="str">
        <f>IF([1]ROSTERS!C7="","",[1]ROSTERS!C7)</f>
        <v>Jonas Mattisseck</v>
      </c>
      <c r="D7" s="3" t="str">
        <f>IF([1]ROSTERS!D7="","",[1]ROSTERS!D7)</f>
        <v>SG</v>
      </c>
      <c r="E7" s="3" t="str">
        <f>IF([1]ROSTERS!E7="","",[1]ROSTERS!E7)</f>
        <v>GER</v>
      </c>
      <c r="F7" s="3">
        <f>IF([1]ROSTERS!F7="","",[1]ROSTERS!F7)</f>
        <v>194</v>
      </c>
      <c r="G7" s="3">
        <f>IF([1]ROSTERS!G7="","",[1]ROSTERS!G7)</f>
        <v>24</v>
      </c>
      <c r="H7" s="3" t="str">
        <f>IF([1]ROSTERS!H7="","",[1]ROSTERS!H7)</f>
        <v>ALBA Berlin</v>
      </c>
      <c r="I7" s="3" t="str">
        <f>IF([1]ROSTERS!I7="","",[1]ROSTERS!I7)</f>
        <v>BER</v>
      </c>
      <c r="J7" s="3" t="str">
        <f>IF([1]ROSTERS!J7="","",[1]ROSTERS!J7)</f>
        <v>BER.MattisseckJonas</v>
      </c>
      <c r="K7" s="4" t="str">
        <f>IF([1]ROSTERS!K7="","",[1]ROSTERS!K7)</f>
        <v>BER.Jonas Mattisseck</v>
      </c>
      <c r="L7" s="4" t="str">
        <f>IF([1]ROSTERS!L7="","",[1]ROSTERS!L7)</f>
        <v>Mattisseck J.</v>
      </c>
      <c r="M7"/>
    </row>
    <row r="8" spans="1:13" s="1" customFormat="1" x14ac:dyDescent="0.25">
      <c r="A8" s="3">
        <f>IF(B8="","",COUNTIF($H$3:H8,H8))</f>
        <v>6</v>
      </c>
      <c r="B8" s="4" t="str">
        <f>IF([1]ROSTERS!B8="","",[1]ROSTERS!B8)</f>
        <v>Nikic Kresimir</v>
      </c>
      <c r="C8" s="4" t="str">
        <f>IF([1]ROSTERS!C8="","",[1]ROSTERS!C8)</f>
        <v>Kresimir Nikic</v>
      </c>
      <c r="D8" s="3" t="str">
        <f>IF([1]ROSTERS!D8="","",[1]ROSTERS!D8)</f>
        <v>C</v>
      </c>
      <c r="E8" s="3" t="str">
        <f>IF([1]ROSTERS!E8="","",[1]ROSTERS!E8)</f>
        <v>CRO</v>
      </c>
      <c r="F8" s="3">
        <f>IF([1]ROSTERS!F8="","",[1]ROSTERS!F8)</f>
        <v>213</v>
      </c>
      <c r="G8" s="3">
        <f>IF([1]ROSTERS!G8="","",[1]ROSTERS!G8)</f>
        <v>25</v>
      </c>
      <c r="H8" s="3" t="str">
        <f>IF([1]ROSTERS!H8="","",[1]ROSTERS!H8)</f>
        <v>ALBA Berlin</v>
      </c>
      <c r="I8" s="3" t="str">
        <f>IF([1]ROSTERS!I8="","",[1]ROSTERS!I8)</f>
        <v>BER</v>
      </c>
      <c r="J8" s="3" t="str">
        <f>IF([1]ROSTERS!J8="","",[1]ROSTERS!J8)</f>
        <v>BER.NikicKresimir</v>
      </c>
      <c r="K8" s="4" t="str">
        <f>IF([1]ROSTERS!K8="","",[1]ROSTERS!K8)</f>
        <v>BER.Kresimir Nikic</v>
      </c>
      <c r="L8" s="4" t="str">
        <f>IF([1]ROSTERS!L8="","",[1]ROSTERS!L8)</f>
        <v>Nikic K.</v>
      </c>
      <c r="M8"/>
    </row>
    <row r="9" spans="1:13" s="1" customFormat="1" x14ac:dyDescent="0.25">
      <c r="A9" s="3">
        <f>IF(B9="","",COUNTIF($H$3:H9,H9))</f>
        <v>7</v>
      </c>
      <c r="B9" s="4" t="str">
        <f>IF([1]ROSTERS!B9="","",[1]ROSTERS!B9)</f>
        <v>Olinde Louis</v>
      </c>
      <c r="C9" s="4" t="str">
        <f>IF([1]ROSTERS!C9="","",[1]ROSTERS!C9)</f>
        <v>Louis Olinde</v>
      </c>
      <c r="D9" s="3" t="str">
        <f>IF([1]ROSTERS!D9="","",[1]ROSTERS!D9)</f>
        <v>F</v>
      </c>
      <c r="E9" s="3" t="str">
        <f>IF([1]ROSTERS!E9="","",[1]ROSTERS!E9)</f>
        <v>GER</v>
      </c>
      <c r="F9" s="3">
        <f>IF([1]ROSTERS!F9="","",[1]ROSTERS!F9)</f>
        <v>204.99999999999997</v>
      </c>
      <c r="G9" s="3">
        <f>IF([1]ROSTERS!G9="","",[1]ROSTERS!G9)</f>
        <v>26</v>
      </c>
      <c r="H9" s="3" t="str">
        <f>IF([1]ROSTERS!H9="","",[1]ROSTERS!H9)</f>
        <v>ALBA Berlin</v>
      </c>
      <c r="I9" s="3" t="str">
        <f>IF([1]ROSTERS!I9="","",[1]ROSTERS!I9)</f>
        <v>BER</v>
      </c>
      <c r="J9" s="3" t="str">
        <f>IF([1]ROSTERS!J9="","",[1]ROSTERS!J9)</f>
        <v>BER.OlindeLouis</v>
      </c>
      <c r="K9" s="4" t="str">
        <f>IF([1]ROSTERS!K9="","",[1]ROSTERS!K9)</f>
        <v>BER.Louis Olinde</v>
      </c>
      <c r="L9" s="4" t="str">
        <f>IF([1]ROSTERS!L9="","",[1]ROSTERS!L9)</f>
        <v>Olinde L.</v>
      </c>
      <c r="M9"/>
    </row>
    <row r="10" spans="1:13" s="1" customFormat="1" x14ac:dyDescent="0.25">
      <c r="A10" s="3">
        <f>IF(B10="","",COUNTIF($H$3:H10,H10))</f>
        <v>8</v>
      </c>
      <c r="B10" s="4" t="str">
        <f>IF([1]ROSTERS!B10="","",[1]ROSTERS!B10)</f>
        <v>Procida Gabriele</v>
      </c>
      <c r="C10" s="4" t="str">
        <f>IF([1]ROSTERS!C10="","",[1]ROSTERS!C10)</f>
        <v>Gabriele Procida</v>
      </c>
      <c r="D10" s="3" t="str">
        <f>IF([1]ROSTERS!D10="","",[1]ROSTERS!D10)</f>
        <v>SG</v>
      </c>
      <c r="E10" s="3" t="str">
        <f>IF([1]ROSTERS!E10="","",[1]ROSTERS!E10)</f>
        <v>ITA</v>
      </c>
      <c r="F10" s="3">
        <f>IF([1]ROSTERS!F10="","",[1]ROSTERS!F10)</f>
        <v>198</v>
      </c>
      <c r="G10" s="3">
        <f>IF([1]ROSTERS!G10="","",[1]ROSTERS!G10)</f>
        <v>22</v>
      </c>
      <c r="H10" s="3" t="str">
        <f>IF([1]ROSTERS!H10="","",[1]ROSTERS!H10)</f>
        <v>ALBA Berlin</v>
      </c>
      <c r="I10" s="3" t="str">
        <f>IF([1]ROSTERS!I10="","",[1]ROSTERS!I10)</f>
        <v>BER</v>
      </c>
      <c r="J10" s="3" t="str">
        <f>IF([1]ROSTERS!J10="","",[1]ROSTERS!J10)</f>
        <v>BER.ProcidaGabriele</v>
      </c>
      <c r="K10" s="4" t="str">
        <f>IF([1]ROSTERS!K10="","",[1]ROSTERS!K10)</f>
        <v>BER.Gabriele Procida</v>
      </c>
      <c r="L10" s="4" t="str">
        <f>IF([1]ROSTERS!L10="","",[1]ROSTERS!L10)</f>
        <v>Procida G.</v>
      </c>
      <c r="M10"/>
    </row>
    <row r="11" spans="1:13" s="1" customFormat="1" x14ac:dyDescent="0.25">
      <c r="A11" s="3">
        <f>IF(B11="","",COUNTIF($H$3:H11,H11))</f>
        <v>9</v>
      </c>
      <c r="B11" s="4" t="str">
        <f>IF([1]ROSTERS!B11="","",[1]ROSTERS!B11)</f>
        <v>Samar Ziga</v>
      </c>
      <c r="C11" s="4" t="str">
        <f>IF([1]ROSTERS!C11="","",[1]ROSTERS!C11)</f>
        <v>Ziga Samar</v>
      </c>
      <c r="D11" s="3" t="str">
        <f>IF([1]ROSTERS!D11="","",[1]ROSTERS!D11)</f>
        <v>PG</v>
      </c>
      <c r="E11" s="3" t="str">
        <f>IF([1]ROSTERS!E11="","",[1]ROSTERS!E11)</f>
        <v>SLO</v>
      </c>
      <c r="F11" s="3">
        <f>IF([1]ROSTERS!F11="","",[1]ROSTERS!F11)</f>
        <v>198</v>
      </c>
      <c r="G11" s="3">
        <f>IF([1]ROSTERS!G11="","",[1]ROSTERS!G11)</f>
        <v>23</v>
      </c>
      <c r="H11" s="3" t="str">
        <f>IF([1]ROSTERS!H11="","",[1]ROSTERS!H11)</f>
        <v>ALBA Berlin</v>
      </c>
      <c r="I11" s="3" t="str">
        <f>IF([1]ROSTERS!I11="","",[1]ROSTERS!I11)</f>
        <v>BER</v>
      </c>
      <c r="J11" s="3" t="str">
        <f>IF([1]ROSTERS!J11="","",[1]ROSTERS!J11)</f>
        <v>BER.SamarZiga</v>
      </c>
      <c r="K11" s="4" t="str">
        <f>IF([1]ROSTERS!K11="","",[1]ROSTERS!K11)</f>
        <v>BER.Ziga Samar</v>
      </c>
      <c r="L11" s="4" t="str">
        <f>IF([1]ROSTERS!L11="","",[1]ROSTERS!L11)</f>
        <v>Samar Z.</v>
      </c>
      <c r="M11"/>
    </row>
    <row r="12" spans="1:13" s="1" customFormat="1" x14ac:dyDescent="0.25">
      <c r="A12" s="3">
        <f>IF(B12="","",COUNTIF($H$3:H12,H12))</f>
        <v>10</v>
      </c>
      <c r="B12" s="4" t="str">
        <f>IF([1]ROSTERS!B12="","",[1]ROSTERS!B12)</f>
        <v>Schneider Tim</v>
      </c>
      <c r="C12" s="4" t="str">
        <f>IF([1]ROSTERS!C12="","",[1]ROSTERS!C12)</f>
        <v>Tim Schneider</v>
      </c>
      <c r="D12" s="3" t="str">
        <f>IF([1]ROSTERS!D12="","",[1]ROSTERS!D12)</f>
        <v>PF</v>
      </c>
      <c r="E12" s="3" t="str">
        <f>IF([1]ROSTERS!E12="","",[1]ROSTERS!E12)</f>
        <v>GER</v>
      </c>
      <c r="F12" s="3">
        <f>IF([1]ROSTERS!F12="","",[1]ROSTERS!F12)</f>
        <v>208</v>
      </c>
      <c r="G12" s="3">
        <f>IF([1]ROSTERS!G12="","",[1]ROSTERS!G12)</f>
        <v>27</v>
      </c>
      <c r="H12" s="3" t="str">
        <f>IF([1]ROSTERS!H12="","",[1]ROSTERS!H12)</f>
        <v>ALBA Berlin</v>
      </c>
      <c r="I12" s="3" t="str">
        <f>IF([1]ROSTERS!I12="","",[1]ROSTERS!I12)</f>
        <v>BER</v>
      </c>
      <c r="J12" s="3" t="str">
        <f>IF([1]ROSTERS!J12="","",[1]ROSTERS!J12)</f>
        <v>BER.SchneiderTim</v>
      </c>
      <c r="K12" s="4" t="str">
        <f>IF([1]ROSTERS!K12="","",[1]ROSTERS!K12)</f>
        <v>BER.Tim Schneider</v>
      </c>
      <c r="L12" s="4" t="str">
        <f>IF([1]ROSTERS!L12="","",[1]ROSTERS!L12)</f>
        <v>Schneider T.</v>
      </c>
      <c r="M12"/>
    </row>
    <row r="13" spans="1:13" s="1" customFormat="1" x14ac:dyDescent="0.25">
      <c r="A13" s="3">
        <f>IF(B13="","",COUNTIF($H$3:H13,H13))</f>
        <v>11</v>
      </c>
      <c r="B13" s="4" t="str">
        <f>IF([1]ROSTERS!B13="","",[1]ROSTERS!B13)</f>
        <v>Spagnolo Matteo</v>
      </c>
      <c r="C13" s="4" t="str">
        <f>IF([1]ROSTERS!C13="","",[1]ROSTERS!C13)</f>
        <v>Matteo Spagnolo</v>
      </c>
      <c r="D13" s="3" t="str">
        <f>IF([1]ROSTERS!D13="","",[1]ROSTERS!D13)</f>
        <v>PG</v>
      </c>
      <c r="E13" s="3" t="str">
        <f>IF([1]ROSTERS!E13="","",[1]ROSTERS!E13)</f>
        <v>ITA</v>
      </c>
      <c r="F13" s="3">
        <f>IF([1]ROSTERS!F13="","",[1]ROSTERS!F13)</f>
        <v>194</v>
      </c>
      <c r="G13" s="3">
        <f>IF([1]ROSTERS!G13="","",[1]ROSTERS!G13)</f>
        <v>21</v>
      </c>
      <c r="H13" s="3" t="str">
        <f>IF([1]ROSTERS!H13="","",[1]ROSTERS!H13)</f>
        <v>ALBA Berlin</v>
      </c>
      <c r="I13" s="3" t="str">
        <f>IF([1]ROSTERS!I13="","",[1]ROSTERS!I13)</f>
        <v>BER</v>
      </c>
      <c r="J13" s="3" t="str">
        <f>IF([1]ROSTERS!J13="","",[1]ROSTERS!J13)</f>
        <v>BER.SpagnoloMatteo</v>
      </c>
      <c r="K13" s="4" t="str">
        <f>IF([1]ROSTERS!K13="","",[1]ROSTERS!K13)</f>
        <v>BER.Matteo Spagnolo</v>
      </c>
      <c r="L13" s="4" t="str">
        <f>IF([1]ROSTERS!L13="","",[1]ROSTERS!L13)</f>
        <v>Spagnolo M.</v>
      </c>
      <c r="M13"/>
    </row>
    <row r="14" spans="1:13" s="1" customFormat="1" x14ac:dyDescent="0.25">
      <c r="A14" s="3">
        <f>IF(B14="","",COUNTIF($H$3:H14,H14))</f>
        <v>12</v>
      </c>
      <c r="B14" s="4" t="str">
        <f>IF([1]ROSTERS!B14="","",[1]ROSTERS!B14)</f>
        <v>Thiemann Johannes</v>
      </c>
      <c r="C14" s="4" t="str">
        <f>IF([1]ROSTERS!C14="","",[1]ROSTERS!C14)</f>
        <v>Johannes Thiemann</v>
      </c>
      <c r="D14" s="3" t="str">
        <f>IF([1]ROSTERS!D14="","",[1]ROSTERS!D14)</f>
        <v>C</v>
      </c>
      <c r="E14" s="3" t="str">
        <f>IF([1]ROSTERS!E14="","",[1]ROSTERS!E14)</f>
        <v>GER</v>
      </c>
      <c r="F14" s="3">
        <f>IF([1]ROSTERS!F14="","",[1]ROSTERS!F14)</f>
        <v>204.99999999999997</v>
      </c>
      <c r="G14" s="3">
        <f>IF([1]ROSTERS!G14="","",[1]ROSTERS!G14)</f>
        <v>30</v>
      </c>
      <c r="H14" s="3" t="str">
        <f>IF([1]ROSTERS!H14="","",[1]ROSTERS!H14)</f>
        <v>ALBA Berlin</v>
      </c>
      <c r="I14" s="3" t="str">
        <f>IF([1]ROSTERS!I14="","",[1]ROSTERS!I14)</f>
        <v>BER</v>
      </c>
      <c r="J14" s="3" t="str">
        <f>IF([1]ROSTERS!J14="","",[1]ROSTERS!J14)</f>
        <v>BER.ThiemannJohannes</v>
      </c>
      <c r="K14" s="4" t="str">
        <f>IF([1]ROSTERS!K14="","",[1]ROSTERS!K14)</f>
        <v>BER.Johannes Thiemann</v>
      </c>
      <c r="L14" s="4" t="str">
        <f>IF([1]ROSTERS!L14="","",[1]ROSTERS!L14)</f>
        <v>Thiemann J.</v>
      </c>
      <c r="M14"/>
    </row>
    <row r="15" spans="1:13" s="1" customFormat="1" x14ac:dyDescent="0.25">
      <c r="A15" s="3">
        <f>IF(B15="","",COUNTIF($H$3:H15,H15))</f>
        <v>13</v>
      </c>
      <c r="B15" s="4" t="str">
        <f>IF([1]ROSTERS!B15="","",[1]ROSTERS!B15)</f>
        <v>Thomas Matt</v>
      </c>
      <c r="C15" s="4" t="str">
        <f>IF([1]ROSTERS!C15="","",[1]ROSTERS!C15)</f>
        <v>Matt Thomas</v>
      </c>
      <c r="D15" s="3" t="str">
        <f>IF([1]ROSTERS!D15="","",[1]ROSTERS!D15)</f>
        <v>SG</v>
      </c>
      <c r="E15" s="3" t="str">
        <f>IF([1]ROSTERS!E15="","",[1]ROSTERS!E15)</f>
        <v>USA</v>
      </c>
      <c r="F15" s="3">
        <f>IF([1]ROSTERS!F15="","",[1]ROSTERS!F15)</f>
        <v>196</v>
      </c>
      <c r="G15" s="3">
        <f>IF([1]ROSTERS!G15="","",[1]ROSTERS!G15)</f>
        <v>30</v>
      </c>
      <c r="H15" s="3" t="str">
        <f>IF([1]ROSTERS!H15="","",[1]ROSTERS!H15)</f>
        <v>ALBA Berlin</v>
      </c>
      <c r="I15" s="3" t="str">
        <f>IF([1]ROSTERS!I15="","",[1]ROSTERS!I15)</f>
        <v>BER</v>
      </c>
      <c r="J15" s="3" t="str">
        <f>IF([1]ROSTERS!J15="","",[1]ROSTERS!J15)</f>
        <v>BER.ThomasMatt</v>
      </c>
      <c r="K15" s="4" t="str">
        <f>IF([1]ROSTERS!K15="","",[1]ROSTERS!K15)</f>
        <v>BER.Matt Thomas</v>
      </c>
      <c r="L15" s="4" t="str">
        <f>IF([1]ROSTERS!L15="","",[1]ROSTERS!L15)</f>
        <v>Thomas M.</v>
      </c>
      <c r="M15"/>
    </row>
    <row r="16" spans="1:13" s="1" customFormat="1" x14ac:dyDescent="0.25">
      <c r="A16" s="3">
        <f>IF(B16="","",COUNTIF($H$3:H16,H16))</f>
        <v>14</v>
      </c>
      <c r="B16" s="4" t="str">
        <f>IF([1]ROSTERS!B16="","",[1]ROSTERS!B16)</f>
        <v>Wetzell Yanni</v>
      </c>
      <c r="C16" s="4" t="str">
        <f>IF([1]ROSTERS!C16="","",[1]ROSTERS!C16)</f>
        <v>Yanni Wetzell</v>
      </c>
      <c r="D16" s="3" t="str">
        <f>IF([1]ROSTERS!D16="","",[1]ROSTERS!D16)</f>
        <v>PF</v>
      </c>
      <c r="E16" s="3" t="str">
        <f>IF([1]ROSTERS!E16="","",[1]ROSTERS!E16)</f>
        <v>NZL</v>
      </c>
      <c r="F16" s="3">
        <f>IF([1]ROSTERS!F16="","",[1]ROSTERS!F16)</f>
        <v>206</v>
      </c>
      <c r="G16" s="3">
        <f>IF([1]ROSTERS!G16="","",[1]ROSTERS!G16)</f>
        <v>28</v>
      </c>
      <c r="H16" s="3" t="str">
        <f>IF([1]ROSTERS!H16="","",[1]ROSTERS!H16)</f>
        <v>ALBA Berlin</v>
      </c>
      <c r="I16" s="3" t="str">
        <f>IF([1]ROSTERS!I16="","",[1]ROSTERS!I16)</f>
        <v>BER</v>
      </c>
      <c r="J16" s="3" t="str">
        <f>IF([1]ROSTERS!J16="","",[1]ROSTERS!J16)</f>
        <v>BER.WetzellYanni</v>
      </c>
      <c r="K16" s="4" t="str">
        <f>IF([1]ROSTERS!K16="","",[1]ROSTERS!K16)</f>
        <v>BER.Yanni Wetzell</v>
      </c>
      <c r="L16" s="4" t="str">
        <f>IF([1]ROSTERS!L16="","",[1]ROSTERS!L16)</f>
        <v>Wetzell Y.</v>
      </c>
      <c r="M16"/>
    </row>
    <row r="17" spans="1:13" s="1" customFormat="1" x14ac:dyDescent="0.25">
      <c r="A17" s="3">
        <f>IF(B17="","",COUNTIF($H$3:H17,H17))</f>
        <v>1</v>
      </c>
      <c r="B17" s="4" t="str">
        <f>IF([1]ROSTERS!B17="","",[1]ROSTERS!B17)</f>
        <v>Beaubois Rodrigue</v>
      </c>
      <c r="C17" s="4" t="str">
        <f>IF([1]ROSTERS!C17="","",[1]ROSTERS!C17)</f>
        <v>Rodrigue Beaubois</v>
      </c>
      <c r="D17" s="3" t="str">
        <f>IF([1]ROSTERS!D17="","",[1]ROSTERS!D17)</f>
        <v>PG/SG</v>
      </c>
      <c r="E17" s="3" t="str">
        <f>IF([1]ROSTERS!E17="","",[1]ROSTERS!E17)</f>
        <v>FRA</v>
      </c>
      <c r="F17" s="3">
        <f>IF([1]ROSTERS!F17="","",[1]ROSTERS!F17)</f>
        <v>190</v>
      </c>
      <c r="G17" s="3">
        <f>IF([1]ROSTERS!G17="","",[1]ROSTERS!G17)</f>
        <v>36</v>
      </c>
      <c r="H17" s="3" t="str">
        <f>IF([1]ROSTERS!H17="","",[1]ROSTERS!H17)</f>
        <v>Anadolu Efes Istanbul</v>
      </c>
      <c r="I17" s="3" t="str">
        <f>IF([1]ROSTERS!I17="","",[1]ROSTERS!I17)</f>
        <v>EFE</v>
      </c>
      <c r="J17" s="3" t="str">
        <f>IF([1]ROSTERS!J17="","",[1]ROSTERS!J17)</f>
        <v>EFE.BeauboisRodrigue</v>
      </c>
      <c r="K17" s="4" t="str">
        <f>IF([1]ROSTERS!K17="","",[1]ROSTERS!K17)</f>
        <v>EFE.Rodrigue Beaubois</v>
      </c>
      <c r="L17" s="4" t="str">
        <f>IF([1]ROSTERS!L17="","",[1]ROSTERS!L17)</f>
        <v>Beaubois R.</v>
      </c>
      <c r="M17"/>
    </row>
    <row r="18" spans="1:13" s="1" customFormat="1" x14ac:dyDescent="0.25">
      <c r="A18" s="3">
        <f>IF(B18="","",COUNTIF($H$3:H18,H18))</f>
        <v>2</v>
      </c>
      <c r="B18" s="4" t="str">
        <f>IF([1]ROSTERS!B18="","",[1]ROSTERS!B18)</f>
        <v>Bryant Elijah</v>
      </c>
      <c r="C18" s="4" t="str">
        <f>IF([1]ROSTERS!C18="","",[1]ROSTERS!C18)</f>
        <v>Elijah Bryant</v>
      </c>
      <c r="D18" s="3" t="str">
        <f>IF([1]ROSTERS!D18="","",[1]ROSTERS!D18)</f>
        <v>SG</v>
      </c>
      <c r="E18" s="3" t="str">
        <f>IF([1]ROSTERS!E18="","",[1]ROSTERS!E18)</f>
        <v>USA</v>
      </c>
      <c r="F18" s="3">
        <f>IF([1]ROSTERS!F18="","",[1]ROSTERS!F18)</f>
        <v>196</v>
      </c>
      <c r="G18" s="3">
        <f>IF([1]ROSTERS!G18="","",[1]ROSTERS!G18)</f>
        <v>29</v>
      </c>
      <c r="H18" s="3" t="str">
        <f>IF([1]ROSTERS!H18="","",[1]ROSTERS!H18)</f>
        <v>Anadolu Efes Istanbul</v>
      </c>
      <c r="I18" s="3" t="str">
        <f>IF([1]ROSTERS!I18="","",[1]ROSTERS!I18)</f>
        <v>EFE</v>
      </c>
      <c r="J18" s="3" t="str">
        <f>IF([1]ROSTERS!J18="","",[1]ROSTERS!J18)</f>
        <v>EFE.BryantElijah</v>
      </c>
      <c r="K18" s="4" t="str">
        <f>IF([1]ROSTERS!K18="","",[1]ROSTERS!K18)</f>
        <v>EFE.Elijah Bryant</v>
      </c>
      <c r="L18" s="4" t="str">
        <f>IF([1]ROSTERS!L18="","",[1]ROSTERS!L18)</f>
        <v>Bryant E.</v>
      </c>
      <c r="M18"/>
    </row>
    <row r="19" spans="1:13" s="1" customFormat="1" x14ac:dyDescent="0.25">
      <c r="A19" s="3">
        <f>IF(B19="","",COUNTIF($H$3:H19,H19))</f>
        <v>3</v>
      </c>
      <c r="B19" s="4" t="str">
        <f>IF([1]ROSTERS!B19="","",[1]ROSTERS!B19)</f>
        <v>Clyburn Will</v>
      </c>
      <c r="C19" s="4" t="str">
        <f>IF([1]ROSTERS!C19="","",[1]ROSTERS!C19)</f>
        <v>Will Clyburn</v>
      </c>
      <c r="D19" s="3" t="str">
        <f>IF([1]ROSTERS!D19="","",[1]ROSTERS!D19)</f>
        <v>F</v>
      </c>
      <c r="E19" s="3" t="str">
        <f>IF([1]ROSTERS!E19="","",[1]ROSTERS!E19)</f>
        <v>USA</v>
      </c>
      <c r="F19" s="3">
        <f>IF([1]ROSTERS!F19="","",[1]ROSTERS!F19)</f>
        <v>200.99999999999997</v>
      </c>
      <c r="G19" s="3">
        <f>IF([1]ROSTERS!G19="","",[1]ROSTERS!G19)</f>
        <v>34</v>
      </c>
      <c r="H19" s="3" t="str">
        <f>IF([1]ROSTERS!H19="","",[1]ROSTERS!H19)</f>
        <v>Anadolu Efes Istanbul</v>
      </c>
      <c r="I19" s="3" t="str">
        <f>IF([1]ROSTERS!I19="","",[1]ROSTERS!I19)</f>
        <v>EFE</v>
      </c>
      <c r="J19" s="3" t="str">
        <f>IF([1]ROSTERS!J19="","",[1]ROSTERS!J19)</f>
        <v>EFE.ClyburnWill</v>
      </c>
      <c r="K19" s="4" t="str">
        <f>IF([1]ROSTERS!K19="","",[1]ROSTERS!K19)</f>
        <v>EFE.Will Clyburn</v>
      </c>
      <c r="L19" s="4" t="str">
        <f>IF([1]ROSTERS!L19="","",[1]ROSTERS!L19)</f>
        <v>Clyburn W.</v>
      </c>
      <c r="M19"/>
    </row>
    <row r="20" spans="1:13" s="1" customFormat="1" x14ac:dyDescent="0.25">
      <c r="A20" s="3">
        <f>IF(B20="","",COUNTIF($H$3:H20,H20))</f>
        <v>4</v>
      </c>
      <c r="B20" s="4" t="str">
        <f>IF([1]ROSTERS!B20="","",[1]ROSTERS!B20)</f>
        <v>Gazi Erten</v>
      </c>
      <c r="C20" s="4" t="str">
        <f>IF([1]ROSTERS!C20="","",[1]ROSTERS!C20)</f>
        <v>Erten Gazi</v>
      </c>
      <c r="D20" s="3" t="str">
        <f>IF([1]ROSTERS!D20="","",[1]ROSTERS!D20)</f>
        <v>SG</v>
      </c>
      <c r="E20" s="3" t="str">
        <f>IF([1]ROSTERS!E20="","",[1]ROSTERS!E20)</f>
        <v>TUR</v>
      </c>
      <c r="F20" s="3">
        <f>IF([1]ROSTERS!F20="","",[1]ROSTERS!F20)</f>
        <v>190</v>
      </c>
      <c r="G20" s="3">
        <f>IF([1]ROSTERS!G20="","",[1]ROSTERS!G20)</f>
        <v>27</v>
      </c>
      <c r="H20" s="3" t="str">
        <f>IF([1]ROSTERS!H20="","",[1]ROSTERS!H20)</f>
        <v>Anadolu Efes Istanbul</v>
      </c>
      <c r="I20" s="3" t="str">
        <f>IF([1]ROSTERS!I20="","",[1]ROSTERS!I20)</f>
        <v>EFE</v>
      </c>
      <c r="J20" s="3" t="str">
        <f>IF([1]ROSTERS!J20="","",[1]ROSTERS!J20)</f>
        <v>EFE.GaziErten</v>
      </c>
      <c r="K20" s="4" t="str">
        <f>IF([1]ROSTERS!K20="","",[1]ROSTERS!K20)</f>
        <v>EFE.Erten Gazi</v>
      </c>
      <c r="L20" s="4" t="str">
        <f>IF([1]ROSTERS!L20="","",[1]ROSTERS!L20)</f>
        <v>Gazi E.</v>
      </c>
      <c r="M20"/>
    </row>
    <row r="21" spans="1:13" s="1" customFormat="1" x14ac:dyDescent="0.25">
      <c r="A21" s="3">
        <f>IF(B21="","",COUNTIF($H$3:H21,H21))</f>
        <v>5</v>
      </c>
      <c r="B21" s="4" t="str">
        <f>IF([1]ROSTERS!B21="","",[1]ROSTERS!B21)</f>
        <v>Hollatz Justus</v>
      </c>
      <c r="C21" s="4" t="str">
        <f>IF([1]ROSTERS!C21="","",[1]ROSTERS!C21)</f>
        <v>Justus Hollatz</v>
      </c>
      <c r="D21" s="3" t="str">
        <f>IF([1]ROSTERS!D21="","",[1]ROSTERS!D21)</f>
        <v>SG</v>
      </c>
      <c r="E21" s="3" t="str">
        <f>IF([1]ROSTERS!E21="","",[1]ROSTERS!E21)</f>
        <v>GER</v>
      </c>
      <c r="F21" s="3">
        <f>IF([1]ROSTERS!F21="","",[1]ROSTERS!F21)</f>
        <v>195</v>
      </c>
      <c r="G21" s="3">
        <f>IF([1]ROSTERS!G21="","",[1]ROSTERS!G21)</f>
        <v>23</v>
      </c>
      <c r="H21" s="3" t="str">
        <f>IF([1]ROSTERS!H21="","",[1]ROSTERS!H21)</f>
        <v>Anadolu Efes Istanbul</v>
      </c>
      <c r="I21" s="3" t="str">
        <f>IF([1]ROSTERS!I21="","",[1]ROSTERS!I21)</f>
        <v>EFE</v>
      </c>
      <c r="J21" s="3" t="str">
        <f>IF([1]ROSTERS!J21="","",[1]ROSTERS!J21)</f>
        <v>EFE.HollatzJustus</v>
      </c>
      <c r="K21" s="4" t="str">
        <f>IF([1]ROSTERS!K21="","",[1]ROSTERS!K21)</f>
        <v>EFE.Justus Hollatz</v>
      </c>
      <c r="L21" s="4" t="str">
        <f>IF([1]ROSTERS!L21="","",[1]ROSTERS!L21)</f>
        <v>Hollatz J.</v>
      </c>
      <c r="M21"/>
    </row>
    <row r="22" spans="1:13" s="1" customFormat="1" x14ac:dyDescent="0.25">
      <c r="A22" s="3">
        <f>IF(B22="","",COUNTIF($H$3:H22,H22))</f>
        <v>6</v>
      </c>
      <c r="B22" s="4" t="str">
        <f>IF([1]ROSTERS!B22="","",[1]ROSTERS!B22)</f>
        <v>Jones Tyrique</v>
      </c>
      <c r="C22" s="4" t="str">
        <f>IF([1]ROSTERS!C22="","",[1]ROSTERS!C22)</f>
        <v>Tyrique Jones</v>
      </c>
      <c r="D22" s="3" t="str">
        <f>IF([1]ROSTERS!D22="","",[1]ROSTERS!D22)</f>
        <v>C</v>
      </c>
      <c r="E22" s="3" t="str">
        <f>IF([1]ROSTERS!E22="","",[1]ROSTERS!E22)</f>
        <v>USA</v>
      </c>
      <c r="F22" s="3">
        <f>IF([1]ROSTERS!F22="","",[1]ROSTERS!F22)</f>
        <v>206</v>
      </c>
      <c r="G22" s="3">
        <f>IF([1]ROSTERS!G22="","",[1]ROSTERS!G22)</f>
        <v>27</v>
      </c>
      <c r="H22" s="3" t="str">
        <f>IF([1]ROSTERS!H22="","",[1]ROSTERS!H22)</f>
        <v>Anadolu Efes Istanbul</v>
      </c>
      <c r="I22" s="3" t="str">
        <f>IF([1]ROSTERS!I22="","",[1]ROSTERS!I22)</f>
        <v>EFE</v>
      </c>
      <c r="J22" s="3" t="str">
        <f>IF([1]ROSTERS!J22="","",[1]ROSTERS!J22)</f>
        <v>EFE.JonesTyrique</v>
      </c>
      <c r="K22" s="4" t="str">
        <f>IF([1]ROSTERS!K22="","",[1]ROSTERS!K22)</f>
        <v>EFE.Tyrique Jones</v>
      </c>
      <c r="L22" s="4" t="str">
        <f>IF([1]ROSTERS!L22="","",[1]ROSTERS!L22)</f>
        <v>Jones T.</v>
      </c>
      <c r="M22"/>
    </row>
    <row r="23" spans="1:13" s="1" customFormat="1" x14ac:dyDescent="0.25">
      <c r="A23" s="3">
        <f>IF(B23="","",COUNTIF($H$3:H23,H23))</f>
        <v>7</v>
      </c>
      <c r="B23" s="4" t="str">
        <f>IF([1]ROSTERS!B23="","",[1]ROSTERS!B23)</f>
        <v>Larkin Shane</v>
      </c>
      <c r="C23" s="4" t="str">
        <f>IF([1]ROSTERS!C23="","",[1]ROSTERS!C23)</f>
        <v>Shane Larkin</v>
      </c>
      <c r="D23" s="3" t="str">
        <f>IF([1]ROSTERS!D23="","",[1]ROSTERS!D23)</f>
        <v>PG</v>
      </c>
      <c r="E23" s="3" t="str">
        <f>IF([1]ROSTERS!E23="","",[1]ROSTERS!E23)</f>
        <v>USA</v>
      </c>
      <c r="F23" s="3">
        <f>IF([1]ROSTERS!F23="","",[1]ROSTERS!F23)</f>
        <v>180</v>
      </c>
      <c r="G23" s="3">
        <f>IF([1]ROSTERS!G23="","",[1]ROSTERS!G23)</f>
        <v>32</v>
      </c>
      <c r="H23" s="3" t="str">
        <f>IF([1]ROSTERS!H23="","",[1]ROSTERS!H23)</f>
        <v>Anadolu Efes Istanbul</v>
      </c>
      <c r="I23" s="3" t="str">
        <f>IF([1]ROSTERS!I23="","",[1]ROSTERS!I23)</f>
        <v>EFE</v>
      </c>
      <c r="J23" s="3" t="str">
        <f>IF([1]ROSTERS!J23="","",[1]ROSTERS!J23)</f>
        <v>EFE.LarkinShane</v>
      </c>
      <c r="K23" s="4" t="str">
        <f>IF([1]ROSTERS!K23="","",[1]ROSTERS!K23)</f>
        <v>EFE.Shane Larkin</v>
      </c>
      <c r="L23" s="4" t="str">
        <f>IF([1]ROSTERS!L23="","",[1]ROSTERS!L23)</f>
        <v>Larkin S.</v>
      </c>
      <c r="M23"/>
    </row>
    <row r="24" spans="1:13" s="1" customFormat="1" x14ac:dyDescent="0.25">
      <c r="A24" s="3">
        <f>IF(B24="","",COUNTIF($H$3:H24,H24))</f>
        <v>8</v>
      </c>
      <c r="B24" s="4" t="str">
        <f>IF([1]ROSTERS!B24="","",[1]ROSTERS!B24)</f>
        <v>Osmani Ercan</v>
      </c>
      <c r="C24" s="4" t="str">
        <f>IF([1]ROSTERS!C24="","",[1]ROSTERS!C24)</f>
        <v>Ercan Osmani</v>
      </c>
      <c r="D24" s="3" t="str">
        <f>IF([1]ROSTERS!D24="","",[1]ROSTERS!D24)</f>
        <v>C</v>
      </c>
      <c r="E24" s="3" t="str">
        <f>IF([1]ROSTERS!E24="","",[1]ROSTERS!E24)</f>
        <v>TUR</v>
      </c>
      <c r="F24" s="3">
        <f>IF([1]ROSTERS!F24="","",[1]ROSTERS!F24)</f>
        <v>213</v>
      </c>
      <c r="G24" s="3">
        <f>IF([1]ROSTERS!G24="","",[1]ROSTERS!G24)</f>
        <v>26</v>
      </c>
      <c r="H24" s="3" t="str">
        <f>IF([1]ROSTERS!H24="","",[1]ROSTERS!H24)</f>
        <v>Anadolu Efes Istanbul</v>
      </c>
      <c r="I24" s="3" t="str">
        <f>IF([1]ROSTERS!I24="","",[1]ROSTERS!I24)</f>
        <v>EFE</v>
      </c>
      <c r="J24" s="3" t="str">
        <f>IF([1]ROSTERS!J24="","",[1]ROSTERS!J24)</f>
        <v>EFE.OsmaniErcan</v>
      </c>
      <c r="K24" s="4" t="str">
        <f>IF([1]ROSTERS!K24="","",[1]ROSTERS!K24)</f>
        <v>EFE.Ercan Osmani</v>
      </c>
      <c r="L24" s="4" t="str">
        <f>IF([1]ROSTERS!L24="","",[1]ROSTERS!L24)</f>
        <v>Osmani E.</v>
      </c>
      <c r="M24"/>
    </row>
    <row r="25" spans="1:13" s="1" customFormat="1" x14ac:dyDescent="0.25">
      <c r="A25" s="3">
        <f>IF(B25="","",COUNTIF($H$3:H25,H25))</f>
        <v>9</v>
      </c>
      <c r="B25" s="4" t="str">
        <f>IF([1]ROSTERS!B25="","",[1]ROSTERS!B25)</f>
        <v>Pleiss Tibor</v>
      </c>
      <c r="C25" s="4" t="str">
        <f>IF([1]ROSTERS!C25="","",[1]ROSTERS!C25)</f>
        <v>Tibor Pleiss</v>
      </c>
      <c r="D25" s="3" t="str">
        <f>IF([1]ROSTERS!D25="","",[1]ROSTERS!D25)</f>
        <v>C</v>
      </c>
      <c r="E25" s="3" t="str">
        <f>IF([1]ROSTERS!E25="","",[1]ROSTERS!E25)</f>
        <v>GER</v>
      </c>
      <c r="F25" s="3">
        <f>IF([1]ROSTERS!F25="","",[1]ROSTERS!F25)</f>
        <v>218.00000000000003</v>
      </c>
      <c r="G25" s="3">
        <f>IF([1]ROSTERS!G25="","",[1]ROSTERS!G25)</f>
        <v>35</v>
      </c>
      <c r="H25" s="3" t="str">
        <f>IF([1]ROSTERS!H25="","",[1]ROSTERS!H25)</f>
        <v>Anadolu Efes Istanbul</v>
      </c>
      <c r="I25" s="3" t="str">
        <f>IF([1]ROSTERS!I25="","",[1]ROSTERS!I25)</f>
        <v>EFE</v>
      </c>
      <c r="J25" s="3" t="str">
        <f>IF([1]ROSTERS!J25="","",[1]ROSTERS!J25)</f>
        <v>EFE.PleissTibor</v>
      </c>
      <c r="K25" s="4" t="str">
        <f>IF([1]ROSTERS!K25="","",[1]ROSTERS!K25)</f>
        <v>EFE.Tibor Pleiss</v>
      </c>
      <c r="L25" s="4" t="str">
        <f>IF([1]ROSTERS!L25="","",[1]ROSTERS!L25)</f>
        <v>Pleiss T.</v>
      </c>
      <c r="M25"/>
    </row>
    <row r="26" spans="1:13" s="1" customFormat="1" x14ac:dyDescent="0.25">
      <c r="A26" s="3">
        <f>IF(B26="","",COUNTIF($H$3:H26,H26))</f>
        <v>10</v>
      </c>
      <c r="B26" s="4" t="str">
        <f>IF([1]ROSTERS!B26="","",[1]ROSTERS!B26)</f>
        <v>Thompson Darius</v>
      </c>
      <c r="C26" s="4" t="str">
        <f>IF([1]ROSTERS!C26="","",[1]ROSTERS!C26)</f>
        <v>Darius Thompson</v>
      </c>
      <c r="D26" s="3" t="str">
        <f>IF([1]ROSTERS!D26="","",[1]ROSTERS!D26)</f>
        <v>PG/SG</v>
      </c>
      <c r="E26" s="3" t="str">
        <f>IF([1]ROSTERS!E26="","",[1]ROSTERS!E26)</f>
        <v>USA</v>
      </c>
      <c r="F26" s="3">
        <f>IF([1]ROSTERS!F26="","",[1]ROSTERS!F26)</f>
        <v>193</v>
      </c>
      <c r="G26" s="3">
        <f>IF([1]ROSTERS!G26="","",[1]ROSTERS!G26)</f>
        <v>29</v>
      </c>
      <c r="H26" s="3" t="str">
        <f>IF([1]ROSTERS!H26="","",[1]ROSTERS!H26)</f>
        <v>Anadolu Efes Istanbul</v>
      </c>
      <c r="I26" s="3" t="str">
        <f>IF([1]ROSTERS!I26="","",[1]ROSTERS!I26)</f>
        <v>EFE</v>
      </c>
      <c r="J26" s="3" t="str">
        <f>IF([1]ROSTERS!J26="","",[1]ROSTERS!J26)</f>
        <v>EFE.ThompsonDarius</v>
      </c>
      <c r="K26" s="4" t="str">
        <f>IF([1]ROSTERS!K26="","",[1]ROSTERS!K26)</f>
        <v>EFE.Darius Thompson</v>
      </c>
      <c r="L26" s="4" t="str">
        <f>IF([1]ROSTERS!L26="","",[1]ROSTERS!L26)</f>
        <v>Thompson D.</v>
      </c>
      <c r="M26"/>
    </row>
    <row r="27" spans="1:13" s="1" customFormat="1" x14ac:dyDescent="0.25">
      <c r="A27" s="3">
        <f>IF(B27="","",COUNTIF($H$3:H27,H27))</f>
        <v>11</v>
      </c>
      <c r="B27" s="4" t="str">
        <f>IF([1]ROSTERS!B27="","",[1]ROSTERS!B27)</f>
        <v>Tunca Melih</v>
      </c>
      <c r="C27" s="4" t="str">
        <f>IF([1]ROSTERS!C27="","",[1]ROSTERS!C27)</f>
        <v>Melih Tunca</v>
      </c>
      <c r="D27" s="3" t="str">
        <f>IF([1]ROSTERS!D27="","",[1]ROSTERS!D27)</f>
        <v>SG</v>
      </c>
      <c r="E27" s="3" t="str">
        <f>IF([1]ROSTERS!E27="","",[1]ROSTERS!E27)</f>
        <v>TUR</v>
      </c>
      <c r="F27" s="3">
        <f>IF([1]ROSTERS!F27="","",[1]ROSTERS!F27)</f>
        <v>195</v>
      </c>
      <c r="G27" s="3">
        <f>IF([1]ROSTERS!G27="","",[1]ROSTERS!G27)</f>
        <v>19</v>
      </c>
      <c r="H27" s="3" t="str">
        <f>IF([1]ROSTERS!H27="","",[1]ROSTERS!H27)</f>
        <v>Anadolu Efes Istanbul</v>
      </c>
      <c r="I27" s="3" t="str">
        <f>IF([1]ROSTERS!I27="","",[1]ROSTERS!I27)</f>
        <v>EFE</v>
      </c>
      <c r="J27" s="3" t="str">
        <f>IF([1]ROSTERS!J27="","",[1]ROSTERS!J27)</f>
        <v>EFE.TuncaMelih</v>
      </c>
      <c r="K27" s="4" t="str">
        <f>IF([1]ROSTERS!K27="","",[1]ROSTERS!K27)</f>
        <v>EFE.Melih Tunca</v>
      </c>
      <c r="L27" s="4" t="str">
        <f>IF([1]ROSTERS!L27="","",[1]ROSTERS!L27)</f>
        <v>Tunca M.</v>
      </c>
      <c r="M27"/>
    </row>
    <row r="28" spans="1:13" s="1" customFormat="1" x14ac:dyDescent="0.25">
      <c r="A28" s="3">
        <f>IF(B28="","",COUNTIF($H$3:H28,H28))</f>
        <v>12</v>
      </c>
      <c r="B28" s="4" t="str">
        <f>IF([1]ROSTERS!B28="","",[1]ROSTERS!B28)</f>
        <v>Willis Derek</v>
      </c>
      <c r="C28" s="4" t="str">
        <f>IF([1]ROSTERS!C28="","",[1]ROSTERS!C28)</f>
        <v>Derek Willis</v>
      </c>
      <c r="D28" s="3" t="str">
        <f>IF([1]ROSTERS!D28="","",[1]ROSTERS!D28)</f>
        <v>PF/C</v>
      </c>
      <c r="E28" s="3" t="str">
        <f>IF([1]ROSTERS!E28="","",[1]ROSTERS!E28)</f>
        <v>USA</v>
      </c>
      <c r="F28" s="3">
        <f>IF([1]ROSTERS!F28="","",[1]ROSTERS!F28)</f>
        <v>206</v>
      </c>
      <c r="G28" s="3">
        <f>IF([1]ROSTERS!G28="","",[1]ROSTERS!G28)</f>
        <v>29</v>
      </c>
      <c r="H28" s="3" t="str">
        <f>IF([1]ROSTERS!H28="","",[1]ROSTERS!H28)</f>
        <v>Anadolu Efes Istanbul</v>
      </c>
      <c r="I28" s="3" t="str">
        <f>IF([1]ROSTERS!I28="","",[1]ROSTERS!I28)</f>
        <v>EFE</v>
      </c>
      <c r="J28" s="3" t="str">
        <f>IF([1]ROSTERS!J28="","",[1]ROSTERS!J28)</f>
        <v>EFE.WillisDerek</v>
      </c>
      <c r="K28" s="4" t="str">
        <f>IF([1]ROSTERS!K28="","",[1]ROSTERS!K28)</f>
        <v>EFE.Derek Willis</v>
      </c>
      <c r="L28" s="4" t="str">
        <f>IF([1]ROSTERS!L28="","",[1]ROSTERS!L28)</f>
        <v>Willis D.</v>
      </c>
      <c r="M28"/>
    </row>
    <row r="29" spans="1:13" s="1" customFormat="1" x14ac:dyDescent="0.25">
      <c r="A29" s="3">
        <f>IF(B29="","",COUNTIF($H$3:H29,H29))</f>
        <v>13</v>
      </c>
      <c r="B29" s="4" t="str">
        <f>IF([1]ROSTERS!B29="","",[1]ROSTERS!B29)</f>
        <v>Yilmaz Erkan</v>
      </c>
      <c r="C29" s="4" t="str">
        <f>IF([1]ROSTERS!C29="","",[1]ROSTERS!C29)</f>
        <v>Erkan Yilmaz</v>
      </c>
      <c r="D29" s="3" t="str">
        <f>IF([1]ROSTERS!D29="","",[1]ROSTERS!D29)</f>
        <v>F</v>
      </c>
      <c r="E29" s="3" t="str">
        <f>IF([1]ROSTERS!E29="","",[1]ROSTERS!E29)</f>
        <v>TUR</v>
      </c>
      <c r="F29" s="3">
        <f>IF([1]ROSTERS!F29="","",[1]ROSTERS!F29)</f>
        <v>192</v>
      </c>
      <c r="G29" s="3">
        <f>IF([1]ROSTERS!G29="","",[1]ROSTERS!G29)</f>
        <v>27</v>
      </c>
      <c r="H29" s="3" t="str">
        <f>IF([1]ROSTERS!H29="","",[1]ROSTERS!H29)</f>
        <v>Anadolu Efes Istanbul</v>
      </c>
      <c r="I29" s="3" t="str">
        <f>IF([1]ROSTERS!I29="","",[1]ROSTERS!I29)</f>
        <v>EFE</v>
      </c>
      <c r="J29" s="3" t="str">
        <f>IF([1]ROSTERS!J29="","",[1]ROSTERS!J29)</f>
        <v>EFE.YilmazErkan</v>
      </c>
      <c r="K29" s="4" t="str">
        <f>IF([1]ROSTERS!K29="","",[1]ROSTERS!K29)</f>
        <v>EFE.Erkan Yilmaz</v>
      </c>
      <c r="L29" s="4" t="str">
        <f>IF([1]ROSTERS!L29="","",[1]ROSTERS!L29)</f>
        <v>Yilmaz E.</v>
      </c>
      <c r="M29"/>
    </row>
    <row r="30" spans="1:13" s="1" customFormat="1" x14ac:dyDescent="0.25">
      <c r="A30" s="3">
        <f>IF(B30="","",COUNTIF($H$3:H30,H30))</f>
        <v>14</v>
      </c>
      <c r="B30" s="4" t="str">
        <f>IF([1]ROSTERS!B30="","",[1]ROSTERS!B30)</f>
        <v>Zizic Ante</v>
      </c>
      <c r="C30" s="4" t="str">
        <f>IF([1]ROSTERS!C30="","",[1]ROSTERS!C30)</f>
        <v>Ante Zizic</v>
      </c>
      <c r="D30" s="3" t="str">
        <f>IF([1]ROSTERS!D30="","",[1]ROSTERS!D30)</f>
        <v>C</v>
      </c>
      <c r="E30" s="3" t="str">
        <f>IF([1]ROSTERS!E30="","",[1]ROSTERS!E30)</f>
        <v>CRO</v>
      </c>
      <c r="F30" s="3">
        <f>IF([1]ROSTERS!F30="","",[1]ROSTERS!F30)</f>
        <v>210</v>
      </c>
      <c r="G30" s="3">
        <f>IF([1]ROSTERS!G30="","",[1]ROSTERS!G30)</f>
        <v>27</v>
      </c>
      <c r="H30" s="3" t="str">
        <f>IF([1]ROSTERS!H30="","",[1]ROSTERS!H30)</f>
        <v>Anadolu Efes Istanbul</v>
      </c>
      <c r="I30" s="3" t="str">
        <f>IF([1]ROSTERS!I30="","",[1]ROSTERS!I30)</f>
        <v>EFE</v>
      </c>
      <c r="J30" s="3" t="str">
        <f>IF([1]ROSTERS!J30="","",[1]ROSTERS!J30)</f>
        <v>EFE.ZizicAnte</v>
      </c>
      <c r="K30" s="4" t="str">
        <f>IF([1]ROSTERS!K30="","",[1]ROSTERS!K30)</f>
        <v>EFE.Ante Zizic</v>
      </c>
      <c r="L30" s="4" t="str">
        <f>IF([1]ROSTERS!L30="","",[1]ROSTERS!L30)</f>
        <v>Zizic A.</v>
      </c>
      <c r="M30"/>
    </row>
    <row r="31" spans="1:13" s="1" customFormat="1" x14ac:dyDescent="0.25">
      <c r="A31" s="3">
        <f>IF(B31="","",COUNTIF($H$3:H31,H31))</f>
        <v>1</v>
      </c>
      <c r="B31" s="4" t="str">
        <f>IF([1]ROSTERS!B31="","",[1]ROSTERS!B31)</f>
        <v>Blossomgame Jaron</v>
      </c>
      <c r="C31" s="4" t="str">
        <f>IF([1]ROSTERS!C31="","",[1]ROSTERS!C31)</f>
        <v>Jaron Blossomgame</v>
      </c>
      <c r="D31" s="3" t="str">
        <f>IF([1]ROSTERS!D31="","",[1]ROSTERS!D31)</f>
        <v>F</v>
      </c>
      <c r="E31" s="3" t="str">
        <f>IF([1]ROSTERS!E31="","",[1]ROSTERS!E31)</f>
        <v>USA</v>
      </c>
      <c r="F31" s="3">
        <f>IF([1]ROSTERS!F31="","",[1]ROSTERS!F31)</f>
        <v>198</v>
      </c>
      <c r="G31" s="3">
        <f>IF([1]ROSTERS!G31="","",[1]ROSTERS!G31)</f>
        <v>31</v>
      </c>
      <c r="H31" s="3" t="str">
        <f>IF([1]ROSTERS!H31="","",[1]ROSTERS!H31)</f>
        <v>AS Monaco</v>
      </c>
      <c r="I31" s="3" t="str">
        <f>IF([1]ROSTERS!I31="","",[1]ROSTERS!I31)</f>
        <v>ASM</v>
      </c>
      <c r="J31" s="3" t="str">
        <f>IF([1]ROSTERS!J31="","",[1]ROSTERS!J31)</f>
        <v>ASM.BlossomgameJaron</v>
      </c>
      <c r="K31" s="4" t="str">
        <f>IF([1]ROSTERS!K31="","",[1]ROSTERS!K31)</f>
        <v>ASM.Jaron Blossomgame</v>
      </c>
      <c r="L31" s="4" t="str">
        <f>IF([1]ROSTERS!L31="","",[1]ROSTERS!L31)</f>
        <v>Blossomgame J.</v>
      </c>
      <c r="M31"/>
    </row>
    <row r="32" spans="1:13" s="1" customFormat="1" x14ac:dyDescent="0.25">
      <c r="A32" s="3">
        <f>IF(B32="","",COUNTIF($H$3:H32,H32))</f>
        <v>2</v>
      </c>
      <c r="B32" s="4" t="str">
        <f>IF([1]ROSTERS!B32="","",[1]ROSTERS!B32)</f>
        <v>Brown John</v>
      </c>
      <c r="C32" s="4" t="str">
        <f>IF([1]ROSTERS!C32="","",[1]ROSTERS!C32)</f>
        <v>John Brown</v>
      </c>
      <c r="D32" s="3" t="str">
        <f>IF([1]ROSTERS!D32="","",[1]ROSTERS!D32)</f>
        <v>PF/C</v>
      </c>
      <c r="E32" s="3" t="str">
        <f>IF([1]ROSTERS!E32="","",[1]ROSTERS!E32)</f>
        <v>USA</v>
      </c>
      <c r="F32" s="3">
        <f>IF([1]ROSTERS!F32="","",[1]ROSTERS!F32)</f>
        <v>204.99999999999997</v>
      </c>
      <c r="G32" s="3">
        <f>IF([1]ROSTERS!G32="","",[1]ROSTERS!G32)</f>
        <v>50</v>
      </c>
      <c r="H32" s="3" t="str">
        <f>IF([1]ROSTERS!H32="","",[1]ROSTERS!H32)</f>
        <v>AS Monaco</v>
      </c>
      <c r="I32" s="3" t="str">
        <f>IF([1]ROSTERS!I32="","",[1]ROSTERS!I32)</f>
        <v>ASM</v>
      </c>
      <c r="J32" s="3" t="str">
        <f>IF([1]ROSTERS!J32="","",[1]ROSTERS!J32)</f>
        <v>ASM.BrownJohn</v>
      </c>
      <c r="K32" s="4" t="str">
        <f>IF([1]ROSTERS!K32="","",[1]ROSTERS!K32)</f>
        <v>ASM.John Brown</v>
      </c>
      <c r="L32" s="4" t="str">
        <f>IF([1]ROSTERS!L32="","",[1]ROSTERS!L32)</f>
        <v>Brown J.</v>
      </c>
      <c r="M32"/>
    </row>
    <row r="33" spans="1:13" s="1" customFormat="1" x14ac:dyDescent="0.25">
      <c r="A33" s="3">
        <f>IF(B33="","",COUNTIF($H$3:H33,H33))</f>
        <v>3</v>
      </c>
      <c r="B33" s="4" t="str">
        <f>IF([1]ROSTERS!B33="","",[1]ROSTERS!B33)</f>
        <v>Cornelie Petr</v>
      </c>
      <c r="C33" s="4" t="str">
        <f>IF([1]ROSTERS!C33="","",[1]ROSTERS!C33)</f>
        <v>Petr Cornelie</v>
      </c>
      <c r="D33" s="3" t="str">
        <f>IF([1]ROSTERS!D33="","",[1]ROSTERS!D33)</f>
        <v>C</v>
      </c>
      <c r="E33" s="3" t="str">
        <f>IF([1]ROSTERS!E33="","",[1]ROSTERS!E33)</f>
        <v>FRA</v>
      </c>
      <c r="F33" s="3">
        <f>IF([1]ROSTERS!F33="","",[1]ROSTERS!F33)</f>
        <v>212</v>
      </c>
      <c r="G33" s="3">
        <f>IF([1]ROSTERS!G33="","",[1]ROSTERS!G33)</f>
        <v>29</v>
      </c>
      <c r="H33" s="3" t="str">
        <f>IF([1]ROSTERS!H33="","",[1]ROSTERS!H33)</f>
        <v>AS Monaco</v>
      </c>
      <c r="I33" s="3" t="str">
        <f>IF([1]ROSTERS!I33="","",[1]ROSTERS!I33)</f>
        <v>ASM</v>
      </c>
      <c r="J33" s="3" t="str">
        <f>IF([1]ROSTERS!J33="","",[1]ROSTERS!J33)</f>
        <v>ASM.CorneliePetr</v>
      </c>
      <c r="K33" s="4" t="str">
        <f>IF([1]ROSTERS!K33="","",[1]ROSTERS!K33)</f>
        <v>ASM.Petr Cornelie</v>
      </c>
      <c r="L33" s="4" t="str">
        <f>IF([1]ROSTERS!L33="","",[1]ROSTERS!L33)</f>
        <v>Cornelie P.</v>
      </c>
      <c r="M33"/>
    </row>
    <row r="34" spans="1:13" s="1" customFormat="1" x14ac:dyDescent="0.25">
      <c r="A34" s="3">
        <f>IF(B34="","",COUNTIF($H$3:H34,H34))</f>
        <v>4</v>
      </c>
      <c r="B34" s="4" t="str">
        <f>IF([1]ROSTERS!B34="","",[1]ROSTERS!B34)</f>
        <v>Diallo Alpha</v>
      </c>
      <c r="C34" s="4" t="str">
        <f>IF([1]ROSTERS!C34="","",[1]ROSTERS!C34)</f>
        <v>Alpha Diallo</v>
      </c>
      <c r="D34" s="3" t="str">
        <f>IF([1]ROSTERS!D34="","",[1]ROSTERS!D34)</f>
        <v>F</v>
      </c>
      <c r="E34" s="3" t="str">
        <f>IF([1]ROSTERS!E34="","",[1]ROSTERS!E34)</f>
        <v>USA</v>
      </c>
      <c r="F34" s="3">
        <f>IF([1]ROSTERS!F34="","",[1]ROSTERS!F34)</f>
        <v>200.99999999999997</v>
      </c>
      <c r="G34" s="3">
        <f>IF([1]ROSTERS!G34="","",[1]ROSTERS!G34)</f>
        <v>27</v>
      </c>
      <c r="H34" s="3" t="str">
        <f>IF([1]ROSTERS!H34="","",[1]ROSTERS!H34)</f>
        <v>AS Monaco</v>
      </c>
      <c r="I34" s="3" t="str">
        <f>IF([1]ROSTERS!I34="","",[1]ROSTERS!I34)</f>
        <v>ASM</v>
      </c>
      <c r="J34" s="3" t="str">
        <f>IF([1]ROSTERS!J34="","",[1]ROSTERS!J34)</f>
        <v>ASM.DialloAlpha</v>
      </c>
      <c r="K34" s="4" t="str">
        <f>IF([1]ROSTERS!K34="","",[1]ROSTERS!K34)</f>
        <v>ASM.Alpha Diallo</v>
      </c>
      <c r="L34" s="4" t="str">
        <f>IF([1]ROSTERS!L34="","",[1]ROSTERS!L34)</f>
        <v>Diallo A.</v>
      </c>
      <c r="M34"/>
    </row>
    <row r="35" spans="1:13" s="1" customFormat="1" x14ac:dyDescent="0.25">
      <c r="A35" s="3">
        <f>IF(B35="","",COUNTIF($H$3:H35,H35))</f>
        <v>5</v>
      </c>
      <c r="B35" s="4" t="str">
        <f>IF([1]ROSTERS!B35="","",[1]ROSTERS!B35)</f>
        <v>Hall Donta</v>
      </c>
      <c r="C35" s="4" t="str">
        <f>IF([1]ROSTERS!C35="","",[1]ROSTERS!C35)</f>
        <v>Donta Hall</v>
      </c>
      <c r="D35" s="3" t="str">
        <f>IF([1]ROSTERS!D35="","",[1]ROSTERS!D35)</f>
        <v>C</v>
      </c>
      <c r="E35" s="3" t="str">
        <f>IF([1]ROSTERS!E35="","",[1]ROSTERS!E35)</f>
        <v>USA</v>
      </c>
      <c r="F35" s="3">
        <f>IF([1]ROSTERS!F35="","",[1]ROSTERS!F35)</f>
        <v>208</v>
      </c>
      <c r="G35" s="3">
        <f>IF([1]ROSTERS!G35="","",[1]ROSTERS!G35)</f>
        <v>27</v>
      </c>
      <c r="H35" s="3" t="str">
        <f>IF([1]ROSTERS!H35="","",[1]ROSTERS!H35)</f>
        <v>AS Monaco</v>
      </c>
      <c r="I35" s="3" t="str">
        <f>IF([1]ROSTERS!I35="","",[1]ROSTERS!I35)</f>
        <v>ASM</v>
      </c>
      <c r="J35" s="3" t="str">
        <f>IF([1]ROSTERS!J35="","",[1]ROSTERS!J35)</f>
        <v>ASM.HallDonta</v>
      </c>
      <c r="K35" s="4" t="str">
        <f>IF([1]ROSTERS!K35="","",[1]ROSTERS!K35)</f>
        <v>ASM.Donta Hall</v>
      </c>
      <c r="L35" s="4" t="str">
        <f>IF([1]ROSTERS!L35="","",[1]ROSTERS!L35)</f>
        <v>Hall D.</v>
      </c>
      <c r="M35"/>
    </row>
    <row r="36" spans="1:13" s="1" customFormat="1" x14ac:dyDescent="0.25">
      <c r="A36" s="3">
        <f>IF(B36="","",COUNTIF($H$3:H36,H36))</f>
        <v>6</v>
      </c>
      <c r="B36" s="4" t="str">
        <f>IF([1]ROSTERS!B36="","",[1]ROSTERS!B36)</f>
        <v>Jaiteh Mam</v>
      </c>
      <c r="C36" s="4" t="str">
        <f>IF([1]ROSTERS!C36="","",[1]ROSTERS!C36)</f>
        <v>Mam Jaiteh</v>
      </c>
      <c r="D36" s="3" t="str">
        <f>IF([1]ROSTERS!D36="","",[1]ROSTERS!D36)</f>
        <v>C</v>
      </c>
      <c r="E36" s="3" t="str">
        <f>IF([1]ROSTERS!E36="","",[1]ROSTERS!E36)</f>
        <v>FRA</v>
      </c>
      <c r="F36" s="3">
        <f>IF([1]ROSTERS!F36="","",[1]ROSTERS!F36)</f>
        <v>208</v>
      </c>
      <c r="G36" s="3">
        <f>IF([1]ROSTERS!G36="","",[1]ROSTERS!G36)</f>
        <v>30</v>
      </c>
      <c r="H36" s="3" t="str">
        <f>IF([1]ROSTERS!H36="","",[1]ROSTERS!H36)</f>
        <v>AS Monaco</v>
      </c>
      <c r="I36" s="3" t="str">
        <f>IF([1]ROSTERS!I36="","",[1]ROSTERS!I36)</f>
        <v>ASM</v>
      </c>
      <c r="J36" s="3" t="str">
        <f>IF([1]ROSTERS!J36="","",[1]ROSTERS!J36)</f>
        <v>ASM.JaitehMam</v>
      </c>
      <c r="K36" s="4" t="str">
        <f>IF([1]ROSTERS!K36="","",[1]ROSTERS!K36)</f>
        <v>ASM.Mam Jaiteh</v>
      </c>
      <c r="L36" s="4" t="str">
        <f>IF([1]ROSTERS!L36="","",[1]ROSTERS!L36)</f>
        <v>Jaiteh M.</v>
      </c>
      <c r="M36"/>
    </row>
    <row r="37" spans="1:13" s="1" customFormat="1" x14ac:dyDescent="0.25">
      <c r="A37" s="3">
        <f>IF(B37="","",COUNTIF($H$3:H37,H37))</f>
        <v>7</v>
      </c>
      <c r="B37" s="4" t="str">
        <f>IF([1]ROSTERS!B37="","",[1]ROSTERS!B37)</f>
        <v>James Mike</v>
      </c>
      <c r="C37" s="4" t="str">
        <f>IF([1]ROSTERS!C37="","",[1]ROSTERS!C37)</f>
        <v>Mike James</v>
      </c>
      <c r="D37" s="3" t="str">
        <f>IF([1]ROSTERS!D37="","",[1]ROSTERS!D37)</f>
        <v>PG</v>
      </c>
      <c r="E37" s="3" t="str">
        <f>IF([1]ROSTERS!E37="","",[1]ROSTERS!E37)</f>
        <v>USA</v>
      </c>
      <c r="F37" s="3">
        <f>IF([1]ROSTERS!F37="","",[1]ROSTERS!F37)</f>
        <v>185</v>
      </c>
      <c r="G37" s="3">
        <f>IF([1]ROSTERS!G37="","",[1]ROSTERS!G37)</f>
        <v>34</v>
      </c>
      <c r="H37" s="3" t="str">
        <f>IF([1]ROSTERS!H37="","",[1]ROSTERS!H37)</f>
        <v>AS Monaco</v>
      </c>
      <c r="I37" s="3" t="str">
        <f>IF([1]ROSTERS!I37="","",[1]ROSTERS!I37)</f>
        <v>ASM</v>
      </c>
      <c r="J37" s="3" t="str">
        <f>IF([1]ROSTERS!J37="","",[1]ROSTERS!J37)</f>
        <v>ASM.JamesMike</v>
      </c>
      <c r="K37" s="4" t="str">
        <f>IF([1]ROSTERS!K37="","",[1]ROSTERS!K37)</f>
        <v>ASM.Mike James</v>
      </c>
      <c r="L37" s="4" t="str">
        <f>IF([1]ROSTERS!L37="","",[1]ROSTERS!L37)</f>
        <v>James M.</v>
      </c>
      <c r="M37"/>
    </row>
    <row r="38" spans="1:13" s="1" customFormat="1" x14ac:dyDescent="0.25">
      <c r="A38" s="3">
        <f>IF(B38="","",COUNTIF($H$3:H38,H38))</f>
        <v>8</v>
      </c>
      <c r="B38" s="4" t="str">
        <f>IF([1]ROSTERS!B38="","",[1]ROSTERS!B38)</f>
        <v>Loyd Jordan</v>
      </c>
      <c r="C38" s="4" t="str">
        <f>IF([1]ROSTERS!C38="","",[1]ROSTERS!C38)</f>
        <v>Jordan Loyd</v>
      </c>
      <c r="D38" s="3" t="str">
        <f>IF([1]ROSTERS!D38="","",[1]ROSTERS!D38)</f>
        <v>SG</v>
      </c>
      <c r="E38" s="3" t="str">
        <f>IF([1]ROSTERS!E38="","",[1]ROSTERS!E38)</f>
        <v>USA</v>
      </c>
      <c r="F38" s="3">
        <f>IF([1]ROSTERS!F38="","",[1]ROSTERS!F38)</f>
        <v>193</v>
      </c>
      <c r="G38" s="3">
        <f>IF([1]ROSTERS!G38="","",[1]ROSTERS!G38)</f>
        <v>31</v>
      </c>
      <c r="H38" s="3" t="str">
        <f>IF([1]ROSTERS!H38="","",[1]ROSTERS!H38)</f>
        <v>AS Monaco</v>
      </c>
      <c r="I38" s="3" t="str">
        <f>IF([1]ROSTERS!I38="","",[1]ROSTERS!I38)</f>
        <v>ASM</v>
      </c>
      <c r="J38" s="3" t="str">
        <f>IF([1]ROSTERS!J38="","",[1]ROSTERS!J38)</f>
        <v>ASM.LoydJordan</v>
      </c>
      <c r="K38" s="4" t="str">
        <f>IF([1]ROSTERS!K38="","",[1]ROSTERS!K38)</f>
        <v>ASM.Jordan Loyd</v>
      </c>
      <c r="L38" s="4" t="str">
        <f>IF([1]ROSTERS!L38="","",[1]ROSTERS!L38)</f>
        <v>Loyd J.</v>
      </c>
      <c r="M38"/>
    </row>
    <row r="39" spans="1:13" s="1" customFormat="1" x14ac:dyDescent="0.25">
      <c r="A39" s="3">
        <f>IF(B39="","",COUNTIF($H$3:H39,H39))</f>
        <v>9</v>
      </c>
      <c r="B39" s="4" t="str">
        <f>IF([1]ROSTERS!B39="","",[1]ROSTERS!B39)</f>
        <v>Motiejunas Donatas</v>
      </c>
      <c r="C39" s="4" t="str">
        <f>IF([1]ROSTERS!C39="","",[1]ROSTERS!C39)</f>
        <v>Donatas Motiejunas</v>
      </c>
      <c r="D39" s="3" t="str">
        <f>IF([1]ROSTERS!D39="","",[1]ROSTERS!D39)</f>
        <v>PF/C</v>
      </c>
      <c r="E39" s="3" t="str">
        <f>IF([1]ROSTERS!E39="","",[1]ROSTERS!E39)</f>
        <v>LTU</v>
      </c>
      <c r="F39" s="3">
        <f>IF([1]ROSTERS!F39="","",[1]ROSTERS!F39)</f>
        <v>213</v>
      </c>
      <c r="G39" s="3">
        <f>IF([1]ROSTERS!G39="","",[1]ROSTERS!G39)</f>
        <v>34</v>
      </c>
      <c r="H39" s="3" t="str">
        <f>IF([1]ROSTERS!H39="","",[1]ROSTERS!H39)</f>
        <v>AS Monaco</v>
      </c>
      <c r="I39" s="3" t="str">
        <f>IF([1]ROSTERS!I39="","",[1]ROSTERS!I39)</f>
        <v>ASM</v>
      </c>
      <c r="J39" s="3" t="str">
        <f>IF([1]ROSTERS!J39="","",[1]ROSTERS!J39)</f>
        <v>ASM.MotiejunasDonatas</v>
      </c>
      <c r="K39" s="4" t="str">
        <f>IF([1]ROSTERS!K39="","",[1]ROSTERS!K39)</f>
        <v>ASM.Donatas Motiejunas</v>
      </c>
      <c r="L39" s="4" t="str">
        <f>IF([1]ROSTERS!L39="","",[1]ROSTERS!L39)</f>
        <v>Motiejunas D.</v>
      </c>
      <c r="M39"/>
    </row>
    <row r="40" spans="1:13" s="1" customFormat="1" x14ac:dyDescent="0.25">
      <c r="A40" s="3">
        <f>IF(B40="","",COUNTIF($H$3:H40,H40))</f>
        <v>10</v>
      </c>
      <c r="B40" s="4" t="str">
        <f>IF([1]ROSTERS!B40="","",[1]ROSTERS!B40)</f>
        <v>Okobo Elie</v>
      </c>
      <c r="C40" s="4" t="str">
        <f>IF([1]ROSTERS!C40="","",[1]ROSTERS!C40)</f>
        <v>Elie Okobo</v>
      </c>
      <c r="D40" s="3" t="str">
        <f>IF([1]ROSTERS!D40="","",[1]ROSTERS!D40)</f>
        <v>PG</v>
      </c>
      <c r="E40" s="3" t="str">
        <f>IF([1]ROSTERS!E40="","",[1]ROSTERS!E40)</f>
        <v>FRA</v>
      </c>
      <c r="F40" s="3">
        <f>IF([1]ROSTERS!F40="","",[1]ROSTERS!F40)</f>
        <v>191</v>
      </c>
      <c r="G40" s="3">
        <f>IF([1]ROSTERS!G40="","",[1]ROSTERS!G40)</f>
        <v>27</v>
      </c>
      <c r="H40" s="3" t="str">
        <f>IF([1]ROSTERS!H40="","",[1]ROSTERS!H40)</f>
        <v>AS Monaco</v>
      </c>
      <c r="I40" s="3" t="str">
        <f>IF([1]ROSTERS!I40="","",[1]ROSTERS!I40)</f>
        <v>ASM</v>
      </c>
      <c r="J40" s="3" t="str">
        <f>IF([1]ROSTERS!J40="","",[1]ROSTERS!J40)</f>
        <v>ASM.OkoboElie</v>
      </c>
      <c r="K40" s="4" t="str">
        <f>IF([1]ROSTERS!K40="","",[1]ROSTERS!K40)</f>
        <v>ASM.Elie Okobo</v>
      </c>
      <c r="L40" s="4" t="str">
        <f>IF([1]ROSTERS!L40="","",[1]ROSTERS!L40)</f>
        <v>Okobo E.</v>
      </c>
      <c r="M40"/>
    </row>
    <row r="41" spans="1:13" s="1" customFormat="1" x14ac:dyDescent="0.25">
      <c r="A41" s="3">
        <f>IF(B41="","",COUNTIF($H$3:H41,H41))</f>
        <v>11</v>
      </c>
      <c r="B41" s="4" t="str">
        <f>IF([1]ROSTERS!B41="","",[1]ROSTERS!B41)</f>
        <v>Ouattara Yakuba</v>
      </c>
      <c r="C41" s="4" t="str">
        <f>IF([1]ROSTERS!C41="","",[1]ROSTERS!C41)</f>
        <v>Yakuba Ouattara</v>
      </c>
      <c r="D41" s="3" t="str">
        <f>IF([1]ROSTERS!D41="","",[1]ROSTERS!D41)</f>
        <v>SG</v>
      </c>
      <c r="E41" s="3" t="str">
        <f>IF([1]ROSTERS!E41="","",[1]ROSTERS!E41)</f>
        <v>FRA</v>
      </c>
      <c r="F41" s="3">
        <f>IF([1]ROSTERS!F41="","",[1]ROSTERS!F41)</f>
        <v>192</v>
      </c>
      <c r="G41" s="3">
        <f>IF([1]ROSTERS!G41="","",[1]ROSTERS!G41)</f>
        <v>32</v>
      </c>
      <c r="H41" s="3" t="str">
        <f>IF([1]ROSTERS!H41="","",[1]ROSTERS!H41)</f>
        <v>AS Monaco</v>
      </c>
      <c r="I41" s="3" t="str">
        <f>IF([1]ROSTERS!I41="","",[1]ROSTERS!I41)</f>
        <v>ASM</v>
      </c>
      <c r="J41" s="3" t="str">
        <f>IF([1]ROSTERS!J41="","",[1]ROSTERS!J41)</f>
        <v>ASM.OuattaraYakuba</v>
      </c>
      <c r="K41" s="4" t="str">
        <f>IF([1]ROSTERS!K41="","",[1]ROSTERS!K41)</f>
        <v>ASM.Yakuba Ouattara</v>
      </c>
      <c r="L41" s="4" t="str">
        <f>IF([1]ROSTERS!L41="","",[1]ROSTERS!L41)</f>
        <v>Ouattara Y.</v>
      </c>
      <c r="M41"/>
    </row>
    <row r="42" spans="1:13" s="1" customFormat="1" x14ac:dyDescent="0.25">
      <c r="A42" s="3">
        <f>IF(B42="","",COUNTIF($H$3:H42,H42))</f>
        <v>12</v>
      </c>
      <c r="B42" s="4" t="str">
        <f>IF([1]ROSTERS!B42="","",[1]ROSTERS!B42)</f>
        <v>Strazel Matthew</v>
      </c>
      <c r="C42" s="4" t="str">
        <f>IF([1]ROSTERS!C42="","",[1]ROSTERS!C42)</f>
        <v>Matthew Strazel</v>
      </c>
      <c r="D42" s="3" t="str">
        <f>IF([1]ROSTERS!D42="","",[1]ROSTERS!D42)</f>
        <v>SG</v>
      </c>
      <c r="E42" s="3" t="str">
        <f>IF([1]ROSTERS!E42="","",[1]ROSTERS!E42)</f>
        <v>FRA</v>
      </c>
      <c r="F42" s="3">
        <f>IF([1]ROSTERS!F42="","",[1]ROSTERS!F42)</f>
        <v>182</v>
      </c>
      <c r="G42" s="3">
        <f>IF([1]ROSTERS!G42="","",[1]ROSTERS!G42)</f>
        <v>22</v>
      </c>
      <c r="H42" s="3" t="str">
        <f>IF([1]ROSTERS!H42="","",[1]ROSTERS!H42)</f>
        <v>AS Monaco</v>
      </c>
      <c r="I42" s="3" t="str">
        <f>IF([1]ROSTERS!I42="","",[1]ROSTERS!I42)</f>
        <v>ASM</v>
      </c>
      <c r="J42" s="3" t="str">
        <f>IF([1]ROSTERS!J42="","",[1]ROSTERS!J42)</f>
        <v>ASM.StrazelMatthew</v>
      </c>
      <c r="K42" s="4" t="str">
        <f>IF([1]ROSTERS!K42="","",[1]ROSTERS!K42)</f>
        <v>ASM.Matthew Strazel</v>
      </c>
      <c r="L42" s="4" t="str">
        <f>IF([1]ROSTERS!L42="","",[1]ROSTERS!L42)</f>
        <v>Strazel M.</v>
      </c>
      <c r="M42"/>
    </row>
    <row r="43" spans="1:13" s="1" customFormat="1" x14ac:dyDescent="0.25">
      <c r="A43" s="3">
        <f>IF(B43="","",COUNTIF($H$3:H43,H43))</f>
        <v>13</v>
      </c>
      <c r="B43" s="4" t="str">
        <f>IF([1]ROSTERS!B43="","",[1]ROSTERS!B43)</f>
        <v>Tarpey Terry</v>
      </c>
      <c r="C43" s="4" t="str">
        <f>IF([1]ROSTERS!C43="","",[1]ROSTERS!C43)</f>
        <v>Terry Tarpey</v>
      </c>
      <c r="D43" s="3" t="str">
        <f>IF([1]ROSTERS!D43="","",[1]ROSTERS!D43)</f>
        <v>F</v>
      </c>
      <c r="E43" s="3" t="str">
        <f>IF([1]ROSTERS!E43="","",[1]ROSTERS!E43)</f>
        <v>FRA</v>
      </c>
      <c r="F43" s="3">
        <f>IF([1]ROSTERS!F43="","",[1]ROSTERS!F43)</f>
        <v>195</v>
      </c>
      <c r="G43" s="3">
        <f>IF([1]ROSTERS!G43="","",[1]ROSTERS!G43)</f>
        <v>30</v>
      </c>
      <c r="H43" s="3" t="str">
        <f>IF([1]ROSTERS!H43="","",[1]ROSTERS!H43)</f>
        <v>AS Monaco</v>
      </c>
      <c r="I43" s="3" t="str">
        <f>IF([1]ROSTERS!I43="","",[1]ROSTERS!I43)</f>
        <v>ASM</v>
      </c>
      <c r="J43" s="3" t="str">
        <f>IF([1]ROSTERS!J43="","",[1]ROSTERS!J43)</f>
        <v>ASM.TarpeyTerry</v>
      </c>
      <c r="K43" s="4" t="str">
        <f>IF([1]ROSTERS!K43="","",[1]ROSTERS!K43)</f>
        <v>ASM.Terry Tarpey</v>
      </c>
      <c r="L43" s="4" t="str">
        <f>IF([1]ROSTERS!L43="","",[1]ROSTERS!L43)</f>
        <v>Tarpey T.</v>
      </c>
      <c r="M43"/>
    </row>
    <row r="44" spans="1:13" s="1" customFormat="1" x14ac:dyDescent="0.25">
      <c r="A44" s="3">
        <f>IF(B44="","",COUNTIF($H$3:H44,H44))</f>
        <v>14</v>
      </c>
      <c r="B44" s="4" t="str">
        <f>IF([1]ROSTERS!B44="","",[1]ROSTERS!B44)</f>
        <v>Walker Kemba</v>
      </c>
      <c r="C44" s="4" t="str">
        <f>IF([1]ROSTERS!C44="","",[1]ROSTERS!C44)</f>
        <v>Kemba Walker</v>
      </c>
      <c r="D44" s="3" t="str">
        <f>IF([1]ROSTERS!D44="","",[1]ROSTERS!D44)</f>
        <v>PG</v>
      </c>
      <c r="E44" s="3" t="str">
        <f>IF([1]ROSTERS!E44="","",[1]ROSTERS!E44)</f>
        <v>USA</v>
      </c>
      <c r="F44" s="3">
        <f>IF([1]ROSTERS!F44="","",[1]ROSTERS!F44)</f>
        <v>183</v>
      </c>
      <c r="G44" s="3">
        <f>IF([1]ROSTERS!G44="","",[1]ROSTERS!G44)</f>
        <v>34</v>
      </c>
      <c r="H44" s="3" t="str">
        <f>IF([1]ROSTERS!H44="","",[1]ROSTERS!H44)</f>
        <v>AS Monaco</v>
      </c>
      <c r="I44" s="3" t="str">
        <f>IF([1]ROSTERS!I44="","",[1]ROSTERS!I44)</f>
        <v>ASM</v>
      </c>
      <c r="J44" s="3" t="str">
        <f>IF([1]ROSTERS!J44="","",[1]ROSTERS!J44)</f>
        <v>ASM.WalkerKemba</v>
      </c>
      <c r="K44" s="4" t="str">
        <f>IF([1]ROSTERS!K44="","",[1]ROSTERS!K44)</f>
        <v>ASM.Kemba Walker</v>
      </c>
      <c r="L44" s="4" t="str">
        <f>IF([1]ROSTERS!L44="","",[1]ROSTERS!L44)</f>
        <v>Walker K.</v>
      </c>
      <c r="M44"/>
    </row>
    <row r="45" spans="1:13" s="1" customFormat="1" x14ac:dyDescent="0.25">
      <c r="A45" s="3">
        <f>IF(B45="","",COUNTIF($H$3:H45,H45))</f>
        <v>1</v>
      </c>
      <c r="B45" s="4" t="str">
        <f>IF([1]ROSTERS!B45="","",[1]ROSTERS!B45)</f>
        <v>Chiozza Chris</v>
      </c>
      <c r="C45" s="4" t="str">
        <f>IF([1]ROSTERS!C45="","",[1]ROSTERS!C45)</f>
        <v>Chris Chiozza</v>
      </c>
      <c r="D45" s="3" t="str">
        <f>IF([1]ROSTERS!D45="","",[1]ROSTERS!D45)</f>
        <v>PG</v>
      </c>
      <c r="E45" s="3" t="str">
        <f>IF([1]ROSTERS!E45="","",[1]ROSTERS!E45)</f>
        <v>USA</v>
      </c>
      <c r="F45" s="3">
        <f>IF([1]ROSTERS!F45="","",[1]ROSTERS!F45)</f>
        <v>180</v>
      </c>
      <c r="G45" s="3">
        <f>IF([1]ROSTERS!G45="","",[1]ROSTERS!G45)</f>
        <v>29</v>
      </c>
      <c r="H45" s="3" t="str">
        <f>IF([1]ROSTERS!H45="","",[1]ROSTERS!H45)</f>
        <v>Baskonia Vitoria-Gasteiz</v>
      </c>
      <c r="I45" s="3" t="str">
        <f>IF([1]ROSTERS!I45="","",[1]ROSTERS!I45)</f>
        <v>BAS</v>
      </c>
      <c r="J45" s="3" t="str">
        <f>IF([1]ROSTERS!J45="","",[1]ROSTERS!J45)</f>
        <v>BAS.ChiozzaChris</v>
      </c>
      <c r="K45" s="4" t="str">
        <f>IF([1]ROSTERS!K45="","",[1]ROSTERS!K45)</f>
        <v>BAS.Chris Chiozza</v>
      </c>
      <c r="L45" s="4" t="str">
        <f>IF([1]ROSTERS!L45="","",[1]ROSTERS!L45)</f>
        <v>Chiozza C.</v>
      </c>
      <c r="M45"/>
    </row>
    <row r="46" spans="1:13" s="1" customFormat="1" x14ac:dyDescent="0.25">
      <c r="A46" s="3">
        <f>IF(B46="","",COUNTIF($H$3:H46,H46))</f>
        <v>2</v>
      </c>
      <c r="B46" s="4" t="str">
        <f>IF([1]ROSTERS!B46="","",[1]ROSTERS!B46)</f>
        <v>Costello Matthew</v>
      </c>
      <c r="C46" s="4" t="str">
        <f>IF([1]ROSTERS!C46="","",[1]ROSTERS!C46)</f>
        <v>Matthew Costello</v>
      </c>
      <c r="D46" s="3" t="str">
        <f>IF([1]ROSTERS!D46="","",[1]ROSTERS!D46)</f>
        <v>PF/C</v>
      </c>
      <c r="E46" s="3" t="str">
        <f>IF([1]ROSTERS!E46="","",[1]ROSTERS!E46)</f>
        <v>USA</v>
      </c>
      <c r="F46" s="3">
        <f>IF([1]ROSTERS!F46="","",[1]ROSTERS!F46)</f>
        <v>210</v>
      </c>
      <c r="G46" s="3">
        <f>IF([1]ROSTERS!G46="","",[1]ROSTERS!G46)</f>
        <v>31</v>
      </c>
      <c r="H46" s="3" t="str">
        <f>IF([1]ROSTERS!H46="","",[1]ROSTERS!H46)</f>
        <v>Baskonia Vitoria-Gasteiz</v>
      </c>
      <c r="I46" s="3" t="str">
        <f>IF([1]ROSTERS!I46="","",[1]ROSTERS!I46)</f>
        <v>BAS</v>
      </c>
      <c r="J46" s="3" t="str">
        <f>IF([1]ROSTERS!J46="","",[1]ROSTERS!J46)</f>
        <v>BAS.CostelloMatthew</v>
      </c>
      <c r="K46" s="4" t="str">
        <f>IF([1]ROSTERS!K46="","",[1]ROSTERS!K46)</f>
        <v>BAS.Matthew Costello</v>
      </c>
      <c r="L46" s="4" t="str">
        <f>IF([1]ROSTERS!L46="","",[1]ROSTERS!L46)</f>
        <v>Costello M.</v>
      </c>
      <c r="M46"/>
    </row>
    <row r="47" spans="1:13" s="1" customFormat="1" x14ac:dyDescent="0.25">
      <c r="A47" s="3">
        <f>IF(B47="","",COUNTIF($H$3:H47,H47))</f>
        <v>3</v>
      </c>
      <c r="B47" s="4" t="str">
        <f>IF([1]ROSTERS!B47="","",[1]ROSTERS!B47)</f>
        <v>Diez Daniel</v>
      </c>
      <c r="C47" s="4" t="str">
        <f>IF([1]ROSTERS!C47="","",[1]ROSTERS!C47)</f>
        <v>Daniel Diez</v>
      </c>
      <c r="D47" s="3" t="str">
        <f>IF([1]ROSTERS!D47="","",[1]ROSTERS!D47)</f>
        <v>F</v>
      </c>
      <c r="E47" s="3" t="str">
        <f>IF([1]ROSTERS!E47="","",[1]ROSTERS!E47)</f>
        <v>ESP</v>
      </c>
      <c r="F47" s="3">
        <f>IF([1]ROSTERS!F47="","",[1]ROSTERS!F47)</f>
        <v>203</v>
      </c>
      <c r="G47" s="3">
        <f>IF([1]ROSTERS!G47="","",[1]ROSTERS!G47)</f>
        <v>31</v>
      </c>
      <c r="H47" s="3" t="str">
        <f>IF([1]ROSTERS!H47="","",[1]ROSTERS!H47)</f>
        <v>Baskonia Vitoria-Gasteiz</v>
      </c>
      <c r="I47" s="3" t="str">
        <f>IF([1]ROSTERS!I47="","",[1]ROSTERS!I47)</f>
        <v>BAS</v>
      </c>
      <c r="J47" s="3" t="str">
        <f>IF([1]ROSTERS!J47="","",[1]ROSTERS!J47)</f>
        <v>BAS.DiezDaniel</v>
      </c>
      <c r="K47" s="4" t="str">
        <f>IF([1]ROSTERS!K47="","",[1]ROSTERS!K47)</f>
        <v>BAS.Daniel Diez</v>
      </c>
      <c r="L47" s="4" t="str">
        <f>IF([1]ROSTERS!L47="","",[1]ROSTERS!L47)</f>
        <v>Diez D.</v>
      </c>
      <c r="M47"/>
    </row>
    <row r="48" spans="1:13" s="1" customFormat="1" x14ac:dyDescent="0.25">
      <c r="A48" s="3">
        <f>IF(B48="","",COUNTIF($H$3:H48,H48))</f>
        <v>4</v>
      </c>
      <c r="B48" s="4" t="str">
        <f>IF([1]ROSTERS!B48="","",[1]ROSTERS!B48)</f>
        <v>Diop Khalifa</v>
      </c>
      <c r="C48" s="4" t="str">
        <f>IF([1]ROSTERS!C48="","",[1]ROSTERS!C48)</f>
        <v>Khalifa Diop</v>
      </c>
      <c r="D48" s="3" t="str">
        <f>IF([1]ROSTERS!D48="","",[1]ROSTERS!D48)</f>
        <v>C</v>
      </c>
      <c r="E48" s="3" t="str">
        <f>IF([1]ROSTERS!E48="","",[1]ROSTERS!E48)</f>
        <v>SEN</v>
      </c>
      <c r="F48" s="3">
        <f>IF([1]ROSTERS!F48="","",[1]ROSTERS!F48)</f>
        <v>208</v>
      </c>
      <c r="G48" s="3">
        <f>IF([1]ROSTERS!G48="","",[1]ROSTERS!G48)</f>
        <v>22</v>
      </c>
      <c r="H48" s="3" t="str">
        <f>IF([1]ROSTERS!H48="","",[1]ROSTERS!H48)</f>
        <v>Baskonia Vitoria-Gasteiz</v>
      </c>
      <c r="I48" s="3" t="str">
        <f>IF([1]ROSTERS!I48="","",[1]ROSTERS!I48)</f>
        <v>BAS</v>
      </c>
      <c r="J48" s="3" t="str">
        <f>IF([1]ROSTERS!J48="","",[1]ROSTERS!J48)</f>
        <v>BAS.DiopKhalifa</v>
      </c>
      <c r="K48" s="4" t="str">
        <f>IF([1]ROSTERS!K48="","",[1]ROSTERS!K48)</f>
        <v>BAS.Khalifa Diop</v>
      </c>
      <c r="L48" s="4" t="str">
        <f>IF([1]ROSTERS!L48="","",[1]ROSTERS!L48)</f>
        <v>Diop K.</v>
      </c>
      <c r="M48"/>
    </row>
    <row r="49" spans="1:89" s="1" customFormat="1" x14ac:dyDescent="0.25">
      <c r="A49" s="3">
        <f>IF(B49="","",COUNTIF($H$3:H49,H49))</f>
        <v>5</v>
      </c>
      <c r="B49" s="4" t="str">
        <f>IF([1]ROSTERS!B49="","",[1]ROSTERS!B49)</f>
        <v>Howard Markus</v>
      </c>
      <c r="C49" s="4" t="str">
        <f>IF([1]ROSTERS!C49="","",[1]ROSTERS!C49)</f>
        <v>Markus Howard</v>
      </c>
      <c r="D49" s="3" t="str">
        <f>IF([1]ROSTERS!D49="","",[1]ROSTERS!D49)</f>
        <v>PG</v>
      </c>
      <c r="E49" s="3" t="str">
        <f>IF([1]ROSTERS!E49="","",[1]ROSTERS!E49)</f>
        <v>USA</v>
      </c>
      <c r="F49" s="3">
        <f>IF([1]ROSTERS!F49="","",[1]ROSTERS!F49)</f>
        <v>178</v>
      </c>
      <c r="G49" s="3">
        <f>IF([1]ROSTERS!G49="","",[1]ROSTERS!G49)</f>
        <v>25</v>
      </c>
      <c r="H49" s="3" t="str">
        <f>IF([1]ROSTERS!H49="","",[1]ROSTERS!H49)</f>
        <v>Baskonia Vitoria-Gasteiz</v>
      </c>
      <c r="I49" s="3" t="str">
        <f>IF([1]ROSTERS!I49="","",[1]ROSTERS!I49)</f>
        <v>BAS</v>
      </c>
      <c r="J49" s="3" t="str">
        <f>IF([1]ROSTERS!J49="","",[1]ROSTERS!J49)</f>
        <v>BAS.HowardMarkus</v>
      </c>
      <c r="K49" s="4" t="str">
        <f>IF([1]ROSTERS!K49="","",[1]ROSTERS!K49)</f>
        <v>BAS.Markus Howard</v>
      </c>
      <c r="L49" s="4" t="str">
        <f>IF([1]ROSTERS!L49="","",[1]ROSTERS!L49)</f>
        <v>Howard M.</v>
      </c>
      <c r="M49"/>
    </row>
    <row r="50" spans="1:89" s="1" customFormat="1" x14ac:dyDescent="0.25">
      <c r="A50" s="3">
        <f>IF(B50="","",COUNTIF($H$3:H50,H50))</f>
        <v>6</v>
      </c>
      <c r="B50" s="4" t="str">
        <f>IF([1]ROSTERS!B50="","",[1]ROSTERS!B50)</f>
        <v>Hrabar Vit</v>
      </c>
      <c r="C50" s="4" t="str">
        <f>IF([1]ROSTERS!C50="","",[1]ROSTERS!C50)</f>
        <v>Vit Hrabar</v>
      </c>
      <c r="D50" s="3" t="str">
        <f>IF([1]ROSTERS!D50="","",[1]ROSTERS!D50)</f>
        <v>PF</v>
      </c>
      <c r="E50" s="3" t="str">
        <f>IF([1]ROSTERS!E50="","",[1]ROSTERS!E50)</f>
        <v>SLO</v>
      </c>
      <c r="F50" s="3">
        <f>IF([1]ROSTERS!F50="","",[1]ROSTERS!F50)</f>
        <v>204</v>
      </c>
      <c r="G50" s="3">
        <f>IF([1]ROSTERS!G50="","",[1]ROSTERS!G50)</f>
        <v>18</v>
      </c>
      <c r="H50" s="3" t="str">
        <f>IF([1]ROSTERS!H50="","",[1]ROSTERS!H50)</f>
        <v>Baskonia Vitoria-Gasteiz</v>
      </c>
      <c r="I50" s="3" t="str">
        <f>IF([1]ROSTERS!I50="","",[1]ROSTERS!I50)</f>
        <v>BAS</v>
      </c>
      <c r="J50" s="3" t="str">
        <f>IF([1]ROSTERS!J50="","",[1]ROSTERS!J50)</f>
        <v>BAS.HrabarVit</v>
      </c>
      <c r="K50" s="4" t="str">
        <f>IF([1]ROSTERS!K50="","",[1]ROSTERS!K50)</f>
        <v>BAS.Vit Hrabar</v>
      </c>
      <c r="L50" s="4" t="str">
        <f>IF([1]ROSTERS!L50="","",[1]ROSTERS!L50)</f>
        <v>Hrabar V.</v>
      </c>
      <c r="M50"/>
    </row>
    <row r="51" spans="1:89" s="1" customFormat="1" x14ac:dyDescent="0.25">
      <c r="A51" s="3">
        <f>IF(B51="","",COUNTIF($H$3:H51,H51))</f>
        <v>7</v>
      </c>
      <c r="B51" s="4" t="str">
        <f>IF([1]ROSTERS!B51="","",[1]ROSTERS!B51)</f>
        <v>Kotsar Maik</v>
      </c>
      <c r="C51" s="4" t="str">
        <f>IF([1]ROSTERS!C51="","",[1]ROSTERS!C51)</f>
        <v>Maik Kotsar</v>
      </c>
      <c r="D51" s="3" t="str">
        <f>IF([1]ROSTERS!D51="","",[1]ROSTERS!D51)</f>
        <v>C</v>
      </c>
      <c r="E51" s="3" t="str">
        <f>IF([1]ROSTERS!E51="","",[1]ROSTERS!E51)</f>
        <v>EST</v>
      </c>
      <c r="F51" s="3">
        <f>IF([1]ROSTERS!F51="","",[1]ROSTERS!F51)</f>
        <v>209</v>
      </c>
      <c r="G51" s="3">
        <f>IF([1]ROSTERS!G51="","",[1]ROSTERS!G51)</f>
        <v>28</v>
      </c>
      <c r="H51" s="3" t="str">
        <f>IF([1]ROSTERS!H51="","",[1]ROSTERS!H51)</f>
        <v>Baskonia Vitoria-Gasteiz</v>
      </c>
      <c r="I51" s="3" t="str">
        <f>IF([1]ROSTERS!I51="","",[1]ROSTERS!I51)</f>
        <v>BAS</v>
      </c>
      <c r="J51" s="3" t="str">
        <f>IF([1]ROSTERS!J51="","",[1]ROSTERS!J51)</f>
        <v>BAS.KotsarMaik</v>
      </c>
      <c r="K51" s="4" t="str">
        <f>IF([1]ROSTERS!K51="","",[1]ROSTERS!K51)</f>
        <v>BAS.Maik Kotsar</v>
      </c>
      <c r="L51" s="4" t="str">
        <f>IF([1]ROSTERS!L51="","",[1]ROSTERS!L51)</f>
        <v>Kotsar M.</v>
      </c>
      <c r="M51"/>
    </row>
    <row r="52" spans="1:89" s="1" customFormat="1" x14ac:dyDescent="0.25">
      <c r="A52" s="3">
        <f>IF(B52="","",COUNTIF($H$3:H52,H52))</f>
        <v>8</v>
      </c>
      <c r="B52" s="4" t="str">
        <f>IF([1]ROSTERS!B52="","",[1]ROSTERS!B52)</f>
        <v>Mannion Niccolo</v>
      </c>
      <c r="C52" s="4" t="str">
        <f>IF([1]ROSTERS!C52="","",[1]ROSTERS!C52)</f>
        <v>Niccolo Mannion</v>
      </c>
      <c r="D52" s="3" t="str">
        <f>IF([1]ROSTERS!D52="","",[1]ROSTERS!D52)</f>
        <v>PG</v>
      </c>
      <c r="E52" s="3" t="str">
        <f>IF([1]ROSTERS!E52="","",[1]ROSTERS!E52)</f>
        <v>ITA</v>
      </c>
      <c r="F52" s="3">
        <f>IF([1]ROSTERS!F52="","",[1]ROSTERS!F52)</f>
        <v>188</v>
      </c>
      <c r="G52" s="3">
        <f>IF([1]ROSTERS!G52="","",[1]ROSTERS!G52)</f>
        <v>23</v>
      </c>
      <c r="H52" s="3" t="str">
        <f>IF([1]ROSTERS!H52="","",[1]ROSTERS!H52)</f>
        <v>Baskonia Vitoria-Gasteiz</v>
      </c>
      <c r="I52" s="3" t="str">
        <f>IF([1]ROSTERS!I52="","",[1]ROSTERS!I52)</f>
        <v>BAS</v>
      </c>
      <c r="J52" s="3" t="str">
        <f>IF([1]ROSTERS!J52="","",[1]ROSTERS!J52)</f>
        <v>BAS.MannionNiccolo</v>
      </c>
      <c r="K52" s="4" t="str">
        <f>IF([1]ROSTERS!K52="","",[1]ROSTERS!K52)</f>
        <v>BAS.Niccolo Mannion</v>
      </c>
      <c r="L52" s="4" t="str">
        <f>IF([1]ROSTERS!L52="","",[1]ROSTERS!L52)</f>
        <v>Mannion N.</v>
      </c>
      <c r="M52"/>
    </row>
    <row r="53" spans="1:89" s="1" customFormat="1" x14ac:dyDescent="0.25">
      <c r="A53" s="3">
        <f>IF(B53="","",COUNTIF($H$3:H53,H53))</f>
        <v>9</v>
      </c>
      <c r="B53" s="4" t="str">
        <f>IF([1]ROSTERS!B53="","",[1]ROSTERS!B53)</f>
        <v>Marinkovic Vanja</v>
      </c>
      <c r="C53" s="4" t="str">
        <f>IF([1]ROSTERS!C53="","",[1]ROSTERS!C53)</f>
        <v>Vanja Marinkovic</v>
      </c>
      <c r="D53" s="3" t="str">
        <f>IF([1]ROSTERS!D53="","",[1]ROSTERS!D53)</f>
        <v>SG</v>
      </c>
      <c r="E53" s="3" t="str">
        <f>IF([1]ROSTERS!E53="","",[1]ROSTERS!E53)</f>
        <v>SRB</v>
      </c>
      <c r="F53" s="3">
        <f>IF([1]ROSTERS!F53="","",[1]ROSTERS!F53)</f>
        <v>198</v>
      </c>
      <c r="G53" s="3">
        <f>IF([1]ROSTERS!G53="","",[1]ROSTERS!G53)</f>
        <v>27</v>
      </c>
      <c r="H53" s="3" t="str">
        <f>IF([1]ROSTERS!H53="","",[1]ROSTERS!H53)</f>
        <v>Baskonia Vitoria-Gasteiz</v>
      </c>
      <c r="I53" s="3" t="str">
        <f>IF([1]ROSTERS!I53="","",[1]ROSTERS!I53)</f>
        <v>BAS</v>
      </c>
      <c r="J53" s="3" t="str">
        <f>IF([1]ROSTERS!J53="","",[1]ROSTERS!J53)</f>
        <v>BAS.MarinkovicVanja</v>
      </c>
      <c r="K53" s="4" t="str">
        <f>IF([1]ROSTERS!K53="","",[1]ROSTERS!K53)</f>
        <v>BAS.Vanja Marinkovic</v>
      </c>
      <c r="L53" s="4" t="str">
        <f>IF([1]ROSTERS!L53="","",[1]ROSTERS!L53)</f>
        <v>Marinkovic V.</v>
      </c>
      <c r="M53"/>
    </row>
    <row r="54" spans="1:89" s="1" customFormat="1" x14ac:dyDescent="0.25">
      <c r="A54" s="3">
        <f>IF(B54="","",COUNTIF($H$3:H54,H54))</f>
        <v>10</v>
      </c>
      <c r="B54" s="4" t="str">
        <f>IF([1]ROSTERS!B54="","",[1]ROSTERS!B54)</f>
        <v>Miller McIntyre Codi</v>
      </c>
      <c r="C54" s="4" t="str">
        <f>IF([1]ROSTERS!C54="","",[1]ROSTERS!C54)</f>
        <v>Codi Miller McIntyre</v>
      </c>
      <c r="D54" s="3" t="str">
        <f>IF([1]ROSTERS!D54="","",[1]ROSTERS!D54)</f>
        <v>PG</v>
      </c>
      <c r="E54" s="3" t="str">
        <f>IF([1]ROSTERS!E54="","",[1]ROSTERS!E54)</f>
        <v>USA</v>
      </c>
      <c r="F54" s="3">
        <f>IF([1]ROSTERS!F54="","",[1]ROSTERS!F54)</f>
        <v>191</v>
      </c>
      <c r="G54" s="3">
        <f>IF([1]ROSTERS!G54="","",[1]ROSTERS!G54)</f>
        <v>30</v>
      </c>
      <c r="H54" s="3" t="str">
        <f>IF([1]ROSTERS!H54="","",[1]ROSTERS!H54)</f>
        <v>Baskonia Vitoria-Gasteiz</v>
      </c>
      <c r="I54" s="3" t="str">
        <f>IF([1]ROSTERS!I54="","",[1]ROSTERS!I54)</f>
        <v>BAS</v>
      </c>
      <c r="J54" s="3" t="str">
        <f>IF([1]ROSTERS!J54="","",[1]ROSTERS!J54)</f>
        <v>BAS.MillerMcIntyreCodi</v>
      </c>
      <c r="K54" s="4" t="str">
        <f>IF([1]ROSTERS!K54="","",[1]ROSTERS!K54)</f>
        <v>BAS.Codi Miller McIntyre</v>
      </c>
      <c r="L54" s="4" t="str">
        <f>IF([1]ROSTERS!L54="","",[1]ROSTERS!L54)</f>
        <v>Miller McIntyre C.</v>
      </c>
      <c r="M54"/>
    </row>
    <row r="55" spans="1:89" s="1" customFormat="1" x14ac:dyDescent="0.25">
      <c r="A55" s="3">
        <f>IF(B55="","",COUNTIF($H$3:H55,H55))</f>
        <v>11</v>
      </c>
      <c r="B55" s="4" t="str">
        <f>IF([1]ROSTERS!B55="","",[1]ROSTERS!B55)</f>
        <v>Moneke Chima</v>
      </c>
      <c r="C55" s="4" t="str">
        <f>IF([1]ROSTERS!C55="","",[1]ROSTERS!C55)</f>
        <v>Chima Moneke</v>
      </c>
      <c r="D55" s="3" t="str">
        <f>IF([1]ROSTERS!D55="","",[1]ROSTERS!D55)</f>
        <v>PF</v>
      </c>
      <c r="E55" s="3" t="str">
        <f>IF([1]ROSTERS!E55="","",[1]ROSTERS!E55)</f>
        <v>NGR</v>
      </c>
      <c r="F55" s="3">
        <f>IF([1]ROSTERS!F55="","",[1]ROSTERS!F55)</f>
        <v>198</v>
      </c>
      <c r="G55" s="3">
        <f>IF([1]ROSTERS!G55="","",[1]ROSTERS!G55)</f>
        <v>29</v>
      </c>
      <c r="H55" s="3" t="str">
        <f>IF([1]ROSTERS!H55="","",[1]ROSTERS!H55)</f>
        <v>Baskonia Vitoria-Gasteiz</v>
      </c>
      <c r="I55" s="3" t="str">
        <f>IF([1]ROSTERS!I55="","",[1]ROSTERS!I55)</f>
        <v>BAS</v>
      </c>
      <c r="J55" s="3" t="str">
        <f>IF([1]ROSTERS!J55="","",[1]ROSTERS!J55)</f>
        <v>BAS.MonekeChima</v>
      </c>
      <c r="K55" s="4" t="str">
        <f>IF([1]ROSTERS!K55="","",[1]ROSTERS!K55)</f>
        <v>BAS.Chima Moneke</v>
      </c>
      <c r="L55" s="4" t="str">
        <f>IF([1]ROSTERS!L55="","",[1]ROSTERS!L55)</f>
        <v>Moneke C.</v>
      </c>
      <c r="M55"/>
    </row>
    <row r="56" spans="1:89" s="1" customFormat="1" x14ac:dyDescent="0.25">
      <c r="A56" s="3">
        <f>IF(B56="","",COUNTIF($H$3:H56,H56))</f>
        <v>12</v>
      </c>
      <c r="B56" s="4" t="str">
        <f>IF([1]ROSTERS!B56="","",[1]ROSTERS!B56)</f>
        <v>Querejeta Joseba</v>
      </c>
      <c r="C56" s="4" t="str">
        <f>IF([1]ROSTERS!C56="","",[1]ROSTERS!C56)</f>
        <v>Joseba Querejeta</v>
      </c>
      <c r="D56" s="3" t="str">
        <f>IF([1]ROSTERS!D56="","",[1]ROSTERS!D56)</f>
        <v>PG</v>
      </c>
      <c r="E56" s="3" t="str">
        <f>IF([1]ROSTERS!E56="","",[1]ROSTERS!E56)</f>
        <v>ESP</v>
      </c>
      <c r="F56" s="3">
        <f>IF([1]ROSTERS!F56="","",[1]ROSTERS!F56)</f>
        <v>190</v>
      </c>
      <c r="G56" s="3">
        <f>IF([1]ROSTERS!G56="","",[1]ROSTERS!G56)</f>
        <v>21</v>
      </c>
      <c r="H56" s="3" t="str">
        <f>IF([1]ROSTERS!H56="","",[1]ROSTERS!H56)</f>
        <v>Baskonia Vitoria-Gasteiz</v>
      </c>
      <c r="I56" s="3" t="str">
        <f>IF([1]ROSTERS!I56="","",[1]ROSTERS!I56)</f>
        <v>BAS</v>
      </c>
      <c r="J56" s="3" t="str">
        <f>IF([1]ROSTERS!J56="","",[1]ROSTERS!J56)</f>
        <v>BAS.QuerejetaJoseba</v>
      </c>
      <c r="K56" s="4" t="str">
        <f>IF([1]ROSTERS!K56="","",[1]ROSTERS!K56)</f>
        <v>BAS.Joseba Querejeta</v>
      </c>
      <c r="L56" s="4" t="str">
        <f>IF([1]ROSTERS!L56="","",[1]ROSTERS!L56)</f>
        <v>Querejeta J.</v>
      </c>
      <c r="M56"/>
    </row>
    <row r="57" spans="1:89" s="1" customFormat="1" x14ac:dyDescent="0.25">
      <c r="A57" s="3">
        <f>IF(B57="","",COUNTIF($H$3:H57,H57))</f>
        <v>13</v>
      </c>
      <c r="B57" s="4" t="str">
        <f>IF([1]ROSTERS!B57="","",[1]ROSTERS!B57)</f>
        <v>Raieste Sander</v>
      </c>
      <c r="C57" s="4" t="str">
        <f>IF([1]ROSTERS!C57="","",[1]ROSTERS!C57)</f>
        <v>Sander Raieste</v>
      </c>
      <c r="D57" s="3" t="str">
        <f>IF([1]ROSTERS!D57="","",[1]ROSTERS!D57)</f>
        <v>F/PF</v>
      </c>
      <c r="E57" s="3" t="str">
        <f>IF([1]ROSTERS!E57="","",[1]ROSTERS!E57)</f>
        <v>EST</v>
      </c>
      <c r="F57" s="3">
        <f>IF([1]ROSTERS!F57="","",[1]ROSTERS!F57)</f>
        <v>204</v>
      </c>
      <c r="G57" s="3">
        <f>IF([1]ROSTERS!G57="","",[1]ROSTERS!G57)</f>
        <v>25</v>
      </c>
      <c r="H57" s="3" t="str">
        <f>IF([1]ROSTERS!H57="","",[1]ROSTERS!H57)</f>
        <v>Baskonia Vitoria-Gasteiz</v>
      </c>
      <c r="I57" s="3" t="str">
        <f>IF([1]ROSTERS!I57="","",[1]ROSTERS!I57)</f>
        <v>BAS</v>
      </c>
      <c r="J57" s="3" t="str">
        <f>IF([1]ROSTERS!J57="","",[1]ROSTERS!J57)</f>
        <v>BAS.RaiesteSander</v>
      </c>
      <c r="K57" s="4" t="str">
        <f>IF([1]ROSTERS!K57="","",[1]ROSTERS!K57)</f>
        <v>BAS.Sander Raieste</v>
      </c>
      <c r="L57" s="4" t="str">
        <f>IF([1]ROSTERS!L57="","",[1]ROSTERS!L57)</f>
        <v>Raieste S.</v>
      </c>
      <c r="M57"/>
    </row>
    <row r="58" spans="1:89" s="1" customFormat="1" x14ac:dyDescent="0.25">
      <c r="A58" s="3">
        <f>IF(B58="","",COUNTIF($H$3:H58,H58))</f>
        <v>14</v>
      </c>
      <c r="B58" s="4" t="str">
        <f>IF([1]ROSTERS!B58="","",[1]ROSTERS!B58)</f>
        <v>Rogkavopoulos Nikolaos</v>
      </c>
      <c r="C58" s="4" t="str">
        <f>IF([1]ROSTERS!C58="","",[1]ROSTERS!C58)</f>
        <v>Nikolaos Rogkavopoulos</v>
      </c>
      <c r="D58" s="3" t="str">
        <f>IF([1]ROSTERS!D58="","",[1]ROSTERS!D58)</f>
        <v>F</v>
      </c>
      <c r="E58" s="3" t="str">
        <f>IF([1]ROSTERS!E58="","",[1]ROSTERS!E58)</f>
        <v>GRE</v>
      </c>
      <c r="F58" s="3">
        <f>IF([1]ROSTERS!F58="","",[1]ROSTERS!F58)</f>
        <v>200.99999999999997</v>
      </c>
      <c r="G58" s="3">
        <f>IF([1]ROSTERS!G58="","",[1]ROSTERS!G58)</f>
        <v>23</v>
      </c>
      <c r="H58" s="3" t="str">
        <f>IF([1]ROSTERS!H58="","",[1]ROSTERS!H58)</f>
        <v>Baskonia Vitoria-Gasteiz</v>
      </c>
      <c r="I58" s="3" t="str">
        <f>IF([1]ROSTERS!I58="","",[1]ROSTERS!I58)</f>
        <v>BAS</v>
      </c>
      <c r="J58" s="3" t="str">
        <f>IF([1]ROSTERS!J58="","",[1]ROSTERS!J58)</f>
        <v>BAS.RogkavopoulosNikolaos</v>
      </c>
      <c r="K58" s="4" t="str">
        <f>IF([1]ROSTERS!K58="","",[1]ROSTERS!K58)</f>
        <v>BAS.Nikolaos Rogkavopoulos</v>
      </c>
      <c r="L58" s="4" t="str">
        <f>IF([1]ROSTERS!L58="","",[1]ROSTERS!L58)</f>
        <v>Rogkavopoulos N.</v>
      </c>
      <c r="M58"/>
    </row>
    <row r="59" spans="1:89" s="1" customFormat="1" x14ac:dyDescent="0.25">
      <c r="A59" s="3">
        <f>IF(B59="","",COUNTIF($H$3:H59,H59))</f>
        <v>15</v>
      </c>
      <c r="B59" s="4" t="str">
        <f>IF([1]ROSTERS!B59="","",[1]ROSTERS!B59)</f>
        <v>Sedekerskis Tadas</v>
      </c>
      <c r="C59" s="4" t="str">
        <f>IF([1]ROSTERS!C59="","",[1]ROSTERS!C59)</f>
        <v>Tadas Sedekerskis</v>
      </c>
      <c r="D59" s="6" t="str">
        <f>IF([1]ROSTERS!D59="","",[1]ROSTERS!D59)</f>
        <v>F/PF</v>
      </c>
      <c r="E59" s="3" t="str">
        <f>IF([1]ROSTERS!E59="","",[1]ROSTERS!E59)</f>
        <v>LTU</v>
      </c>
      <c r="F59" s="3">
        <f>IF([1]ROSTERS!F59="","",[1]ROSTERS!F59)</f>
        <v>200</v>
      </c>
      <c r="G59" s="3">
        <f>IF([1]ROSTERS!G59="","",[1]ROSTERS!G59)</f>
        <v>26</v>
      </c>
      <c r="H59" s="3" t="str">
        <f>IF([1]ROSTERS!H59="","",[1]ROSTERS!H59)</f>
        <v>Baskonia Vitoria-Gasteiz</v>
      </c>
      <c r="I59" s="3" t="str">
        <f>IF([1]ROSTERS!I59="","",[1]ROSTERS!I59)</f>
        <v>BAS</v>
      </c>
      <c r="J59" s="3" t="str">
        <f>IF([1]ROSTERS!J59="","",[1]ROSTERS!J59)</f>
        <v>BAS.SedekerskisTadas</v>
      </c>
      <c r="K59" s="4" t="str">
        <f>IF([1]ROSTERS!K59="","",[1]ROSTERS!K59)</f>
        <v>BAS.Tadas Sedekerskis</v>
      </c>
      <c r="L59" s="4" t="str">
        <f>IF([1]ROSTERS!L59="","",[1]ROSTERS!L59)</f>
        <v>Sedekerskis T.</v>
      </c>
      <c r="M59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K59" s="7"/>
    </row>
    <row r="60" spans="1:89" s="1" customFormat="1" x14ac:dyDescent="0.25">
      <c r="A60" s="3">
        <f>IF(B60="","",COUNTIF($H$3:H60,H60))</f>
        <v>1</v>
      </c>
      <c r="B60" s="4" t="str">
        <f>IF([1]ROSTERS!B60="","",[1]ROSTERS!B60)</f>
        <v>Bolomboy Joel</v>
      </c>
      <c r="C60" s="4" t="str">
        <f>IF([1]ROSTERS!C60="","",[1]ROSTERS!C60)</f>
        <v>Joel Bolomboy</v>
      </c>
      <c r="D60" s="6" t="str">
        <f>IF([1]ROSTERS!D60="","",[1]ROSTERS!D60)</f>
        <v>PF/C</v>
      </c>
      <c r="E60" s="3" t="str">
        <f>IF([1]ROSTERS!E60="","",[1]ROSTERS!E60)</f>
        <v>RUS</v>
      </c>
      <c r="F60" s="3">
        <f>IF([1]ROSTERS!F60="","",[1]ROSTERS!F60)</f>
        <v>206</v>
      </c>
      <c r="G60" s="3">
        <f>IF([1]ROSTERS!G60="","",[1]ROSTERS!G60)</f>
        <v>30</v>
      </c>
      <c r="H60" s="3" t="str">
        <f>IF([1]ROSTERS!H60="","",[1]ROSTERS!H60)</f>
        <v>Crvena Zvezda Meridianbet Belgrade</v>
      </c>
      <c r="I60" s="3" t="str">
        <f>IF([1]ROSTERS!I60="","",[1]ROSTERS!I60)</f>
        <v>CZB</v>
      </c>
      <c r="J60" s="3" t="str">
        <f>IF([1]ROSTERS!J60="","",[1]ROSTERS!J60)</f>
        <v>CZB.BolomboyJoel</v>
      </c>
      <c r="K60" s="4" t="str">
        <f>IF([1]ROSTERS!K60="","",[1]ROSTERS!K60)</f>
        <v>CZB.Joel Bolomboy</v>
      </c>
      <c r="L60" s="4" t="str">
        <f>IF([1]ROSTERS!L60="","",[1]ROSTERS!L60)</f>
        <v>Bolomboy J.</v>
      </c>
      <c r="M60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K60" s="7"/>
    </row>
    <row r="61" spans="1:89" s="1" customFormat="1" x14ac:dyDescent="0.25">
      <c r="A61" s="3">
        <f>IF(B61="","",COUNTIF($H$3:H61,H61))</f>
        <v>2</v>
      </c>
      <c r="B61" s="4" t="str">
        <f>IF([1]ROSTERS!B61="","",[1]ROSTERS!B61)</f>
        <v>Davidovac Dejan</v>
      </c>
      <c r="C61" s="4" t="str">
        <f>IF([1]ROSTERS!C61="","",[1]ROSTERS!C61)</f>
        <v>Dejan Davidovac</v>
      </c>
      <c r="D61" s="6" t="str">
        <f>IF([1]ROSTERS!D61="","",[1]ROSTERS!D61)</f>
        <v>F</v>
      </c>
      <c r="E61" s="3" t="str">
        <f>IF([1]ROSTERS!E61="","",[1]ROSTERS!E61)</f>
        <v>SRB</v>
      </c>
      <c r="F61" s="3">
        <f>IF([1]ROSTERS!F61="","",[1]ROSTERS!F61)</f>
        <v>202</v>
      </c>
      <c r="G61" s="3">
        <f>IF([1]ROSTERS!G61="","",[1]ROSTERS!G61)</f>
        <v>29</v>
      </c>
      <c r="H61" s="3" t="str">
        <f>IF([1]ROSTERS!H61="","",[1]ROSTERS!H61)</f>
        <v>Crvena Zvezda Meridianbet Belgrade</v>
      </c>
      <c r="I61" s="3" t="str">
        <f>IF([1]ROSTERS!I61="","",[1]ROSTERS!I61)</f>
        <v>CZB</v>
      </c>
      <c r="J61" s="3" t="str">
        <f>IF([1]ROSTERS!J61="","",[1]ROSTERS!J61)</f>
        <v>CZB.DavidovacDejan</v>
      </c>
      <c r="K61" s="4" t="str">
        <f>IF([1]ROSTERS!K61="","",[1]ROSTERS!K61)</f>
        <v>CZB.Dejan Davidovac</v>
      </c>
      <c r="L61" s="4" t="str">
        <f>IF([1]ROSTERS!L61="","",[1]ROSTERS!L61)</f>
        <v>Davidovac D.</v>
      </c>
      <c r="M61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K61" s="7"/>
    </row>
    <row r="62" spans="1:89" s="1" customFormat="1" x14ac:dyDescent="0.25">
      <c r="A62" s="3">
        <f>IF(B62="","",COUNTIF($H$3:H62,H62))</f>
        <v>3</v>
      </c>
      <c r="B62" s="4" t="str">
        <f>IF([1]ROSTERS!B62="","",[1]ROSTERS!B62)</f>
        <v>Dos Santos Yago</v>
      </c>
      <c r="C62" s="4" t="str">
        <f>IF([1]ROSTERS!C62="","",[1]ROSTERS!C62)</f>
        <v>Yago Dos Santos</v>
      </c>
      <c r="D62" s="6" t="str">
        <f>IF([1]ROSTERS!D62="","",[1]ROSTERS!D62)</f>
        <v>PG</v>
      </c>
      <c r="E62" s="3" t="str">
        <f>IF([1]ROSTERS!E62="","",[1]ROSTERS!E62)</f>
        <v>BRA</v>
      </c>
      <c r="F62" s="3">
        <f>IF([1]ROSTERS!F62="","",[1]ROSTERS!F62)</f>
        <v>175</v>
      </c>
      <c r="G62" s="3">
        <f>IF([1]ROSTERS!G62="","",[1]ROSTERS!G62)</f>
        <v>25</v>
      </c>
      <c r="H62" s="3" t="str">
        <f>IF([1]ROSTERS!H62="","",[1]ROSTERS!H62)</f>
        <v>Crvena Zvezda Meridianbet Belgrade</v>
      </c>
      <c r="I62" s="3" t="str">
        <f>IF([1]ROSTERS!I62="","",[1]ROSTERS!I62)</f>
        <v>CZB</v>
      </c>
      <c r="J62" s="3" t="str">
        <f>IF([1]ROSTERS!J62="","",[1]ROSTERS!J62)</f>
        <v>CZB.DosSantosYago</v>
      </c>
      <c r="K62" s="4" t="str">
        <f>IF([1]ROSTERS!K62="","",[1]ROSTERS!K62)</f>
        <v>CZB.Yago Dos Santos</v>
      </c>
      <c r="L62" s="4" t="str">
        <f>IF([1]ROSTERS!L62="","",[1]ROSTERS!L62)</f>
        <v>Dos Santos Y.</v>
      </c>
      <c r="M62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K62" s="7"/>
    </row>
    <row r="63" spans="1:89" s="1" customFormat="1" x14ac:dyDescent="0.25">
      <c r="A63" s="3">
        <f>IF(B63="","",COUNTIF($H$3:H63,H63))</f>
        <v>4</v>
      </c>
      <c r="B63" s="4" t="str">
        <f>IF([1]ROSTERS!B63="","",[1]ROSTERS!B63)</f>
        <v>Giedraitis Rokas</v>
      </c>
      <c r="C63" s="4" t="str">
        <f>IF([1]ROSTERS!C63="","",[1]ROSTERS!C63)</f>
        <v>Rokas Giedraitis</v>
      </c>
      <c r="D63" s="6" t="str">
        <f>IF([1]ROSTERS!D63="","",[1]ROSTERS!D63)</f>
        <v>F/PF</v>
      </c>
      <c r="E63" s="3" t="str">
        <f>IF([1]ROSTERS!E63="","",[1]ROSTERS!E63)</f>
        <v>LTU</v>
      </c>
      <c r="F63" s="3">
        <f>IF([1]ROSTERS!F63="","",[1]ROSTERS!F63)</f>
        <v>200</v>
      </c>
      <c r="G63" s="3">
        <f>IF([1]ROSTERS!G63="","",[1]ROSTERS!G63)</f>
        <v>32</v>
      </c>
      <c r="H63" s="3" t="str">
        <f>IF([1]ROSTERS!H63="","",[1]ROSTERS!H63)</f>
        <v>Crvena Zvezda Meridianbet Belgrade</v>
      </c>
      <c r="I63" s="3" t="str">
        <f>IF([1]ROSTERS!I63="","",[1]ROSTERS!I63)</f>
        <v>CZB</v>
      </c>
      <c r="J63" s="3" t="str">
        <f>IF([1]ROSTERS!J63="","",[1]ROSTERS!J63)</f>
        <v>CZB.GiedraitisRokas</v>
      </c>
      <c r="K63" s="4" t="str">
        <f>IF([1]ROSTERS!K63="","",[1]ROSTERS!K63)</f>
        <v>CZB.Rokas Giedraitis</v>
      </c>
      <c r="L63" s="4" t="str">
        <f>IF([1]ROSTERS!L63="","",[1]ROSTERS!L63)</f>
        <v>Giedraitis R.</v>
      </c>
      <c r="M63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K63" s="7"/>
    </row>
    <row r="64" spans="1:89" s="1" customFormat="1" x14ac:dyDescent="0.25">
      <c r="A64" s="3">
        <f>IF(B64="","",COUNTIF($H$3:H64,H64))</f>
        <v>5</v>
      </c>
      <c r="B64" s="4" t="str">
        <f>IF([1]ROSTERS!B64="","",[1]ROSTERS!B64)</f>
        <v>Hanga Adam</v>
      </c>
      <c r="C64" s="4" t="str">
        <f>IF([1]ROSTERS!C64="","",[1]ROSTERS!C64)</f>
        <v>Adam Hanga</v>
      </c>
      <c r="D64" s="3" t="str">
        <f>IF([1]ROSTERS!D64="","",[1]ROSTERS!D64)</f>
        <v>F</v>
      </c>
      <c r="E64" s="3" t="str">
        <f>IF([1]ROSTERS!E64="","",[1]ROSTERS!E64)</f>
        <v>HUN</v>
      </c>
      <c r="F64" s="3">
        <f>IF([1]ROSTERS!F64="","",[1]ROSTERS!F64)</f>
        <v>200.99999999999997</v>
      </c>
      <c r="G64" s="3">
        <f>IF([1]ROSTERS!G64="","",[1]ROSTERS!G64)</f>
        <v>35</v>
      </c>
      <c r="H64" s="3" t="str">
        <f>IF([1]ROSTERS!H64="","",[1]ROSTERS!H64)</f>
        <v>Crvena Zvezda Meridianbet Belgrade</v>
      </c>
      <c r="I64" s="3" t="str">
        <f>IF([1]ROSTERS!I64="","",[1]ROSTERS!I64)</f>
        <v>CZB</v>
      </c>
      <c r="J64" s="3" t="str">
        <f>IF([1]ROSTERS!J64="","",[1]ROSTERS!J64)</f>
        <v>CZB.HangaAdam</v>
      </c>
      <c r="K64" s="4" t="str">
        <f>IF([1]ROSTERS!K64="","",[1]ROSTERS!K64)</f>
        <v>CZB.Adam Hanga</v>
      </c>
      <c r="L64" s="4" t="str">
        <f>IF([1]ROSTERS!L64="","",[1]ROSTERS!L64)</f>
        <v>Hanga A.</v>
      </c>
      <c r="M64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 t="str">
        <f ca="1">IF(AU36="","",IF(AU36&gt;TODAY(),"-",SUM(INDIRECT(SUBSTITUTE(ADDRESS(ROW(#REF!),COLUMN(#REF!),4),ROW(#REF!),"")&amp;ROW($B64)&amp;":"&amp;VLOOKUP($B64,$B$86:$C$110,2,FALSE)&amp;ROW($B64)))/$B64))</f>
        <v/>
      </c>
      <c r="CI64" s="7"/>
      <c r="CJ64" s="1" t="str">
        <f ca="1">IF(AU36="","",IF(AU36&gt;TODAY(),"-",(2*AR64+CH64)/3))</f>
        <v/>
      </c>
      <c r="CK64" s="7"/>
    </row>
    <row r="65" spans="1:89" s="1" customFormat="1" x14ac:dyDescent="0.25">
      <c r="A65" s="3">
        <f>IF(B65="","",COUNTIF($H$3:H65,H65))</f>
        <v>6</v>
      </c>
      <c r="B65" s="4" t="str">
        <f>IF([1]ROSTERS!B65="","",[1]ROSTERS!B65)</f>
        <v>Ilic Dalibor</v>
      </c>
      <c r="C65" s="4" t="str">
        <f>IF([1]ROSTERS!C65="","",[1]ROSTERS!C65)</f>
        <v>Dalibor Ilic</v>
      </c>
      <c r="D65" s="3" t="str">
        <f>IF([1]ROSTERS!D65="","",[1]ROSTERS!D65)</f>
        <v>F</v>
      </c>
      <c r="E65" s="3" t="str">
        <f>IF([1]ROSTERS!E65="","",[1]ROSTERS!E65)</f>
        <v>BIH</v>
      </c>
      <c r="F65" s="3">
        <f>IF([1]ROSTERS!F65="","",[1]ROSTERS!F65)</f>
        <v>206</v>
      </c>
      <c r="G65" s="3">
        <f>IF([1]ROSTERS!G65="","",[1]ROSTERS!G65)</f>
        <v>24</v>
      </c>
      <c r="H65" s="3" t="str">
        <f>IF([1]ROSTERS!H65="","",[1]ROSTERS!H65)</f>
        <v>Crvena Zvezda Meridianbet Belgrade</v>
      </c>
      <c r="I65" s="3" t="str">
        <f>IF([1]ROSTERS!I65="","",[1]ROSTERS!I65)</f>
        <v>CZB</v>
      </c>
      <c r="J65" s="3" t="str">
        <f>IF([1]ROSTERS!J65="","",[1]ROSTERS!J65)</f>
        <v>CZB.IlicDalibor</v>
      </c>
      <c r="K65" s="4" t="str">
        <f>IF([1]ROSTERS!K65="","",[1]ROSTERS!K65)</f>
        <v>CZB.Dalibor Ilic</v>
      </c>
      <c r="L65" s="4" t="str">
        <f>IF([1]ROSTERS!L65="","",[1]ROSTERS!L65)</f>
        <v>Ilic D.</v>
      </c>
      <c r="M65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 t="str">
        <f ca="1">IF(AU37="","",IF(AU37&gt;TODAY(),"-",SUM(INDIRECT(SUBSTITUTE(ADDRESS(ROW(#REF!),COLUMN(#REF!),4),ROW(#REF!),"")&amp;ROW($B65)&amp;":"&amp;VLOOKUP($B65,$B$86:$C$110,2,FALSE)&amp;ROW($B65)))/$B65))</f>
        <v/>
      </c>
      <c r="CI65" s="7"/>
      <c r="CJ65" s="1" t="str">
        <f ca="1">IF(AU37="","",IF(AU37&gt;TODAY(),"-",(2*AR65+CH65)/3))</f>
        <v/>
      </c>
      <c r="CK65" s="7"/>
    </row>
    <row r="66" spans="1:89" s="1" customFormat="1" x14ac:dyDescent="0.25">
      <c r="A66" s="3">
        <f>IF(B66="","",COUNTIF($H$3:H66,H66))</f>
        <v>7</v>
      </c>
      <c r="B66" s="4" t="str">
        <f>IF([1]ROSTERS!B66="","",[1]ROSTERS!B66)</f>
        <v>Kuzmic Ognjen</v>
      </c>
      <c r="C66" s="4" t="str">
        <f>IF([1]ROSTERS!C66="","",[1]ROSTERS!C66)</f>
        <v>Ognjen Kuzmic</v>
      </c>
      <c r="D66" s="3" t="str">
        <f>IF([1]ROSTERS!D66="","",[1]ROSTERS!D66)</f>
        <v>C</v>
      </c>
      <c r="E66" s="3" t="str">
        <f>IF([1]ROSTERS!E66="","",[1]ROSTERS!E66)</f>
        <v>SRB</v>
      </c>
      <c r="F66" s="3">
        <f>IF([1]ROSTERS!F66="","",[1]ROSTERS!F66)</f>
        <v>214</v>
      </c>
      <c r="G66" s="3">
        <f>IF([1]ROSTERS!G66="","",[1]ROSTERS!G66)</f>
        <v>34</v>
      </c>
      <c r="H66" s="3" t="str">
        <f>IF([1]ROSTERS!H66="","",[1]ROSTERS!H66)</f>
        <v>Crvena Zvezda Meridianbet Belgrade</v>
      </c>
      <c r="I66" s="3" t="str">
        <f>IF([1]ROSTERS!I66="","",[1]ROSTERS!I66)</f>
        <v>CZB</v>
      </c>
      <c r="J66" s="3" t="str">
        <f>IF([1]ROSTERS!J66="","",[1]ROSTERS!J66)</f>
        <v>CZB.KuzmicOgnjen</v>
      </c>
      <c r="K66" s="4" t="str">
        <f>IF([1]ROSTERS!K66="","",[1]ROSTERS!K66)</f>
        <v>CZB.Ognjen Kuzmic</v>
      </c>
      <c r="L66" s="4" t="str">
        <f>IF([1]ROSTERS!L66="","",[1]ROSTERS!L66)</f>
        <v>Kuzmic O.</v>
      </c>
      <c r="M66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 t="str">
        <f ca="1">IF(AU38="","",IF(AU38&gt;TODAY(),"-",SUM(INDIRECT(SUBSTITUTE(ADDRESS(ROW(#REF!),COLUMN(#REF!),4),ROW(#REF!),"")&amp;ROW($B66)&amp;":"&amp;VLOOKUP($B66,$B$86:$C$110,2,FALSE)&amp;ROW($B66)))/$B66))</f>
        <v/>
      </c>
      <c r="CI66" s="7"/>
      <c r="CJ66" s="1" t="str">
        <f ca="1">IF(AU38="","",IF(AU38&gt;TODAY(),"-",(2*AR66+CH66)/3))</f>
        <v/>
      </c>
      <c r="CK66" s="7"/>
    </row>
    <row r="67" spans="1:89" s="1" customFormat="1" x14ac:dyDescent="0.25">
      <c r="A67" s="3">
        <f>IF(B67="","",COUNTIF($H$3:H67,H67))</f>
        <v>8</v>
      </c>
      <c r="B67" s="4" t="str">
        <f>IF([1]ROSTERS!B67="","",[1]ROSTERS!B67)</f>
        <v>Lazarevic Stefan</v>
      </c>
      <c r="C67" s="4" t="str">
        <f>IF([1]ROSTERS!C67="","",[1]ROSTERS!C67)</f>
        <v>Stefan Lazarevic</v>
      </c>
      <c r="D67" s="3" t="str">
        <f>IF([1]ROSTERS!D67="","",[1]ROSTERS!D67)</f>
        <v>SG</v>
      </c>
      <c r="E67" s="3" t="str">
        <f>IF([1]ROSTERS!E67="","",[1]ROSTERS!E67)</f>
        <v>SRB</v>
      </c>
      <c r="F67" s="3">
        <f>IF([1]ROSTERS!F67="","",[1]ROSTERS!F67)</f>
        <v>200</v>
      </c>
      <c r="G67" s="3">
        <f>IF([1]ROSTERS!G67="","",[1]ROSTERS!G67)</f>
        <v>28</v>
      </c>
      <c r="H67" s="3" t="str">
        <f>IF([1]ROSTERS!H67="","",[1]ROSTERS!H67)</f>
        <v>Crvena Zvezda Meridianbet Belgrade</v>
      </c>
      <c r="I67" s="3" t="str">
        <f>IF([1]ROSTERS!I67="","",[1]ROSTERS!I67)</f>
        <v>CZB</v>
      </c>
      <c r="J67" s="3" t="str">
        <f>IF([1]ROSTERS!J67="","",[1]ROSTERS!J67)</f>
        <v>CZB.LazarevicStefan</v>
      </c>
      <c r="K67" s="4" t="str">
        <f>IF([1]ROSTERS!K67="","",[1]ROSTERS!K67)</f>
        <v>CZB.Stefan Lazarevic</v>
      </c>
      <c r="L67" s="4" t="str">
        <f>IF([1]ROSTERS!L67="","",[1]ROSTERS!L67)</f>
        <v>Lazarevic S.</v>
      </c>
      <c r="M6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 t="e">
        <f ca="1">IF(#REF!="","",IF(#REF!&gt;TODAY(),"-",SUM(INDIRECT(SUBSTITUTE(ADDRESS(ROW(#REF!),COLUMN(#REF!),4),ROW(#REF!),"")&amp;ROW($B67)&amp;":"&amp;VLOOKUP($B67,$B$86:$C$110,2,FALSE)&amp;ROW($B67)))/$B67))</f>
        <v>#REF!</v>
      </c>
      <c r="CI67" s="7"/>
      <c r="CJ67" s="1" t="e">
        <f ca="1">IF(#REF!="","",IF(#REF!&gt;TODAY(),"-",(2*AR67+CH67)/3))</f>
        <v>#REF!</v>
      </c>
      <c r="CK67" s="7"/>
    </row>
    <row r="68" spans="1:89" s="1" customFormat="1" x14ac:dyDescent="0.25">
      <c r="A68" s="3">
        <f>IF(B68="","",COUNTIF($H$3:H68,H68))</f>
        <v>9</v>
      </c>
      <c r="B68" s="4" t="str">
        <f>IF([1]ROSTERS!B68="","",[1]ROSTERS!B68)</f>
        <v>Lazic Branko</v>
      </c>
      <c r="C68" s="4" t="str">
        <f>IF([1]ROSTERS!C68="","",[1]ROSTERS!C68)</f>
        <v>Branko Lazic</v>
      </c>
      <c r="D68" s="3" t="str">
        <f>IF([1]ROSTERS!D68="","",[1]ROSTERS!D68)</f>
        <v>SG</v>
      </c>
      <c r="E68" s="3" t="str">
        <f>IF([1]ROSTERS!E68="","",[1]ROSTERS!E68)</f>
        <v>SRB</v>
      </c>
      <c r="F68" s="3">
        <f>IF([1]ROSTERS!F68="","",[1]ROSTERS!F68)</f>
        <v>195</v>
      </c>
      <c r="G68" s="3">
        <f>IF([1]ROSTERS!G68="","",[1]ROSTERS!G68)</f>
        <v>35</v>
      </c>
      <c r="H68" s="3" t="str">
        <f>IF([1]ROSTERS!H68="","",[1]ROSTERS!H68)</f>
        <v>Crvena Zvezda Meridianbet Belgrade</v>
      </c>
      <c r="I68" s="3" t="str">
        <f>IF([1]ROSTERS!I68="","",[1]ROSTERS!I68)</f>
        <v>CZB</v>
      </c>
      <c r="J68" s="3" t="str">
        <f>IF([1]ROSTERS!J68="","",[1]ROSTERS!J68)</f>
        <v>CZB.LazicBranko</v>
      </c>
      <c r="K68" s="4" t="str">
        <f>IF([1]ROSTERS!K68="","",[1]ROSTERS!K68)</f>
        <v>CZB.Branko Lazic</v>
      </c>
      <c r="L68" s="4" t="str">
        <f>IF([1]ROSTERS!L68="","",[1]ROSTERS!L68)</f>
        <v>Lazic B.</v>
      </c>
      <c r="M68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 t="e">
        <f ca="1">IF(#REF!="","",IF(#REF!&gt;TODAY(),"-",SUM(INDIRECT(SUBSTITUTE(ADDRESS(ROW(#REF!),COLUMN(#REF!),4),ROW(#REF!),"")&amp;ROW($B68)&amp;":"&amp;VLOOKUP($B68,$B$86:$C$110,2,FALSE)&amp;ROW($B68)))/$B68))</f>
        <v>#REF!</v>
      </c>
      <c r="CI68" s="7"/>
      <c r="CJ68" s="1" t="e">
        <f ca="1">IF(#REF!="","",IF(#REF!&gt;TODAY(),"-",(2*AR68+CH68)/3))</f>
        <v>#REF!</v>
      </c>
      <c r="CK68" s="7"/>
    </row>
    <row r="69" spans="1:89" s="1" customFormat="1" x14ac:dyDescent="0.25">
      <c r="A69" s="3">
        <f>IF(B69="","",COUNTIF($H$3:H69,H69))</f>
        <v>10</v>
      </c>
      <c r="B69" s="4" t="str">
        <f>IF([1]ROSTERS!B69="","",[1]ROSTERS!B69)</f>
        <v>Mitrovic Luka</v>
      </c>
      <c r="C69" s="4" t="str">
        <f>IF([1]ROSTERS!C69="","",[1]ROSTERS!C69)</f>
        <v>Luka Mitrovic</v>
      </c>
      <c r="D69" s="3" t="str">
        <f>IF([1]ROSTERS!D69="","",[1]ROSTERS!D69)</f>
        <v>PF</v>
      </c>
      <c r="E69" s="3" t="str">
        <f>IF([1]ROSTERS!E69="","",[1]ROSTERS!E69)</f>
        <v>SRB</v>
      </c>
      <c r="F69" s="3">
        <f>IF([1]ROSTERS!F69="","",[1]ROSTERS!F69)</f>
        <v>206</v>
      </c>
      <c r="G69" s="3">
        <f>IF([1]ROSTERS!G69="","",[1]ROSTERS!G69)</f>
        <v>31</v>
      </c>
      <c r="H69" s="3" t="str">
        <f>IF([1]ROSTERS!H69="","",[1]ROSTERS!H69)</f>
        <v>Crvena Zvezda Meridianbet Belgrade</v>
      </c>
      <c r="I69" s="3" t="str">
        <f>IF([1]ROSTERS!I69="","",[1]ROSTERS!I69)</f>
        <v>CZB</v>
      </c>
      <c r="J69" s="3" t="str">
        <f>IF([1]ROSTERS!J69="","",[1]ROSTERS!J69)</f>
        <v>CZB.MitrovicLuka</v>
      </c>
      <c r="K69" s="4" t="str">
        <f>IF([1]ROSTERS!K69="","",[1]ROSTERS!K69)</f>
        <v>CZB.Luka Mitrovic</v>
      </c>
      <c r="L69" s="4" t="str">
        <f>IF([1]ROSTERS!L69="","",[1]ROSTERS!L69)</f>
        <v>Mitrovic L.</v>
      </c>
      <c r="M69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 t="str">
        <f ca="1">IF(AU44="","",IF(AU44&gt;TODAY(),"-",SUM(INDIRECT(SUBSTITUTE(ADDRESS(ROW(#REF!),COLUMN(#REF!),4),ROW(#REF!),"")&amp;ROW($B69)&amp;":"&amp;VLOOKUP($B69,$B$86:$C$110,2,FALSE)&amp;ROW($B69)))/$B69))</f>
        <v/>
      </c>
      <c r="CI69" s="7"/>
      <c r="CJ69" s="1" t="str">
        <f t="shared" ref="CJ69:CJ78" ca="1" si="0">IF(AU44="","",IF(AU44&gt;TODAY(),"-",(2*AR69+CH69)/3))</f>
        <v/>
      </c>
      <c r="CK69" s="7"/>
    </row>
    <row r="70" spans="1:89" s="1" customFormat="1" x14ac:dyDescent="0.25">
      <c r="A70" s="3">
        <f>IF(B70="","",COUNTIF($H$3:H70,H70))</f>
        <v>11</v>
      </c>
      <c r="B70" s="4" t="str">
        <f>IF([1]ROSTERS!B70="","",[1]ROSTERS!B70)</f>
        <v>Napier Shabazz</v>
      </c>
      <c r="C70" s="4" t="str">
        <f>IF([1]ROSTERS!C70="","",[1]ROSTERS!C70)</f>
        <v>Shabazz Napier</v>
      </c>
      <c r="D70" s="3" t="str">
        <f>IF([1]ROSTERS!D70="","",[1]ROSTERS!D70)</f>
        <v>PG</v>
      </c>
      <c r="E70" s="3" t="str">
        <f>IF([1]ROSTERS!E70="","",[1]ROSTERS!E70)</f>
        <v>USA</v>
      </c>
      <c r="F70" s="3">
        <f>IF([1]ROSTERS!F70="","",[1]ROSTERS!F70)</f>
        <v>185</v>
      </c>
      <c r="G70" s="3">
        <f>IF([1]ROSTERS!G70="","",[1]ROSTERS!G70)</f>
        <v>33</v>
      </c>
      <c r="H70" s="3" t="str">
        <f>IF([1]ROSTERS!H70="","",[1]ROSTERS!H70)</f>
        <v>Crvena Zvezda Meridianbet Belgrade</v>
      </c>
      <c r="I70" s="3" t="str">
        <f>IF([1]ROSTERS!I70="","",[1]ROSTERS!I70)</f>
        <v>CZB</v>
      </c>
      <c r="J70" s="3" t="str">
        <f>IF([1]ROSTERS!J70="","",[1]ROSTERS!J70)</f>
        <v>CZB.NapierShabazz</v>
      </c>
      <c r="K70" s="4" t="str">
        <f>IF([1]ROSTERS!K70="","",[1]ROSTERS!K70)</f>
        <v>CZB.Shabazz Napier</v>
      </c>
      <c r="L70" s="4" t="str">
        <f>IF([1]ROSTERS!L70="","",[1]ROSTERS!L70)</f>
        <v>Napier S.</v>
      </c>
      <c r="M70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 t="str">
        <f ca="1">IF(AU45="","",IF(AU45&gt;TODAY(),"-",SUM(INDIRECT(SUBSTITUTE(ADDRESS(ROW(#REF!),COLUMN(#REF!),4),ROW(#REF!),"")&amp;ROW($B70)&amp;":"&amp;VLOOKUP($B70,$B$86:$C$110,2,FALSE)&amp;ROW($B70)))/$B70))</f>
        <v/>
      </c>
      <c r="CI70" s="7"/>
      <c r="CJ70" s="1" t="str">
        <f t="shared" ca="1" si="0"/>
        <v/>
      </c>
      <c r="CK70" s="7"/>
    </row>
    <row r="71" spans="1:89" s="1" customFormat="1" x14ac:dyDescent="0.25">
      <c r="A71" s="3">
        <f>IF(B71="","",COUNTIF($H$3:H71,H71))</f>
        <v>12</v>
      </c>
      <c r="B71" s="4" t="str">
        <f>IF([1]ROSTERS!B71="","",[1]ROSTERS!B71)</f>
        <v>Nedovic Nemanja</v>
      </c>
      <c r="C71" s="4" t="str">
        <f>IF([1]ROSTERS!C71="","",[1]ROSTERS!C71)</f>
        <v>Nemanja Nedovic</v>
      </c>
      <c r="D71" s="3" t="str">
        <f>IF([1]ROSTERS!D71="","",[1]ROSTERS!D71)</f>
        <v>SG</v>
      </c>
      <c r="E71" s="3" t="str">
        <f>IF([1]ROSTERS!E71="","",[1]ROSTERS!E71)</f>
        <v>SRB</v>
      </c>
      <c r="F71" s="3">
        <f>IF([1]ROSTERS!F71="","",[1]ROSTERS!F71)</f>
        <v>191</v>
      </c>
      <c r="G71" s="3">
        <f>IF([1]ROSTERS!G71="","",[1]ROSTERS!G71)</f>
        <v>33</v>
      </c>
      <c r="H71" s="3" t="str">
        <f>IF([1]ROSTERS!H71="","",[1]ROSTERS!H71)</f>
        <v>Crvena Zvezda Meridianbet Belgrade</v>
      </c>
      <c r="I71" s="3" t="str">
        <f>IF([1]ROSTERS!I71="","",[1]ROSTERS!I71)</f>
        <v>CZB</v>
      </c>
      <c r="J71" s="3" t="str">
        <f>IF([1]ROSTERS!J71="","",[1]ROSTERS!J71)</f>
        <v>CZB.NedovicNemanja</v>
      </c>
      <c r="K71" s="4" t="str">
        <f>IF([1]ROSTERS!K71="","",[1]ROSTERS!K71)</f>
        <v>CZB.Nemanja Nedovic</v>
      </c>
      <c r="L71" s="4" t="str">
        <f>IF([1]ROSTERS!L71="","",[1]ROSTERS!L71)</f>
        <v>Nedovic N.</v>
      </c>
      <c r="M71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 t="str">
        <f ca="1">IF(AU46="","",IF(AU46&gt;TODAY(),"-",SUM(INDIRECT(SUBSTITUTE(ADDRESS(ROW(#REF!),COLUMN(#REF!),4),ROW(#REF!),"")&amp;ROW($B71)&amp;":"&amp;VLOOKUP($B71,$B$86:$C$110,2,FALSE)&amp;ROW($B71)))/$B71))</f>
        <v/>
      </c>
      <c r="CI71" s="7"/>
      <c r="CJ71" s="1" t="str">
        <f t="shared" ca="1" si="0"/>
        <v/>
      </c>
      <c r="CK71" s="7"/>
    </row>
    <row r="72" spans="1:89" s="1" customFormat="1" x14ac:dyDescent="0.25">
      <c r="A72" s="3">
        <f>IF(B72="","",COUNTIF($H$3:H72,H72))</f>
        <v>13</v>
      </c>
      <c r="B72" s="4" t="str">
        <f>IF([1]ROSTERS!B72="","",[1]ROSTERS!B72)</f>
        <v>Simonovic Marko</v>
      </c>
      <c r="C72" s="4" t="str">
        <f>IF([1]ROSTERS!C72="","",[1]ROSTERS!C72)</f>
        <v>Marko Simonovic</v>
      </c>
      <c r="D72" s="3" t="str">
        <f>IF([1]ROSTERS!D72="","",[1]ROSTERS!D72)</f>
        <v>PF</v>
      </c>
      <c r="E72" s="3" t="str">
        <f>IF([1]ROSTERS!E72="","",[1]ROSTERS!E72)</f>
        <v>SRB</v>
      </c>
      <c r="F72" s="3">
        <f>IF([1]ROSTERS!F72="","",[1]ROSTERS!F72)</f>
        <v>202.99999999999997</v>
      </c>
      <c r="G72" s="3">
        <f>IF([1]ROSTERS!G72="","",[1]ROSTERS!G72)</f>
        <v>38</v>
      </c>
      <c r="H72" s="3" t="str">
        <f>IF([1]ROSTERS!H72="","",[1]ROSTERS!H72)</f>
        <v>Crvena Zvezda Meridianbet Belgrade</v>
      </c>
      <c r="I72" s="3" t="str">
        <f>IF([1]ROSTERS!I72="","",[1]ROSTERS!I72)</f>
        <v>CZB</v>
      </c>
      <c r="J72" s="3" t="str">
        <f>IF([1]ROSTERS!J72="","",[1]ROSTERS!J72)</f>
        <v>CZB.SimonovicMarko</v>
      </c>
      <c r="K72" s="4" t="str">
        <f>IF([1]ROSTERS!K72="","",[1]ROSTERS!K72)</f>
        <v>CZB.Marko Simonovic</v>
      </c>
      <c r="L72" s="4" t="str">
        <f>IF([1]ROSTERS!L72="","",[1]ROSTERS!L72)</f>
        <v>Simonovic M.</v>
      </c>
      <c r="M72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 t="str">
        <f ca="1">IF(AU47="","",IF(AU47&gt;TODAY(),"-",SUM(INDIRECT(SUBSTITUTE(ADDRESS(ROW(#REF!),COLUMN(#REF!),4),ROW(#REF!),"")&amp;ROW($B72)&amp;":"&amp;VLOOKUP($B72,$B$86:$C$110,2,FALSE)&amp;ROW($B72)))/$B72))</f>
        <v/>
      </c>
      <c r="CI72" s="7"/>
      <c r="CJ72" s="1" t="str">
        <f t="shared" ca="1" si="0"/>
        <v/>
      </c>
      <c r="CK72" s="7"/>
    </row>
    <row r="73" spans="1:89" s="1" customFormat="1" x14ac:dyDescent="0.25">
      <c r="A73" s="3">
        <f>IF(B73="","",COUNTIF($H$3:H73,H73))</f>
        <v>14</v>
      </c>
      <c r="B73" s="4" t="str">
        <f>IF([1]ROSTERS!B73="","",[1]ROSTERS!B73)</f>
        <v>Teodosic Milos</v>
      </c>
      <c r="C73" s="4" t="str">
        <f>IF([1]ROSTERS!C73="","",[1]ROSTERS!C73)</f>
        <v>Milos Teodosic</v>
      </c>
      <c r="D73" s="3" t="str">
        <f>IF([1]ROSTERS!D73="","",[1]ROSTERS!D73)</f>
        <v>PG</v>
      </c>
      <c r="E73" s="3" t="str">
        <f>IF([1]ROSTERS!E73="","",[1]ROSTERS!E73)</f>
        <v>SRB</v>
      </c>
      <c r="F73" s="3">
        <f>IF([1]ROSTERS!F73="","",[1]ROSTERS!F73)</f>
        <v>195</v>
      </c>
      <c r="G73" s="3">
        <f>IF([1]ROSTERS!G73="","",[1]ROSTERS!G73)</f>
        <v>37</v>
      </c>
      <c r="H73" s="3" t="str">
        <f>IF([1]ROSTERS!H73="","",[1]ROSTERS!H73)</f>
        <v>Crvena Zvezda Meridianbet Belgrade</v>
      </c>
      <c r="I73" s="3" t="str">
        <f>IF([1]ROSTERS!I73="","",[1]ROSTERS!I73)</f>
        <v>CZB</v>
      </c>
      <c r="J73" s="3" t="str">
        <f>IF([1]ROSTERS!J73="","",[1]ROSTERS!J73)</f>
        <v>CZB.TeodosicMilos</v>
      </c>
      <c r="K73" s="4" t="str">
        <f>IF([1]ROSTERS!K73="","",[1]ROSTERS!K73)</f>
        <v>CZB.Milos Teodosic</v>
      </c>
      <c r="L73" s="4" t="str">
        <f>IF([1]ROSTERS!L73="","",[1]ROSTERS!L73)</f>
        <v>Teodosic M.</v>
      </c>
      <c r="M73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 t="str">
        <f ca="1">IF(AU48="","",IF(AU48&gt;TODAY(),"-",SUM(INDIRECT(SUBSTITUTE(ADDRESS(ROW(#REF!),COLUMN(#REF!),4),ROW(#REF!),"")&amp;ROW($B73)&amp;":"&amp;VLOOKUP($B73,$B$86:$C$110,2,FALSE)&amp;ROW($B73)))/$B73))</f>
        <v/>
      </c>
      <c r="CI73" s="7"/>
      <c r="CJ73" s="1" t="str">
        <f t="shared" ca="1" si="0"/>
        <v/>
      </c>
      <c r="CK73" s="7"/>
    </row>
    <row r="74" spans="1:89" s="1" customFormat="1" x14ac:dyDescent="0.25">
      <c r="A74" s="3">
        <f>IF(B74="","",COUNTIF($H$3:H74,H74))</f>
        <v>15</v>
      </c>
      <c r="B74" s="4" t="str">
        <f>IF([1]ROSTERS!B74="","",[1]ROSTERS!B74)</f>
        <v>Tobey Mike</v>
      </c>
      <c r="C74" s="4" t="str">
        <f>IF([1]ROSTERS!C74="","",[1]ROSTERS!C74)</f>
        <v>Mike Tobey</v>
      </c>
      <c r="D74" s="3" t="str">
        <f>IF([1]ROSTERS!D74="","",[1]ROSTERS!D74)</f>
        <v>C</v>
      </c>
      <c r="E74" s="3" t="str">
        <f>IF([1]ROSTERS!E74="","",[1]ROSTERS!E74)</f>
        <v>USA</v>
      </c>
      <c r="F74" s="3">
        <f>IF([1]ROSTERS!F74="","",[1]ROSTERS!F74)</f>
        <v>213</v>
      </c>
      <c r="G74" s="3">
        <f>IF([1]ROSTERS!G74="","",[1]ROSTERS!G74)</f>
        <v>30</v>
      </c>
      <c r="H74" s="3" t="str">
        <f>IF([1]ROSTERS!H74="","",[1]ROSTERS!H74)</f>
        <v>Crvena Zvezda Meridianbet Belgrade</v>
      </c>
      <c r="I74" s="3" t="str">
        <f>IF([1]ROSTERS!I74="","",[1]ROSTERS!I74)</f>
        <v>CZB</v>
      </c>
      <c r="J74" s="3" t="str">
        <f>IF([1]ROSTERS!J74="","",[1]ROSTERS!J74)</f>
        <v>CZB.TobeyMike</v>
      </c>
      <c r="K74" s="4" t="str">
        <f>IF([1]ROSTERS!K74="","",[1]ROSTERS!K74)</f>
        <v>CZB.Mike Tobey</v>
      </c>
      <c r="L74" s="4" t="str">
        <f>IF([1]ROSTERS!L74="","",[1]ROSTERS!L74)</f>
        <v>Tobey M.</v>
      </c>
      <c r="M74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 t="str">
        <f ca="1">IF(AU49="","",IF(AU49&gt;TODAY(),"-",SUM(INDIRECT(SUBSTITUTE(ADDRESS(ROW(#REF!),COLUMN(#REF!),4),ROW(#REF!),"")&amp;ROW($B74)&amp;":"&amp;VLOOKUP($B74,$B$86:$C$110,2,FALSE)&amp;ROW($B74)))/$B74))</f>
        <v/>
      </c>
      <c r="CI74" s="7"/>
      <c r="CJ74" s="1" t="str">
        <f t="shared" ca="1" si="0"/>
        <v/>
      </c>
      <c r="CK74" s="7"/>
    </row>
    <row r="75" spans="1:89" s="1" customFormat="1" x14ac:dyDescent="0.25">
      <c r="A75" s="3">
        <f>IF(B75="","",COUNTIF($H$3:H75,H75))</f>
        <v>1</v>
      </c>
      <c r="B75" s="4" t="str">
        <f>IF([1]ROSTERS!B75="","",[1]ROSTERS!B75)</f>
        <v>Bortolani Giordano</v>
      </c>
      <c r="C75" s="4" t="str">
        <f>IF([1]ROSTERS!C75="","",[1]ROSTERS!C75)</f>
        <v>Giordano Bortolani</v>
      </c>
      <c r="D75" s="3" t="str">
        <f>IF([1]ROSTERS!D75="","",[1]ROSTERS!D75)</f>
        <v>SG</v>
      </c>
      <c r="E75" s="3" t="str">
        <f>IF([1]ROSTERS!E75="","",[1]ROSTERS!E75)</f>
        <v>ITA</v>
      </c>
      <c r="F75" s="3">
        <f>IF([1]ROSTERS!F75="","",[1]ROSTERS!F75)</f>
        <v>193</v>
      </c>
      <c r="G75" s="3">
        <f>IF([1]ROSTERS!G75="","",[1]ROSTERS!G75)</f>
        <v>24</v>
      </c>
      <c r="H75" s="3" t="str">
        <f>IF([1]ROSTERS!H75="","",[1]ROSTERS!H75)</f>
        <v>EA7 Emporio Armani Milan</v>
      </c>
      <c r="I75" s="3" t="str">
        <f>IF([1]ROSTERS!I75="","",[1]ROSTERS!I75)</f>
        <v>MIL</v>
      </c>
      <c r="J75" s="3" t="str">
        <f>IF([1]ROSTERS!J75="","",[1]ROSTERS!J75)</f>
        <v>MIL.BortolaniGiordano</v>
      </c>
      <c r="K75" s="4" t="str">
        <f>IF([1]ROSTERS!K75="","",[1]ROSTERS!K75)</f>
        <v>MIL.Giordano Bortolani</v>
      </c>
      <c r="L75" s="4" t="str">
        <f>IF([1]ROSTERS!L75="","",[1]ROSTERS!L75)</f>
        <v>Bortolani G.</v>
      </c>
      <c r="M75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 t="str">
        <f ca="1">IF(AU50="","",IF(AU50&gt;TODAY(),"-",SUM(INDIRECT(SUBSTITUTE(ADDRESS(ROW(#REF!),COLUMN(#REF!),4),ROW(#REF!),"")&amp;ROW($B75)&amp;":"&amp;VLOOKUP($B75,$B$86:$C$110,2,FALSE)&amp;ROW($B75)))/$B75))</f>
        <v/>
      </c>
      <c r="CI75" s="7"/>
      <c r="CJ75" s="1" t="str">
        <f t="shared" ca="1" si="0"/>
        <v/>
      </c>
      <c r="CK75" s="7"/>
    </row>
    <row r="76" spans="1:89" s="1" customFormat="1" x14ac:dyDescent="0.25">
      <c r="A76" s="3">
        <f>IF(B76="","",COUNTIF($H$3:H76,H76))</f>
        <v>2</v>
      </c>
      <c r="B76" s="4" t="str">
        <f>IF([1]ROSTERS!B76="","",[1]ROSTERS!B76)</f>
        <v>Flaccadori Diego</v>
      </c>
      <c r="C76" s="4" t="str">
        <f>IF([1]ROSTERS!C76="","",[1]ROSTERS!C76)</f>
        <v>Diego Flaccadori</v>
      </c>
      <c r="D76" s="3" t="str">
        <f>IF([1]ROSTERS!D76="","",[1]ROSTERS!D76)</f>
        <v>PG/SG</v>
      </c>
      <c r="E76" s="3" t="str">
        <f>IF([1]ROSTERS!E76="","",[1]ROSTERS!E76)</f>
        <v>ITA</v>
      </c>
      <c r="F76" s="3">
        <f>IF([1]ROSTERS!F76="","",[1]ROSTERS!F76)</f>
        <v>193</v>
      </c>
      <c r="G76" s="3">
        <f>IF([1]ROSTERS!G76="","",[1]ROSTERS!G76)</f>
        <v>28</v>
      </c>
      <c r="H76" s="3" t="str">
        <f>IF([1]ROSTERS!H76="","",[1]ROSTERS!H76)</f>
        <v>EA7 Emporio Armani Milan</v>
      </c>
      <c r="I76" s="3" t="str">
        <f>IF([1]ROSTERS!I76="","",[1]ROSTERS!I76)</f>
        <v>MIL</v>
      </c>
      <c r="J76" s="3" t="str">
        <f>IF([1]ROSTERS!J76="","",[1]ROSTERS!J76)</f>
        <v>MIL.FlaccadoriDiego</v>
      </c>
      <c r="K76" s="4" t="str">
        <f>IF([1]ROSTERS!K76="","",[1]ROSTERS!K76)</f>
        <v>MIL.Diego Flaccadori</v>
      </c>
      <c r="L76" s="4" t="str">
        <f>IF([1]ROSTERS!L76="","",[1]ROSTERS!L76)</f>
        <v>Flaccadori D.</v>
      </c>
      <c r="M76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 t="str">
        <f ca="1">IF(AU51="","",IF(AU51&gt;TODAY(),"-",SUM(INDIRECT(SUBSTITUTE(ADDRESS(ROW(#REF!),COLUMN(#REF!),4),ROW(#REF!),"")&amp;ROW($B76)&amp;":"&amp;VLOOKUP($B76,$B$86:$C$110,2,FALSE)&amp;ROW($B76)))/$B76))</f>
        <v/>
      </c>
      <c r="CI76" s="7"/>
      <c r="CJ76" s="1" t="str">
        <f t="shared" ca="1" si="0"/>
        <v/>
      </c>
      <c r="CK76" s="7"/>
    </row>
    <row r="77" spans="1:89" s="1" customFormat="1" x14ac:dyDescent="0.25">
      <c r="A77" s="3">
        <f>IF(B77="","",COUNTIF($H$3:H77,H77))</f>
        <v>3</v>
      </c>
      <c r="B77" s="4" t="str">
        <f>IF([1]ROSTERS!B77="","",[1]ROSTERS!B77)</f>
        <v>Hall Devon</v>
      </c>
      <c r="C77" s="4" t="str">
        <f>IF([1]ROSTERS!C77="","",[1]ROSTERS!C77)</f>
        <v>Devon Hall</v>
      </c>
      <c r="D77" s="3" t="str">
        <f>IF([1]ROSTERS!D77="","",[1]ROSTERS!D77)</f>
        <v>SG</v>
      </c>
      <c r="E77" s="3" t="str">
        <f>IF([1]ROSTERS!E77="","",[1]ROSTERS!E77)</f>
        <v>USA</v>
      </c>
      <c r="F77" s="3">
        <f>IF([1]ROSTERS!F77="","",[1]ROSTERS!F77)</f>
        <v>195</v>
      </c>
      <c r="G77" s="3">
        <f>IF([1]ROSTERS!G77="","",[1]ROSTERS!G77)</f>
        <v>29</v>
      </c>
      <c r="H77" s="3" t="str">
        <f>IF([1]ROSTERS!H77="","",[1]ROSTERS!H77)</f>
        <v>EA7 Emporio Armani Milan</v>
      </c>
      <c r="I77" s="3" t="str">
        <f>IF([1]ROSTERS!I77="","",[1]ROSTERS!I77)</f>
        <v>MIL</v>
      </c>
      <c r="J77" s="3" t="str">
        <f>IF([1]ROSTERS!J77="","",[1]ROSTERS!J77)</f>
        <v>MIL.HallDevon</v>
      </c>
      <c r="K77" s="4" t="str">
        <f>IF([1]ROSTERS!K77="","",[1]ROSTERS!K77)</f>
        <v>MIL.Devon Hall</v>
      </c>
      <c r="L77" s="4" t="str">
        <f>IF([1]ROSTERS!L77="","",[1]ROSTERS!L77)</f>
        <v>Hall D.</v>
      </c>
      <c r="M7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 t="str">
        <f ca="1">IF(AU52="","",IF(AU52&gt;TODAY(),"-",SUM(INDIRECT(SUBSTITUTE(ADDRESS(ROW(#REF!),COLUMN(#REF!),4),ROW(#REF!),"")&amp;ROW($B77)&amp;":"&amp;VLOOKUP($B77,$B$86:$C$110,2,FALSE)&amp;ROW($B77)))/$B77))</f>
        <v/>
      </c>
      <c r="CI77" s="7"/>
      <c r="CJ77" s="1" t="str">
        <f t="shared" ca="1" si="0"/>
        <v/>
      </c>
      <c r="CK77" s="7"/>
    </row>
    <row r="78" spans="1:89" s="1" customFormat="1" x14ac:dyDescent="0.25">
      <c r="A78" s="3">
        <f>IF(B78="","",COUNTIF($H$3:H78,H78))</f>
        <v>4</v>
      </c>
      <c r="B78" s="4" t="str">
        <f>IF([1]ROSTERS!B78="","",[1]ROSTERS!B78)</f>
        <v>Hines Kyle</v>
      </c>
      <c r="C78" s="4" t="str">
        <f>IF([1]ROSTERS!C78="","",[1]ROSTERS!C78)</f>
        <v>Kyle Hines</v>
      </c>
      <c r="D78" s="3" t="str">
        <f>IF([1]ROSTERS!D78="","",[1]ROSTERS!D78)</f>
        <v>C</v>
      </c>
      <c r="E78" s="3" t="str">
        <f>IF([1]ROSTERS!E78="","",[1]ROSTERS!E78)</f>
        <v>USA</v>
      </c>
      <c r="F78" s="3">
        <f>IF([1]ROSTERS!F78="","",[1]ROSTERS!F78)</f>
        <v>198</v>
      </c>
      <c r="G78" s="3">
        <f>IF([1]ROSTERS!G78="","",[1]ROSTERS!G78)</f>
        <v>38</v>
      </c>
      <c r="H78" s="3" t="str">
        <f>IF([1]ROSTERS!H78="","",[1]ROSTERS!H78)</f>
        <v>EA7 Emporio Armani Milan</v>
      </c>
      <c r="I78" s="3" t="str">
        <f>IF([1]ROSTERS!I78="","",[1]ROSTERS!I78)</f>
        <v>MIL</v>
      </c>
      <c r="J78" s="3" t="str">
        <f>IF([1]ROSTERS!J78="","",[1]ROSTERS!J78)</f>
        <v>MIL.HinesKyle</v>
      </c>
      <c r="K78" s="4" t="str">
        <f>IF([1]ROSTERS!K78="","",[1]ROSTERS!K78)</f>
        <v>MIL.Kyle Hines</v>
      </c>
      <c r="L78" s="4" t="str">
        <f>IF([1]ROSTERS!L78="","",[1]ROSTERS!L78)</f>
        <v>Hines K.</v>
      </c>
      <c r="M78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 t="str">
        <f ca="1">IF(AU53="","",IF(AU53&gt;TODAY(),"-",SUM(INDIRECT(SUBSTITUTE(ADDRESS(ROW(#REF!),COLUMN(#REF!),4),ROW(#REF!),"")&amp;ROW($B78)&amp;":"&amp;VLOOKUP($B78,$B$86:$C$110,2,FALSE)&amp;ROW($B78)))/$B78))</f>
        <v/>
      </c>
      <c r="CI78" s="7"/>
      <c r="CJ78" s="1" t="str">
        <f t="shared" ca="1" si="0"/>
        <v/>
      </c>
      <c r="CK78" s="7"/>
    </row>
    <row r="79" spans="1:89" s="1" customFormat="1" x14ac:dyDescent="0.25">
      <c r="A79" s="3">
        <f>IF(B79="","",COUNTIF($H$3:H79,H79))</f>
        <v>5</v>
      </c>
      <c r="B79" s="4" t="str">
        <f>IF([1]ROSTERS!B79="","",[1]ROSTERS!B79)</f>
        <v>Kamagate Ismael</v>
      </c>
      <c r="C79" s="4" t="str">
        <f>IF([1]ROSTERS!C79="","",[1]ROSTERS!C79)</f>
        <v>Ismael Kamagate</v>
      </c>
      <c r="D79" s="3" t="str">
        <f>IF([1]ROSTERS!D79="","",[1]ROSTERS!D79)</f>
        <v>C</v>
      </c>
      <c r="E79" s="3" t="str">
        <f>IF([1]ROSTERS!E79="","",[1]ROSTERS!E79)</f>
        <v>FRA</v>
      </c>
      <c r="F79" s="3">
        <f>IF([1]ROSTERS!F79="","",[1]ROSTERS!F79)</f>
        <v>211</v>
      </c>
      <c r="G79" s="3">
        <f>IF([1]ROSTERS!G79="","",[1]ROSTERS!G79)</f>
        <v>23</v>
      </c>
      <c r="H79" s="3" t="str">
        <f>IF([1]ROSTERS!H79="","",[1]ROSTERS!H79)</f>
        <v>EA7 Emporio Armani Milan</v>
      </c>
      <c r="I79" s="3" t="str">
        <f>IF([1]ROSTERS!I79="","",[1]ROSTERS!I79)</f>
        <v>MIL</v>
      </c>
      <c r="J79" s="3" t="str">
        <f>IF([1]ROSTERS!J79="","",[1]ROSTERS!J79)</f>
        <v>MIL.KamagateIsmael</v>
      </c>
      <c r="K79" s="4" t="str">
        <f>IF([1]ROSTERS!K79="","",[1]ROSTERS!K79)</f>
        <v>MIL.Ismael Kamagate</v>
      </c>
      <c r="L79" s="4" t="str">
        <f>IF([1]ROSTERS!L79="","",[1]ROSTERS!L79)</f>
        <v>Kamagate I.</v>
      </c>
      <c r="M79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 t="e">
        <f ca="1">IF(#REF!="","",IF(#REF!&gt;TODAY(),"-",SUM(INDIRECT(SUBSTITUTE(ADDRESS(ROW(#REF!),COLUMN(#REF!),4),ROW(#REF!),"")&amp;ROW($B79)&amp;":"&amp;VLOOKUP($B79,$B$86:$C$110,2,FALSE)&amp;ROW($B79)))/$B79))</f>
        <v>#REF!</v>
      </c>
      <c r="CI79" s="7"/>
      <c r="CJ79" s="1" t="e">
        <f ca="1">IF(#REF!="","",IF(#REF!&gt;TODAY(),"-",(2*AR79+CH79)/3))</f>
        <v>#REF!</v>
      </c>
      <c r="CK79" s="7"/>
    </row>
    <row r="80" spans="1:89" s="1" customFormat="1" x14ac:dyDescent="0.25">
      <c r="A80" s="3">
        <f>IF(B80="","",COUNTIF($H$3:H80,H80))</f>
        <v>6</v>
      </c>
      <c r="B80" s="4" t="str">
        <f>IF([1]ROSTERS!B80="","",[1]ROSTERS!B80)</f>
        <v>Lo Maodo</v>
      </c>
      <c r="C80" s="4" t="str">
        <f>IF([1]ROSTERS!C80="","",[1]ROSTERS!C80)</f>
        <v>Maodo Lo</v>
      </c>
      <c r="D80" s="3" t="str">
        <f>IF([1]ROSTERS!D80="","",[1]ROSTERS!D80)</f>
        <v>PG</v>
      </c>
      <c r="E80" s="3" t="str">
        <f>IF([1]ROSTERS!E80="","",[1]ROSTERS!E80)</f>
        <v>GER</v>
      </c>
      <c r="F80" s="3">
        <f>IF([1]ROSTERS!F80="","",[1]ROSTERS!F80)</f>
        <v>191</v>
      </c>
      <c r="G80" s="3">
        <f>IF([1]ROSTERS!G80="","",[1]ROSTERS!G80)</f>
        <v>32</v>
      </c>
      <c r="H80" s="3" t="str">
        <f>IF([1]ROSTERS!H80="","",[1]ROSTERS!H80)</f>
        <v>EA7 Emporio Armani Milan</v>
      </c>
      <c r="I80" s="3" t="str">
        <f>IF([1]ROSTERS!I80="","",[1]ROSTERS!I80)</f>
        <v>MIL</v>
      </c>
      <c r="J80" s="3" t="str">
        <f>IF([1]ROSTERS!J80="","",[1]ROSTERS!J80)</f>
        <v>MIL.LoMaodo</v>
      </c>
      <c r="K80" s="4" t="str">
        <f>IF([1]ROSTERS!K80="","",[1]ROSTERS!K80)</f>
        <v>MIL.Maodo Lo</v>
      </c>
      <c r="L80" s="4" t="str">
        <f>IF([1]ROSTERS!L80="","",[1]ROSTERS!L80)</f>
        <v>Lo M.</v>
      </c>
      <c r="M80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 t="e">
        <f ca="1">IF(#REF!="","",IF(#REF!&gt;TODAY(),"-",SUM(INDIRECT(SUBSTITUTE(ADDRESS(ROW(#REF!),COLUMN(#REF!),4),ROW(#REF!),"")&amp;ROW($B80)&amp;":"&amp;VLOOKUP($B80,$B$86:$C$110,2,FALSE)&amp;ROW($B80)))/$B80))</f>
        <v>#REF!</v>
      </c>
      <c r="CI80" s="7"/>
      <c r="CJ80" s="1" t="e">
        <f ca="1">IF(#REF!="","",IF(#REF!&gt;TODAY(),"-",(2*AR80+CH80)/3))</f>
        <v>#REF!</v>
      </c>
      <c r="CK80" s="7"/>
    </row>
    <row r="81" spans="1:89" s="1" customFormat="1" x14ac:dyDescent="0.25">
      <c r="A81" s="3">
        <f>IF(B81="","",COUNTIF($H$3:H81,H81))</f>
        <v>7</v>
      </c>
      <c r="B81" s="4" t="str">
        <f>IF([1]ROSTERS!B81="","",[1]ROSTERS!B81)</f>
        <v>Melli Nicolo</v>
      </c>
      <c r="C81" s="4" t="str">
        <f>IF([1]ROSTERS!C81="","",[1]ROSTERS!C81)</f>
        <v>Nicolo Melli</v>
      </c>
      <c r="D81" s="3" t="str">
        <f>IF([1]ROSTERS!D81="","",[1]ROSTERS!D81)</f>
        <v>PF/C</v>
      </c>
      <c r="E81" s="3" t="str">
        <f>IF([1]ROSTERS!E81="","",[1]ROSTERS!E81)</f>
        <v>ITA</v>
      </c>
      <c r="F81" s="3">
        <f>IF([1]ROSTERS!F81="","",[1]ROSTERS!F81)</f>
        <v>204.99999999999997</v>
      </c>
      <c r="G81" s="3">
        <f>IF([1]ROSTERS!G81="","",[1]ROSTERS!G81)</f>
        <v>33</v>
      </c>
      <c r="H81" s="3" t="str">
        <f>IF([1]ROSTERS!H81="","",[1]ROSTERS!H81)</f>
        <v>EA7 Emporio Armani Milan</v>
      </c>
      <c r="I81" s="3" t="str">
        <f>IF([1]ROSTERS!I81="","",[1]ROSTERS!I81)</f>
        <v>MIL</v>
      </c>
      <c r="J81" s="3" t="str">
        <f>IF([1]ROSTERS!J81="","",[1]ROSTERS!J81)</f>
        <v>MIL.MelliNicolo</v>
      </c>
      <c r="K81" s="4" t="str">
        <f>IF([1]ROSTERS!K81="","",[1]ROSTERS!K81)</f>
        <v>MIL.Nicolo Melli</v>
      </c>
      <c r="L81" s="4" t="str">
        <f>IF([1]ROSTERS!L81="","",[1]ROSTERS!L81)</f>
        <v>Melli N.</v>
      </c>
      <c r="M81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 t="e">
        <f ca="1">IF(#REF!="","",IF(#REF!&gt;TODAY(),"-",SUM(INDIRECT(SUBSTITUTE(ADDRESS(ROW(#REF!),COLUMN(#REF!),4),ROW(#REF!),"")&amp;ROW($B81)&amp;":"&amp;VLOOKUP($B81,$B$86:$C$110,2,FALSE)&amp;ROW($B81)))/$B81))</f>
        <v>#REF!</v>
      </c>
      <c r="CI81" s="7"/>
      <c r="CJ81" s="1" t="e">
        <f ca="1">IF(#REF!="","",IF(#REF!&gt;TODAY(),"-",(2*AR81+CH81)/3))</f>
        <v>#REF!</v>
      </c>
      <c r="CK81" s="7"/>
    </row>
    <row r="82" spans="1:89" s="1" customFormat="1" x14ac:dyDescent="0.25">
      <c r="A82" s="3">
        <f>IF(B82="","",COUNTIF($H$3:H82,H82))</f>
        <v>8</v>
      </c>
      <c r="B82" s="4" t="str">
        <f>IF([1]ROSTERS!B82="","",[1]ROSTERS!B82)</f>
        <v>Mirotic Nikola</v>
      </c>
      <c r="C82" s="4" t="str">
        <f>IF([1]ROSTERS!C82="","",[1]ROSTERS!C82)</f>
        <v>Nikola Mirotic</v>
      </c>
      <c r="D82" s="3" t="str">
        <f>IF([1]ROSTERS!D82="","",[1]ROSTERS!D82)</f>
        <v>F/PF</v>
      </c>
      <c r="E82" s="3" t="str">
        <f>IF([1]ROSTERS!E82="","",[1]ROSTERS!E82)</f>
        <v>ESP</v>
      </c>
      <c r="F82" s="3">
        <f>IF([1]ROSTERS!F82="","",[1]ROSTERS!F82)</f>
        <v>208</v>
      </c>
      <c r="G82" s="3">
        <f>IF([1]ROSTERS!G82="","",[1]ROSTERS!G82)</f>
        <v>33</v>
      </c>
      <c r="H82" s="3" t="str">
        <f>IF([1]ROSTERS!H82="","",[1]ROSTERS!H82)</f>
        <v>EA7 Emporio Armani Milan</v>
      </c>
      <c r="I82" s="3" t="str">
        <f>IF([1]ROSTERS!I82="","",[1]ROSTERS!I82)</f>
        <v>MIL</v>
      </c>
      <c r="J82" s="3" t="str">
        <f>IF([1]ROSTERS!J82="","",[1]ROSTERS!J82)</f>
        <v>MIL.MiroticNikola</v>
      </c>
      <c r="K82" s="4" t="str">
        <f>IF([1]ROSTERS!K82="","",[1]ROSTERS!K82)</f>
        <v>MIL.Nikola Mirotic</v>
      </c>
      <c r="L82" s="4" t="str">
        <f>IF([1]ROSTERS!L82="","",[1]ROSTERS!L82)</f>
        <v>Mirotic N.</v>
      </c>
      <c r="M82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 t="e">
        <f ca="1">IF(#REF!="","",IF(#REF!&gt;TODAY(),"-",SUM(INDIRECT(SUBSTITUTE(ADDRESS(ROW(#REF!),COLUMN(#REF!),4),ROW(#REF!),"")&amp;ROW($B82)&amp;":"&amp;VLOOKUP($B82,$B$86:$C$110,2,FALSE)&amp;ROW($B82)))/$B82))</f>
        <v>#REF!</v>
      </c>
      <c r="CI82" s="7"/>
      <c r="CJ82" s="1" t="e">
        <f ca="1">IF(#REF!="","",IF(#REF!&gt;TODAY(),"-",(2*AR82+CH82)/3))</f>
        <v>#REF!</v>
      </c>
      <c r="CK82" s="7"/>
    </row>
    <row r="83" spans="1:89" s="1" customFormat="1" x14ac:dyDescent="0.25">
      <c r="A83" s="3">
        <f>IF(B83="","",COUNTIF($H$3:H83,H83))</f>
        <v>9</v>
      </c>
      <c r="B83" s="4" t="str">
        <f>IF([1]ROSTERS!B83="","",[1]ROSTERS!B83)</f>
        <v>Pangos Kevin</v>
      </c>
      <c r="C83" s="4" t="str">
        <f>IF([1]ROSTERS!C83="","",[1]ROSTERS!C83)</f>
        <v>Kevin Pangos</v>
      </c>
      <c r="D83" s="3" t="str">
        <f>IF([1]ROSTERS!D83="","",[1]ROSTERS!D83)</f>
        <v>PG</v>
      </c>
      <c r="E83" s="3" t="str">
        <f>IF([1]ROSTERS!E83="","",[1]ROSTERS!E83)</f>
        <v>SLO</v>
      </c>
      <c r="F83" s="3">
        <f>IF([1]ROSTERS!F83="","",[1]ROSTERS!F83)</f>
        <v>188</v>
      </c>
      <c r="G83" s="3">
        <f>IF([1]ROSTERS!G83="","",[1]ROSTERS!G83)</f>
        <v>31</v>
      </c>
      <c r="H83" s="3" t="str">
        <f>IF([1]ROSTERS!H83="","",[1]ROSTERS!H83)</f>
        <v>EA7 Emporio Armani Milan</v>
      </c>
      <c r="I83" s="3" t="str">
        <f>IF([1]ROSTERS!I83="","",[1]ROSTERS!I83)</f>
        <v>MIL</v>
      </c>
      <c r="J83" s="3" t="str">
        <f>IF([1]ROSTERS!J83="","",[1]ROSTERS!J83)</f>
        <v>MIL.PangosKevin</v>
      </c>
      <c r="K83" s="4" t="str">
        <f>IF([1]ROSTERS!K83="","",[1]ROSTERS!K83)</f>
        <v>MIL.Kevin Pangos</v>
      </c>
      <c r="L83" s="4" t="str">
        <f>IF([1]ROSTERS!L83="","",[1]ROSTERS!L83)</f>
        <v>Pangos K.</v>
      </c>
      <c r="M83"/>
    </row>
    <row r="84" spans="1:89" s="1" customFormat="1" x14ac:dyDescent="0.25">
      <c r="A84" s="3">
        <f>IF(B84="","",COUNTIF($H$3:H84,H84))</f>
        <v>10</v>
      </c>
      <c r="B84" s="4" t="str">
        <f>IF([1]ROSTERS!B84="","",[1]ROSTERS!B84)</f>
        <v>Poythress Alex</v>
      </c>
      <c r="C84" s="4" t="str">
        <f>IF([1]ROSTERS!C84="","",[1]ROSTERS!C84)</f>
        <v>Alex Poythress</v>
      </c>
      <c r="D84" s="3" t="str">
        <f>IF([1]ROSTERS!D84="","",[1]ROSTERS!D84)</f>
        <v>C</v>
      </c>
      <c r="E84" s="3" t="str">
        <f>IF([1]ROSTERS!E84="","",[1]ROSTERS!E84)</f>
        <v>USA</v>
      </c>
      <c r="F84" s="3">
        <f>IF([1]ROSTERS!F84="","",[1]ROSTERS!F84)</f>
        <v>206</v>
      </c>
      <c r="G84" s="3">
        <f>IF([1]ROSTERS!G84="","",[1]ROSTERS!G84)</f>
        <v>31</v>
      </c>
      <c r="H84" s="3" t="str">
        <f>IF([1]ROSTERS!H84="","",[1]ROSTERS!H84)</f>
        <v>EA7 Emporio Armani Milan</v>
      </c>
      <c r="I84" s="3" t="str">
        <f>IF([1]ROSTERS!I84="","",[1]ROSTERS!I84)</f>
        <v>MIL</v>
      </c>
      <c r="J84" s="3" t="str">
        <f>IF([1]ROSTERS!J84="","",[1]ROSTERS!J84)</f>
        <v>MIL.PoythressAlex</v>
      </c>
      <c r="K84" s="4" t="str">
        <f>IF([1]ROSTERS!K84="","",[1]ROSTERS!K84)</f>
        <v>MIL.Alex Poythress</v>
      </c>
      <c r="L84" s="4" t="str">
        <f>IF([1]ROSTERS!L84="","",[1]ROSTERS!L84)</f>
        <v>Poythress A.</v>
      </c>
      <c r="M84"/>
    </row>
    <row r="85" spans="1:89" s="1" customFormat="1" x14ac:dyDescent="0.25">
      <c r="A85" s="3">
        <f>IF(B85="","",COUNTIF($H$3:H85,H85))</f>
        <v>11</v>
      </c>
      <c r="B85" s="4" t="str">
        <f>IF([1]ROSTERS!B85="","",[1]ROSTERS!B85)</f>
        <v>Ricci Giampaolo</v>
      </c>
      <c r="C85" s="4" t="str">
        <f>IF([1]ROSTERS!C85="","",[1]ROSTERS!C85)</f>
        <v>Giampaolo Ricci</v>
      </c>
      <c r="D85" s="3" t="str">
        <f>IF([1]ROSTERS!D85="","",[1]ROSTERS!D85)</f>
        <v>PF</v>
      </c>
      <c r="E85" s="3" t="str">
        <f>IF([1]ROSTERS!E85="","",[1]ROSTERS!E85)</f>
        <v>ITA</v>
      </c>
      <c r="F85" s="3">
        <f>IF([1]ROSTERS!F85="","",[1]ROSTERS!F85)</f>
        <v>201</v>
      </c>
      <c r="G85" s="3">
        <f>IF([1]ROSTERS!G85="","",[1]ROSTERS!G85)</f>
        <v>33</v>
      </c>
      <c r="H85" s="3" t="str">
        <f>IF([1]ROSTERS!H85="","",[1]ROSTERS!H85)</f>
        <v>EA7 Emporio Armani Milan</v>
      </c>
      <c r="I85" s="3" t="str">
        <f>IF([1]ROSTERS!I85="","",[1]ROSTERS!I85)</f>
        <v>MIL</v>
      </c>
      <c r="J85" s="3" t="str">
        <f>IF([1]ROSTERS!J85="","",[1]ROSTERS!J85)</f>
        <v>MIL.RicciGiampaolo</v>
      </c>
      <c r="K85" s="4" t="str">
        <f>IF([1]ROSTERS!K85="","",[1]ROSTERS!K85)</f>
        <v>MIL.Giampaolo Ricci</v>
      </c>
      <c r="L85" s="4" t="str">
        <f>IF([1]ROSTERS!L85="","",[1]ROSTERS!L85)</f>
        <v>Ricci G.</v>
      </c>
      <c r="M85"/>
    </row>
    <row r="86" spans="1:89" s="1" customFormat="1" x14ac:dyDescent="0.25">
      <c r="A86" s="3">
        <f>IF(B86="","",COUNTIF($H$3:H86,H86))</f>
        <v>12</v>
      </c>
      <c r="B86" s="4" t="str">
        <f>IF([1]ROSTERS!B86="","",[1]ROSTERS!B86)</f>
        <v>Shields Shavon</v>
      </c>
      <c r="C86" s="4" t="str">
        <f>IF([1]ROSTERS!C86="","",[1]ROSTERS!C86)</f>
        <v>Shavon Shields</v>
      </c>
      <c r="D86" s="3" t="str">
        <f>IF([1]ROSTERS!D86="","",[1]ROSTERS!D86)</f>
        <v>SG/F</v>
      </c>
      <c r="E86" s="3" t="str">
        <f>IF([1]ROSTERS!E86="","",[1]ROSTERS!E86)</f>
        <v>DEN</v>
      </c>
      <c r="F86" s="3">
        <f>IF([1]ROSTERS!F86="","",[1]ROSTERS!F86)</f>
        <v>200.99999999999997</v>
      </c>
      <c r="G86" s="3">
        <f>IF([1]ROSTERS!G86="","",[1]ROSTERS!G86)</f>
        <v>30</v>
      </c>
      <c r="H86" s="3" t="str">
        <f>IF([1]ROSTERS!H86="","",[1]ROSTERS!H86)</f>
        <v>EA7 Emporio Armani Milan</v>
      </c>
      <c r="I86" s="3" t="str">
        <f>IF([1]ROSTERS!I86="","",[1]ROSTERS!I86)</f>
        <v>MIL</v>
      </c>
      <c r="J86" s="3" t="str">
        <f>IF([1]ROSTERS!J86="","",[1]ROSTERS!J86)</f>
        <v>MIL.ShieldsShavon</v>
      </c>
      <c r="K86" s="4" t="str">
        <f>IF([1]ROSTERS!K86="","",[1]ROSTERS!K86)</f>
        <v>MIL.Shavon Shields</v>
      </c>
      <c r="L86" s="4" t="str">
        <f>IF([1]ROSTERS!L86="","",[1]ROSTERS!L86)</f>
        <v>Shields S.</v>
      </c>
      <c r="M86"/>
    </row>
    <row r="87" spans="1:89" s="1" customFormat="1" x14ac:dyDescent="0.25">
      <c r="A87" s="3">
        <f>IF(B87="","",COUNTIF($H$3:H87,H87))</f>
        <v>13</v>
      </c>
      <c r="B87" s="4" t="str">
        <f>IF([1]ROSTERS!B87="","",[1]ROSTERS!B87)</f>
        <v>Tonut Stefano</v>
      </c>
      <c r="C87" s="4" t="str">
        <f>IF([1]ROSTERS!C87="","",[1]ROSTERS!C87)</f>
        <v>Stefano Tonut</v>
      </c>
      <c r="D87" s="3" t="str">
        <f>IF([1]ROSTERS!D87="","",[1]ROSTERS!D87)</f>
        <v>SG</v>
      </c>
      <c r="E87" s="3" t="str">
        <f>IF([1]ROSTERS!E87="","",[1]ROSTERS!E87)</f>
        <v>ITA</v>
      </c>
      <c r="F87" s="3">
        <f>IF([1]ROSTERS!F87="","",[1]ROSTERS!F87)</f>
        <v>194</v>
      </c>
      <c r="G87" s="3">
        <f>IF([1]ROSTERS!G87="","",[1]ROSTERS!G87)</f>
        <v>31</v>
      </c>
      <c r="H87" s="3" t="str">
        <f>IF([1]ROSTERS!H87="","",[1]ROSTERS!H87)</f>
        <v>EA7 Emporio Armani Milan</v>
      </c>
      <c r="I87" s="3" t="str">
        <f>IF([1]ROSTERS!I87="","",[1]ROSTERS!I87)</f>
        <v>MIL</v>
      </c>
      <c r="J87" s="3" t="str">
        <f>IF([1]ROSTERS!J87="","",[1]ROSTERS!J87)</f>
        <v>MIL.TonutStefano</v>
      </c>
      <c r="K87" s="4" t="str">
        <f>IF([1]ROSTERS!K87="","",[1]ROSTERS!K87)</f>
        <v>MIL.Stefano Tonut</v>
      </c>
      <c r="L87" s="4" t="str">
        <f>IF([1]ROSTERS!L87="","",[1]ROSTERS!L87)</f>
        <v>Tonut S.</v>
      </c>
      <c r="M87"/>
    </row>
    <row r="88" spans="1:89" s="1" customFormat="1" x14ac:dyDescent="0.25">
      <c r="A88" s="3">
        <f>IF(B88="","",COUNTIF($H$3:H88,H88))</f>
        <v>14</v>
      </c>
      <c r="B88" s="4" t="str">
        <f>IF([1]ROSTERS!B88="","",[1]ROSTERS!B88)</f>
        <v>Voigtmann Johannes</v>
      </c>
      <c r="C88" s="4" t="str">
        <f>IF([1]ROSTERS!C88="","",[1]ROSTERS!C88)</f>
        <v>Johannes Voigtmann</v>
      </c>
      <c r="D88" s="3" t="str">
        <f>IF([1]ROSTERS!D88="","",[1]ROSTERS!D88)</f>
        <v>C</v>
      </c>
      <c r="E88" s="3" t="str">
        <f>IF([1]ROSTERS!E88="","",[1]ROSTERS!E88)</f>
        <v>GER</v>
      </c>
      <c r="F88" s="3">
        <f>IF([1]ROSTERS!F88="","",[1]ROSTERS!F88)</f>
        <v>214</v>
      </c>
      <c r="G88" s="3">
        <f>IF([1]ROSTERS!G88="","",[1]ROSTERS!G88)</f>
        <v>32</v>
      </c>
      <c r="H88" s="3" t="str">
        <f>IF([1]ROSTERS!H88="","",[1]ROSTERS!H88)</f>
        <v>EA7 Emporio Armani Milan</v>
      </c>
      <c r="I88" s="3" t="str">
        <f>IF([1]ROSTERS!I88="","",[1]ROSTERS!I88)</f>
        <v>MIL</v>
      </c>
      <c r="J88" s="3" t="str">
        <f>IF([1]ROSTERS!J88="","",[1]ROSTERS!J88)</f>
        <v>MIL.VoigtmannJohannes</v>
      </c>
      <c r="K88" s="4" t="str">
        <f>IF([1]ROSTERS!K88="","",[1]ROSTERS!K88)</f>
        <v>MIL.Johannes Voigtmann</v>
      </c>
      <c r="L88" s="4" t="str">
        <f>IF([1]ROSTERS!L88="","",[1]ROSTERS!L88)</f>
        <v>Voigtmann J.</v>
      </c>
      <c r="M88"/>
    </row>
    <row r="89" spans="1:89" s="1" customFormat="1" x14ac:dyDescent="0.25">
      <c r="A89" s="3">
        <f>IF(B89="","",COUNTIF($H$3:H89,H89))</f>
        <v>1</v>
      </c>
      <c r="B89" s="4" t="str">
        <f>IF([1]ROSTERS!B89="","",[1]ROSTERS!B89)</f>
        <v>Abrines Alex</v>
      </c>
      <c r="C89" s="4" t="str">
        <f>IF([1]ROSTERS!C89="","",[1]ROSTERS!C89)</f>
        <v>Alex Abrines</v>
      </c>
      <c r="D89" s="3" t="str">
        <f>IF([1]ROSTERS!D89="","",[1]ROSTERS!D89)</f>
        <v>F</v>
      </c>
      <c r="E89" s="3" t="str">
        <f>IF([1]ROSTERS!E89="","",[1]ROSTERS!E89)</f>
        <v>ESP</v>
      </c>
      <c r="F89" s="3">
        <f>IF([1]ROSTERS!F89="","",[1]ROSTERS!F89)</f>
        <v>198</v>
      </c>
      <c r="G89" s="3">
        <f>IF([1]ROSTERS!G89="","",[1]ROSTERS!G89)</f>
        <v>31</v>
      </c>
      <c r="H89" s="3" t="str">
        <f>IF([1]ROSTERS!H89="","",[1]ROSTERS!H89)</f>
        <v>FC Barcelona</v>
      </c>
      <c r="I89" s="3" t="str">
        <f>IF([1]ROSTERS!I89="","",[1]ROSTERS!I89)</f>
        <v>FCB</v>
      </c>
      <c r="J89" s="3" t="str">
        <f>IF([1]ROSTERS!J89="","",[1]ROSTERS!J89)</f>
        <v>FCB.AbrinesAlex</v>
      </c>
      <c r="K89" s="4" t="str">
        <f>IF([1]ROSTERS!K89="","",[1]ROSTERS!K89)</f>
        <v>FCB.Alex Abrines</v>
      </c>
      <c r="L89" s="4" t="str">
        <f>IF([1]ROSTERS!L89="","",[1]ROSTERS!L89)</f>
        <v>Abrines A.</v>
      </c>
      <c r="M89"/>
    </row>
    <row r="90" spans="1:89" s="1" customFormat="1" x14ac:dyDescent="0.25">
      <c r="A90" s="3">
        <f>IF(B90="","",COUNTIF($H$3:H90,H90))</f>
        <v>2</v>
      </c>
      <c r="B90" s="4" t="str">
        <f>IF([1]ROSTERS!B90="","",[1]ROSTERS!B90)</f>
        <v>Brizuela Dario</v>
      </c>
      <c r="C90" s="4" t="str">
        <f>IF([1]ROSTERS!C90="","",[1]ROSTERS!C90)</f>
        <v>Dario Brizuela</v>
      </c>
      <c r="D90" s="3" t="str">
        <f>IF([1]ROSTERS!D90="","",[1]ROSTERS!D90)</f>
        <v>SG</v>
      </c>
      <c r="E90" s="3" t="str">
        <f>IF([1]ROSTERS!E90="","",[1]ROSTERS!E90)</f>
        <v>ESP</v>
      </c>
      <c r="F90" s="3">
        <f>IF([1]ROSTERS!F90="","",[1]ROSTERS!F90)</f>
        <v>187</v>
      </c>
      <c r="G90" s="3">
        <f>IF([1]ROSTERS!G90="","",[1]ROSTERS!G90)</f>
        <v>30</v>
      </c>
      <c r="H90" s="3" t="str">
        <f>IF([1]ROSTERS!H90="","",[1]ROSTERS!H90)</f>
        <v>FC Barcelona</v>
      </c>
      <c r="I90" s="3" t="str">
        <f>IF([1]ROSTERS!I90="","",[1]ROSTERS!I90)</f>
        <v>FCB</v>
      </c>
      <c r="J90" s="3" t="str">
        <f>IF([1]ROSTERS!J90="","",[1]ROSTERS!J90)</f>
        <v>FCB.BrizuelaDario</v>
      </c>
      <c r="K90" s="4" t="str">
        <f>IF([1]ROSTERS!K90="","",[1]ROSTERS!K90)</f>
        <v>FCB.Dario Brizuela</v>
      </c>
      <c r="L90" s="4" t="str">
        <f>IF([1]ROSTERS!L90="","",[1]ROSTERS!L90)</f>
        <v>Brizuela D.</v>
      </c>
      <c r="M90"/>
    </row>
    <row r="91" spans="1:89" s="1" customFormat="1" x14ac:dyDescent="0.25">
      <c r="A91" s="3">
        <f>IF(B91="","",COUNTIF($H$3:H91,H91))</f>
        <v>3</v>
      </c>
      <c r="B91" s="4" t="str">
        <f>IF([1]ROSTERS!B91="","",[1]ROSTERS!B91)</f>
        <v>Da Silva Oscar</v>
      </c>
      <c r="C91" s="4" t="str">
        <f>IF([1]ROSTERS!C91="","",[1]ROSTERS!C91)</f>
        <v>Oscar Da Silva</v>
      </c>
      <c r="D91" s="3" t="str">
        <f>IF([1]ROSTERS!D91="","",[1]ROSTERS!D91)</f>
        <v>PF</v>
      </c>
      <c r="E91" s="3" t="str">
        <f>IF([1]ROSTERS!E91="","",[1]ROSTERS!E91)</f>
        <v>GER</v>
      </c>
      <c r="F91" s="3">
        <f>IF([1]ROSTERS!F91="","",[1]ROSTERS!F91)</f>
        <v>205</v>
      </c>
      <c r="G91" s="3">
        <f>IF([1]ROSTERS!G91="","",[1]ROSTERS!G91)</f>
        <v>26</v>
      </c>
      <c r="H91" s="3" t="str">
        <f>IF([1]ROSTERS!H91="","",[1]ROSTERS!H91)</f>
        <v>FC Barcelona</v>
      </c>
      <c r="I91" s="3" t="str">
        <f>IF([1]ROSTERS!I91="","",[1]ROSTERS!I91)</f>
        <v>FCB</v>
      </c>
      <c r="J91" s="3" t="str">
        <f>IF([1]ROSTERS!J91="","",[1]ROSTERS!J91)</f>
        <v>FCB.DaSilvaOscar</v>
      </c>
      <c r="K91" s="4" t="str">
        <f>IF([1]ROSTERS!K91="","",[1]ROSTERS!K91)</f>
        <v>FCB.Oscar Da Silva</v>
      </c>
      <c r="L91" s="4" t="str">
        <f>IF([1]ROSTERS!L91="","",[1]ROSTERS!L91)</f>
        <v>Da Silva O.</v>
      </c>
      <c r="M91"/>
    </row>
    <row r="92" spans="1:89" s="1" customFormat="1" x14ac:dyDescent="0.25">
      <c r="A92" s="3">
        <f>IF(B92="","",COUNTIF($H$3:H92,H92))</f>
        <v>4</v>
      </c>
      <c r="B92" s="4" t="str">
        <f>IF([1]ROSTERS!B92="","",[1]ROSTERS!B92)</f>
        <v>Hernangomez Willy</v>
      </c>
      <c r="C92" s="4" t="str">
        <f>IF([1]ROSTERS!C92="","",[1]ROSTERS!C92)</f>
        <v>Willy Hernangomez</v>
      </c>
      <c r="D92" s="3" t="str">
        <f>IF([1]ROSTERS!D92="","",[1]ROSTERS!D92)</f>
        <v>C</v>
      </c>
      <c r="E92" s="3" t="str">
        <f>IF([1]ROSTERS!E92="","",[1]ROSTERS!E92)</f>
        <v>ESP</v>
      </c>
      <c r="F92" s="3">
        <f>IF([1]ROSTERS!F92="","",[1]ROSTERS!F92)</f>
        <v>209</v>
      </c>
      <c r="G92" s="3">
        <f>IF([1]ROSTERS!G92="","",[1]ROSTERS!G92)</f>
        <v>30</v>
      </c>
      <c r="H92" s="3" t="str">
        <f>IF([1]ROSTERS!H92="","",[1]ROSTERS!H92)</f>
        <v>FC Barcelona</v>
      </c>
      <c r="I92" s="3" t="str">
        <f>IF([1]ROSTERS!I92="","",[1]ROSTERS!I92)</f>
        <v>FCB</v>
      </c>
      <c r="J92" s="3" t="str">
        <f>IF([1]ROSTERS!J92="","",[1]ROSTERS!J92)</f>
        <v>FCB.HernangomezWilly</v>
      </c>
      <c r="K92" s="4" t="str">
        <f>IF([1]ROSTERS!K92="","",[1]ROSTERS!K92)</f>
        <v>FCB.Willy Hernangomez</v>
      </c>
      <c r="L92" s="4" t="str">
        <f>IF([1]ROSTERS!L92="","",[1]ROSTERS!L92)</f>
        <v>Hernangomez W.</v>
      </c>
      <c r="M92"/>
    </row>
    <row r="93" spans="1:89" s="1" customFormat="1" x14ac:dyDescent="0.25">
      <c r="A93" s="3">
        <f>IF(B93="","",COUNTIF($H$3:H93,H93))</f>
        <v>5</v>
      </c>
      <c r="B93" s="4" t="str">
        <f>IF([1]ROSTERS!B93="","",[1]ROSTERS!B93)</f>
        <v>Jokubaitis Rokas</v>
      </c>
      <c r="C93" s="4" t="str">
        <f>IF([1]ROSTERS!C93="","",[1]ROSTERS!C93)</f>
        <v>Rokas Jokubaitis</v>
      </c>
      <c r="D93" s="3" t="str">
        <f>IF([1]ROSTERS!D93="","",[1]ROSTERS!D93)</f>
        <v>SG</v>
      </c>
      <c r="E93" s="3" t="str">
        <f>IF([1]ROSTERS!E93="","",[1]ROSTERS!E93)</f>
        <v>LTU</v>
      </c>
      <c r="F93" s="3">
        <f>IF([1]ROSTERS!F93="","",[1]ROSTERS!F93)</f>
        <v>192</v>
      </c>
      <c r="G93" s="3">
        <f>IF([1]ROSTERS!G93="","",[1]ROSTERS!G93)</f>
        <v>24</v>
      </c>
      <c r="H93" s="3" t="str">
        <f>IF([1]ROSTERS!H93="","",[1]ROSTERS!H93)</f>
        <v>FC Barcelona</v>
      </c>
      <c r="I93" s="3" t="str">
        <f>IF([1]ROSTERS!I93="","",[1]ROSTERS!I93)</f>
        <v>FCB</v>
      </c>
      <c r="J93" s="3" t="str">
        <f>IF([1]ROSTERS!J93="","",[1]ROSTERS!J93)</f>
        <v>FCB.JokubaitisRokas</v>
      </c>
      <c r="K93" s="4" t="str">
        <f>IF([1]ROSTERS!K93="","",[1]ROSTERS!K93)</f>
        <v>FCB.Rokas Jokubaitis</v>
      </c>
      <c r="L93" s="4" t="str">
        <f>IF([1]ROSTERS!L93="","",[1]ROSTERS!L93)</f>
        <v>Jokubaitis R.</v>
      </c>
      <c r="M93"/>
    </row>
    <row r="94" spans="1:89" s="1" customFormat="1" x14ac:dyDescent="0.25">
      <c r="A94" s="3">
        <f>IF(B94="","",COUNTIF($H$3:H94,H94))</f>
        <v>6</v>
      </c>
      <c r="B94" s="4" t="str">
        <f>IF([1]ROSTERS!B94="","",[1]ROSTERS!B94)</f>
        <v>Kalinic Nikola</v>
      </c>
      <c r="C94" s="4" t="str">
        <f>IF([1]ROSTERS!C94="","",[1]ROSTERS!C94)</f>
        <v>Nikola Kalinic</v>
      </c>
      <c r="D94" s="3" t="str">
        <f>IF([1]ROSTERS!D94="","",[1]ROSTERS!D94)</f>
        <v>F</v>
      </c>
      <c r="E94" s="3" t="str">
        <f>IF([1]ROSTERS!E94="","",[1]ROSTERS!E94)</f>
        <v>SRB</v>
      </c>
      <c r="F94" s="3">
        <f>IF([1]ROSTERS!F94="","",[1]ROSTERS!F94)</f>
        <v>202</v>
      </c>
      <c r="G94" s="3">
        <f>IF([1]ROSTERS!G94="","",[1]ROSTERS!G94)</f>
        <v>33</v>
      </c>
      <c r="H94" s="3" t="str">
        <f>IF([1]ROSTERS!H94="","",[1]ROSTERS!H94)</f>
        <v>FC Barcelona</v>
      </c>
      <c r="I94" s="3" t="str">
        <f>IF([1]ROSTERS!I94="","",[1]ROSTERS!I94)</f>
        <v>FCB</v>
      </c>
      <c r="J94" s="3" t="str">
        <f>IF([1]ROSTERS!J94="","",[1]ROSTERS!J94)</f>
        <v>FCB.KalinicNikola</v>
      </c>
      <c r="K94" s="4" t="str">
        <f>IF([1]ROSTERS!K94="","",[1]ROSTERS!K94)</f>
        <v>FCB.Nikola Kalinic</v>
      </c>
      <c r="L94" s="4" t="str">
        <f>IF([1]ROSTERS!L94="","",[1]ROSTERS!L94)</f>
        <v>Kalinic N.</v>
      </c>
      <c r="M94"/>
    </row>
    <row r="95" spans="1:89" s="1" customFormat="1" x14ac:dyDescent="0.25">
      <c r="A95" s="3">
        <f>IF(B95="","",COUNTIF($H$3:H95,H95))</f>
        <v>7</v>
      </c>
      <c r="B95" s="4" t="str">
        <f>IF([1]ROSTERS!B95="","",[1]ROSTERS!B95)</f>
        <v>Laprovittola Nicolas</v>
      </c>
      <c r="C95" s="4" t="str">
        <f>IF([1]ROSTERS!C95="","",[1]ROSTERS!C95)</f>
        <v>Nicolas Laprovittola</v>
      </c>
      <c r="D95" s="3" t="str">
        <f>IF([1]ROSTERS!D95="","",[1]ROSTERS!D95)</f>
        <v>PG</v>
      </c>
      <c r="E95" s="3" t="str">
        <f>IF([1]ROSTERS!E95="","",[1]ROSTERS!E95)</f>
        <v>ARG</v>
      </c>
      <c r="F95" s="3">
        <f>IF([1]ROSTERS!F95="","",[1]ROSTERS!F95)</f>
        <v>190</v>
      </c>
      <c r="G95" s="3">
        <f>IF([1]ROSTERS!G95="","",[1]ROSTERS!G95)</f>
        <v>34</v>
      </c>
      <c r="H95" s="3" t="str">
        <f>IF([1]ROSTERS!H95="","",[1]ROSTERS!H95)</f>
        <v>FC Barcelona</v>
      </c>
      <c r="I95" s="3" t="str">
        <f>IF([1]ROSTERS!I95="","",[1]ROSTERS!I95)</f>
        <v>FCB</v>
      </c>
      <c r="J95" s="3" t="str">
        <f>IF([1]ROSTERS!J95="","",[1]ROSTERS!J95)</f>
        <v>FCB.LaprovittolaNicolas</v>
      </c>
      <c r="K95" s="4" t="str">
        <f>IF([1]ROSTERS!K95="","",[1]ROSTERS!K95)</f>
        <v>FCB.Nicolas Laprovittola</v>
      </c>
      <c r="L95" s="4" t="str">
        <f>IF([1]ROSTERS!L95="","",[1]ROSTERS!L95)</f>
        <v>Laprovittola N.</v>
      </c>
      <c r="M95"/>
    </row>
    <row r="96" spans="1:89" s="1" customFormat="1" x14ac:dyDescent="0.25">
      <c r="A96" s="3">
        <f>IF(B96="","",COUNTIF($H$3:H96,H96))</f>
        <v>8</v>
      </c>
      <c r="B96" s="4" t="str">
        <f>IF([1]ROSTERS!B96="","",[1]ROSTERS!B96)</f>
        <v>Nnaji James</v>
      </c>
      <c r="C96" s="4" t="str">
        <f>IF([1]ROSTERS!C96="","",[1]ROSTERS!C96)</f>
        <v>James Nnaji</v>
      </c>
      <c r="D96" s="3" t="str">
        <f>IF([1]ROSTERS!D96="","",[1]ROSTERS!D96)</f>
        <v>C</v>
      </c>
      <c r="E96" s="3" t="str">
        <f>IF([1]ROSTERS!E96="","",[1]ROSTERS!E96)</f>
        <v>NIG</v>
      </c>
      <c r="F96" s="3">
        <f>IF([1]ROSTERS!F96="","",[1]ROSTERS!F96)</f>
        <v>208</v>
      </c>
      <c r="G96" s="3">
        <f>IF([1]ROSTERS!G96="","",[1]ROSTERS!G96)</f>
        <v>20</v>
      </c>
      <c r="H96" s="3" t="str">
        <f>IF([1]ROSTERS!H96="","",[1]ROSTERS!H96)</f>
        <v>FC Barcelona</v>
      </c>
      <c r="I96" s="3" t="str">
        <f>IF([1]ROSTERS!I96="","",[1]ROSTERS!I96)</f>
        <v>FCB</v>
      </c>
      <c r="J96" s="3" t="str">
        <f>IF([1]ROSTERS!J96="","",[1]ROSTERS!J96)</f>
        <v>FCB.NnajiJames</v>
      </c>
      <c r="K96" s="4" t="str">
        <f>IF([1]ROSTERS!K96="","",[1]ROSTERS!K96)</f>
        <v>FCB.James Nnaji</v>
      </c>
      <c r="L96" s="4" t="str">
        <f>IF([1]ROSTERS!L96="","",[1]ROSTERS!L96)</f>
        <v>Nnaji J.</v>
      </c>
      <c r="M96"/>
    </row>
    <row r="97" spans="1:13" s="1" customFormat="1" x14ac:dyDescent="0.25">
      <c r="A97" s="3">
        <f>IF(B97="","",COUNTIF($H$3:H97,H97))</f>
        <v>9</v>
      </c>
      <c r="B97" s="4" t="str">
        <f>IF([1]ROSTERS!B97="","",[1]ROSTERS!B97)</f>
        <v>Parker Jabari</v>
      </c>
      <c r="C97" s="4" t="str">
        <f>IF([1]ROSTERS!C97="","",[1]ROSTERS!C97)</f>
        <v>Jabari Parker</v>
      </c>
      <c r="D97" s="3" t="str">
        <f>IF([1]ROSTERS!D97="","",[1]ROSTERS!D97)</f>
        <v>F/PF</v>
      </c>
      <c r="E97" s="3" t="str">
        <f>IF([1]ROSTERS!E97="","",[1]ROSTERS!E97)</f>
        <v>USA</v>
      </c>
      <c r="F97" s="3">
        <f>IF([1]ROSTERS!F97="","",[1]ROSTERS!F97)</f>
        <v>203</v>
      </c>
      <c r="G97" s="3">
        <f>IF([1]ROSTERS!G97="","",[1]ROSTERS!G97)</f>
        <v>29</v>
      </c>
      <c r="H97" s="3" t="str">
        <f>IF([1]ROSTERS!H97="","",[1]ROSTERS!H97)</f>
        <v>FC Barcelona</v>
      </c>
      <c r="I97" s="3" t="str">
        <f>IF([1]ROSTERS!I97="","",[1]ROSTERS!I97)</f>
        <v>FCB</v>
      </c>
      <c r="J97" s="3" t="str">
        <f>IF([1]ROSTERS!J97="","",[1]ROSTERS!J97)</f>
        <v>FCB.ParkerJabari</v>
      </c>
      <c r="K97" s="4" t="str">
        <f>IF([1]ROSTERS!K97="","",[1]ROSTERS!K97)</f>
        <v>FCB.Jabari Parker</v>
      </c>
      <c r="L97" s="4" t="str">
        <f>IF([1]ROSTERS!L97="","",[1]ROSTERS!L97)</f>
        <v>Parker J.</v>
      </c>
      <c r="M97"/>
    </row>
    <row r="98" spans="1:13" s="1" customFormat="1" x14ac:dyDescent="0.25">
      <c r="A98" s="3">
        <f>IF(B98="","",COUNTIF($H$3:H98,H98))</f>
        <v>10</v>
      </c>
      <c r="B98" s="4" t="str">
        <f>IF([1]ROSTERS!B98="","",[1]ROSTERS!B98)</f>
        <v>Parra Joel</v>
      </c>
      <c r="C98" s="4" t="str">
        <f>IF([1]ROSTERS!C98="","",[1]ROSTERS!C98)</f>
        <v>Joel Parra</v>
      </c>
      <c r="D98" s="3" t="str">
        <f>IF([1]ROSTERS!D98="","",[1]ROSTERS!D98)</f>
        <v>F/PF</v>
      </c>
      <c r="E98" s="3" t="str">
        <f>IF([1]ROSTERS!E98="","",[1]ROSTERS!E98)</f>
        <v>ESP</v>
      </c>
      <c r="F98" s="3">
        <f>IF([1]ROSTERS!F98="","",[1]ROSTERS!F98)</f>
        <v>202</v>
      </c>
      <c r="G98" s="3">
        <f>IF([1]ROSTERS!G98="","",[1]ROSTERS!G98)</f>
        <v>24</v>
      </c>
      <c r="H98" s="3" t="str">
        <f>IF([1]ROSTERS!H98="","",[1]ROSTERS!H98)</f>
        <v>FC Barcelona</v>
      </c>
      <c r="I98" s="3" t="str">
        <f>IF([1]ROSTERS!I98="","",[1]ROSTERS!I98)</f>
        <v>FCB</v>
      </c>
      <c r="J98" s="3" t="str">
        <f>IF([1]ROSTERS!J98="","",[1]ROSTERS!J98)</f>
        <v>FCB.ParraJoel</v>
      </c>
      <c r="K98" s="4" t="str">
        <f>IF([1]ROSTERS!K98="","",[1]ROSTERS!K98)</f>
        <v>FCB.Joel Parra</v>
      </c>
      <c r="L98" s="4" t="str">
        <f>IF([1]ROSTERS!L98="","",[1]ROSTERS!L98)</f>
        <v>Parra J.</v>
      </c>
      <c r="M98"/>
    </row>
    <row r="99" spans="1:13" s="1" customFormat="1" x14ac:dyDescent="0.25">
      <c r="A99" s="3">
        <f>IF(B99="","",COUNTIF($H$3:H99,H99))</f>
        <v>11</v>
      </c>
      <c r="B99" s="4" t="str">
        <f>IF([1]ROSTERS!B99="","",[1]ROSTERS!B99)</f>
        <v>Pauli Oriol</v>
      </c>
      <c r="C99" s="4" t="str">
        <f>IF([1]ROSTERS!C99="","",[1]ROSTERS!C99)</f>
        <v>Oriol Pauli</v>
      </c>
      <c r="D99" s="3" t="str">
        <f>IF([1]ROSTERS!D99="","",[1]ROSTERS!D99)</f>
        <v>PF</v>
      </c>
      <c r="E99" s="3" t="str">
        <f>IF([1]ROSTERS!E99="","",[1]ROSTERS!E99)</f>
        <v>ESP</v>
      </c>
      <c r="F99" s="3">
        <f>IF([1]ROSTERS!F99="","",[1]ROSTERS!F99)</f>
        <v>200.99999999999997</v>
      </c>
      <c r="G99" s="3">
        <f>IF([1]ROSTERS!G99="","",[1]ROSTERS!G99)</f>
        <v>30</v>
      </c>
      <c r="H99" s="3" t="str">
        <f>IF([1]ROSTERS!H99="","",[1]ROSTERS!H99)</f>
        <v>FC Barcelona</v>
      </c>
      <c r="I99" s="3" t="str">
        <f>IF([1]ROSTERS!I99="","",[1]ROSTERS!I99)</f>
        <v>FCB</v>
      </c>
      <c r="J99" s="3" t="str">
        <f>IF([1]ROSTERS!J99="","",[1]ROSTERS!J99)</f>
        <v>FCB.PauliOriol</v>
      </c>
      <c r="K99" s="4" t="str">
        <f>IF([1]ROSTERS!K99="","",[1]ROSTERS!K99)</f>
        <v>FCB.Oriol Pauli</v>
      </c>
      <c r="L99" s="4" t="str">
        <f>IF([1]ROSTERS!L99="","",[1]ROSTERS!L99)</f>
        <v>Pauli O.</v>
      </c>
      <c r="M99"/>
    </row>
    <row r="100" spans="1:13" s="1" customFormat="1" x14ac:dyDescent="0.25">
      <c r="A100" s="3">
        <f>IF(B100="","",COUNTIF($H$3:H100,H100))</f>
        <v>12</v>
      </c>
      <c r="B100" s="4" t="str">
        <f>IF([1]ROSTERS!B100="","",[1]ROSTERS!B100)</f>
        <v>Sarr Dame</v>
      </c>
      <c r="C100" s="4" t="str">
        <f>IF([1]ROSTERS!C100="","",[1]ROSTERS!C100)</f>
        <v>Dame Sarr</v>
      </c>
      <c r="D100" s="3" t="str">
        <f>IF([1]ROSTERS!D100="","",[1]ROSTERS!D100)</f>
        <v>PG</v>
      </c>
      <c r="E100" s="3" t="str">
        <f>IF([1]ROSTERS!E100="","",[1]ROSTERS!E100)</f>
        <v>ITA</v>
      </c>
      <c r="F100" s="3">
        <f>IF([1]ROSTERS!F100="","",[1]ROSTERS!F100)</f>
        <v>198</v>
      </c>
      <c r="G100" s="3">
        <f>IF([1]ROSTERS!G100="","",[1]ROSTERS!G100)</f>
        <v>18</v>
      </c>
      <c r="H100" s="3" t="str">
        <f>IF([1]ROSTERS!H100="","",[1]ROSTERS!H100)</f>
        <v>FC Barcelona</v>
      </c>
      <c r="I100" s="3" t="str">
        <f>IF([1]ROSTERS!I100="","",[1]ROSTERS!I100)</f>
        <v>FCB</v>
      </c>
      <c r="J100" s="3" t="str">
        <f>IF([1]ROSTERS!J100="","",[1]ROSTERS!J100)</f>
        <v>FCB.SarrDame</v>
      </c>
      <c r="K100" s="4" t="str">
        <f>IF([1]ROSTERS!K100="","",[1]ROSTERS!K100)</f>
        <v>FCB.Dame Sarr</v>
      </c>
      <c r="L100" s="4" t="str">
        <f>IF([1]ROSTERS!L100="","",[1]ROSTERS!L100)</f>
        <v>Sarr D.</v>
      </c>
      <c r="M100"/>
    </row>
    <row r="101" spans="1:13" s="1" customFormat="1" x14ac:dyDescent="0.25">
      <c r="A101" s="3">
        <f>IF(B101="","",COUNTIF($H$3:H101,H101))</f>
        <v>13</v>
      </c>
      <c r="B101" s="4" t="str">
        <f>IF([1]ROSTERS!B101="","",[1]ROSTERS!B101)</f>
        <v>Satoransky Tomas</v>
      </c>
      <c r="C101" s="4" t="str">
        <f>IF([1]ROSTERS!C101="","",[1]ROSTERS!C101)</f>
        <v>Tomas Satoransky</v>
      </c>
      <c r="D101" s="3" t="str">
        <f>IF([1]ROSTERS!D101="","",[1]ROSTERS!D101)</f>
        <v>F</v>
      </c>
      <c r="E101" s="3" t="str">
        <f>IF([1]ROSTERS!E101="","",[1]ROSTERS!E101)</f>
        <v>CZE</v>
      </c>
      <c r="F101" s="3">
        <f>IF([1]ROSTERS!F101="","",[1]ROSTERS!F101)</f>
        <v>200.99999999999997</v>
      </c>
      <c r="G101" s="3">
        <f>IF([1]ROSTERS!G101="","",[1]ROSTERS!G101)</f>
        <v>33</v>
      </c>
      <c r="H101" s="3" t="str">
        <f>IF([1]ROSTERS!H101="","",[1]ROSTERS!H101)</f>
        <v>FC Barcelona</v>
      </c>
      <c r="I101" s="3" t="str">
        <f>IF([1]ROSTERS!I101="","",[1]ROSTERS!I101)</f>
        <v>FCB</v>
      </c>
      <c r="J101" s="3" t="str">
        <f>IF([1]ROSTERS!J101="","",[1]ROSTERS!J101)</f>
        <v>FCB.SatoranskyTomas</v>
      </c>
      <c r="K101" s="4" t="str">
        <f>IF([1]ROSTERS!K101="","",[1]ROSTERS!K101)</f>
        <v>FCB.Tomas Satoransky</v>
      </c>
      <c r="L101" s="4" t="str">
        <f>IF([1]ROSTERS!L101="","",[1]ROSTERS!L101)</f>
        <v>Satoransky T.</v>
      </c>
      <c r="M101"/>
    </row>
    <row r="102" spans="1:13" s="1" customFormat="1" x14ac:dyDescent="0.25">
      <c r="A102" s="3">
        <f>IF(B102="","",COUNTIF($H$3:H102,H102))</f>
        <v>14</v>
      </c>
      <c r="B102" s="4" t="str">
        <f>IF([1]ROSTERS!B102="","",[1]ROSTERS!B102)</f>
        <v>Vesely Jan</v>
      </c>
      <c r="C102" s="4" t="str">
        <f>IF([1]ROSTERS!C102="","",[1]ROSTERS!C102)</f>
        <v>Jan Vesely</v>
      </c>
      <c r="D102" s="3" t="str">
        <f>IF([1]ROSTERS!D102="","",[1]ROSTERS!D102)</f>
        <v>C</v>
      </c>
      <c r="E102" s="3" t="str">
        <f>IF([1]ROSTERS!E102="","",[1]ROSTERS!E102)</f>
        <v>CZE</v>
      </c>
      <c r="F102" s="3">
        <f>IF([1]ROSTERS!F102="","",[1]ROSTERS!F102)</f>
        <v>213</v>
      </c>
      <c r="G102" s="3">
        <f>IF([1]ROSTERS!G102="","",[1]ROSTERS!G102)</f>
        <v>34</v>
      </c>
      <c r="H102" s="3" t="str">
        <f>IF([1]ROSTERS!H102="","",[1]ROSTERS!H102)</f>
        <v>FC Barcelona</v>
      </c>
      <c r="I102" s="3" t="str">
        <f>IF([1]ROSTERS!I102="","",[1]ROSTERS!I102)</f>
        <v>FCB</v>
      </c>
      <c r="J102" s="3" t="str">
        <f>IF([1]ROSTERS!J102="","",[1]ROSTERS!J102)</f>
        <v>FCB.VeselyJan</v>
      </c>
      <c r="K102" s="4" t="str">
        <f>IF([1]ROSTERS!K102="","",[1]ROSTERS!K102)</f>
        <v>FCB.Jan Vesely</v>
      </c>
      <c r="L102" s="4" t="str">
        <f>IF([1]ROSTERS!L102="","",[1]ROSTERS!L102)</f>
        <v>Vesely J.</v>
      </c>
      <c r="M102"/>
    </row>
    <row r="103" spans="1:13" s="1" customFormat="1" x14ac:dyDescent="0.25">
      <c r="A103" s="3">
        <f>IF(B103="","",COUNTIF($H$3:H103,H103))</f>
        <v>1</v>
      </c>
      <c r="B103" s="4" t="str">
        <f>IF([1]ROSTERS!B103="","",[1]ROSTERS!B103)</f>
        <v>Bolmaro Leandro</v>
      </c>
      <c r="C103" s="4" t="str">
        <f>IF([1]ROSTERS!C103="","",[1]ROSTERS!C103)</f>
        <v>Leandro Bolmaro</v>
      </c>
      <c r="D103" s="3" t="str">
        <f>IF([1]ROSTERS!D103="","",[1]ROSTERS!D103)</f>
        <v>SG</v>
      </c>
      <c r="E103" s="3" t="str">
        <f>IF([1]ROSTERS!E103="","",[1]ROSTERS!E103)</f>
        <v>ITA</v>
      </c>
      <c r="F103" s="3">
        <f>IF([1]ROSTERS!F103="","",[1]ROSTERS!F103)</f>
        <v>198</v>
      </c>
      <c r="G103" s="3">
        <f>IF([1]ROSTERS!G103="","",[1]ROSTERS!G103)</f>
        <v>24</v>
      </c>
      <c r="H103" s="3" t="str">
        <f>IF([1]ROSTERS!H103="","",[1]ROSTERS!H103)</f>
        <v>FC Bayern Munich</v>
      </c>
      <c r="I103" s="3" t="str">
        <f>IF([1]ROSTERS!I103="","",[1]ROSTERS!I103)</f>
        <v>BAY</v>
      </c>
      <c r="J103" s="3" t="str">
        <f>IF([1]ROSTERS!J103="","",[1]ROSTERS!J103)</f>
        <v>BAY.BolmaroLeandro</v>
      </c>
      <c r="K103" s="4" t="str">
        <f>IF([1]ROSTERS!K103="","",[1]ROSTERS!K103)</f>
        <v>BAY.Leandro Bolmaro</v>
      </c>
      <c r="L103" s="4" t="str">
        <f>IF([1]ROSTERS!L103="","",[1]ROSTERS!L103)</f>
        <v>Bolmaro L.</v>
      </c>
      <c r="M103"/>
    </row>
    <row r="104" spans="1:13" s="1" customFormat="1" x14ac:dyDescent="0.25">
      <c r="A104" s="3">
        <f>IF(B104="","",COUNTIF($H$3:H104,H104))</f>
        <v>2</v>
      </c>
      <c r="B104" s="4" t="str">
        <f>IF([1]ROSTERS!B104="","",[1]ROSTERS!B104)</f>
        <v>Bonga Isaac</v>
      </c>
      <c r="C104" s="4" t="str">
        <f>IF([1]ROSTERS!C104="","",[1]ROSTERS!C104)</f>
        <v>Isaac Bonga</v>
      </c>
      <c r="D104" s="3" t="str">
        <f>IF([1]ROSTERS!D104="","",[1]ROSTERS!D104)</f>
        <v>SG/F</v>
      </c>
      <c r="E104" s="3" t="str">
        <f>IF([1]ROSTERS!E104="","",[1]ROSTERS!E104)</f>
        <v>GER</v>
      </c>
      <c r="F104" s="3">
        <f>IF([1]ROSTERS!F104="","",[1]ROSTERS!F104)</f>
        <v>204</v>
      </c>
      <c r="G104" s="3">
        <f>IF([1]ROSTERS!G104="","",[1]ROSTERS!G104)</f>
        <v>25</v>
      </c>
      <c r="H104" s="3" t="str">
        <f>IF([1]ROSTERS!H104="","",[1]ROSTERS!H104)</f>
        <v>FC Bayern Munich</v>
      </c>
      <c r="I104" s="3" t="str">
        <f>IF([1]ROSTERS!I104="","",[1]ROSTERS!I104)</f>
        <v>BAY</v>
      </c>
      <c r="J104" s="3" t="str">
        <f>IF([1]ROSTERS!J104="","",[1]ROSTERS!J104)</f>
        <v>BAY.BongaIsaac</v>
      </c>
      <c r="K104" s="4" t="str">
        <f>IF([1]ROSTERS!K104="","",[1]ROSTERS!K104)</f>
        <v>BAY.Isaac Bonga</v>
      </c>
      <c r="L104" s="4" t="str">
        <f>IF([1]ROSTERS!L104="","",[1]ROSTERS!L104)</f>
        <v>Bonga I.</v>
      </c>
      <c r="M104"/>
    </row>
    <row r="105" spans="1:13" s="1" customFormat="1" x14ac:dyDescent="0.25">
      <c r="A105" s="3">
        <f>IF(B105="","",COUNTIF($H$3:H105,H105))</f>
        <v>3</v>
      </c>
      <c r="B105" s="4" t="str">
        <f>IF([1]ROSTERS!B105="","",[1]ROSTERS!B105)</f>
        <v>Booker Devin</v>
      </c>
      <c r="C105" s="4" t="str">
        <f>IF([1]ROSTERS!C105="","",[1]ROSTERS!C105)</f>
        <v>Devin Booker</v>
      </c>
      <c r="D105" s="3" t="str">
        <f>IF([1]ROSTERS!D105="","",[1]ROSTERS!D105)</f>
        <v>C</v>
      </c>
      <c r="E105" s="3" t="str">
        <f>IF([1]ROSTERS!E105="","",[1]ROSTERS!E105)</f>
        <v>USA</v>
      </c>
      <c r="F105" s="3">
        <f>IF([1]ROSTERS!F105="","",[1]ROSTERS!F105)</f>
        <v>204.99999999999997</v>
      </c>
      <c r="G105" s="3">
        <f>IF([1]ROSTERS!G105="","",[1]ROSTERS!G105)</f>
        <v>33</v>
      </c>
      <c r="H105" s="3" t="str">
        <f>IF([1]ROSTERS!H105="","",[1]ROSTERS!H105)</f>
        <v>FC Bayern Munich</v>
      </c>
      <c r="I105" s="3" t="str">
        <f>IF([1]ROSTERS!I105="","",[1]ROSTERS!I105)</f>
        <v>BAY</v>
      </c>
      <c r="J105" s="3" t="str">
        <f>IF([1]ROSTERS!J105="","",[1]ROSTERS!J105)</f>
        <v>BAY.BookerDevin</v>
      </c>
      <c r="K105" s="4" t="str">
        <f>IF([1]ROSTERS!K105="","",[1]ROSTERS!K105)</f>
        <v>BAY.Devin Booker</v>
      </c>
      <c r="L105" s="4" t="str">
        <f>IF([1]ROSTERS!L105="","",[1]ROSTERS!L105)</f>
        <v>Booker D.</v>
      </c>
      <c r="M105"/>
    </row>
    <row r="106" spans="1:13" s="1" customFormat="1" x14ac:dyDescent="0.25">
      <c r="A106" s="3">
        <f>IF(B106="","",COUNTIF($H$3:H106,H106))</f>
        <v>4</v>
      </c>
      <c r="B106" s="4" t="str">
        <f>IF([1]ROSTERS!B106="","",[1]ROSTERS!B106)</f>
        <v>Brankovic Danko</v>
      </c>
      <c r="C106" s="4" t="str">
        <f>IF([1]ROSTERS!C106="","",[1]ROSTERS!C106)</f>
        <v>Danko Brankovic</v>
      </c>
      <c r="D106" s="3" t="str">
        <f>IF([1]ROSTERS!D106="","",[1]ROSTERS!D106)</f>
        <v>C</v>
      </c>
      <c r="E106" s="3" t="str">
        <f>IF([1]ROSTERS!E106="","",[1]ROSTERS!E106)</f>
        <v>CRO</v>
      </c>
      <c r="F106" s="3">
        <f>IF([1]ROSTERS!F106="","",[1]ROSTERS!F106)</f>
        <v>217</v>
      </c>
      <c r="G106" s="3">
        <f>IF([1]ROSTERS!G106="","",[1]ROSTERS!G106)</f>
        <v>24</v>
      </c>
      <c r="H106" s="3" t="str">
        <f>IF([1]ROSTERS!H106="","",[1]ROSTERS!H106)</f>
        <v>FC Bayern Munich</v>
      </c>
      <c r="I106" s="3" t="str">
        <f>IF([1]ROSTERS!I106="","",[1]ROSTERS!I106)</f>
        <v>BAY</v>
      </c>
      <c r="J106" s="3" t="str">
        <f>IF([1]ROSTERS!J106="","",[1]ROSTERS!J106)</f>
        <v>BAY.BrankovicDanko</v>
      </c>
      <c r="K106" s="4" t="str">
        <f>IF([1]ROSTERS!K106="","",[1]ROSTERS!K106)</f>
        <v>BAY.Danko Brankovic</v>
      </c>
      <c r="L106" s="4" t="str">
        <f>IF([1]ROSTERS!L106="","",[1]ROSTERS!L106)</f>
        <v>Brankovic D.</v>
      </c>
      <c r="M106"/>
    </row>
    <row r="107" spans="1:13" s="1" customFormat="1" x14ac:dyDescent="0.25">
      <c r="A107" s="3">
        <f>IF(B107="","",COUNTIF($H$3:H107,H107))</f>
        <v>5</v>
      </c>
      <c r="B107" s="4" t="str">
        <f>IF([1]ROSTERS!B107="","",[1]ROSTERS!B107)</f>
        <v>Edwards Carsen</v>
      </c>
      <c r="C107" s="4" t="str">
        <f>IF([1]ROSTERS!C107="","",[1]ROSTERS!C107)</f>
        <v>Carsen Edwards</v>
      </c>
      <c r="D107" s="3" t="str">
        <f>IF([1]ROSTERS!D107="","",[1]ROSTERS!D107)</f>
        <v>PG</v>
      </c>
      <c r="E107" s="3" t="str">
        <f>IF([1]ROSTERS!E107="","",[1]ROSTERS!E107)</f>
        <v>USA</v>
      </c>
      <c r="F107" s="3">
        <f>IF([1]ROSTERS!F107="","",[1]ROSTERS!F107)</f>
        <v>180</v>
      </c>
      <c r="G107" s="3">
        <f>IF([1]ROSTERS!G107="","",[1]ROSTERS!G107)</f>
        <v>26</v>
      </c>
      <c r="H107" s="3" t="str">
        <f>IF([1]ROSTERS!H107="","",[1]ROSTERS!H107)</f>
        <v>FC Bayern Munich</v>
      </c>
      <c r="I107" s="3" t="str">
        <f>IF([1]ROSTERS!I107="","",[1]ROSTERS!I107)</f>
        <v>BAY</v>
      </c>
      <c r="J107" s="3" t="str">
        <f>IF([1]ROSTERS!J107="","",[1]ROSTERS!J107)</f>
        <v>BAY.EdwardsCarsen</v>
      </c>
      <c r="K107" s="4" t="str">
        <f>IF([1]ROSTERS!K107="","",[1]ROSTERS!K107)</f>
        <v>BAY.Carsen Edwards</v>
      </c>
      <c r="L107" s="4" t="str">
        <f>IF([1]ROSTERS!L107="","",[1]ROSTERS!L107)</f>
        <v>Edwards C.</v>
      </c>
      <c r="M107"/>
    </row>
    <row r="108" spans="1:13" s="1" customFormat="1" x14ac:dyDescent="0.25">
      <c r="A108" s="3">
        <f>IF(B108="","",COUNTIF($H$3:H108,H108))</f>
        <v>6</v>
      </c>
      <c r="B108" s="4" t="str">
        <f>IF([1]ROSTERS!B108="","",[1]ROSTERS!B108)</f>
        <v>Francisco Sylvain</v>
      </c>
      <c r="C108" s="4" t="str">
        <f>IF([1]ROSTERS!C108="","",[1]ROSTERS!C108)</f>
        <v>Sylvain Francisco</v>
      </c>
      <c r="D108" s="3" t="str">
        <f>IF([1]ROSTERS!D108="","",[1]ROSTERS!D108)</f>
        <v>PG</v>
      </c>
      <c r="E108" s="3" t="str">
        <f>IF([1]ROSTERS!E108="","",[1]ROSTERS!E108)</f>
        <v>ANG</v>
      </c>
      <c r="F108" s="3">
        <f>IF([1]ROSTERS!F108="","",[1]ROSTERS!F108)</f>
        <v>186</v>
      </c>
      <c r="G108" s="3">
        <f>IF([1]ROSTERS!G108="","",[1]ROSTERS!G108)</f>
        <v>27</v>
      </c>
      <c r="H108" s="3" t="str">
        <f>IF([1]ROSTERS!H108="","",[1]ROSTERS!H108)</f>
        <v>FC Bayern Munich</v>
      </c>
      <c r="I108" s="3" t="str">
        <f>IF([1]ROSTERS!I108="","",[1]ROSTERS!I108)</f>
        <v>BAY</v>
      </c>
      <c r="J108" s="3" t="str">
        <f>IF([1]ROSTERS!J108="","",[1]ROSTERS!J108)</f>
        <v>BAY.FranciscoSylvain</v>
      </c>
      <c r="K108" s="4" t="str">
        <f>IF([1]ROSTERS!K108="","",[1]ROSTERS!K108)</f>
        <v>BAY.Sylvain Francisco</v>
      </c>
      <c r="L108" s="4" t="str">
        <f>IF([1]ROSTERS!L108="","",[1]ROSTERS!L108)</f>
        <v>Francisco S.</v>
      </c>
      <c r="M108"/>
    </row>
    <row r="109" spans="1:13" s="1" customFormat="1" x14ac:dyDescent="0.25">
      <c r="A109" s="3">
        <f>IF(B109="","",COUNTIF($H$3:H109,H109))</f>
        <v>7</v>
      </c>
      <c r="B109" s="4" t="str">
        <f>IF([1]ROSTERS!B109="","",[1]ROSTERS!B109)</f>
        <v>Giffey Niels</v>
      </c>
      <c r="C109" s="4" t="str">
        <f>IF([1]ROSTERS!C109="","",[1]ROSTERS!C109)</f>
        <v>Niels Giffey</v>
      </c>
      <c r="D109" s="3" t="str">
        <f>IF([1]ROSTERS!D109="","",[1]ROSTERS!D109)</f>
        <v>F</v>
      </c>
      <c r="E109" s="3" t="str">
        <f>IF([1]ROSTERS!E109="","",[1]ROSTERS!E109)</f>
        <v>GER</v>
      </c>
      <c r="F109" s="3">
        <f>IF([1]ROSTERS!F109="","",[1]ROSTERS!F109)</f>
        <v>200</v>
      </c>
      <c r="G109" s="3">
        <f>IF([1]ROSTERS!G109="","",[1]ROSTERS!G109)</f>
        <v>33</v>
      </c>
      <c r="H109" s="3" t="str">
        <f>IF([1]ROSTERS!H109="","",[1]ROSTERS!H109)</f>
        <v>FC Bayern Munich</v>
      </c>
      <c r="I109" s="3" t="str">
        <f>IF([1]ROSTERS!I109="","",[1]ROSTERS!I109)</f>
        <v>BAY</v>
      </c>
      <c r="J109" s="3" t="str">
        <f>IF([1]ROSTERS!J109="","",[1]ROSTERS!J109)</f>
        <v>BAY.GiffeyNiels</v>
      </c>
      <c r="K109" s="4" t="str">
        <f>IF([1]ROSTERS!K109="","",[1]ROSTERS!K109)</f>
        <v>BAY.Niels Giffey</v>
      </c>
      <c r="L109" s="4" t="str">
        <f>IF([1]ROSTERS!L109="","",[1]ROSTERS!L109)</f>
        <v>Giffey N.</v>
      </c>
      <c r="M109"/>
    </row>
    <row r="110" spans="1:13" s="1" customFormat="1" x14ac:dyDescent="0.25">
      <c r="A110" s="3">
        <f>IF(B110="","",COUNTIF($H$3:H110,H110))</f>
        <v>8</v>
      </c>
      <c r="B110" s="4" t="str">
        <f>IF([1]ROSTERS!B110="","",[1]ROSTERS!B110)</f>
        <v>Gillespie Freddie</v>
      </c>
      <c r="C110" s="4" t="str">
        <f>IF([1]ROSTERS!C110="","",[1]ROSTERS!C110)</f>
        <v>Freddie Gillespie</v>
      </c>
      <c r="D110" s="3" t="str">
        <f>IF([1]ROSTERS!D110="","",[1]ROSTERS!D110)</f>
        <v>C</v>
      </c>
      <c r="E110" s="3" t="str">
        <f>IF([1]ROSTERS!E110="","",[1]ROSTERS!E110)</f>
        <v>USA</v>
      </c>
      <c r="F110" s="3">
        <f>IF([1]ROSTERS!F110="","",[1]ROSTERS!F110)</f>
        <v>206</v>
      </c>
      <c r="G110" s="3">
        <f>IF([1]ROSTERS!G110="","",[1]ROSTERS!G110)</f>
        <v>27</v>
      </c>
      <c r="H110" s="3" t="str">
        <f>IF([1]ROSTERS!H110="","",[1]ROSTERS!H110)</f>
        <v>FC Bayern Munich</v>
      </c>
      <c r="I110" s="3" t="str">
        <f>IF([1]ROSTERS!I110="","",[1]ROSTERS!I110)</f>
        <v>BAY</v>
      </c>
      <c r="J110" s="3" t="str">
        <f>IF([1]ROSTERS!J110="","",[1]ROSTERS!J110)</f>
        <v>BAY.GillespieFreddie</v>
      </c>
      <c r="K110" s="4" t="str">
        <f>IF([1]ROSTERS!K110="","",[1]ROSTERS!K110)</f>
        <v>BAY.Freddie Gillespie</v>
      </c>
      <c r="L110" s="4" t="str">
        <f>IF([1]ROSTERS!L110="","",[1]ROSTERS!L110)</f>
        <v>Gillespie F.</v>
      </c>
      <c r="M110"/>
    </row>
    <row r="111" spans="1:13" s="1" customFormat="1" x14ac:dyDescent="0.25">
      <c r="A111" s="3">
        <f>IF(B111="","",COUNTIF($H$3:H111,H111))</f>
        <v>9</v>
      </c>
      <c r="B111" s="4" t="str">
        <f>IF([1]ROSTERS!B111="","",[1]ROSTERS!B111)</f>
        <v>Harris Elias</v>
      </c>
      <c r="C111" s="4" t="str">
        <f>IF([1]ROSTERS!C111="","",[1]ROSTERS!C111)</f>
        <v>Elias Harris</v>
      </c>
      <c r="D111" s="3" t="str">
        <f>IF([1]ROSTERS!D111="","",[1]ROSTERS!D111)</f>
        <v>F</v>
      </c>
      <c r="E111" s="3" t="str">
        <f>IF([1]ROSTERS!E111="","",[1]ROSTERS!E111)</f>
        <v>GER</v>
      </c>
      <c r="F111" s="3">
        <f>IF([1]ROSTERS!F111="","",[1]ROSTERS!F111)</f>
        <v>202.99999999999997</v>
      </c>
      <c r="G111" s="3">
        <f>IF([1]ROSTERS!G111="","",[1]ROSTERS!G111)</f>
        <v>35</v>
      </c>
      <c r="H111" s="3" t="str">
        <f>IF([1]ROSTERS!H111="","",[1]ROSTERS!H111)</f>
        <v>FC Bayern Munich</v>
      </c>
      <c r="I111" s="3" t="str">
        <f>IF([1]ROSTERS!I111="","",[1]ROSTERS!I111)</f>
        <v>BAY</v>
      </c>
      <c r="J111" s="3" t="str">
        <f>IF([1]ROSTERS!J111="","",[1]ROSTERS!J111)</f>
        <v>BAY.HarrisElias</v>
      </c>
      <c r="K111" s="4" t="str">
        <f>IF([1]ROSTERS!K111="","",[1]ROSTERS!K111)</f>
        <v>BAY.Elias Harris</v>
      </c>
      <c r="L111" s="4" t="str">
        <f>IF([1]ROSTERS!L111="","",[1]ROSTERS!L111)</f>
        <v>Harris E.</v>
      </c>
      <c r="M111"/>
    </row>
    <row r="112" spans="1:13" s="1" customFormat="1" x14ac:dyDescent="0.25">
      <c r="A112" s="3">
        <f>IF(B112="","",COUNTIF($H$3:H112,H112))</f>
        <v>10</v>
      </c>
      <c r="B112" s="4" t="str">
        <f>IF([1]ROSTERS!B112="","",[1]ROSTERS!B112)</f>
        <v>Ibaka Serge</v>
      </c>
      <c r="C112" s="4" t="str">
        <f>IF([1]ROSTERS!C112="","",[1]ROSTERS!C112)</f>
        <v>Serge Ibaka</v>
      </c>
      <c r="D112" s="3" t="str">
        <f>IF([1]ROSTERS!D112="","",[1]ROSTERS!D112)</f>
        <v>PF/C</v>
      </c>
      <c r="E112" s="3" t="str">
        <f>IF([1]ROSTERS!E112="","",[1]ROSTERS!E112)</f>
        <v>ESP</v>
      </c>
      <c r="F112" s="3">
        <f>IF([1]ROSTERS!F112="","",[1]ROSTERS!F112)</f>
        <v>208</v>
      </c>
      <c r="G112" s="3">
        <f>IF([1]ROSTERS!G112="","",[1]ROSTERS!G112)</f>
        <v>35</v>
      </c>
      <c r="H112" s="3" t="str">
        <f>IF([1]ROSTERS!H112="","",[1]ROSTERS!H112)</f>
        <v>FC Bayern Munich</v>
      </c>
      <c r="I112" s="3" t="str">
        <f>IF([1]ROSTERS!I112="","",[1]ROSTERS!I112)</f>
        <v>BAY</v>
      </c>
      <c r="J112" s="3" t="str">
        <f>IF([1]ROSTERS!J112="","",[1]ROSTERS!J112)</f>
        <v>BAY.IbakaSerge</v>
      </c>
      <c r="K112" s="4" t="str">
        <f>IF([1]ROSTERS!K112="","",[1]ROSTERS!K112)</f>
        <v>BAY.Serge Ibaka</v>
      </c>
      <c r="L112" s="4" t="str">
        <f>IF([1]ROSTERS!L112="","",[1]ROSTERS!L112)</f>
        <v>Ibaka S.</v>
      </c>
      <c r="M112"/>
    </row>
    <row r="113" spans="1:13" s="1" customFormat="1" x14ac:dyDescent="0.25">
      <c r="A113" s="3">
        <f>IF(B113="","",COUNTIF($H$3:H113,H113))</f>
        <v>11</v>
      </c>
      <c r="B113" s="4" t="str">
        <f>IF([1]ROSTERS!B113="","",[1]ROSTERS!B113)</f>
        <v>Kharchenkov Ivan</v>
      </c>
      <c r="C113" s="4" t="str">
        <f>IF([1]ROSTERS!C113="","",[1]ROSTERS!C113)</f>
        <v>Ivan Kharchenkov</v>
      </c>
      <c r="D113" s="3" t="str">
        <f>IF([1]ROSTERS!D113="","",[1]ROSTERS!D113)</f>
        <v>PG</v>
      </c>
      <c r="E113" s="3" t="str">
        <f>IF([1]ROSTERS!E113="","",[1]ROSTERS!E113)</f>
        <v>GER</v>
      </c>
      <c r="F113" s="3">
        <f>IF([1]ROSTERS!F113="","",[1]ROSTERS!F113)</f>
        <v>198</v>
      </c>
      <c r="G113" s="3">
        <f>IF([1]ROSTERS!G113="","",[1]ROSTERS!G113)</f>
        <v>18</v>
      </c>
      <c r="H113" s="3" t="str">
        <f>IF([1]ROSTERS!H113="","",[1]ROSTERS!H113)</f>
        <v>FC Bayern Munich</v>
      </c>
      <c r="I113" s="3" t="str">
        <f>IF([1]ROSTERS!I113="","",[1]ROSTERS!I113)</f>
        <v>BAY</v>
      </c>
      <c r="J113" s="3" t="str">
        <f>IF([1]ROSTERS!J113="","",[1]ROSTERS!J113)</f>
        <v>BAY.KharchenkovIvan</v>
      </c>
      <c r="K113" s="4" t="str">
        <f>IF([1]ROSTERS!K113="","",[1]ROSTERS!K113)</f>
        <v>BAY.Ivan Kharchenkov</v>
      </c>
      <c r="L113" s="4" t="str">
        <f>IF([1]ROSTERS!L113="","",[1]ROSTERS!L113)</f>
        <v>Kharchenkov I.</v>
      </c>
      <c r="M113"/>
    </row>
    <row r="114" spans="1:13" s="1" customFormat="1" x14ac:dyDescent="0.25">
      <c r="A114" s="3">
        <f>IF(B114="","",COUNTIF($H$3:H114,H114))</f>
        <v>12</v>
      </c>
      <c r="B114" s="4" t="str">
        <f>IF([1]ROSTERS!B114="","",[1]ROSTERS!B114)</f>
        <v>Obst Andreas</v>
      </c>
      <c r="C114" s="4" t="str">
        <f>IF([1]ROSTERS!C114="","",[1]ROSTERS!C114)</f>
        <v>Andreas Obst</v>
      </c>
      <c r="D114" s="3" t="str">
        <f>IF([1]ROSTERS!D114="","",[1]ROSTERS!D114)</f>
        <v>PG</v>
      </c>
      <c r="E114" s="3" t="str">
        <f>IF([1]ROSTERS!E114="","",[1]ROSTERS!E114)</f>
        <v>GER</v>
      </c>
      <c r="F114" s="3">
        <f>IF([1]ROSTERS!F114="","",[1]ROSTERS!F114)</f>
        <v>191</v>
      </c>
      <c r="G114" s="3">
        <f>IF([1]ROSTERS!G114="","",[1]ROSTERS!G114)</f>
        <v>28</v>
      </c>
      <c r="H114" s="3" t="str">
        <f>IF([1]ROSTERS!H114="","",[1]ROSTERS!H114)</f>
        <v>FC Bayern Munich</v>
      </c>
      <c r="I114" s="3" t="str">
        <f>IF([1]ROSTERS!I114="","",[1]ROSTERS!I114)</f>
        <v>BAY</v>
      </c>
      <c r="J114" s="3" t="str">
        <f>IF([1]ROSTERS!J114="","",[1]ROSTERS!J114)</f>
        <v>BAY.ObstAndreas</v>
      </c>
      <c r="K114" s="4" t="str">
        <f>IF([1]ROSTERS!K114="","",[1]ROSTERS!K114)</f>
        <v>BAY.Andreas Obst</v>
      </c>
      <c r="L114" s="4" t="str">
        <f>IF([1]ROSTERS!L114="","",[1]ROSTERS!L114)</f>
        <v>Obst A.</v>
      </c>
      <c r="M114"/>
    </row>
    <row r="115" spans="1:13" s="1" customFormat="1" x14ac:dyDescent="0.25">
      <c r="A115" s="3">
        <f>IF(B115="","",COUNTIF($H$3:H115,H115))</f>
        <v>13</v>
      </c>
      <c r="B115" s="4" t="str">
        <f>IF([1]ROSTERS!B115="","",[1]ROSTERS!B115)</f>
        <v>Weidemann Nelson</v>
      </c>
      <c r="C115" s="4" t="str">
        <f>IF([1]ROSTERS!C115="","",[1]ROSTERS!C115)</f>
        <v>Nelson Weidemann</v>
      </c>
      <c r="D115" s="3" t="str">
        <f>IF([1]ROSTERS!D115="","",[1]ROSTERS!D115)</f>
        <v>PG</v>
      </c>
      <c r="E115" s="3" t="str">
        <f>IF([1]ROSTERS!E115="","",[1]ROSTERS!E115)</f>
        <v>GER</v>
      </c>
      <c r="F115" s="3">
        <f>IF([1]ROSTERS!F115="","",[1]ROSTERS!F115)</f>
        <v>190</v>
      </c>
      <c r="G115" s="3">
        <f>IF([1]ROSTERS!G115="","",[1]ROSTERS!G115)</f>
        <v>25</v>
      </c>
      <c r="H115" s="3" t="str">
        <f>IF([1]ROSTERS!H115="","",[1]ROSTERS!H115)</f>
        <v>FC Bayern Munich</v>
      </c>
      <c r="I115" s="3" t="str">
        <f>IF([1]ROSTERS!I115="","",[1]ROSTERS!I115)</f>
        <v>BAY</v>
      </c>
      <c r="J115" s="3" t="str">
        <f>IF([1]ROSTERS!J115="","",[1]ROSTERS!J115)</f>
        <v>BAY.WeidemannNelson</v>
      </c>
      <c r="K115" s="4" t="str">
        <f>IF([1]ROSTERS!K115="","",[1]ROSTERS!K115)</f>
        <v>BAY.Nelson Weidemann</v>
      </c>
      <c r="L115" s="4" t="str">
        <f>IF([1]ROSTERS!L115="","",[1]ROSTERS!L115)</f>
        <v>Weidemann N.</v>
      </c>
      <c r="M115"/>
    </row>
    <row r="116" spans="1:13" s="1" customFormat="1" x14ac:dyDescent="0.25">
      <c r="A116" s="3">
        <f>IF(B116="","",COUNTIF($H$3:H116,H116))</f>
        <v>14</v>
      </c>
      <c r="B116" s="4" t="str">
        <f>IF([1]ROSTERS!B116="","",[1]ROSTERS!B116)</f>
        <v>Weiler Babb Nick</v>
      </c>
      <c r="C116" s="4" t="str">
        <f>IF([1]ROSTERS!C116="","",[1]ROSTERS!C116)</f>
        <v>Nick Weiler Babb</v>
      </c>
      <c r="D116" s="3" t="str">
        <f>IF([1]ROSTERS!D116="","",[1]ROSTERS!D116)</f>
        <v>PG</v>
      </c>
      <c r="E116" s="3" t="str">
        <f>IF([1]ROSTERS!E116="","",[1]ROSTERS!E116)</f>
        <v>USA</v>
      </c>
      <c r="F116" s="3">
        <f>IF([1]ROSTERS!F116="","",[1]ROSTERS!F116)</f>
        <v>196</v>
      </c>
      <c r="G116" s="3">
        <f>IF([1]ROSTERS!G116="","",[1]ROSTERS!G116)</f>
        <v>29</v>
      </c>
      <c r="H116" s="3" t="str">
        <f>IF([1]ROSTERS!H116="","",[1]ROSTERS!H116)</f>
        <v>FC Bayern Munich</v>
      </c>
      <c r="I116" s="3" t="str">
        <f>IF([1]ROSTERS!I116="","",[1]ROSTERS!I116)</f>
        <v>BAY</v>
      </c>
      <c r="J116" s="3" t="str">
        <f>IF([1]ROSTERS!J116="","",[1]ROSTERS!J116)</f>
        <v>BAY.WeilerBabbNick</v>
      </c>
      <c r="K116" s="4" t="str">
        <f>IF([1]ROSTERS!K116="","",[1]ROSTERS!K116)</f>
        <v>BAY.Nick Weiler Babb</v>
      </c>
      <c r="L116" s="4" t="str">
        <f>IF([1]ROSTERS!L116="","",[1]ROSTERS!L116)</f>
        <v>Weiler Babb N.</v>
      </c>
      <c r="M116"/>
    </row>
    <row r="117" spans="1:13" s="1" customFormat="1" x14ac:dyDescent="0.25">
      <c r="A117" s="3">
        <f>IF(B117="","",COUNTIF($H$3:H117,H117))</f>
        <v>15</v>
      </c>
      <c r="B117" s="4" t="str">
        <f>IF([1]ROSTERS!B117="","",[1]ROSTERS!B117)</f>
        <v>Wimberg Niklas</v>
      </c>
      <c r="C117" s="4" t="str">
        <f>IF([1]ROSTERS!C117="","",[1]ROSTERS!C117)</f>
        <v>Niklas Wimberg</v>
      </c>
      <c r="D117" s="3" t="str">
        <f>IF([1]ROSTERS!D117="","",[1]ROSTERS!D117)</f>
        <v>PF</v>
      </c>
      <c r="E117" s="3" t="str">
        <f>IF([1]ROSTERS!E117="","",[1]ROSTERS!E117)</f>
        <v>GER</v>
      </c>
      <c r="F117" s="3">
        <f>IF([1]ROSTERS!F117="","",[1]ROSTERS!F117)</f>
        <v>206</v>
      </c>
      <c r="G117" s="3">
        <f>IF([1]ROSTERS!G117="","",[1]ROSTERS!G117)</f>
        <v>28</v>
      </c>
      <c r="H117" s="3" t="str">
        <f>IF([1]ROSTERS!H117="","",[1]ROSTERS!H117)</f>
        <v>FC Bayern Munich</v>
      </c>
      <c r="I117" s="3" t="str">
        <f>IF([1]ROSTERS!I117="","",[1]ROSTERS!I117)</f>
        <v>BAY</v>
      </c>
      <c r="J117" s="3" t="str">
        <f>IF([1]ROSTERS!J117="","",[1]ROSTERS!J117)</f>
        <v>BAY.WimbergNiklas</v>
      </c>
      <c r="K117" s="4" t="str">
        <f>IF([1]ROSTERS!K117="","",[1]ROSTERS!K117)</f>
        <v>BAY.Niklas Wimberg</v>
      </c>
      <c r="L117" s="4" t="str">
        <f>IF([1]ROSTERS!L117="","",[1]ROSTERS!L117)</f>
        <v>Wimberg N.</v>
      </c>
      <c r="M117"/>
    </row>
    <row r="118" spans="1:13" s="1" customFormat="1" x14ac:dyDescent="0.25">
      <c r="A118" s="3">
        <f>IF(B118="","",COUNTIF($H$3:H118,H118))</f>
        <v>1</v>
      </c>
      <c r="B118" s="4" t="str">
        <f>IF([1]ROSTERS!B118="","",[1]ROSTERS!B118)</f>
        <v>Biberovic Tarik</v>
      </c>
      <c r="C118" s="4" t="str">
        <f>IF([1]ROSTERS!C118="","",[1]ROSTERS!C118)</f>
        <v>Tarik Biberovic</v>
      </c>
      <c r="D118" s="3" t="str">
        <f>IF([1]ROSTERS!D118="","",[1]ROSTERS!D118)</f>
        <v>F</v>
      </c>
      <c r="E118" s="3" t="str">
        <f>IF([1]ROSTERS!E118="","",[1]ROSTERS!E118)</f>
        <v>TUR</v>
      </c>
      <c r="F118" s="3">
        <f>IF([1]ROSTERS!F118="","",[1]ROSTERS!F118)</f>
        <v>201</v>
      </c>
      <c r="G118" s="3">
        <f>IF([1]ROSTERS!G118="","",[1]ROSTERS!G118)</f>
        <v>23</v>
      </c>
      <c r="H118" s="3" t="str">
        <f>IF([1]ROSTERS!H118="","",[1]ROSTERS!H118)</f>
        <v>Fenerbahce Beko Istanbul</v>
      </c>
      <c r="I118" s="3" t="str">
        <f>IF([1]ROSTERS!I118="","",[1]ROSTERS!I118)</f>
        <v>FEN</v>
      </c>
      <c r="J118" s="3" t="str">
        <f>IF([1]ROSTERS!J118="","",[1]ROSTERS!J118)</f>
        <v>FEN.BiberovicTarik</v>
      </c>
      <c r="K118" s="4" t="str">
        <f>IF([1]ROSTERS!K118="","",[1]ROSTERS!K118)</f>
        <v>FEN.Tarik Biberovic</v>
      </c>
      <c r="L118" s="4" t="str">
        <f>IF([1]ROSTERS!L118="","",[1]ROSTERS!L118)</f>
        <v>Biberovic T.</v>
      </c>
      <c r="M118"/>
    </row>
    <row r="119" spans="1:13" s="1" customFormat="1" x14ac:dyDescent="0.25">
      <c r="A119" s="3">
        <f>IF(B119="","",COUNTIF($H$3:H119,H119))</f>
        <v>2</v>
      </c>
      <c r="B119" s="4" t="str">
        <f>IF([1]ROSTERS!B119="","",[1]ROSTERS!B119)</f>
        <v>Calathes Nick</v>
      </c>
      <c r="C119" s="4" t="str">
        <f>IF([1]ROSTERS!C119="","",[1]ROSTERS!C119)</f>
        <v>Nick Calathes</v>
      </c>
      <c r="D119" s="3" t="str">
        <f>IF([1]ROSTERS!D119="","",[1]ROSTERS!D119)</f>
        <v>PG</v>
      </c>
      <c r="E119" s="3" t="str">
        <f>IF([1]ROSTERS!E119="","",[1]ROSTERS!E119)</f>
        <v>GRE</v>
      </c>
      <c r="F119" s="3">
        <f>IF([1]ROSTERS!F119="","",[1]ROSTERS!F119)</f>
        <v>198</v>
      </c>
      <c r="G119" s="3">
        <f>IF([1]ROSTERS!G119="","",[1]ROSTERS!G119)</f>
        <v>35</v>
      </c>
      <c r="H119" s="3" t="str">
        <f>IF([1]ROSTERS!H119="","",[1]ROSTERS!H119)</f>
        <v>Fenerbahce Beko Istanbul</v>
      </c>
      <c r="I119" s="3" t="str">
        <f>IF([1]ROSTERS!I119="","",[1]ROSTERS!I119)</f>
        <v>FEN</v>
      </c>
      <c r="J119" s="3" t="str">
        <f>IF([1]ROSTERS!J119="","",[1]ROSTERS!J119)</f>
        <v>FEN.CalathesNick</v>
      </c>
      <c r="K119" s="4" t="str">
        <f>IF([1]ROSTERS!K119="","",[1]ROSTERS!K119)</f>
        <v>FEN.Nick Calathes</v>
      </c>
      <c r="L119" s="4" t="str">
        <f>IF([1]ROSTERS!L119="","",[1]ROSTERS!L119)</f>
        <v>Calathes N.</v>
      </c>
      <c r="M119"/>
    </row>
    <row r="120" spans="1:13" s="1" customFormat="1" x14ac:dyDescent="0.25">
      <c r="A120" s="3">
        <f>IF(B120="","",COUNTIF($H$3:H120,H120))</f>
        <v>3</v>
      </c>
      <c r="B120" s="4" t="str">
        <f>IF([1]ROSTERS!B120="","",[1]ROSTERS!B120)</f>
        <v>Dorsey Tyler</v>
      </c>
      <c r="C120" s="4" t="str">
        <f>IF([1]ROSTERS!C120="","",[1]ROSTERS!C120)</f>
        <v>Tyler Dorsey</v>
      </c>
      <c r="D120" s="3" t="str">
        <f>IF([1]ROSTERS!D120="","",[1]ROSTERS!D120)</f>
        <v>SG</v>
      </c>
      <c r="E120" s="3" t="str">
        <f>IF([1]ROSTERS!E120="","",[1]ROSTERS!E120)</f>
        <v>USA</v>
      </c>
      <c r="F120" s="3">
        <f>IF([1]ROSTERS!F120="","",[1]ROSTERS!F120)</f>
        <v>196</v>
      </c>
      <c r="G120" s="3">
        <f>IF([1]ROSTERS!G120="","",[1]ROSTERS!G120)</f>
        <v>28</v>
      </c>
      <c r="H120" s="3" t="str">
        <f>IF([1]ROSTERS!H120="","",[1]ROSTERS!H120)</f>
        <v>Fenerbahce Beko Istanbul</v>
      </c>
      <c r="I120" s="3" t="str">
        <f>IF([1]ROSTERS!I120="","",[1]ROSTERS!I120)</f>
        <v>FEN</v>
      </c>
      <c r="J120" s="3" t="str">
        <f>IF([1]ROSTERS!J120="","",[1]ROSTERS!J120)</f>
        <v>FEN.DorseyTyler</v>
      </c>
      <c r="K120" s="4" t="str">
        <f>IF([1]ROSTERS!K120="","",[1]ROSTERS!K120)</f>
        <v>FEN.Tyler Dorsey</v>
      </c>
      <c r="L120" s="4" t="str">
        <f>IF([1]ROSTERS!L120="","",[1]ROSTERS!L120)</f>
        <v>Dorsey T.</v>
      </c>
      <c r="M120"/>
    </row>
    <row r="121" spans="1:13" s="1" customFormat="1" x14ac:dyDescent="0.25">
      <c r="A121" s="3">
        <f>IF(B121="","",COUNTIF($H$3:H121,H121))</f>
        <v>4</v>
      </c>
      <c r="B121" s="4" t="str">
        <f>IF([1]ROSTERS!B121="","",[1]ROSTERS!B121)</f>
        <v>Guduric Marko</v>
      </c>
      <c r="C121" s="4" t="str">
        <f>IF([1]ROSTERS!C121="","",[1]ROSTERS!C121)</f>
        <v>Marko Guduric</v>
      </c>
      <c r="D121" s="3" t="str">
        <f>IF([1]ROSTERS!D121="","",[1]ROSTERS!D121)</f>
        <v>SG</v>
      </c>
      <c r="E121" s="3" t="str">
        <f>IF([1]ROSTERS!E121="","",[1]ROSTERS!E121)</f>
        <v>SRB</v>
      </c>
      <c r="F121" s="3">
        <f>IF([1]ROSTERS!F121="","",[1]ROSTERS!F121)</f>
        <v>196</v>
      </c>
      <c r="G121" s="3">
        <f>IF([1]ROSTERS!G121="","",[1]ROSTERS!G121)</f>
        <v>29</v>
      </c>
      <c r="H121" s="3" t="str">
        <f>IF([1]ROSTERS!H121="","",[1]ROSTERS!H121)</f>
        <v>Fenerbahce Beko Istanbul</v>
      </c>
      <c r="I121" s="3" t="str">
        <f>IF([1]ROSTERS!I121="","",[1]ROSTERS!I121)</f>
        <v>FEN</v>
      </c>
      <c r="J121" s="3" t="str">
        <f>IF([1]ROSTERS!J121="","",[1]ROSTERS!J121)</f>
        <v>FEN.GuduricMarko</v>
      </c>
      <c r="K121" s="4" t="str">
        <f>IF([1]ROSTERS!K121="","",[1]ROSTERS!K121)</f>
        <v>FEN.Marko Guduric</v>
      </c>
      <c r="L121" s="4" t="str">
        <f>IF([1]ROSTERS!L121="","",[1]ROSTERS!L121)</f>
        <v>Guduric M.</v>
      </c>
      <c r="M121"/>
    </row>
    <row r="122" spans="1:13" s="1" customFormat="1" x14ac:dyDescent="0.25">
      <c r="A122" s="3">
        <f>IF(B122="","",COUNTIF($H$3:H122,H122))</f>
        <v>5</v>
      </c>
      <c r="B122" s="4" t="str">
        <f>IF([1]ROSTERS!B122="","",[1]ROSTERS!B122)</f>
        <v>Hayes Davis Nigel</v>
      </c>
      <c r="C122" s="4" t="str">
        <f>IF([1]ROSTERS!C122="","",[1]ROSTERS!C122)</f>
        <v>Nigel Hayes Davis</v>
      </c>
      <c r="D122" s="3" t="str">
        <f>IF([1]ROSTERS!D122="","",[1]ROSTERS!D122)</f>
        <v>F</v>
      </c>
      <c r="E122" s="3" t="str">
        <f>IF([1]ROSTERS!E122="","",[1]ROSTERS!E122)</f>
        <v>USA</v>
      </c>
      <c r="F122" s="3">
        <f>IF([1]ROSTERS!F122="","",[1]ROSTERS!F122)</f>
        <v>202.99999999999997</v>
      </c>
      <c r="G122" s="3">
        <f>IF([1]ROSTERS!G122="","",[1]ROSTERS!G122)</f>
        <v>30</v>
      </c>
      <c r="H122" s="3" t="str">
        <f>IF([1]ROSTERS!H122="","",[1]ROSTERS!H122)</f>
        <v>Fenerbahce Beko Istanbul</v>
      </c>
      <c r="I122" s="3" t="str">
        <f>IF([1]ROSTERS!I122="","",[1]ROSTERS!I122)</f>
        <v>FEN</v>
      </c>
      <c r="J122" s="3" t="str">
        <f>IF([1]ROSTERS!J122="","",[1]ROSTERS!J122)</f>
        <v>FEN.HayesDavisNigel</v>
      </c>
      <c r="K122" s="4" t="str">
        <f>IF([1]ROSTERS!K122="","",[1]ROSTERS!K122)</f>
        <v>FEN.Nigel Hayes Davis</v>
      </c>
      <c r="L122" s="4" t="str">
        <f>IF([1]ROSTERS!L122="","",[1]ROSTERS!L122)</f>
        <v>Hayes Davis N.</v>
      </c>
      <c r="M122"/>
    </row>
    <row r="123" spans="1:13" s="1" customFormat="1" x14ac:dyDescent="0.25">
      <c r="A123" s="3">
        <f>IF(B123="","",COUNTIF($H$3:H123,H123))</f>
        <v>6</v>
      </c>
      <c r="B123" s="4" t="str">
        <f>IF([1]ROSTERS!B123="","",[1]ROSTERS!B123)</f>
        <v>Hazer Sehmus</v>
      </c>
      <c r="C123" s="4" t="str">
        <f>IF([1]ROSTERS!C123="","",[1]ROSTERS!C123)</f>
        <v>Sehmus Hazer</v>
      </c>
      <c r="D123" s="3" t="str">
        <f>IF([1]ROSTERS!D123="","",[1]ROSTERS!D123)</f>
        <v>SG</v>
      </c>
      <c r="E123" s="3" t="str">
        <f>IF([1]ROSTERS!E123="","",[1]ROSTERS!E123)</f>
        <v>TUR</v>
      </c>
      <c r="F123" s="3">
        <f>IF([1]ROSTERS!F123="","",[1]ROSTERS!F123)</f>
        <v>193</v>
      </c>
      <c r="G123" s="3">
        <f>IF([1]ROSTERS!G123="","",[1]ROSTERS!G123)</f>
        <v>25</v>
      </c>
      <c r="H123" s="3" t="str">
        <f>IF([1]ROSTERS!H123="","",[1]ROSTERS!H123)</f>
        <v>Fenerbahce Beko Istanbul</v>
      </c>
      <c r="I123" s="3" t="str">
        <f>IF([1]ROSTERS!I123="","",[1]ROSTERS!I123)</f>
        <v>FEN</v>
      </c>
      <c r="J123" s="3" t="str">
        <f>IF([1]ROSTERS!J123="","",[1]ROSTERS!J123)</f>
        <v>FEN.HazerSehmus</v>
      </c>
      <c r="K123" s="4" t="str">
        <f>IF([1]ROSTERS!K123="","",[1]ROSTERS!K123)</f>
        <v>FEN.Sehmus Hazer</v>
      </c>
      <c r="L123" s="4" t="str">
        <f>IF([1]ROSTERS!L123="","",[1]ROSTERS!L123)</f>
        <v>Hazer S.</v>
      </c>
      <c r="M123"/>
    </row>
    <row r="124" spans="1:13" s="1" customFormat="1" x14ac:dyDescent="0.25">
      <c r="A124" s="3">
        <f>IF(B124="","",COUNTIF($H$3:H124,H124))</f>
        <v>7</v>
      </c>
      <c r="B124" s="4" t="str">
        <f>IF([1]ROSTERS!B124="","",[1]ROSTERS!B124)</f>
        <v>Madar Yam</v>
      </c>
      <c r="C124" s="4" t="str">
        <f>IF([1]ROSTERS!C124="","",[1]ROSTERS!C124)</f>
        <v>Yam Madar</v>
      </c>
      <c r="D124" s="3" t="str">
        <f>IF([1]ROSTERS!D124="","",[1]ROSTERS!D124)</f>
        <v>PG</v>
      </c>
      <c r="E124" s="3" t="str">
        <f>IF([1]ROSTERS!E124="","",[1]ROSTERS!E124)</f>
        <v>ISR</v>
      </c>
      <c r="F124" s="3">
        <f>IF([1]ROSTERS!F124="","",[1]ROSTERS!F124)</f>
        <v>190</v>
      </c>
      <c r="G124" s="3">
        <f>IF([1]ROSTERS!G124="","",[1]ROSTERS!G124)</f>
        <v>24</v>
      </c>
      <c r="H124" s="3" t="str">
        <f>IF([1]ROSTERS!H124="","",[1]ROSTERS!H124)</f>
        <v>Fenerbahce Beko Istanbul</v>
      </c>
      <c r="I124" s="3" t="str">
        <f>IF([1]ROSTERS!I124="","",[1]ROSTERS!I124)</f>
        <v>FEN</v>
      </c>
      <c r="J124" s="3" t="str">
        <f>IF([1]ROSTERS!J124="","",[1]ROSTERS!J124)</f>
        <v>FEN.MadarYam</v>
      </c>
      <c r="K124" s="4" t="str">
        <f>IF([1]ROSTERS!K124="","",[1]ROSTERS!K124)</f>
        <v>FEN.Yam Madar</v>
      </c>
      <c r="L124" s="4" t="str">
        <f>IF([1]ROSTERS!L124="","",[1]ROSTERS!L124)</f>
        <v>Madar Y.</v>
      </c>
      <c r="M124"/>
    </row>
    <row r="125" spans="1:13" s="1" customFormat="1" x14ac:dyDescent="0.25">
      <c r="A125" s="3">
        <f>IF(B125="","",COUNTIF($H$3:H125,H125))</f>
        <v>8</v>
      </c>
      <c r="B125" s="4" t="str">
        <f>IF([1]ROSTERS!B125="","",[1]ROSTERS!B125)</f>
        <v>Mahmutoglu Melih</v>
      </c>
      <c r="C125" s="4" t="str">
        <f>IF([1]ROSTERS!C125="","",[1]ROSTERS!C125)</f>
        <v>Melih Mahmutoglu</v>
      </c>
      <c r="D125" s="3" t="str">
        <f>IF([1]ROSTERS!D125="","",[1]ROSTERS!D125)</f>
        <v>SG</v>
      </c>
      <c r="E125" s="3" t="str">
        <f>IF([1]ROSTERS!E125="","",[1]ROSTERS!E125)</f>
        <v>TUR</v>
      </c>
      <c r="F125" s="3">
        <f>IF([1]ROSTERS!F125="","",[1]ROSTERS!F125)</f>
        <v>191</v>
      </c>
      <c r="G125" s="3">
        <f>IF([1]ROSTERS!G125="","",[1]ROSTERS!G125)</f>
        <v>34</v>
      </c>
      <c r="H125" s="3" t="str">
        <f>IF([1]ROSTERS!H125="","",[1]ROSTERS!H125)</f>
        <v>Fenerbahce Beko Istanbul</v>
      </c>
      <c r="I125" s="3" t="str">
        <f>IF([1]ROSTERS!I125="","",[1]ROSTERS!I125)</f>
        <v>FEN</v>
      </c>
      <c r="J125" s="3" t="str">
        <f>IF([1]ROSTERS!J125="","",[1]ROSTERS!J125)</f>
        <v>FEN.MahmutogluMelih</v>
      </c>
      <c r="K125" s="4" t="str">
        <f>IF([1]ROSTERS!K125="","",[1]ROSTERS!K125)</f>
        <v>FEN.Melih Mahmutoglu</v>
      </c>
      <c r="L125" s="4" t="str">
        <f>IF([1]ROSTERS!L125="","",[1]ROSTERS!L125)</f>
        <v>Mahmutoglu M.</v>
      </c>
      <c r="M125"/>
    </row>
    <row r="126" spans="1:13" s="1" customFormat="1" x14ac:dyDescent="0.25">
      <c r="A126" s="3">
        <f>IF(B126="","",COUNTIF($H$3:H126,H126))</f>
        <v>9</v>
      </c>
      <c r="B126" s="4" t="str">
        <f>IF([1]ROSTERS!B126="","",[1]ROSTERS!B126)</f>
        <v>Mestoglu Hamza</v>
      </c>
      <c r="C126" s="4" t="str">
        <f>IF([1]ROSTERS!C126="","",[1]ROSTERS!C126)</f>
        <v>Hamza Mestoglu</v>
      </c>
      <c r="D126" s="3" t="str">
        <f>IF([1]ROSTERS!D126="","",[1]ROSTERS!D126)</f>
        <v>F</v>
      </c>
      <c r="E126" s="3" t="str">
        <f>IF([1]ROSTERS!E126="","",[1]ROSTERS!E126)</f>
        <v>TUR</v>
      </c>
      <c r="F126" s="3">
        <f>IF([1]ROSTERS!F126="","",[1]ROSTERS!F126)</f>
        <v>201</v>
      </c>
      <c r="G126" s="3">
        <f>IF([1]ROSTERS!G126="","",[1]ROSTERS!G126)</f>
        <v>20</v>
      </c>
      <c r="H126" s="3" t="str">
        <f>IF([1]ROSTERS!H126="","",[1]ROSTERS!H126)</f>
        <v>Fenerbahce Beko Istanbul</v>
      </c>
      <c r="I126" s="3" t="str">
        <f>IF([1]ROSTERS!I126="","",[1]ROSTERS!I126)</f>
        <v>FEN</v>
      </c>
      <c r="J126" s="3" t="str">
        <f>IF([1]ROSTERS!J126="","",[1]ROSTERS!J126)</f>
        <v>FEN.MestogluHamza</v>
      </c>
      <c r="K126" s="4" t="str">
        <f>IF([1]ROSTERS!K126="","",[1]ROSTERS!K126)</f>
        <v>FEN.Hamza Mestoglu</v>
      </c>
      <c r="L126" s="4" t="str">
        <f>IF([1]ROSTERS!L126="","",[1]ROSTERS!L126)</f>
        <v>Mestoglu H.</v>
      </c>
      <c r="M126"/>
    </row>
    <row r="127" spans="1:13" s="1" customFormat="1" x14ac:dyDescent="0.25">
      <c r="A127" s="3">
        <f>IF(B127="","",COUNTIF($H$3:H127,H127))</f>
        <v>10</v>
      </c>
      <c r="B127" s="4" t="str">
        <f>IF([1]ROSTERS!B127="","",[1]ROSTERS!B127)</f>
        <v>Motley Johnathan</v>
      </c>
      <c r="C127" s="4" t="str">
        <f>IF([1]ROSTERS!C127="","",[1]ROSTERS!C127)</f>
        <v>Johnathan Motley</v>
      </c>
      <c r="D127" s="3" t="str">
        <f>IF([1]ROSTERS!D127="","",[1]ROSTERS!D127)</f>
        <v>C</v>
      </c>
      <c r="E127" s="3" t="str">
        <f>IF([1]ROSTERS!E127="","",[1]ROSTERS!E127)</f>
        <v>USA</v>
      </c>
      <c r="F127" s="3">
        <f>IF([1]ROSTERS!F127="","",[1]ROSTERS!F127)</f>
        <v>206</v>
      </c>
      <c r="G127" s="3">
        <f>IF([1]ROSTERS!G127="","",[1]ROSTERS!G127)</f>
        <v>29</v>
      </c>
      <c r="H127" s="3" t="str">
        <f>IF([1]ROSTERS!H127="","",[1]ROSTERS!H127)</f>
        <v>Fenerbahce Beko Istanbul</v>
      </c>
      <c r="I127" s="3" t="str">
        <f>IF([1]ROSTERS!I127="","",[1]ROSTERS!I127)</f>
        <v>FEN</v>
      </c>
      <c r="J127" s="3" t="str">
        <f>IF([1]ROSTERS!J127="","",[1]ROSTERS!J127)</f>
        <v>FEN.MotleyJohnathan</v>
      </c>
      <c r="K127" s="4" t="str">
        <f>IF([1]ROSTERS!K127="","",[1]ROSTERS!K127)</f>
        <v>FEN.Johnathan Motley</v>
      </c>
      <c r="L127" s="4" t="str">
        <f>IF([1]ROSTERS!L127="","",[1]ROSTERS!L127)</f>
        <v>Motley J.</v>
      </c>
      <c r="M127"/>
    </row>
    <row r="128" spans="1:13" s="1" customFormat="1" x14ac:dyDescent="0.25">
      <c r="A128" s="3">
        <f>IF(B128="","",COUNTIF($H$3:H128,H128))</f>
        <v>11</v>
      </c>
      <c r="B128" s="4" t="str">
        <f>IF([1]ROSTERS!B128="","",[1]ROSTERS!B128)</f>
        <v>Papagiannis Georgios</v>
      </c>
      <c r="C128" s="4" t="str">
        <f>IF([1]ROSTERS!C128="","",[1]ROSTERS!C128)</f>
        <v>Georgios Papagiannis</v>
      </c>
      <c r="D128" s="3" t="str">
        <f>IF([1]ROSTERS!D128="","",[1]ROSTERS!D128)</f>
        <v>C</v>
      </c>
      <c r="E128" s="3" t="str">
        <f>IF([1]ROSTERS!E128="","",[1]ROSTERS!E128)</f>
        <v>GRE</v>
      </c>
      <c r="F128" s="3">
        <f>IF([1]ROSTERS!F128="","",[1]ROSTERS!F128)</f>
        <v>217</v>
      </c>
      <c r="G128" s="3">
        <f>IF([1]ROSTERS!G128="","",[1]ROSTERS!G128)</f>
        <v>27</v>
      </c>
      <c r="H128" s="3" t="str">
        <f>IF([1]ROSTERS!H128="","",[1]ROSTERS!H128)</f>
        <v>Fenerbahce Beko Istanbul</v>
      </c>
      <c r="I128" s="3" t="str">
        <f>IF([1]ROSTERS!I128="","",[1]ROSTERS!I128)</f>
        <v>FEN</v>
      </c>
      <c r="J128" s="3" t="str">
        <f>IF([1]ROSTERS!J128="","",[1]ROSTERS!J128)</f>
        <v>FEN.PapagiannisGeorgios</v>
      </c>
      <c r="K128" s="4" t="str">
        <f>IF([1]ROSTERS!K128="","",[1]ROSTERS!K128)</f>
        <v>FEN.Georgios Papagiannis</v>
      </c>
      <c r="L128" s="4" t="str">
        <f>IF([1]ROSTERS!L128="","",[1]ROSTERS!L128)</f>
        <v>Papagiannis G.</v>
      </c>
      <c r="M128"/>
    </row>
    <row r="129" spans="1:13" s="1" customFormat="1" x14ac:dyDescent="0.25">
      <c r="A129" s="3">
        <f>IF(B129="","",COUNTIF($H$3:H129,H129))</f>
        <v>12</v>
      </c>
      <c r="B129" s="4" t="str">
        <f>IF([1]ROSTERS!B129="","",[1]ROSTERS!B129)</f>
        <v>Pierre Dyshawn</v>
      </c>
      <c r="C129" s="4" t="str">
        <f>IF([1]ROSTERS!C129="","",[1]ROSTERS!C129)</f>
        <v>Dyshawn Pierre</v>
      </c>
      <c r="D129" s="3" t="str">
        <f>IF([1]ROSTERS!D129="","",[1]ROSTERS!D129)</f>
        <v>F/PF</v>
      </c>
      <c r="E129" s="3" t="str">
        <f>IF([1]ROSTERS!E129="","",[1]ROSTERS!E129)</f>
        <v>CAN</v>
      </c>
      <c r="F129" s="3">
        <f>IF([1]ROSTERS!F129="","",[1]ROSTERS!F129)</f>
        <v>198</v>
      </c>
      <c r="G129" s="3">
        <f>IF([1]ROSTERS!G129="","",[1]ROSTERS!G129)</f>
        <v>31</v>
      </c>
      <c r="H129" s="3" t="str">
        <f>IF([1]ROSTERS!H129="","",[1]ROSTERS!H129)</f>
        <v>Fenerbahce Beko Istanbul</v>
      </c>
      <c r="I129" s="3" t="str">
        <f>IF([1]ROSTERS!I129="","",[1]ROSTERS!I129)</f>
        <v>FEN</v>
      </c>
      <c r="J129" s="3" t="str">
        <f>IF([1]ROSTERS!J129="","",[1]ROSTERS!J129)</f>
        <v>FEN.PierreDyshawn</v>
      </c>
      <c r="K129" s="4" t="str">
        <f>IF([1]ROSTERS!K129="","",[1]ROSTERS!K129)</f>
        <v>FEN.Dyshawn Pierre</v>
      </c>
      <c r="L129" s="4" t="str">
        <f>IF([1]ROSTERS!L129="","",[1]ROSTERS!L129)</f>
        <v>Pierre D.</v>
      </c>
      <c r="M129"/>
    </row>
    <row r="130" spans="1:13" s="1" customFormat="1" x14ac:dyDescent="0.25">
      <c r="A130" s="3">
        <f>IF(B130="","",COUNTIF($H$3:H130,H130))</f>
        <v>13</v>
      </c>
      <c r="B130" s="4" t="str">
        <f>IF([1]ROSTERS!B130="","",[1]ROSTERS!B130)</f>
        <v>Sanli Sertac</v>
      </c>
      <c r="C130" s="4" t="str">
        <f>IF([1]ROSTERS!C130="","",[1]ROSTERS!C130)</f>
        <v>Sertac Sanli</v>
      </c>
      <c r="D130" s="3" t="str">
        <f>IF([1]ROSTERS!D130="","",[1]ROSTERS!D130)</f>
        <v>C</v>
      </c>
      <c r="E130" s="3" t="str">
        <f>IF([1]ROSTERS!E130="","",[1]ROSTERS!E130)</f>
        <v>TUR</v>
      </c>
      <c r="F130" s="3">
        <f>IF([1]ROSTERS!F130="","",[1]ROSTERS!F130)</f>
        <v>212</v>
      </c>
      <c r="G130" s="3">
        <f>IF([1]ROSTERS!G130="","",[1]ROSTERS!G130)</f>
        <v>33</v>
      </c>
      <c r="H130" s="3" t="str">
        <f>IF([1]ROSTERS!H130="","",[1]ROSTERS!H130)</f>
        <v>Fenerbahce Beko Istanbul</v>
      </c>
      <c r="I130" s="3" t="str">
        <f>IF([1]ROSTERS!I130="","",[1]ROSTERS!I130)</f>
        <v>FEN</v>
      </c>
      <c r="J130" s="3" t="str">
        <f>IF([1]ROSTERS!J130="","",[1]ROSTERS!J130)</f>
        <v>FEN.SanliSertac</v>
      </c>
      <c r="K130" s="4" t="str">
        <f>IF([1]ROSTERS!K130="","",[1]ROSTERS!K130)</f>
        <v>FEN.Sertac Sanli</v>
      </c>
      <c r="L130" s="4" t="str">
        <f>IF([1]ROSTERS!L130="","",[1]ROSTERS!L130)</f>
        <v>Sanli S.</v>
      </c>
      <c r="M130"/>
    </row>
    <row r="131" spans="1:13" s="1" customFormat="1" x14ac:dyDescent="0.25">
      <c r="A131" s="3">
        <f>IF(B131="","",COUNTIF($H$3:H131,H131))</f>
        <v>14</v>
      </c>
      <c r="B131" s="4" t="str">
        <f>IF([1]ROSTERS!B131="","",[1]ROSTERS!B131)</f>
        <v>Sestina Nathan</v>
      </c>
      <c r="C131" s="4" t="str">
        <f>IF([1]ROSTERS!C131="","",[1]ROSTERS!C131)</f>
        <v>Nathan Sestina</v>
      </c>
      <c r="D131" s="3" t="str">
        <f>IF([1]ROSTERS!D131="","",[1]ROSTERS!D131)</f>
        <v>PF</v>
      </c>
      <c r="E131" s="3" t="str">
        <f>IF([1]ROSTERS!E131="","",[1]ROSTERS!E131)</f>
        <v>USA</v>
      </c>
      <c r="F131" s="3">
        <f>IF([1]ROSTERS!F131="","",[1]ROSTERS!F131)</f>
        <v>205</v>
      </c>
      <c r="G131" s="3">
        <f>IF([1]ROSTERS!G131="","",[1]ROSTERS!G131)</f>
        <v>27</v>
      </c>
      <c r="H131" s="3" t="str">
        <f>IF([1]ROSTERS!H131="","",[1]ROSTERS!H131)</f>
        <v>Fenerbahce Beko Istanbul</v>
      </c>
      <c r="I131" s="3" t="str">
        <f>IF([1]ROSTERS!I131="","",[1]ROSTERS!I131)</f>
        <v>FEN</v>
      </c>
      <c r="J131" s="3" t="str">
        <f>IF([1]ROSTERS!J131="","",[1]ROSTERS!J131)</f>
        <v>FEN.SestinaNathan</v>
      </c>
      <c r="K131" s="4" t="str">
        <f>IF([1]ROSTERS!K131="","",[1]ROSTERS!K131)</f>
        <v>FEN.Nathan Sestina</v>
      </c>
      <c r="L131" s="4" t="str">
        <f>IF([1]ROSTERS!L131="","",[1]ROSTERS!L131)</f>
        <v>Sestina N.</v>
      </c>
      <c r="M131"/>
    </row>
    <row r="132" spans="1:13" s="1" customFormat="1" x14ac:dyDescent="0.25">
      <c r="A132" s="3">
        <f>IF(B132="","",COUNTIF($H$3:H132,H132))</f>
        <v>15</v>
      </c>
      <c r="B132" s="4" t="str">
        <f>IF([1]ROSTERS!B132="","",[1]ROSTERS!B132)</f>
        <v>Wilbekin Scottie</v>
      </c>
      <c r="C132" s="4" t="str">
        <f>IF([1]ROSTERS!C132="","",[1]ROSTERS!C132)</f>
        <v>Scottie Wilbekin</v>
      </c>
      <c r="D132" s="3" t="str">
        <f>IF([1]ROSTERS!D132="","",[1]ROSTERS!D132)</f>
        <v>PG</v>
      </c>
      <c r="E132" s="3" t="str">
        <f>IF([1]ROSTERS!E132="","",[1]ROSTERS!E132)</f>
        <v>USA</v>
      </c>
      <c r="F132" s="3">
        <f>IF([1]ROSTERS!F132="","",[1]ROSTERS!F132)</f>
        <v>188</v>
      </c>
      <c r="G132" s="3">
        <f>IF([1]ROSTERS!G132="","",[1]ROSTERS!G132)</f>
        <v>31</v>
      </c>
      <c r="H132" s="3" t="str">
        <f>IF([1]ROSTERS!H132="","",[1]ROSTERS!H132)</f>
        <v>Fenerbahce Beko Istanbul</v>
      </c>
      <c r="I132" s="3" t="str">
        <f>IF([1]ROSTERS!I132="","",[1]ROSTERS!I132)</f>
        <v>FEN</v>
      </c>
      <c r="J132" s="3" t="str">
        <f>IF([1]ROSTERS!J132="","",[1]ROSTERS!J132)</f>
        <v>FEN.WilbekinScottie</v>
      </c>
      <c r="K132" s="4" t="str">
        <f>IF([1]ROSTERS!K132="","",[1]ROSTERS!K132)</f>
        <v>FEN.Scottie Wilbekin</v>
      </c>
      <c r="L132" s="4" t="str">
        <f>IF([1]ROSTERS!L132="","",[1]ROSTERS!L132)</f>
        <v>Wilbekin S.</v>
      </c>
      <c r="M132"/>
    </row>
    <row r="133" spans="1:13" s="1" customFormat="1" x14ac:dyDescent="0.25">
      <c r="A133" s="3">
        <f>IF(B133="","",COUNTIF($H$3:H133,H133))</f>
        <v>1</v>
      </c>
      <c r="B133" s="4" t="str">
        <f>IF([1]ROSTERS!B133="","",[1]ROSTERS!B133)</f>
        <v>Dallo Boris</v>
      </c>
      <c r="C133" s="4" t="str">
        <f>IF([1]ROSTERS!C133="","",[1]ROSTERS!C133)</f>
        <v>Boris Dallo</v>
      </c>
      <c r="D133" s="3" t="str">
        <f>IF([1]ROSTERS!D133="","",[1]ROSTERS!D133)</f>
        <v>PG</v>
      </c>
      <c r="E133" s="3" t="str">
        <f>IF([1]ROSTERS!E133="","",[1]ROSTERS!E133)</f>
        <v>FRA</v>
      </c>
      <c r="F133" s="3">
        <f>IF([1]ROSTERS!F133="","",[1]ROSTERS!F133)</f>
        <v>193</v>
      </c>
      <c r="G133" s="3">
        <f>IF([1]ROSTERS!G133="","",[1]ROSTERS!G133)</f>
        <v>30</v>
      </c>
      <c r="H133" s="3" t="str">
        <f>IF([1]ROSTERS!H133="","",[1]ROSTERS!H133)</f>
        <v>LDLC ASVEL Villeurbanne</v>
      </c>
      <c r="I133" s="3" t="str">
        <f>IF([1]ROSTERS!I133="","",[1]ROSTERS!I133)</f>
        <v>ASV</v>
      </c>
      <c r="J133" s="3" t="str">
        <f>IF([1]ROSTERS!J133="","",[1]ROSTERS!J133)</f>
        <v>ASV.DalloBoris</v>
      </c>
      <c r="K133" s="4" t="str">
        <f>IF([1]ROSTERS!K133="","",[1]ROSTERS!K133)</f>
        <v>ASV.Boris Dallo</v>
      </c>
      <c r="L133" s="4" t="str">
        <f>IF([1]ROSTERS!L133="","",[1]ROSTERS!L133)</f>
        <v>Dallo B.</v>
      </c>
      <c r="M133"/>
    </row>
    <row r="134" spans="1:13" s="1" customFormat="1" x14ac:dyDescent="0.25">
      <c r="A134" s="3">
        <f>IF(B134="","",COUNTIF($H$3:H134,H134))</f>
        <v>2</v>
      </c>
      <c r="B134" s="4" t="str">
        <f>IF([1]ROSTERS!B134="","",[1]ROSTERS!B134)</f>
        <v>De Colo Nando</v>
      </c>
      <c r="C134" s="4" t="str">
        <f>IF([1]ROSTERS!C134="","",[1]ROSTERS!C134)</f>
        <v>Nando De Colo</v>
      </c>
      <c r="D134" s="3" t="str">
        <f>IF([1]ROSTERS!D134="","",[1]ROSTERS!D134)</f>
        <v>SG</v>
      </c>
      <c r="E134" s="3" t="str">
        <f>IF([1]ROSTERS!E134="","",[1]ROSTERS!E134)</f>
        <v>FRA</v>
      </c>
      <c r="F134" s="3">
        <f>IF([1]ROSTERS!F134="","",[1]ROSTERS!F134)</f>
        <v>196</v>
      </c>
      <c r="G134" s="3">
        <f>IF([1]ROSTERS!G134="","",[1]ROSTERS!G134)</f>
        <v>37</v>
      </c>
      <c r="H134" s="3" t="str">
        <f>IF([1]ROSTERS!H134="","",[1]ROSTERS!H134)</f>
        <v>LDLC ASVEL Villeurbanne</v>
      </c>
      <c r="I134" s="3" t="str">
        <f>IF([1]ROSTERS!I134="","",[1]ROSTERS!I134)</f>
        <v>ASV</v>
      </c>
      <c r="J134" s="3" t="str">
        <f>IF([1]ROSTERS!J134="","",[1]ROSTERS!J134)</f>
        <v>ASV.DeColoNando</v>
      </c>
      <c r="K134" s="4" t="str">
        <f>IF([1]ROSTERS!K134="","",[1]ROSTERS!K134)</f>
        <v>ASV.Nando De Colo</v>
      </c>
      <c r="L134" s="4" t="str">
        <f>IF([1]ROSTERS!L134="","",[1]ROSTERS!L134)</f>
        <v>De Colo N.</v>
      </c>
      <c r="M134"/>
    </row>
    <row r="135" spans="1:13" s="1" customFormat="1" x14ac:dyDescent="0.25">
      <c r="A135" s="3">
        <f>IF(B135="","",COUNTIF($H$3:H135,H135))</f>
        <v>3</v>
      </c>
      <c r="B135" s="4" t="str">
        <f>IF([1]ROSTERS!B135="","",[1]ROSTERS!B135)</f>
        <v>Egbunu John</v>
      </c>
      <c r="C135" s="4" t="str">
        <f>IF([1]ROSTERS!C135="","",[1]ROSTERS!C135)</f>
        <v>John Egbunu</v>
      </c>
      <c r="D135" s="3" t="str">
        <f>IF([1]ROSTERS!D135="","",[1]ROSTERS!D135)</f>
        <v>C</v>
      </c>
      <c r="E135" s="3" t="str">
        <f>IF([1]ROSTERS!E135="","",[1]ROSTERS!E135)</f>
        <v>NIG</v>
      </c>
      <c r="F135" s="3">
        <f>IF([1]ROSTERS!F135="","",[1]ROSTERS!F135)</f>
        <v>208</v>
      </c>
      <c r="G135" s="3">
        <f>IF([1]ROSTERS!G135="","",[1]ROSTERS!G135)</f>
        <v>30</v>
      </c>
      <c r="H135" s="3" t="str">
        <f>IF([1]ROSTERS!H135="","",[1]ROSTERS!H135)</f>
        <v>LDLC ASVEL Villeurbanne</v>
      </c>
      <c r="I135" s="3" t="str">
        <f>IF([1]ROSTERS!I135="","",[1]ROSTERS!I135)</f>
        <v>ASV</v>
      </c>
      <c r="J135" s="3" t="str">
        <f>IF([1]ROSTERS!J135="","",[1]ROSTERS!J135)</f>
        <v>ASV.EgbunuJohn</v>
      </c>
      <c r="K135" s="4" t="str">
        <f>IF([1]ROSTERS!K135="","",[1]ROSTERS!K135)</f>
        <v>ASV.John Egbunu</v>
      </c>
      <c r="L135" s="4" t="str">
        <f>IF([1]ROSTERS!L135="","",[1]ROSTERS!L135)</f>
        <v>Egbunu J.</v>
      </c>
      <c r="M135"/>
    </row>
    <row r="136" spans="1:13" s="1" customFormat="1" x14ac:dyDescent="0.25">
      <c r="A136" s="3">
        <f>IF(B136="","",COUNTIF($H$3:H136,H136))</f>
        <v>4</v>
      </c>
      <c r="B136" s="4" t="str">
        <f>IF([1]ROSTERS!B136="","",[1]ROSTERS!B136)</f>
        <v>Fall Youssoupha</v>
      </c>
      <c r="C136" s="4" t="str">
        <f>IF([1]ROSTERS!C136="","",[1]ROSTERS!C136)</f>
        <v>Youssoupha Fall</v>
      </c>
      <c r="D136" s="3" t="str">
        <f>IF([1]ROSTERS!D136="","",[1]ROSTERS!D136)</f>
        <v>C</v>
      </c>
      <c r="E136" s="3" t="str">
        <f>IF([1]ROSTERS!E136="","",[1]ROSTERS!E136)</f>
        <v>SEN</v>
      </c>
      <c r="F136" s="3">
        <f>IF([1]ROSTERS!F136="","",[1]ROSTERS!F136)</f>
        <v>221</v>
      </c>
      <c r="G136" s="3">
        <f>IF([1]ROSTERS!G136="","",[1]ROSTERS!G136)</f>
        <v>29</v>
      </c>
      <c r="H136" s="3" t="str">
        <f>IF([1]ROSTERS!H136="","",[1]ROSTERS!H136)</f>
        <v>LDLC ASVEL Villeurbanne</v>
      </c>
      <c r="I136" s="3" t="str">
        <f>IF([1]ROSTERS!I136="","",[1]ROSTERS!I136)</f>
        <v>ASV</v>
      </c>
      <c r="J136" s="3" t="str">
        <f>IF([1]ROSTERS!J136="","",[1]ROSTERS!J136)</f>
        <v>ASV.FallYoussoupha</v>
      </c>
      <c r="K136" s="4" t="str">
        <f>IF([1]ROSTERS!K136="","",[1]ROSTERS!K136)</f>
        <v>ASV.Youssoupha Fall</v>
      </c>
      <c r="L136" s="4" t="str">
        <f>IF([1]ROSTERS!L136="","",[1]ROSTERS!L136)</f>
        <v>Fall Y.</v>
      </c>
      <c r="M136"/>
    </row>
    <row r="137" spans="1:13" s="1" customFormat="1" x14ac:dyDescent="0.25">
      <c r="A137" s="3">
        <f>IF(B137="","",COUNTIF($H$3:H137,H137))</f>
        <v>5</v>
      </c>
      <c r="B137" s="4" t="str">
        <f>IF([1]ROSTERS!B137="","",[1]ROSTERS!B137)</f>
        <v>Jackson Edwin</v>
      </c>
      <c r="C137" s="4" t="str">
        <f>IF([1]ROSTERS!C137="","",[1]ROSTERS!C137)</f>
        <v>Edwin Jackson</v>
      </c>
      <c r="D137" s="3" t="str">
        <f>IF([1]ROSTERS!D137="","",[1]ROSTERS!D137)</f>
        <v>SG</v>
      </c>
      <c r="E137" s="3" t="str">
        <f>IF([1]ROSTERS!E137="","",[1]ROSTERS!E137)</f>
        <v>FRA</v>
      </c>
      <c r="F137" s="3">
        <f>IF([1]ROSTERS!F137="","",[1]ROSTERS!F137)</f>
        <v>190</v>
      </c>
      <c r="G137" s="3">
        <f>IF([1]ROSTERS!G137="","",[1]ROSTERS!G137)</f>
        <v>35</v>
      </c>
      <c r="H137" s="3" t="str">
        <f>IF([1]ROSTERS!H137="","",[1]ROSTERS!H137)</f>
        <v>LDLC ASVEL Villeurbanne</v>
      </c>
      <c r="I137" s="3" t="str">
        <f>IF([1]ROSTERS!I137="","",[1]ROSTERS!I137)</f>
        <v>ASV</v>
      </c>
      <c r="J137" s="3" t="str">
        <f>IF([1]ROSTERS!J137="","",[1]ROSTERS!J137)</f>
        <v>ASV.JacksonEdwin</v>
      </c>
      <c r="K137" s="4" t="str">
        <f>IF([1]ROSTERS!K137="","",[1]ROSTERS!K137)</f>
        <v>ASV.Edwin Jackson</v>
      </c>
      <c r="L137" s="4" t="str">
        <f>IF([1]ROSTERS!L137="","",[1]ROSTERS!L137)</f>
        <v>Jackson E.</v>
      </c>
      <c r="M137"/>
    </row>
    <row r="138" spans="1:13" s="1" customFormat="1" x14ac:dyDescent="0.25">
      <c r="A138" s="3">
        <f>IF(B138="","",COUNTIF($H$3:H138,H138))</f>
        <v>6</v>
      </c>
      <c r="B138" s="4" t="str">
        <f>IF([1]ROSTERS!B138="","",[1]ROSTERS!B138)</f>
        <v>Jackson Frank</v>
      </c>
      <c r="C138" s="4" t="str">
        <f>IF([1]ROSTERS!C138="","",[1]ROSTERS!C138)</f>
        <v>Frank Jackson</v>
      </c>
      <c r="D138" s="3" t="str">
        <f>IF([1]ROSTERS!D138="","",[1]ROSTERS!D138)</f>
        <v>PG</v>
      </c>
      <c r="E138" s="3" t="str">
        <f>IF([1]ROSTERS!E138="","",[1]ROSTERS!E138)</f>
        <v>USA</v>
      </c>
      <c r="F138" s="3">
        <f>IF([1]ROSTERS!F138="","",[1]ROSTERS!F138)</f>
        <v>190</v>
      </c>
      <c r="G138" s="3">
        <f>IF([1]ROSTERS!G138="","",[1]ROSTERS!G138)</f>
        <v>26</v>
      </c>
      <c r="H138" s="3" t="str">
        <f>IF([1]ROSTERS!H138="","",[1]ROSTERS!H138)</f>
        <v>LDLC ASVEL Villeurbanne</v>
      </c>
      <c r="I138" s="3" t="str">
        <f>IF([1]ROSTERS!I138="","",[1]ROSTERS!I138)</f>
        <v>ASV</v>
      </c>
      <c r="J138" s="3" t="str">
        <f>IF([1]ROSTERS!J138="","",[1]ROSTERS!J138)</f>
        <v>ASV.JacksonFrank</v>
      </c>
      <c r="K138" s="4" t="str">
        <f>IF([1]ROSTERS!K138="","",[1]ROSTERS!K138)</f>
        <v>ASV.Frank Jackson</v>
      </c>
      <c r="L138" s="4" t="str">
        <f>IF([1]ROSTERS!L138="","",[1]ROSTERS!L138)</f>
        <v>Jackson F.</v>
      </c>
      <c r="M138"/>
    </row>
    <row r="139" spans="1:13" s="1" customFormat="1" x14ac:dyDescent="0.25">
      <c r="A139" s="3">
        <f>IF(B139="","",COUNTIF($H$3:H139,H139))</f>
        <v>7</v>
      </c>
      <c r="B139" s="4" t="str">
        <f>IF([1]ROSTERS!B139="","",[1]ROSTERS!B139)</f>
        <v>Kahudi Charles</v>
      </c>
      <c r="C139" s="4" t="str">
        <f>IF([1]ROSTERS!C139="","",[1]ROSTERS!C139)</f>
        <v>Charles Kahudi</v>
      </c>
      <c r="D139" s="3" t="str">
        <f>IF([1]ROSTERS!D139="","",[1]ROSTERS!D139)</f>
        <v>F</v>
      </c>
      <c r="E139" s="3" t="str">
        <f>IF([1]ROSTERS!E139="","",[1]ROSTERS!E139)</f>
        <v>FRA</v>
      </c>
      <c r="F139" s="3">
        <f>IF([1]ROSTERS!F139="","",[1]ROSTERS!F139)</f>
        <v>196</v>
      </c>
      <c r="G139" s="3">
        <f>IF([1]ROSTERS!G139="","",[1]ROSTERS!G139)</f>
        <v>38</v>
      </c>
      <c r="H139" s="3" t="str">
        <f>IF([1]ROSTERS!H139="","",[1]ROSTERS!H139)</f>
        <v>LDLC ASVEL Villeurbanne</v>
      </c>
      <c r="I139" s="3" t="str">
        <f>IF([1]ROSTERS!I139="","",[1]ROSTERS!I139)</f>
        <v>ASV</v>
      </c>
      <c r="J139" s="3" t="str">
        <f>IF([1]ROSTERS!J139="","",[1]ROSTERS!J139)</f>
        <v>ASV.KahudiCharles</v>
      </c>
      <c r="K139" s="4" t="str">
        <f>IF([1]ROSTERS!K139="","",[1]ROSTERS!K139)</f>
        <v>ASV.Charles Kahudi</v>
      </c>
      <c r="L139" s="4" t="str">
        <f>IF([1]ROSTERS!L139="","",[1]ROSTERS!L139)</f>
        <v>Kahudi C.</v>
      </c>
      <c r="M139"/>
    </row>
    <row r="140" spans="1:13" s="1" customFormat="1" x14ac:dyDescent="0.25">
      <c r="A140" s="3">
        <f>IF(B140="","",COUNTIF($H$3:H140,H140))</f>
        <v>8</v>
      </c>
      <c r="B140" s="4" t="str">
        <f>IF([1]ROSTERS!B140="","",[1]ROSTERS!B140)</f>
        <v>Lauvergne Joffrey</v>
      </c>
      <c r="C140" s="4" t="str">
        <f>IF([1]ROSTERS!C140="","",[1]ROSTERS!C140)</f>
        <v>Joffrey Lauvergne</v>
      </c>
      <c r="D140" s="3" t="str">
        <f>IF([1]ROSTERS!D140="","",[1]ROSTERS!D140)</f>
        <v>C</v>
      </c>
      <c r="E140" s="3" t="str">
        <f>IF([1]ROSTERS!E140="","",[1]ROSTERS!E140)</f>
        <v>FRA</v>
      </c>
      <c r="F140" s="3">
        <f>IF([1]ROSTERS!F140="","",[1]ROSTERS!F140)</f>
        <v>211</v>
      </c>
      <c r="G140" s="3">
        <f>IF([1]ROSTERS!G140="","",[1]ROSTERS!G140)</f>
        <v>33</v>
      </c>
      <c r="H140" s="3" t="str">
        <f>IF([1]ROSTERS!H140="","",[1]ROSTERS!H140)</f>
        <v>LDLC ASVEL Villeurbanne</v>
      </c>
      <c r="I140" s="3" t="str">
        <f>IF([1]ROSTERS!I140="","",[1]ROSTERS!I140)</f>
        <v>ASV</v>
      </c>
      <c r="J140" s="3" t="str">
        <f>IF([1]ROSTERS!J140="","",[1]ROSTERS!J140)</f>
        <v>ASV.LauvergneJoffrey</v>
      </c>
      <c r="K140" s="4" t="str">
        <f>IF([1]ROSTERS!K140="","",[1]ROSTERS!K140)</f>
        <v>ASV.Joffrey Lauvergne</v>
      </c>
      <c r="L140" s="4" t="str">
        <f>IF([1]ROSTERS!L140="","",[1]ROSTERS!L140)</f>
        <v>Lauvergne J.</v>
      </c>
      <c r="M140"/>
    </row>
    <row r="141" spans="1:13" s="1" customFormat="1" x14ac:dyDescent="0.25">
      <c r="A141" s="3">
        <f>IF(B141="","",COUNTIF($H$3:H141,H141))</f>
        <v>9</v>
      </c>
      <c r="B141" s="4" t="str">
        <f>IF([1]ROSTERS!B141="","",[1]ROSTERS!B141)</f>
        <v>Lee Paris</v>
      </c>
      <c r="C141" s="4" t="str">
        <f>IF([1]ROSTERS!C141="","",[1]ROSTERS!C141)</f>
        <v>Paris Lee</v>
      </c>
      <c r="D141" s="3" t="str">
        <f>IF([1]ROSTERS!D141="","",[1]ROSTERS!D141)</f>
        <v>PG</v>
      </c>
      <c r="E141" s="3" t="str">
        <f>IF([1]ROSTERS!E141="","",[1]ROSTERS!E141)</f>
        <v>USA</v>
      </c>
      <c r="F141" s="3">
        <f>IF([1]ROSTERS!F141="","",[1]ROSTERS!F141)</f>
        <v>183</v>
      </c>
      <c r="G141" s="3">
        <f>IF([1]ROSTERS!G141="","",[1]ROSTERS!G141)</f>
        <v>29</v>
      </c>
      <c r="H141" s="3" t="str">
        <f>IF([1]ROSTERS!H141="","",[1]ROSTERS!H141)</f>
        <v>LDLC ASVEL Villeurbanne</v>
      </c>
      <c r="I141" s="3" t="str">
        <f>IF([1]ROSTERS!I141="","",[1]ROSTERS!I141)</f>
        <v>ASV</v>
      </c>
      <c r="J141" s="3" t="str">
        <f>IF([1]ROSTERS!J141="","",[1]ROSTERS!J141)</f>
        <v>ASV.LeeParis</v>
      </c>
      <c r="K141" s="4" t="str">
        <f>IF([1]ROSTERS!K141="","",[1]ROSTERS!K141)</f>
        <v>ASV.Paris Lee</v>
      </c>
      <c r="L141" s="4" t="str">
        <f>IF([1]ROSTERS!L141="","",[1]ROSTERS!L141)</f>
        <v>Lee P.</v>
      </c>
      <c r="M141"/>
    </row>
    <row r="142" spans="1:13" s="1" customFormat="1" x14ac:dyDescent="0.25">
      <c r="A142" s="3">
        <f>IF(B142="","",COUNTIF($H$3:H142,H142))</f>
        <v>10</v>
      </c>
      <c r="B142" s="4" t="str">
        <f>IF([1]ROSTERS!B142="","",[1]ROSTERS!B142)</f>
        <v>Lighty David</v>
      </c>
      <c r="C142" s="4" t="str">
        <f>IF([1]ROSTERS!C142="","",[1]ROSTERS!C142)</f>
        <v>David Lighty</v>
      </c>
      <c r="D142" s="3" t="str">
        <f>IF([1]ROSTERS!D142="","",[1]ROSTERS!D142)</f>
        <v>F</v>
      </c>
      <c r="E142" s="3" t="str">
        <f>IF([1]ROSTERS!E142="","",[1]ROSTERS!E142)</f>
        <v>USA</v>
      </c>
      <c r="F142" s="3">
        <f>IF([1]ROSTERS!F142="","",[1]ROSTERS!F142)</f>
        <v>195</v>
      </c>
      <c r="G142" s="3">
        <f>IF([1]ROSTERS!G142="","",[1]ROSTERS!G142)</f>
        <v>36</v>
      </c>
      <c r="H142" s="3" t="str">
        <f>IF([1]ROSTERS!H142="","",[1]ROSTERS!H142)</f>
        <v>LDLC ASVEL Villeurbanne</v>
      </c>
      <c r="I142" s="3" t="str">
        <f>IF([1]ROSTERS!I142="","",[1]ROSTERS!I142)</f>
        <v>ASV</v>
      </c>
      <c r="J142" s="3" t="str">
        <f>IF([1]ROSTERS!J142="","",[1]ROSTERS!J142)</f>
        <v>ASV.LightyDavid</v>
      </c>
      <c r="K142" s="4" t="str">
        <f>IF([1]ROSTERS!K142="","",[1]ROSTERS!K142)</f>
        <v>ASV.David Lighty</v>
      </c>
      <c r="L142" s="4" t="str">
        <f>IF([1]ROSTERS!L142="","",[1]ROSTERS!L142)</f>
        <v>Lighty D.</v>
      </c>
      <c r="M142"/>
    </row>
    <row r="143" spans="1:13" s="1" customFormat="1" x14ac:dyDescent="0.25">
      <c r="A143" s="3">
        <f>IF(B143="","",COUNTIF($H$3:H143,H143))</f>
        <v>11</v>
      </c>
      <c r="B143" s="4" t="str">
        <f>IF([1]ROSTERS!B143="","",[1]ROSTERS!B143)</f>
        <v>Luwawu Cabarrot Timothe</v>
      </c>
      <c r="C143" s="4" t="str">
        <f>IF([1]ROSTERS!C143="","",[1]ROSTERS!C143)</f>
        <v>Timothe Luwawu Cabarrot</v>
      </c>
      <c r="D143" s="3" t="str">
        <f>IF([1]ROSTERS!D143="","",[1]ROSTERS!D143)</f>
        <v>SG</v>
      </c>
      <c r="E143" s="3" t="str">
        <f>IF([1]ROSTERS!E143="","",[1]ROSTERS!E143)</f>
        <v>FRA</v>
      </c>
      <c r="F143" s="3">
        <f>IF([1]ROSTERS!F143="","",[1]ROSTERS!F143)</f>
        <v>198</v>
      </c>
      <c r="G143" s="3">
        <f>IF([1]ROSTERS!G143="","",[1]ROSTERS!G143)</f>
        <v>29</v>
      </c>
      <c r="H143" s="3" t="str">
        <f>IF([1]ROSTERS!H143="","",[1]ROSTERS!H143)</f>
        <v>LDLC ASVEL Villeurbanne</v>
      </c>
      <c r="I143" s="3" t="str">
        <f>IF([1]ROSTERS!I143="","",[1]ROSTERS!I143)</f>
        <v>ASV</v>
      </c>
      <c r="J143" s="3" t="str">
        <f>IF([1]ROSTERS!J143="","",[1]ROSTERS!J143)</f>
        <v>ASV.LuwawuCabarrotTimothe</v>
      </c>
      <c r="K143" s="4" t="str">
        <f>IF([1]ROSTERS!K143="","",[1]ROSTERS!K143)</f>
        <v>ASV.Timothe Luwawu Cabarrot</v>
      </c>
      <c r="L143" s="4" t="str">
        <f>IF([1]ROSTERS!L143="","",[1]ROSTERS!L143)</f>
        <v>Luwawu Cabarrot T.</v>
      </c>
      <c r="M143"/>
    </row>
    <row r="144" spans="1:13" s="1" customFormat="1" x14ac:dyDescent="0.25">
      <c r="A144" s="3">
        <f>IF(B144="","",COUNTIF($H$3:H144,H144))</f>
        <v>12</v>
      </c>
      <c r="B144" s="4" t="str">
        <f>IF([1]ROSTERS!B144="","",[1]ROSTERS!B144)</f>
        <v>Ndiaye Mbaye</v>
      </c>
      <c r="C144" s="4" t="str">
        <f>IF([1]ROSTERS!C144="","",[1]ROSTERS!C144)</f>
        <v>Mbaye Ndiaye</v>
      </c>
      <c r="D144" s="3" t="str">
        <f>IF([1]ROSTERS!D144="","",[1]ROSTERS!D144)</f>
        <v>C</v>
      </c>
      <c r="E144" s="3" t="str">
        <f>IF([1]ROSTERS!E144="","",[1]ROSTERS!E144)</f>
        <v>SEN</v>
      </c>
      <c r="F144" s="3">
        <f>IF([1]ROSTERS!F144="","",[1]ROSTERS!F144)</f>
        <v>204</v>
      </c>
      <c r="G144" s="3">
        <f>IF([1]ROSTERS!G144="","",[1]ROSTERS!G144)</f>
        <v>25</v>
      </c>
      <c r="H144" s="3" t="str">
        <f>IF([1]ROSTERS!H144="","",[1]ROSTERS!H144)</f>
        <v>LDLC ASVEL Villeurbanne</v>
      </c>
      <c r="I144" s="3" t="str">
        <f>IF([1]ROSTERS!I144="","",[1]ROSTERS!I144)</f>
        <v>ASV</v>
      </c>
      <c r="J144" s="3" t="str">
        <f>IF([1]ROSTERS!J144="","",[1]ROSTERS!J144)</f>
        <v>ASV.NdiayeMbaye</v>
      </c>
      <c r="K144" s="4" t="str">
        <f>IF([1]ROSTERS!K144="","",[1]ROSTERS!K144)</f>
        <v>ASV.Mbaye Ndiaye</v>
      </c>
      <c r="L144" s="4" t="str">
        <f>IF([1]ROSTERS!L144="","",[1]ROSTERS!L144)</f>
        <v>Ndiaye M.</v>
      </c>
      <c r="M144"/>
    </row>
    <row r="145" spans="1:13" s="1" customFormat="1" x14ac:dyDescent="0.25">
      <c r="A145" s="3">
        <f>IF(B145="","",COUNTIF($H$3:H145,H145))</f>
        <v>13</v>
      </c>
      <c r="B145" s="4" t="str">
        <f>IF([1]ROSTERS!B145="","",[1]ROSTERS!B145)</f>
        <v>Scott Mike</v>
      </c>
      <c r="C145" s="4" t="str">
        <f>IF([1]ROSTERS!C145="","",[1]ROSTERS!C145)</f>
        <v>Mike Scott</v>
      </c>
      <c r="D145" s="3" t="str">
        <f>IF([1]ROSTERS!D145="","",[1]ROSTERS!D145)</f>
        <v>PF</v>
      </c>
      <c r="E145" s="3" t="str">
        <f>IF([1]ROSTERS!E145="","",[1]ROSTERS!E145)</f>
        <v>USA</v>
      </c>
      <c r="F145" s="3">
        <f>IF([1]ROSTERS!F145="","",[1]ROSTERS!F145)</f>
        <v>203</v>
      </c>
      <c r="G145" s="3">
        <f>IF([1]ROSTERS!G145="","",[1]ROSTERS!G145)</f>
        <v>36</v>
      </c>
      <c r="H145" s="3" t="str">
        <f>IF([1]ROSTERS!H145="","",[1]ROSTERS!H145)</f>
        <v>LDLC ASVEL Villeurbanne</v>
      </c>
      <c r="I145" s="3" t="str">
        <f>IF([1]ROSTERS!I145="","",[1]ROSTERS!I145)</f>
        <v>ASV</v>
      </c>
      <c r="J145" s="3" t="str">
        <f>IF([1]ROSTERS!J145="","",[1]ROSTERS!J145)</f>
        <v>ASV.ScottMike</v>
      </c>
      <c r="K145" s="4" t="str">
        <f>IF([1]ROSTERS!K145="","",[1]ROSTERS!K145)</f>
        <v>ASV.Mike Scott</v>
      </c>
      <c r="L145" s="4" t="str">
        <f>IF([1]ROSTERS!L145="","",[1]ROSTERS!L145)</f>
        <v>Scott M.</v>
      </c>
      <c r="M145"/>
    </row>
    <row r="146" spans="1:13" s="1" customFormat="1" x14ac:dyDescent="0.25">
      <c r="A146" s="3">
        <f>IF(B146="","",COUNTIF($H$3:H146,H146))</f>
        <v>14</v>
      </c>
      <c r="B146" s="4" t="str">
        <f>IF([1]ROSTERS!B146="","",[1]ROSTERS!B146)</f>
        <v>Yaacov Noam</v>
      </c>
      <c r="C146" s="4" t="str">
        <f>IF([1]ROSTERS!C146="","",[1]ROSTERS!C146)</f>
        <v>Noam Yaacov</v>
      </c>
      <c r="D146" s="3" t="str">
        <f>IF([1]ROSTERS!D146="","",[1]ROSTERS!D146)</f>
        <v>SG</v>
      </c>
      <c r="E146" s="3" t="str">
        <f>IF([1]ROSTERS!E146="","",[1]ROSTERS!E146)</f>
        <v>DEN</v>
      </c>
      <c r="F146" s="3">
        <f>IF([1]ROSTERS!F146="","",[1]ROSTERS!F146)</f>
        <v>186</v>
      </c>
      <c r="G146" s="3">
        <f>IF([1]ROSTERS!G146="","",[1]ROSTERS!G146)</f>
        <v>20</v>
      </c>
      <c r="H146" s="3" t="str">
        <f>IF([1]ROSTERS!H146="","",[1]ROSTERS!H146)</f>
        <v>LDLC ASVEL Villeurbanne</v>
      </c>
      <c r="I146" s="3" t="str">
        <f>IF([1]ROSTERS!I146="","",[1]ROSTERS!I146)</f>
        <v>ASV</v>
      </c>
      <c r="J146" s="3" t="str">
        <f>IF([1]ROSTERS!J146="","",[1]ROSTERS!J146)</f>
        <v>ASV.YaacovNoam</v>
      </c>
      <c r="K146" s="4" t="str">
        <f>IF([1]ROSTERS!K146="","",[1]ROSTERS!K146)</f>
        <v>ASV.Noam Yaacov</v>
      </c>
      <c r="L146" s="4" t="str">
        <f>IF([1]ROSTERS!L146="","",[1]ROSTERS!L146)</f>
        <v>Yaacov N.</v>
      </c>
      <c r="M146"/>
    </row>
    <row r="147" spans="1:13" s="1" customFormat="1" x14ac:dyDescent="0.25">
      <c r="A147" s="3">
        <f>IF(B147="","",COUNTIF($H$3:H147,H147))</f>
        <v>1</v>
      </c>
      <c r="B147" s="4" t="str">
        <f>IF([1]ROSTERS!B147="","",[1]ROSTERS!B147)</f>
        <v>Baldwin Wade</v>
      </c>
      <c r="C147" s="4" t="str">
        <f>IF([1]ROSTERS!C147="","",[1]ROSTERS!C147)</f>
        <v>Wade Baldwin</v>
      </c>
      <c r="D147" s="3" t="str">
        <f>IF([1]ROSTERS!D147="","",[1]ROSTERS!D147)</f>
        <v>PG/SG</v>
      </c>
      <c r="E147" s="3" t="str">
        <f>IF([1]ROSTERS!E147="","",[1]ROSTERS!E147)</f>
        <v>USA</v>
      </c>
      <c r="F147" s="3">
        <f>IF([1]ROSTERS!F147="","",[1]ROSTERS!F147)</f>
        <v>193</v>
      </c>
      <c r="G147" s="3">
        <f>IF([1]ROSTERS!G147="","",[1]ROSTERS!G147)</f>
        <v>28</v>
      </c>
      <c r="H147" s="3" t="str">
        <f>IF([1]ROSTERS!H147="","",[1]ROSTERS!H147)</f>
        <v>Maccabi Playtika Tel Aviv</v>
      </c>
      <c r="I147" s="3" t="str">
        <f>IF([1]ROSTERS!I147="","",[1]ROSTERS!I147)</f>
        <v>MTA</v>
      </c>
      <c r="J147" s="3" t="str">
        <f>IF([1]ROSTERS!J147="","",[1]ROSTERS!J147)</f>
        <v>MTA.BaldwinWade</v>
      </c>
      <c r="K147" s="4" t="str">
        <f>IF([1]ROSTERS!K147="","",[1]ROSTERS!K147)</f>
        <v>MTA.Wade Baldwin</v>
      </c>
      <c r="L147" s="4" t="str">
        <f>IF([1]ROSTERS!L147="","",[1]ROSTERS!L147)</f>
        <v>Baldwin W.</v>
      </c>
      <c r="M147"/>
    </row>
    <row r="148" spans="1:13" s="1" customFormat="1" x14ac:dyDescent="0.25">
      <c r="A148" s="3">
        <f>IF(B148="","",COUNTIF($H$3:H148,H148))</f>
        <v>2</v>
      </c>
      <c r="B148" s="4" t="str">
        <f>IF([1]ROSTERS!B148="","",[1]ROSTERS!B148)</f>
        <v>Blatt Tamir</v>
      </c>
      <c r="C148" s="4" t="str">
        <f>IF([1]ROSTERS!C148="","",[1]ROSTERS!C148)</f>
        <v>Tamir Blatt</v>
      </c>
      <c r="D148" s="3" t="str">
        <f>IF([1]ROSTERS!D148="","",[1]ROSTERS!D148)</f>
        <v>SG</v>
      </c>
      <c r="E148" s="3" t="str">
        <f>IF([1]ROSTERS!E148="","",[1]ROSTERS!E148)</f>
        <v>USA</v>
      </c>
      <c r="F148" s="3">
        <f>IF([1]ROSTERS!F148="","",[1]ROSTERS!F148)</f>
        <v>185</v>
      </c>
      <c r="G148" s="3">
        <f>IF([1]ROSTERS!G148="","",[1]ROSTERS!G148)</f>
        <v>27</v>
      </c>
      <c r="H148" s="3" t="str">
        <f>IF([1]ROSTERS!H148="","",[1]ROSTERS!H148)</f>
        <v>Maccabi Playtika Tel Aviv</v>
      </c>
      <c r="I148" s="3" t="str">
        <f>IF([1]ROSTERS!I148="","",[1]ROSTERS!I148)</f>
        <v>MTA</v>
      </c>
      <c r="J148" s="3" t="str">
        <f>IF([1]ROSTERS!J148="","",[1]ROSTERS!J148)</f>
        <v>MTA.BlattTamir</v>
      </c>
      <c r="K148" s="4" t="str">
        <f>IF([1]ROSTERS!K148="","",[1]ROSTERS!K148)</f>
        <v>MTA.Tamir Blatt</v>
      </c>
      <c r="L148" s="4" t="str">
        <f>IF([1]ROSTERS!L148="","",[1]ROSTERS!L148)</f>
        <v>Blatt T.</v>
      </c>
      <c r="M148"/>
    </row>
    <row r="149" spans="1:13" s="1" customFormat="1" x14ac:dyDescent="0.25">
      <c r="A149" s="3">
        <f>IF(B149="","",COUNTIF($H$3:H149,H149))</f>
        <v>3</v>
      </c>
      <c r="B149" s="4" t="str">
        <f>IF([1]ROSTERS!B149="","",[1]ROSTERS!B149)</f>
        <v>Brown Lorenzo</v>
      </c>
      <c r="C149" s="4" t="str">
        <f>IF([1]ROSTERS!C149="","",[1]ROSTERS!C149)</f>
        <v>Lorenzo Brown</v>
      </c>
      <c r="D149" s="3" t="str">
        <f>IF([1]ROSTERS!D149="","",[1]ROSTERS!D149)</f>
        <v>PG</v>
      </c>
      <c r="E149" s="3" t="str">
        <f>IF([1]ROSTERS!E149="","",[1]ROSTERS!E149)</f>
        <v>USA</v>
      </c>
      <c r="F149" s="3">
        <f>IF([1]ROSTERS!F149="","",[1]ROSTERS!F149)</f>
        <v>196</v>
      </c>
      <c r="G149" s="3">
        <f>IF([1]ROSTERS!G149="","",[1]ROSTERS!G149)</f>
        <v>34</v>
      </c>
      <c r="H149" s="3" t="str">
        <f>IF([1]ROSTERS!H149="","",[1]ROSTERS!H149)</f>
        <v>Maccabi Playtika Tel Aviv</v>
      </c>
      <c r="I149" s="3" t="str">
        <f>IF([1]ROSTERS!I149="","",[1]ROSTERS!I149)</f>
        <v>MTA</v>
      </c>
      <c r="J149" s="3" t="str">
        <f>IF([1]ROSTERS!J149="","",[1]ROSTERS!J149)</f>
        <v>MTA.BrownLorenzo</v>
      </c>
      <c r="K149" s="4" t="str">
        <f>IF([1]ROSTERS!K149="","",[1]ROSTERS!K149)</f>
        <v>MTA.Lorenzo Brown</v>
      </c>
      <c r="L149" s="4" t="str">
        <f>IF([1]ROSTERS!L149="","",[1]ROSTERS!L149)</f>
        <v>Brown L.</v>
      </c>
      <c r="M149"/>
    </row>
    <row r="150" spans="1:13" s="1" customFormat="1" x14ac:dyDescent="0.25">
      <c r="A150" s="3">
        <f>IF(B150="","",COUNTIF($H$3:H150,H150))</f>
        <v>4</v>
      </c>
      <c r="B150" s="4" t="str">
        <f>IF([1]ROSTERS!B150="","",[1]ROSTERS!B150)</f>
        <v>Cleveland Antonius</v>
      </c>
      <c r="C150" s="4" t="str">
        <f>IF([1]ROSTERS!C150="","",[1]ROSTERS!C150)</f>
        <v>Antonius Cleveland</v>
      </c>
      <c r="D150" s="3" t="str">
        <f>IF([1]ROSTERS!D150="","",[1]ROSTERS!D150)</f>
        <v>SG</v>
      </c>
      <c r="E150" s="3" t="str">
        <f>IF([1]ROSTERS!E150="","",[1]ROSTERS!E150)</f>
        <v>USA</v>
      </c>
      <c r="F150" s="3">
        <f>IF([1]ROSTERS!F150="","",[1]ROSTERS!F150)</f>
        <v>196</v>
      </c>
      <c r="G150" s="3">
        <f>IF([1]ROSTERS!G150="","",[1]ROSTERS!G150)</f>
        <v>30</v>
      </c>
      <c r="H150" s="3" t="str">
        <f>IF([1]ROSTERS!H150="","",[1]ROSTERS!H150)</f>
        <v>Maccabi Playtika Tel Aviv</v>
      </c>
      <c r="I150" s="3" t="str">
        <f>IF([1]ROSTERS!I150="","",[1]ROSTERS!I150)</f>
        <v>MTA</v>
      </c>
      <c r="J150" s="3" t="str">
        <f>IF([1]ROSTERS!J150="","",[1]ROSTERS!J150)</f>
        <v>MTA.ClevelandAntonius</v>
      </c>
      <c r="K150" s="4" t="str">
        <f>IF([1]ROSTERS!K150="","",[1]ROSTERS!K150)</f>
        <v>MTA.Antonius Cleveland</v>
      </c>
      <c r="L150" s="4" t="str">
        <f>IF([1]ROSTERS!L150="","",[1]ROSTERS!L150)</f>
        <v>Cleveland A.</v>
      </c>
      <c r="M150"/>
    </row>
    <row r="151" spans="1:13" s="1" customFormat="1" x14ac:dyDescent="0.25">
      <c r="A151" s="3">
        <f>IF(B151="","",COUNTIF($H$3:H151,H151))</f>
        <v>5</v>
      </c>
      <c r="B151" s="4" t="str">
        <f>IF([1]ROSTERS!B151="","",[1]ROSTERS!B151)</f>
        <v>Cohen Jake</v>
      </c>
      <c r="C151" s="4" t="str">
        <f>IF([1]ROSTERS!C151="","",[1]ROSTERS!C151)</f>
        <v>Jake Cohen</v>
      </c>
      <c r="D151" s="3" t="str">
        <f>IF([1]ROSTERS!D151="","",[1]ROSTERS!D151)</f>
        <v>C</v>
      </c>
      <c r="E151" s="3" t="str">
        <f>IF([1]ROSTERS!E151="","",[1]ROSTERS!E151)</f>
        <v>ISR</v>
      </c>
      <c r="F151" s="3">
        <f>IF([1]ROSTERS!F151="","",[1]ROSTERS!F151)</f>
        <v>210</v>
      </c>
      <c r="G151" s="3">
        <f>IF([1]ROSTERS!G151="","",[1]ROSTERS!G151)</f>
        <v>34</v>
      </c>
      <c r="H151" s="3" t="str">
        <f>IF([1]ROSTERS!H151="","",[1]ROSTERS!H151)</f>
        <v>Maccabi Playtika Tel Aviv</v>
      </c>
      <c r="I151" s="3" t="str">
        <f>IF([1]ROSTERS!I151="","",[1]ROSTERS!I151)</f>
        <v>MTA</v>
      </c>
      <c r="J151" s="3" t="str">
        <f>IF([1]ROSTERS!J151="","",[1]ROSTERS!J151)</f>
        <v>MTA.CohenJake</v>
      </c>
      <c r="K151" s="4" t="str">
        <f>IF([1]ROSTERS!K151="","",[1]ROSTERS!K151)</f>
        <v>MTA.Jake Cohen</v>
      </c>
      <c r="L151" s="4" t="str">
        <f>IF([1]ROSTERS!L151="","",[1]ROSTERS!L151)</f>
        <v>Cohen J.</v>
      </c>
      <c r="M151"/>
    </row>
    <row r="152" spans="1:13" s="1" customFormat="1" x14ac:dyDescent="0.25">
      <c r="A152" s="3">
        <f>IF(B152="","",COUNTIF($H$3:H152,H152))</f>
        <v>6</v>
      </c>
      <c r="B152" s="4" t="str">
        <f>IF([1]ROSTERS!B152="","",[1]ROSTERS!B152)</f>
        <v>Colson Bonzie</v>
      </c>
      <c r="C152" s="4" t="str">
        <f>IF([1]ROSTERS!C152="","",[1]ROSTERS!C152)</f>
        <v>Bonzie Colson</v>
      </c>
      <c r="D152" s="3" t="str">
        <f>IF([1]ROSTERS!D152="","",[1]ROSTERS!D152)</f>
        <v>F/PF</v>
      </c>
      <c r="E152" s="3" t="str">
        <f>IF([1]ROSTERS!E152="","",[1]ROSTERS!E152)</f>
        <v>USA</v>
      </c>
      <c r="F152" s="3">
        <f>IF([1]ROSTERS!F152="","",[1]ROSTERS!F152)</f>
        <v>198</v>
      </c>
      <c r="G152" s="3">
        <f>IF([1]ROSTERS!G152="","",[1]ROSTERS!G152)</f>
        <v>28</v>
      </c>
      <c r="H152" s="3" t="str">
        <f>IF([1]ROSTERS!H152="","",[1]ROSTERS!H152)</f>
        <v>Maccabi Playtika Tel Aviv</v>
      </c>
      <c r="I152" s="3" t="str">
        <f>IF([1]ROSTERS!I152="","",[1]ROSTERS!I152)</f>
        <v>MTA</v>
      </c>
      <c r="J152" s="3" t="str">
        <f>IF([1]ROSTERS!J152="","",[1]ROSTERS!J152)</f>
        <v>MTA.ColsonBonzie</v>
      </c>
      <c r="K152" s="4" t="str">
        <f>IF([1]ROSTERS!K152="","",[1]ROSTERS!K152)</f>
        <v>MTA.Bonzie Colson</v>
      </c>
      <c r="L152" s="4" t="str">
        <f>IF([1]ROSTERS!L152="","",[1]ROSTERS!L152)</f>
        <v>Colson B.</v>
      </c>
      <c r="M152"/>
    </row>
    <row r="153" spans="1:13" s="1" customFormat="1" x14ac:dyDescent="0.25">
      <c r="A153" s="3">
        <f>IF(B153="","",COUNTIF($H$3:H153,H153))</f>
        <v>7</v>
      </c>
      <c r="B153" s="4" t="str">
        <f>IF([1]ROSTERS!B153="","",[1]ROSTERS!B153)</f>
        <v>Dibartolomeo John</v>
      </c>
      <c r="C153" s="4" t="str">
        <f>IF([1]ROSTERS!C153="","",[1]ROSTERS!C153)</f>
        <v>John Dibartolomeo</v>
      </c>
      <c r="D153" s="3" t="str">
        <f>IF([1]ROSTERS!D153="","",[1]ROSTERS!D153)</f>
        <v>SG</v>
      </c>
      <c r="E153" s="3" t="str">
        <f>IF([1]ROSTERS!E153="","",[1]ROSTERS!E153)</f>
        <v>ISR</v>
      </c>
      <c r="F153" s="3">
        <f>IF([1]ROSTERS!F153="","",[1]ROSTERS!F153)</f>
        <v>183</v>
      </c>
      <c r="G153" s="3">
        <f>IF([1]ROSTERS!G153="","",[1]ROSTERS!G153)</f>
        <v>33</v>
      </c>
      <c r="H153" s="3" t="str">
        <f>IF([1]ROSTERS!H153="","",[1]ROSTERS!H153)</f>
        <v>Maccabi Playtika Tel Aviv</v>
      </c>
      <c r="I153" s="3" t="str">
        <f>IF([1]ROSTERS!I153="","",[1]ROSTERS!I153)</f>
        <v>MTA</v>
      </c>
      <c r="J153" s="3" t="str">
        <f>IF([1]ROSTERS!J153="","",[1]ROSTERS!J153)</f>
        <v>MTA.DibartolomeoJohn</v>
      </c>
      <c r="K153" s="4" t="str">
        <f>IF([1]ROSTERS!K153="","",[1]ROSTERS!K153)</f>
        <v>MTA.John Dibartolomeo</v>
      </c>
      <c r="L153" s="4" t="str">
        <f>IF([1]ROSTERS!L153="","",[1]ROSTERS!L153)</f>
        <v>Dibartolomeo J.</v>
      </c>
      <c r="M153"/>
    </row>
    <row r="154" spans="1:13" s="1" customFormat="1" x14ac:dyDescent="0.25">
      <c r="A154" s="3">
        <f>IF(B154="","",COUNTIF($H$3:H154,H154))</f>
        <v>8</v>
      </c>
      <c r="B154" s="4" t="str">
        <f>IF([1]ROSTERS!B154="","",[1]ROSTERS!B154)</f>
        <v>Mayer Omer</v>
      </c>
      <c r="C154" s="4" t="str">
        <f>IF([1]ROSTERS!C154="","",[1]ROSTERS!C154)</f>
        <v>Omer Mayer</v>
      </c>
      <c r="D154" s="3" t="str">
        <f>IF([1]ROSTERS!D154="","",[1]ROSTERS!D154)</f>
        <v>PG</v>
      </c>
      <c r="E154" s="3" t="str">
        <f>IF([1]ROSTERS!E154="","",[1]ROSTERS!E154)</f>
        <v>ISR</v>
      </c>
      <c r="F154" s="3">
        <f>IF([1]ROSTERS!F154="","",[1]ROSTERS!F154)</f>
        <v>190</v>
      </c>
      <c r="G154" s="3">
        <f>IF([1]ROSTERS!G154="","",[1]ROSTERS!G154)</f>
        <v>18</v>
      </c>
      <c r="H154" s="3" t="str">
        <f>IF([1]ROSTERS!H154="","",[1]ROSTERS!H154)</f>
        <v>Maccabi Playtika Tel Aviv</v>
      </c>
      <c r="I154" s="3" t="str">
        <f>IF([1]ROSTERS!I154="","",[1]ROSTERS!I154)</f>
        <v>MTA</v>
      </c>
      <c r="J154" s="3" t="str">
        <f>IF([1]ROSTERS!J154="","",[1]ROSTERS!J154)</f>
        <v>MTA.MayerOmer</v>
      </c>
      <c r="K154" s="4" t="str">
        <f>IF([1]ROSTERS!K154="","",[1]ROSTERS!K154)</f>
        <v>MTA.Omer Mayer</v>
      </c>
      <c r="L154" s="4" t="str">
        <f>IF([1]ROSTERS!L154="","",[1]ROSTERS!L154)</f>
        <v>Mayer O.</v>
      </c>
      <c r="M154"/>
    </row>
    <row r="155" spans="1:13" s="1" customFormat="1" x14ac:dyDescent="0.25">
      <c r="A155" s="3">
        <f>IF(B155="","",COUNTIF($H$3:H155,H155))</f>
        <v>9</v>
      </c>
      <c r="B155" s="4" t="str">
        <f>IF([1]ROSTERS!B155="","",[1]ROSTERS!B155)</f>
        <v>Menco Rafi</v>
      </c>
      <c r="C155" s="4" t="str">
        <f>IF([1]ROSTERS!C155="","",[1]ROSTERS!C155)</f>
        <v>Rafi Menco</v>
      </c>
      <c r="D155" s="3" t="str">
        <f>IF([1]ROSTERS!D155="","",[1]ROSTERS!D155)</f>
        <v>F</v>
      </c>
      <c r="E155" s="3" t="str">
        <f>IF([1]ROSTERS!E155="","",[1]ROSTERS!E155)</f>
        <v>ISR</v>
      </c>
      <c r="F155" s="3">
        <f>IF([1]ROSTERS!F155="","",[1]ROSTERS!F155)</f>
        <v>198</v>
      </c>
      <c r="G155" s="3">
        <f>IF([1]ROSTERS!G155="","",[1]ROSTERS!G155)</f>
        <v>30</v>
      </c>
      <c r="H155" s="3" t="str">
        <f>IF([1]ROSTERS!H155="","",[1]ROSTERS!H155)</f>
        <v>Maccabi Playtika Tel Aviv</v>
      </c>
      <c r="I155" s="3" t="str">
        <f>IF([1]ROSTERS!I155="","",[1]ROSTERS!I155)</f>
        <v>MTA</v>
      </c>
      <c r="J155" s="3" t="str">
        <f>IF([1]ROSTERS!J155="","",[1]ROSTERS!J155)</f>
        <v>MTA.MencoRafi</v>
      </c>
      <c r="K155" s="4" t="str">
        <f>IF([1]ROSTERS!K155="","",[1]ROSTERS!K155)</f>
        <v>MTA.Rafi Menco</v>
      </c>
      <c r="L155" s="4" t="str">
        <f>IF([1]ROSTERS!L155="","",[1]ROSTERS!L155)</f>
        <v>Menco R.</v>
      </c>
      <c r="M155"/>
    </row>
    <row r="156" spans="1:13" s="1" customFormat="1" x14ac:dyDescent="0.25">
      <c r="A156" s="3">
        <f>IF(B156="","",COUNTIF($H$3:H156,H156))</f>
        <v>10</v>
      </c>
      <c r="B156" s="4" t="str">
        <f>IF([1]ROSTERS!B156="","",[1]ROSTERS!B156)</f>
        <v>Nebo Josh</v>
      </c>
      <c r="C156" s="4" t="str">
        <f>IF([1]ROSTERS!C156="","",[1]ROSTERS!C156)</f>
        <v>Josh Nebo</v>
      </c>
      <c r="D156" s="3" t="str">
        <f>IF([1]ROSTERS!D156="","",[1]ROSTERS!D156)</f>
        <v>C</v>
      </c>
      <c r="E156" s="3" t="str">
        <f>IF([1]ROSTERS!E156="","",[1]ROSTERS!E156)</f>
        <v>USA</v>
      </c>
      <c r="F156" s="3">
        <f>IF([1]ROSTERS!F156="","",[1]ROSTERS!F156)</f>
        <v>206</v>
      </c>
      <c r="G156" s="3">
        <f>IF([1]ROSTERS!G156="","",[1]ROSTERS!G156)</f>
        <v>27</v>
      </c>
      <c r="H156" s="3" t="str">
        <f>IF([1]ROSTERS!H156="","",[1]ROSTERS!H156)</f>
        <v>Maccabi Playtika Tel Aviv</v>
      </c>
      <c r="I156" s="3" t="str">
        <f>IF([1]ROSTERS!I156="","",[1]ROSTERS!I156)</f>
        <v>MTA</v>
      </c>
      <c r="J156" s="3" t="str">
        <f>IF([1]ROSTERS!J156="","",[1]ROSTERS!J156)</f>
        <v>MTA.NeboJosh</v>
      </c>
      <c r="K156" s="4" t="str">
        <f>IF([1]ROSTERS!K156="","",[1]ROSTERS!K156)</f>
        <v>MTA.Josh Nebo</v>
      </c>
      <c r="L156" s="4" t="str">
        <f>IF([1]ROSTERS!L156="","",[1]ROSTERS!L156)</f>
        <v>Nebo J.</v>
      </c>
      <c r="M156"/>
    </row>
    <row r="157" spans="1:13" s="1" customFormat="1" x14ac:dyDescent="0.25">
      <c r="A157" s="3">
        <f>IF(B157="","",COUNTIF($H$3:H157,H157))</f>
        <v>11</v>
      </c>
      <c r="B157" s="4" t="str">
        <f>IF([1]ROSTERS!B157="","",[1]ROSTERS!B157)</f>
        <v>Rivero Jasiel</v>
      </c>
      <c r="C157" s="4" t="str">
        <f>IF([1]ROSTERS!C157="","",[1]ROSTERS!C157)</f>
        <v>Jasiel Rivero</v>
      </c>
      <c r="D157" s="3" t="str">
        <f>IF([1]ROSTERS!D157="","",[1]ROSTERS!D157)</f>
        <v>C</v>
      </c>
      <c r="E157" s="3" t="str">
        <f>IF([1]ROSTERS!E157="","",[1]ROSTERS!E157)</f>
        <v>CUB</v>
      </c>
      <c r="F157" s="3">
        <f>IF([1]ROSTERS!F157="","",[1]ROSTERS!F157)</f>
        <v>206</v>
      </c>
      <c r="G157" s="3">
        <f>IF([1]ROSTERS!G157="","",[1]ROSTERS!G157)</f>
        <v>31</v>
      </c>
      <c r="H157" s="3" t="str">
        <f>IF([1]ROSTERS!H157="","",[1]ROSTERS!H157)</f>
        <v>Maccabi Playtika Tel Aviv</v>
      </c>
      <c r="I157" s="3" t="str">
        <f>IF([1]ROSTERS!I157="","",[1]ROSTERS!I157)</f>
        <v>MTA</v>
      </c>
      <c r="J157" s="3" t="str">
        <f>IF([1]ROSTERS!J157="","",[1]ROSTERS!J157)</f>
        <v>MTA.RiveroJasiel</v>
      </c>
      <c r="K157" s="4" t="str">
        <f>IF([1]ROSTERS!K157="","",[1]ROSTERS!K157)</f>
        <v>MTA.Jasiel Rivero</v>
      </c>
      <c r="L157" s="4" t="str">
        <f>IF([1]ROSTERS!L157="","",[1]ROSTERS!L157)</f>
        <v>Rivero J.</v>
      </c>
      <c r="M157"/>
    </row>
    <row r="158" spans="1:13" s="1" customFormat="1" x14ac:dyDescent="0.25">
      <c r="A158" s="3">
        <f>IF(B158="","",COUNTIF($H$3:H158,H158))</f>
        <v>12</v>
      </c>
      <c r="B158" s="4" t="str">
        <f>IF([1]ROSTERS!B158="","",[1]ROSTERS!B158)</f>
        <v>Sorkin Roman</v>
      </c>
      <c r="C158" s="4" t="str">
        <f>IF([1]ROSTERS!C158="","",[1]ROSTERS!C158)</f>
        <v>Roman Sorkin</v>
      </c>
      <c r="D158" s="3" t="str">
        <f>IF([1]ROSTERS!D158="","",[1]ROSTERS!D158)</f>
        <v>PF</v>
      </c>
      <c r="E158" s="3" t="str">
        <f>IF([1]ROSTERS!E158="","",[1]ROSTERS!E158)</f>
        <v>ISR</v>
      </c>
      <c r="F158" s="3">
        <f>IF([1]ROSTERS!F158="","",[1]ROSTERS!F158)</f>
        <v>208</v>
      </c>
      <c r="G158" s="3">
        <f>IF([1]ROSTERS!G158="","",[1]ROSTERS!G158)</f>
        <v>28</v>
      </c>
      <c r="H158" s="3" t="str">
        <f>IF([1]ROSTERS!H158="","",[1]ROSTERS!H158)</f>
        <v>Maccabi Playtika Tel Aviv</v>
      </c>
      <c r="I158" s="3" t="str">
        <f>IF([1]ROSTERS!I158="","",[1]ROSTERS!I158)</f>
        <v>MTA</v>
      </c>
      <c r="J158" s="3" t="str">
        <f>IF([1]ROSTERS!J158="","",[1]ROSTERS!J158)</f>
        <v>MTA.SorkinRoman</v>
      </c>
      <c r="K158" s="4" t="str">
        <f>IF([1]ROSTERS!K158="","",[1]ROSTERS!K158)</f>
        <v>MTA.Roman Sorkin</v>
      </c>
      <c r="L158" s="4" t="str">
        <f>IF([1]ROSTERS!L158="","",[1]ROSTERS!L158)</f>
        <v>Sorkin R.</v>
      </c>
      <c r="M158"/>
    </row>
    <row r="159" spans="1:13" s="1" customFormat="1" x14ac:dyDescent="0.25">
      <c r="A159" s="3">
        <f>IF(B159="","",COUNTIF($H$3:H159,H159))</f>
        <v>13</v>
      </c>
      <c r="B159" s="4" t="str">
        <f>IF([1]ROSTERS!B159="","",[1]ROSTERS!B159)</f>
        <v>Webb James</v>
      </c>
      <c r="C159" s="4" t="str">
        <f>IF([1]ROSTERS!C159="","",[1]ROSTERS!C159)</f>
        <v>James Webb</v>
      </c>
      <c r="D159" s="3" t="str">
        <f>IF([1]ROSTERS!D159="","",[1]ROSTERS!D159)</f>
        <v>F/PF</v>
      </c>
      <c r="E159" s="3" t="str">
        <f>IF([1]ROSTERS!E159="","",[1]ROSTERS!E159)</f>
        <v>USA</v>
      </c>
      <c r="F159" s="3">
        <f>IF([1]ROSTERS!F159="","",[1]ROSTERS!F159)</f>
        <v>206</v>
      </c>
      <c r="G159" s="3">
        <f>IF([1]ROSTERS!G159="","",[1]ROSTERS!G159)</f>
        <v>31</v>
      </c>
      <c r="H159" s="3" t="str">
        <f>IF([1]ROSTERS!H159="","",[1]ROSTERS!H159)</f>
        <v>Maccabi Playtika Tel Aviv</v>
      </c>
      <c r="I159" s="3" t="str">
        <f>IF([1]ROSTERS!I159="","",[1]ROSTERS!I159)</f>
        <v>MTA</v>
      </c>
      <c r="J159" s="3" t="str">
        <f>IF([1]ROSTERS!J159="","",[1]ROSTERS!J159)</f>
        <v>MTA.WebbJames</v>
      </c>
      <c r="K159" s="4" t="str">
        <f>IF([1]ROSTERS!K159="","",[1]ROSTERS!K159)</f>
        <v>MTA.James Webb</v>
      </c>
      <c r="L159" s="4" t="str">
        <f>IF([1]ROSTERS!L159="","",[1]ROSTERS!L159)</f>
        <v>Webb J.</v>
      </c>
      <c r="M159"/>
    </row>
    <row r="160" spans="1:13" s="1" customFormat="1" x14ac:dyDescent="0.25">
      <c r="A160" s="3">
        <f>IF(B160="","",COUNTIF($H$3:H160,H160))</f>
        <v>1</v>
      </c>
      <c r="B160" s="4" t="str">
        <f>IF([1]ROSTERS!B160="","",[1]ROSTERS!B160)</f>
        <v>Abosi Veniamin</v>
      </c>
      <c r="C160" s="4" t="str">
        <f>IF([1]ROSTERS!C160="","",[1]ROSTERS!C160)</f>
        <v>Veniamin Abosi</v>
      </c>
      <c r="D160" s="3" t="str">
        <f>IF([1]ROSTERS!D160="","",[1]ROSTERS!D160)</f>
        <v>F</v>
      </c>
      <c r="E160" s="3" t="str">
        <f>IF([1]ROSTERS!E160="","",[1]ROSTERS!E160)</f>
        <v>GRE</v>
      </c>
      <c r="F160" s="3">
        <f>IF([1]ROSTERS!F160="","",[1]ROSTERS!F160)</f>
        <v>194</v>
      </c>
      <c r="G160" s="3">
        <f>IF([1]ROSTERS!G160="","",[1]ROSTERS!G160)</f>
        <v>18</v>
      </c>
      <c r="H160" s="3" t="str">
        <f>IF([1]ROSTERS!H160="","",[1]ROSTERS!H160)</f>
        <v>Olympiacos Piraeus</v>
      </c>
      <c r="I160" s="3" t="str">
        <f>IF([1]ROSTERS!I160="","",[1]ROSTERS!I160)</f>
        <v>OLY</v>
      </c>
      <c r="J160" s="3" t="str">
        <f>IF([1]ROSTERS!J160="","",[1]ROSTERS!J160)</f>
        <v>OLY.AbosiVeniamin</v>
      </c>
      <c r="K160" s="4" t="str">
        <f>IF([1]ROSTERS!K160="","",[1]ROSTERS!K160)</f>
        <v>OLY.Veniamin Abosi</v>
      </c>
      <c r="L160" s="4" t="str">
        <f>IF([1]ROSTERS!L160="","",[1]ROSTERS!L160)</f>
        <v>Abosi V.</v>
      </c>
      <c r="M160"/>
    </row>
    <row r="161" spans="1:13" s="1" customFormat="1" x14ac:dyDescent="0.25">
      <c r="A161" s="3">
        <f>IF(B161="","",COUNTIF($H$3:H161,H161))</f>
        <v>2</v>
      </c>
      <c r="B161" s="4" t="str">
        <f>IF([1]ROSTERS!B161="","",[1]ROSTERS!B161)</f>
        <v>Brazdeikis Ignas</v>
      </c>
      <c r="C161" s="4" t="str">
        <f>IF([1]ROSTERS!C161="","",[1]ROSTERS!C161)</f>
        <v>Ignas Brazdeikis</v>
      </c>
      <c r="D161" s="3" t="str">
        <f>IF([1]ROSTERS!D161="","",[1]ROSTERS!D161)</f>
        <v>F</v>
      </c>
      <c r="E161" s="3" t="str">
        <f>IF([1]ROSTERS!E161="","",[1]ROSTERS!E161)</f>
        <v>LTU</v>
      </c>
      <c r="F161" s="3">
        <f>IF([1]ROSTERS!F161="","",[1]ROSTERS!F161)</f>
        <v>198</v>
      </c>
      <c r="G161" s="3">
        <f>IF([1]ROSTERS!G161="","",[1]ROSTERS!G161)</f>
        <v>25</v>
      </c>
      <c r="H161" s="3" t="str">
        <f>IF([1]ROSTERS!H161="","",[1]ROSTERS!H161)</f>
        <v>Olympiacos Piraeus</v>
      </c>
      <c r="I161" s="3" t="str">
        <f>IF([1]ROSTERS!I161="","",[1]ROSTERS!I161)</f>
        <v>OLY</v>
      </c>
      <c r="J161" s="3" t="str">
        <f>IF([1]ROSTERS!J161="","",[1]ROSTERS!J161)</f>
        <v>OLY.BrazdeikisIgnas</v>
      </c>
      <c r="K161" s="4" t="str">
        <f>IF([1]ROSTERS!K161="","",[1]ROSTERS!K161)</f>
        <v>OLY.Ignas Brazdeikis</v>
      </c>
      <c r="L161" s="4" t="str">
        <f>IF([1]ROSTERS!L161="","",[1]ROSTERS!L161)</f>
        <v>Brazdeikis I.</v>
      </c>
      <c r="M161"/>
    </row>
    <row r="162" spans="1:13" s="1" customFormat="1" x14ac:dyDescent="0.25">
      <c r="A162" s="3">
        <f>IF(B162="","",COUNTIF($H$3:H162,H162))</f>
        <v>3</v>
      </c>
      <c r="B162" s="4" t="str">
        <f>IF([1]ROSTERS!B162="","",[1]ROSTERS!B162)</f>
        <v>Canaan Isaiah</v>
      </c>
      <c r="C162" s="4" t="str">
        <f>IF([1]ROSTERS!C162="","",[1]ROSTERS!C162)</f>
        <v>Isaiah Canaan</v>
      </c>
      <c r="D162" s="3" t="str">
        <f>IF([1]ROSTERS!D162="","",[1]ROSTERS!D162)</f>
        <v>PG</v>
      </c>
      <c r="E162" s="3" t="str">
        <f>IF([1]ROSTERS!E162="","",[1]ROSTERS!E162)</f>
        <v>USA</v>
      </c>
      <c r="F162" s="3">
        <f>IF([1]ROSTERS!F162="","",[1]ROSTERS!F162)</f>
        <v>183</v>
      </c>
      <c r="G162" s="3">
        <f>IF([1]ROSTERS!G162="","",[1]ROSTERS!G162)</f>
        <v>33</v>
      </c>
      <c r="H162" s="3" t="str">
        <f>IF([1]ROSTERS!H162="","",[1]ROSTERS!H162)</f>
        <v>Olympiacos Piraeus</v>
      </c>
      <c r="I162" s="3" t="str">
        <f>IF([1]ROSTERS!I162="","",[1]ROSTERS!I162)</f>
        <v>OLY</v>
      </c>
      <c r="J162" s="3" t="str">
        <f>IF([1]ROSTERS!J162="","",[1]ROSTERS!J162)</f>
        <v>OLY.CanaanIsaiah</v>
      </c>
      <c r="K162" s="4" t="str">
        <f>IF([1]ROSTERS!K162="","",[1]ROSTERS!K162)</f>
        <v>OLY.Isaiah Canaan</v>
      </c>
      <c r="L162" s="4" t="str">
        <f>IF([1]ROSTERS!L162="","",[1]ROSTERS!L162)</f>
        <v>Canaan I.</v>
      </c>
      <c r="M162"/>
    </row>
    <row r="163" spans="1:13" s="1" customFormat="1" x14ac:dyDescent="0.25">
      <c r="A163" s="3">
        <f>IF(B163="","",COUNTIF($H$3:H163,H163))</f>
        <v>4</v>
      </c>
      <c r="B163" s="4" t="str">
        <f>IF([1]ROSTERS!B163="","",[1]ROSTERS!B163)</f>
        <v>Fall Moustapha</v>
      </c>
      <c r="C163" s="4" t="str">
        <f>IF([1]ROSTERS!C163="","",[1]ROSTERS!C163)</f>
        <v>Moustapha Fall</v>
      </c>
      <c r="D163" s="3" t="str">
        <f>IF([1]ROSTERS!D163="","",[1]ROSTERS!D163)</f>
        <v>C</v>
      </c>
      <c r="E163" s="3" t="str">
        <f>IF([1]ROSTERS!E163="","",[1]ROSTERS!E163)</f>
        <v>FRA</v>
      </c>
      <c r="F163" s="3">
        <f>IF([1]ROSTERS!F163="","",[1]ROSTERS!F163)</f>
        <v>218.00000000000003</v>
      </c>
      <c r="G163" s="3">
        <f>IF([1]ROSTERS!G163="","",[1]ROSTERS!G163)</f>
        <v>32</v>
      </c>
      <c r="H163" s="3" t="str">
        <f>IF([1]ROSTERS!H163="","",[1]ROSTERS!H163)</f>
        <v>Olympiacos Piraeus</v>
      </c>
      <c r="I163" s="3" t="str">
        <f>IF([1]ROSTERS!I163="","",[1]ROSTERS!I163)</f>
        <v>OLY</v>
      </c>
      <c r="J163" s="3" t="str">
        <f>IF([1]ROSTERS!J163="","",[1]ROSTERS!J163)</f>
        <v>OLY.FallMoustapha</v>
      </c>
      <c r="K163" s="4" t="str">
        <f>IF([1]ROSTERS!K163="","",[1]ROSTERS!K163)</f>
        <v>OLY.Moustapha Fall</v>
      </c>
      <c r="L163" s="4" t="str">
        <f>IF([1]ROSTERS!L163="","",[1]ROSTERS!L163)</f>
        <v>Fall M.</v>
      </c>
      <c r="M163"/>
    </row>
    <row r="164" spans="1:13" s="1" customFormat="1" x14ac:dyDescent="0.25">
      <c r="A164" s="3">
        <f>IF(B164="","",COUNTIF($H$3:H164,H164))</f>
        <v>5</v>
      </c>
      <c r="B164" s="4" t="str">
        <f>IF([1]ROSTERS!B164="","",[1]ROSTERS!B164)</f>
        <v>Larentzakis Giannoulis</v>
      </c>
      <c r="C164" s="4" t="str">
        <f>IF([1]ROSTERS!C164="","",[1]ROSTERS!C164)</f>
        <v>Giannoulis Larentzakis</v>
      </c>
      <c r="D164" s="3" t="str">
        <f>IF([1]ROSTERS!D164="","",[1]ROSTERS!D164)</f>
        <v>SG</v>
      </c>
      <c r="E164" s="3" t="str">
        <f>IF([1]ROSTERS!E164="","",[1]ROSTERS!E164)</f>
        <v>GRE</v>
      </c>
      <c r="F164" s="3">
        <f>IF([1]ROSTERS!F164="","",[1]ROSTERS!F164)</f>
        <v>196</v>
      </c>
      <c r="G164" s="3">
        <f>IF([1]ROSTERS!G164="","",[1]ROSTERS!G164)</f>
        <v>31</v>
      </c>
      <c r="H164" s="3" t="str">
        <f>IF([1]ROSTERS!H164="","",[1]ROSTERS!H164)</f>
        <v>Olympiacos Piraeus</v>
      </c>
      <c r="I164" s="3" t="str">
        <f>IF([1]ROSTERS!I164="","",[1]ROSTERS!I164)</f>
        <v>OLY</v>
      </c>
      <c r="J164" s="3" t="str">
        <f>IF([1]ROSTERS!J164="","",[1]ROSTERS!J164)</f>
        <v>OLY.LarentzakisGiannoulis</v>
      </c>
      <c r="K164" s="4" t="str">
        <f>IF([1]ROSTERS!K164="","",[1]ROSTERS!K164)</f>
        <v>OLY.Giannoulis Larentzakis</v>
      </c>
      <c r="L164" s="4" t="str">
        <f>IF([1]ROSTERS!L164="","",[1]ROSTERS!L164)</f>
        <v>Larentzakis G.</v>
      </c>
      <c r="M164"/>
    </row>
    <row r="165" spans="1:13" s="1" customFormat="1" x14ac:dyDescent="0.25">
      <c r="A165" s="3">
        <f>IF(B165="","",COUNTIF($H$3:H165,H165))</f>
        <v>6</v>
      </c>
      <c r="B165" s="4" t="str">
        <f>IF([1]ROSTERS!B165="","",[1]ROSTERS!B165)</f>
        <v>Lountzis Michalis</v>
      </c>
      <c r="C165" s="4" t="str">
        <f>IF([1]ROSTERS!C165="","",[1]ROSTERS!C165)</f>
        <v>Michalis Lountzis</v>
      </c>
      <c r="D165" s="3" t="str">
        <f>IF([1]ROSTERS!D165="","",[1]ROSTERS!D165)</f>
        <v>PG</v>
      </c>
      <c r="E165" s="3" t="str">
        <f>IF([1]ROSTERS!E165="","",[1]ROSTERS!E165)</f>
        <v>GRE</v>
      </c>
      <c r="F165" s="3">
        <f>IF([1]ROSTERS!F165="","",[1]ROSTERS!F165)</f>
        <v>195</v>
      </c>
      <c r="G165" s="3">
        <f>IF([1]ROSTERS!G165="","",[1]ROSTERS!G165)</f>
        <v>26</v>
      </c>
      <c r="H165" s="3" t="str">
        <f>IF([1]ROSTERS!H165="","",[1]ROSTERS!H165)</f>
        <v>Olympiacos Piraeus</v>
      </c>
      <c r="I165" s="3" t="str">
        <f>IF([1]ROSTERS!I165="","",[1]ROSTERS!I165)</f>
        <v>OLY</v>
      </c>
      <c r="J165" s="3" t="str">
        <f>IF([1]ROSTERS!J165="","",[1]ROSTERS!J165)</f>
        <v>OLY.LountzisMichalis</v>
      </c>
      <c r="K165" s="4" t="str">
        <f>IF([1]ROSTERS!K165="","",[1]ROSTERS!K165)</f>
        <v>OLY.Michalis Lountzis</v>
      </c>
      <c r="L165" s="4" t="str">
        <f>IF([1]ROSTERS!L165="","",[1]ROSTERS!L165)</f>
        <v>Lountzis M.</v>
      </c>
      <c r="M165"/>
    </row>
    <row r="166" spans="1:13" s="1" customFormat="1" x14ac:dyDescent="0.25">
      <c r="A166" s="3">
        <f>IF(B166="","",COUNTIF($H$3:H166,H166))</f>
        <v>7</v>
      </c>
      <c r="B166" s="4" t="str">
        <f>IF([1]ROSTERS!B166="","",[1]ROSTERS!B166)</f>
        <v>McKissic Shaquielle</v>
      </c>
      <c r="C166" s="4" t="str">
        <f>IF([1]ROSTERS!C166="","",[1]ROSTERS!C166)</f>
        <v>Shaquielle McKissic</v>
      </c>
      <c r="D166" s="3" t="str">
        <f>IF([1]ROSTERS!D166="","",[1]ROSTERS!D166)</f>
        <v>SG</v>
      </c>
      <c r="E166" s="3" t="str">
        <f>IF([1]ROSTERS!E166="","",[1]ROSTERS!E166)</f>
        <v>USA</v>
      </c>
      <c r="F166" s="3">
        <f>IF([1]ROSTERS!F166="","",[1]ROSTERS!F166)</f>
        <v>196</v>
      </c>
      <c r="G166" s="3">
        <f>IF([1]ROSTERS!G166="","",[1]ROSTERS!G166)</f>
        <v>34</v>
      </c>
      <c r="H166" s="3" t="str">
        <f>IF([1]ROSTERS!H166="","",[1]ROSTERS!H166)</f>
        <v>Olympiacos Piraeus</v>
      </c>
      <c r="I166" s="3" t="str">
        <f>IF([1]ROSTERS!I166="","",[1]ROSTERS!I166)</f>
        <v>OLY</v>
      </c>
      <c r="J166" s="3" t="str">
        <f>IF([1]ROSTERS!J166="","",[1]ROSTERS!J166)</f>
        <v>OLY.McKissicShaquielle</v>
      </c>
      <c r="K166" s="4" t="str">
        <f>IF([1]ROSTERS!K166="","",[1]ROSTERS!K166)</f>
        <v>OLY.Shaquielle McKissic</v>
      </c>
      <c r="L166" s="4" t="str">
        <f>IF([1]ROSTERS!L166="","",[1]ROSTERS!L166)</f>
        <v>McKissic S.</v>
      </c>
      <c r="M166"/>
    </row>
    <row r="167" spans="1:13" s="1" customFormat="1" x14ac:dyDescent="0.25">
      <c r="A167" s="3">
        <f>IF(B167="","",COUNTIF($H$3:H167,H167))</f>
        <v>8</v>
      </c>
      <c r="B167" s="4" t="str">
        <f>IF([1]ROSTERS!B167="","",[1]ROSTERS!B167)</f>
        <v>Milutinov Nikola</v>
      </c>
      <c r="C167" s="4" t="str">
        <f>IF([1]ROSTERS!C167="","",[1]ROSTERS!C167)</f>
        <v>Nikola Milutinov</v>
      </c>
      <c r="D167" s="3" t="str">
        <f>IF([1]ROSTERS!D167="","",[1]ROSTERS!D167)</f>
        <v>C</v>
      </c>
      <c r="E167" s="3" t="str">
        <f>IF([1]ROSTERS!E167="","",[1]ROSTERS!E167)</f>
        <v>SRB</v>
      </c>
      <c r="F167" s="3">
        <f>IF([1]ROSTERS!F167="","",[1]ROSTERS!F167)</f>
        <v>213</v>
      </c>
      <c r="G167" s="3">
        <f>IF([1]ROSTERS!G167="","",[1]ROSTERS!G167)</f>
        <v>30</v>
      </c>
      <c r="H167" s="3" t="str">
        <f>IF([1]ROSTERS!H167="","",[1]ROSTERS!H167)</f>
        <v>Olympiacos Piraeus</v>
      </c>
      <c r="I167" s="3" t="str">
        <f>IF([1]ROSTERS!I167="","",[1]ROSTERS!I167)</f>
        <v>OLY</v>
      </c>
      <c r="J167" s="3" t="str">
        <f>IF([1]ROSTERS!J167="","",[1]ROSTERS!J167)</f>
        <v>OLY.MilutinovNikola</v>
      </c>
      <c r="K167" s="4" t="str">
        <f>IF([1]ROSTERS!K167="","",[1]ROSTERS!K167)</f>
        <v>OLY.Nikola Milutinov</v>
      </c>
      <c r="L167" s="4" t="str">
        <f>IF([1]ROSTERS!L167="","",[1]ROSTERS!L167)</f>
        <v>Milutinov N.</v>
      </c>
      <c r="M167"/>
    </row>
    <row r="168" spans="1:13" s="1" customFormat="1" x14ac:dyDescent="0.25">
      <c r="A168" s="3">
        <f>IF(B168="","",COUNTIF($H$3:H168,H168))</f>
        <v>9</v>
      </c>
      <c r="B168" s="4" t="str">
        <f>IF([1]ROSTERS!B168="","",[1]ROSTERS!B168)</f>
        <v>Papanikolaou Kostas</v>
      </c>
      <c r="C168" s="4" t="str">
        <f>IF([1]ROSTERS!C168="","",[1]ROSTERS!C168)</f>
        <v>Kostas Papanikolaou</v>
      </c>
      <c r="D168" s="3" t="str">
        <f>IF([1]ROSTERS!D168="","",[1]ROSTERS!D168)</f>
        <v>F/PF</v>
      </c>
      <c r="E168" s="3" t="str">
        <f>IF([1]ROSTERS!E168="","",[1]ROSTERS!E168)</f>
        <v>GRE</v>
      </c>
      <c r="F168" s="3">
        <f>IF([1]ROSTERS!F168="","",[1]ROSTERS!F168)</f>
        <v>204</v>
      </c>
      <c r="G168" s="3">
        <f>IF([1]ROSTERS!G168="","",[1]ROSTERS!G168)</f>
        <v>34</v>
      </c>
      <c r="H168" s="3" t="str">
        <f>IF([1]ROSTERS!H168="","",[1]ROSTERS!H168)</f>
        <v>Olympiacos Piraeus</v>
      </c>
      <c r="I168" s="3" t="str">
        <f>IF([1]ROSTERS!I168="","",[1]ROSTERS!I168)</f>
        <v>OLY</v>
      </c>
      <c r="J168" s="3" t="str">
        <f>IF([1]ROSTERS!J168="","",[1]ROSTERS!J168)</f>
        <v>OLY.PapanikolaouKostas</v>
      </c>
      <c r="K168" s="4" t="str">
        <f>IF([1]ROSTERS!K168="","",[1]ROSTERS!K168)</f>
        <v>OLY.Kostas Papanikolaou</v>
      </c>
      <c r="L168" s="4" t="str">
        <f>IF([1]ROSTERS!L168="","",[1]ROSTERS!L168)</f>
        <v>Papanikolaou K.</v>
      </c>
      <c r="M168"/>
    </row>
    <row r="169" spans="1:13" s="1" customFormat="1" x14ac:dyDescent="0.25">
      <c r="A169" s="3">
        <f>IF(B169="","",COUNTIF($H$3:H169,H169))</f>
        <v>10</v>
      </c>
      <c r="B169" s="4" t="str">
        <f>IF([1]ROSTERS!B169="","",[1]ROSTERS!B169)</f>
        <v>Papas George</v>
      </c>
      <c r="C169" s="4" t="str">
        <f>IF([1]ROSTERS!C169="","",[1]ROSTERS!C169)</f>
        <v>George Papas</v>
      </c>
      <c r="D169" s="3" t="str">
        <f>IF([1]ROSTERS!D169="","",[1]ROSTERS!D169)</f>
        <v>SG</v>
      </c>
      <c r="E169" s="3" t="str">
        <f>IF([1]ROSTERS!E169="","",[1]ROSTERS!E169)</f>
        <v>USA</v>
      </c>
      <c r="F169" s="3">
        <f>IF([1]ROSTERS!F169="","",[1]ROSTERS!F169)</f>
        <v>194</v>
      </c>
      <c r="G169" s="3">
        <f>IF([1]ROSTERS!G169="","",[1]ROSTERS!G169)</f>
        <v>26</v>
      </c>
      <c r="H169" s="3" t="str">
        <f>IF([1]ROSTERS!H169="","",[1]ROSTERS!H169)</f>
        <v>Olympiacos Piraeus</v>
      </c>
      <c r="I169" s="3" t="str">
        <f>IF([1]ROSTERS!I169="","",[1]ROSTERS!I169)</f>
        <v>OLY</v>
      </c>
      <c r="J169" s="3" t="str">
        <f>IF([1]ROSTERS!J169="","",[1]ROSTERS!J169)</f>
        <v>OLY.PapasGeorge</v>
      </c>
      <c r="K169" s="4" t="str">
        <f>IF([1]ROSTERS!K169="","",[1]ROSTERS!K169)</f>
        <v>OLY.George Papas</v>
      </c>
      <c r="L169" s="4" t="str">
        <f>IF([1]ROSTERS!L169="","",[1]ROSTERS!L169)</f>
        <v>Papas G.</v>
      </c>
      <c r="M169"/>
    </row>
    <row r="170" spans="1:13" s="1" customFormat="1" x14ac:dyDescent="0.25">
      <c r="A170" s="3">
        <f>IF(B170="","",COUNTIF($H$3:H170,H170))</f>
        <v>11</v>
      </c>
      <c r="B170" s="4" t="str">
        <f>IF([1]ROSTERS!B170="","",[1]ROSTERS!B170)</f>
        <v>Peters Alec</v>
      </c>
      <c r="C170" s="4" t="str">
        <f>IF([1]ROSTERS!C170="","",[1]ROSTERS!C170)</f>
        <v>Alec Peters</v>
      </c>
      <c r="D170" s="3" t="str">
        <f>IF([1]ROSTERS!D170="","",[1]ROSTERS!D170)</f>
        <v>PF</v>
      </c>
      <c r="E170" s="3" t="str">
        <f>IF([1]ROSTERS!E170="","",[1]ROSTERS!E170)</f>
        <v>USA</v>
      </c>
      <c r="F170" s="3">
        <f>IF([1]ROSTERS!F170="","",[1]ROSTERS!F170)</f>
        <v>206</v>
      </c>
      <c r="G170" s="3">
        <f>IF([1]ROSTERS!G170="","",[1]ROSTERS!G170)</f>
        <v>29</v>
      </c>
      <c r="H170" s="3" t="str">
        <f>IF([1]ROSTERS!H170="","",[1]ROSTERS!H170)</f>
        <v>Olympiacos Piraeus</v>
      </c>
      <c r="I170" s="3" t="str">
        <f>IF([1]ROSTERS!I170="","",[1]ROSTERS!I170)</f>
        <v>OLY</v>
      </c>
      <c r="J170" s="3" t="str">
        <f>IF([1]ROSTERS!J170="","",[1]ROSTERS!J170)</f>
        <v>OLY.PetersAlec</v>
      </c>
      <c r="K170" s="4" t="str">
        <f>IF([1]ROSTERS!K170="","",[1]ROSTERS!K170)</f>
        <v>OLY.Alec Peters</v>
      </c>
      <c r="L170" s="4" t="str">
        <f>IF([1]ROSTERS!L170="","",[1]ROSTERS!L170)</f>
        <v>Peters A.</v>
      </c>
      <c r="M170"/>
    </row>
    <row r="171" spans="1:13" s="1" customFormat="1" x14ac:dyDescent="0.25">
      <c r="A171" s="3">
        <f>IF(B171="","",COUNTIF($H$3:H171,H171))</f>
        <v>12</v>
      </c>
      <c r="B171" s="4" t="str">
        <f>IF([1]ROSTERS!B171="","",[1]ROSTERS!B171)</f>
        <v>Rozakeas Anastasios</v>
      </c>
      <c r="C171" s="4" t="str">
        <f>IF([1]ROSTERS!C171="","",[1]ROSTERS!C171)</f>
        <v>Anastasios Rozakeas</v>
      </c>
      <c r="D171" s="3" t="str">
        <f>IF([1]ROSTERS!D171="","",[1]ROSTERS!D171)</f>
        <v>F</v>
      </c>
      <c r="E171" s="3" t="str">
        <f>IF([1]ROSTERS!E171="","",[1]ROSTERS!E171)</f>
        <v>GRE</v>
      </c>
      <c r="F171" s="3">
        <f>IF([1]ROSTERS!F171="","",[1]ROSTERS!F171)</f>
        <v>200</v>
      </c>
      <c r="G171" s="3">
        <f>IF([1]ROSTERS!G171="","",[1]ROSTERS!G171)</f>
        <v>18</v>
      </c>
      <c r="H171" s="3" t="str">
        <f>IF([1]ROSTERS!H171="","",[1]ROSTERS!H171)</f>
        <v>Olympiacos Piraeus</v>
      </c>
      <c r="I171" s="3" t="str">
        <f>IF([1]ROSTERS!I171="","",[1]ROSTERS!I171)</f>
        <v>OLY</v>
      </c>
      <c r="J171" s="3" t="str">
        <f>IF([1]ROSTERS!J171="","",[1]ROSTERS!J171)</f>
        <v>OLY.RozakeasAnastasios</v>
      </c>
      <c r="K171" s="4" t="str">
        <f>IF([1]ROSTERS!K171="","",[1]ROSTERS!K171)</f>
        <v>OLY.Anastasios Rozakeas</v>
      </c>
      <c r="L171" s="4" t="str">
        <f>IF([1]ROSTERS!L171="","",[1]ROSTERS!L171)</f>
        <v>Rozakeas A.</v>
      </c>
      <c r="M171"/>
    </row>
    <row r="172" spans="1:13" s="1" customFormat="1" x14ac:dyDescent="0.25">
      <c r="A172" s="3">
        <f>IF(B172="","",COUNTIF($H$3:H172,H172))</f>
        <v>13</v>
      </c>
      <c r="B172" s="4" t="str">
        <f>IF([1]ROSTERS!B172="","",[1]ROSTERS!B172)</f>
        <v>Sikma Luke</v>
      </c>
      <c r="C172" s="4" t="str">
        <f>IF([1]ROSTERS!C172="","",[1]ROSTERS!C172)</f>
        <v>Luke Sikma</v>
      </c>
      <c r="D172" s="3" t="str">
        <f>IF([1]ROSTERS!D172="","",[1]ROSTERS!D172)</f>
        <v>F/PF</v>
      </c>
      <c r="E172" s="3" t="str">
        <f>IF([1]ROSTERS!E172="","",[1]ROSTERS!E172)</f>
        <v>USA</v>
      </c>
      <c r="F172" s="3">
        <f>IF([1]ROSTERS!F172="","",[1]ROSTERS!F172)</f>
        <v>202.99999999999997</v>
      </c>
      <c r="G172" s="3">
        <f>IF([1]ROSTERS!G172="","",[1]ROSTERS!G172)</f>
        <v>35</v>
      </c>
      <c r="H172" s="3" t="str">
        <f>IF([1]ROSTERS!H172="","",[1]ROSTERS!H172)</f>
        <v>Olympiacos Piraeus</v>
      </c>
      <c r="I172" s="3" t="str">
        <f>IF([1]ROSTERS!I172="","",[1]ROSTERS!I172)</f>
        <v>OLY</v>
      </c>
      <c r="J172" s="3" t="str">
        <f>IF([1]ROSTERS!J172="","",[1]ROSTERS!J172)</f>
        <v>OLY.SikmaLuke</v>
      </c>
      <c r="K172" s="4" t="str">
        <f>IF([1]ROSTERS!K172="","",[1]ROSTERS!K172)</f>
        <v>OLY.Luke Sikma</v>
      </c>
      <c r="L172" s="4" t="str">
        <f>IF([1]ROSTERS!L172="","",[1]ROSTERS!L172)</f>
        <v>Sikma L.</v>
      </c>
      <c r="M172"/>
    </row>
    <row r="173" spans="1:13" s="1" customFormat="1" x14ac:dyDescent="0.25">
      <c r="A173" s="3">
        <f>IF(B173="","",COUNTIF($H$3:H173,H173))</f>
        <v>14</v>
      </c>
      <c r="B173" s="4" t="str">
        <f>IF([1]ROSTERS!B173="","",[1]ROSTERS!B173)</f>
        <v>Tanoulis Georgios</v>
      </c>
      <c r="C173" s="4" t="str">
        <f>IF([1]ROSTERS!C173="","",[1]ROSTERS!C173)</f>
        <v>Georgios Tanoulis</v>
      </c>
      <c r="D173" s="3" t="str">
        <f>IF([1]ROSTERS!D173="","",[1]ROSTERS!D173)</f>
        <v>C</v>
      </c>
      <c r="E173" s="3" t="str">
        <f>IF([1]ROSTERS!E173="","",[1]ROSTERS!E173)</f>
        <v>GRE</v>
      </c>
      <c r="F173" s="3">
        <f>IF([1]ROSTERS!F173="","",[1]ROSTERS!F173)</f>
        <v>210</v>
      </c>
      <c r="G173" s="3">
        <f>IF([1]ROSTERS!G173="","",[1]ROSTERS!G173)</f>
        <v>22</v>
      </c>
      <c r="H173" s="3" t="str">
        <f>IF([1]ROSTERS!H173="","",[1]ROSTERS!H173)</f>
        <v>Olympiacos Piraeus</v>
      </c>
      <c r="I173" s="3" t="str">
        <f>IF([1]ROSTERS!I173="","",[1]ROSTERS!I173)</f>
        <v>OLY</v>
      </c>
      <c r="J173" s="3" t="str">
        <f>IF([1]ROSTERS!J173="","",[1]ROSTERS!J173)</f>
        <v>OLY.TanoulisGeorgios</v>
      </c>
      <c r="K173" s="4" t="str">
        <f>IF([1]ROSTERS!K173="","",[1]ROSTERS!K173)</f>
        <v>OLY.Georgios Tanoulis</v>
      </c>
      <c r="L173" s="4" t="str">
        <f>IF([1]ROSTERS!L173="","",[1]ROSTERS!L173)</f>
        <v>Tanoulis G.</v>
      </c>
      <c r="M173"/>
    </row>
    <row r="174" spans="1:13" s="1" customFormat="1" x14ac:dyDescent="0.25">
      <c r="A174" s="3">
        <f>IF(B174="","",COUNTIF($H$3:H174,H174))</f>
        <v>15</v>
      </c>
      <c r="B174" s="4" t="str">
        <f>IF([1]ROSTERS!B174="","",[1]ROSTERS!B174)</f>
        <v>Walkup Thomas</v>
      </c>
      <c r="C174" s="4" t="str">
        <f>IF([1]ROSTERS!C174="","",[1]ROSTERS!C174)</f>
        <v>Thomas Walkup</v>
      </c>
      <c r="D174" s="3" t="str">
        <f>IF([1]ROSTERS!D174="","",[1]ROSTERS!D174)</f>
        <v>PG/SG</v>
      </c>
      <c r="E174" s="3" t="str">
        <f>IF([1]ROSTERS!E174="","",[1]ROSTERS!E174)</f>
        <v>USA</v>
      </c>
      <c r="F174" s="3">
        <f>IF([1]ROSTERS!F174="","",[1]ROSTERS!F174)</f>
        <v>193</v>
      </c>
      <c r="G174" s="3">
        <f>IF([1]ROSTERS!G174="","",[1]ROSTERS!G174)</f>
        <v>32</v>
      </c>
      <c r="H174" s="3" t="str">
        <f>IF([1]ROSTERS!H174="","",[1]ROSTERS!H174)</f>
        <v>Olympiacos Piraeus</v>
      </c>
      <c r="I174" s="3" t="str">
        <f>IF([1]ROSTERS!I174="","",[1]ROSTERS!I174)</f>
        <v>OLY</v>
      </c>
      <c r="J174" s="3" t="str">
        <f>IF([1]ROSTERS!J174="","",[1]ROSTERS!J174)</f>
        <v>OLY.WalkupThomas</v>
      </c>
      <c r="K174" s="4" t="str">
        <f>IF([1]ROSTERS!K174="","",[1]ROSTERS!K174)</f>
        <v>OLY.Thomas Walkup</v>
      </c>
      <c r="L174" s="4" t="str">
        <f>IF([1]ROSTERS!L174="","",[1]ROSTERS!L174)</f>
        <v>Walkup T.</v>
      </c>
      <c r="M174"/>
    </row>
    <row r="175" spans="1:13" s="1" customFormat="1" x14ac:dyDescent="0.25">
      <c r="A175" s="3">
        <f>IF(B175="","",COUNTIF($H$3:H175,H175))</f>
        <v>16</v>
      </c>
      <c r="B175" s="4" t="str">
        <f>IF([1]ROSTERS!B175="","",[1]ROSTERS!B175)</f>
        <v>Williams Goss Nigel</v>
      </c>
      <c r="C175" s="4" t="str">
        <f>IF([1]ROSTERS!C175="","",[1]ROSTERS!C175)</f>
        <v>Nigel Williams Goss</v>
      </c>
      <c r="D175" s="3" t="str">
        <f>IF([1]ROSTERS!D175="","",[1]ROSTERS!D175)</f>
        <v>PG</v>
      </c>
      <c r="E175" s="3" t="str">
        <f>IF([1]ROSTERS!E175="","",[1]ROSTERS!E175)</f>
        <v>USA</v>
      </c>
      <c r="F175" s="3">
        <f>IF([1]ROSTERS!F175="","",[1]ROSTERS!F175)</f>
        <v>192</v>
      </c>
      <c r="G175" s="3">
        <f>IF([1]ROSTERS!G175="","",[1]ROSTERS!G175)</f>
        <v>30</v>
      </c>
      <c r="H175" s="3" t="str">
        <f>IF([1]ROSTERS!H175="","",[1]ROSTERS!H175)</f>
        <v>Olympiacos Piraeus</v>
      </c>
      <c r="I175" s="3" t="str">
        <f>IF([1]ROSTERS!I175="","",[1]ROSTERS!I175)</f>
        <v>OLY</v>
      </c>
      <c r="J175" s="3" t="str">
        <f>IF([1]ROSTERS!J175="","",[1]ROSTERS!J175)</f>
        <v>OLY.WilliamsGossNigel</v>
      </c>
      <c r="K175" s="4" t="str">
        <f>IF([1]ROSTERS!K175="","",[1]ROSTERS!K175)</f>
        <v>OLY.Nigel Williams Goss</v>
      </c>
      <c r="L175" s="4" t="str">
        <f>IF([1]ROSTERS!L175="","",[1]ROSTERS!L175)</f>
        <v>Williams Goss N.</v>
      </c>
      <c r="M175"/>
    </row>
    <row r="176" spans="1:13" s="1" customFormat="1" x14ac:dyDescent="0.25">
      <c r="A176" s="3">
        <f>IF(B176="","",COUNTIF($H$3:H176,H176))</f>
        <v>1</v>
      </c>
      <c r="B176" s="4" t="str">
        <f>IF([1]ROSTERS!B176="","",[1]ROSTERS!B176)</f>
        <v>Antetokounmpo Kostas</v>
      </c>
      <c r="C176" s="4" t="str">
        <f>IF([1]ROSTERS!C176="","",[1]ROSTERS!C176)</f>
        <v>Kostas Antetokounmpo</v>
      </c>
      <c r="D176" s="3" t="str">
        <f>IF([1]ROSTERS!D176="","",[1]ROSTERS!D176)</f>
        <v>F/PF</v>
      </c>
      <c r="E176" s="3" t="str">
        <f>IF([1]ROSTERS!E176="","",[1]ROSTERS!E176)</f>
        <v>GRE</v>
      </c>
      <c r="F176" s="3">
        <f>IF([1]ROSTERS!F176="","",[1]ROSTERS!F176)</f>
        <v>208</v>
      </c>
      <c r="G176" s="3">
        <f>IF([1]ROSTERS!G176="","",[1]ROSTERS!G176)</f>
        <v>27</v>
      </c>
      <c r="H176" s="3" t="str">
        <f>IF([1]ROSTERS!H176="","",[1]ROSTERS!H176)</f>
        <v>Panathinaikos Athens</v>
      </c>
      <c r="I176" s="3" t="str">
        <f>IF([1]ROSTERS!I176="","",[1]ROSTERS!I176)</f>
        <v>PAN</v>
      </c>
      <c r="J176" s="3" t="str">
        <f>IF([1]ROSTERS!J176="","",[1]ROSTERS!J176)</f>
        <v>PAN.AntetokounmpoKostas</v>
      </c>
      <c r="K176" s="4" t="str">
        <f>IF([1]ROSTERS!K176="","",[1]ROSTERS!K176)</f>
        <v>PAN.Kostas Antetokounmpo</v>
      </c>
      <c r="L176" s="4" t="str">
        <f>IF([1]ROSTERS!L176="","",[1]ROSTERS!L176)</f>
        <v>Antetokounmpo K.</v>
      </c>
      <c r="M176"/>
    </row>
    <row r="177" spans="1:13" s="1" customFormat="1" x14ac:dyDescent="0.25">
      <c r="A177" s="3">
        <f>IF(B177="","",COUNTIF($H$3:H177,H177))</f>
        <v>2</v>
      </c>
      <c r="B177" s="4" t="str">
        <f>IF([1]ROSTERS!B177="","",[1]ROSTERS!B177)</f>
        <v>Balcerowski Aleksander</v>
      </c>
      <c r="C177" s="4" t="str">
        <f>IF([1]ROSTERS!C177="","",[1]ROSTERS!C177)</f>
        <v>Aleksander Balcerowski</v>
      </c>
      <c r="D177" s="3" t="str">
        <f>IF([1]ROSTERS!D177="","",[1]ROSTERS!D177)</f>
        <v>C</v>
      </c>
      <c r="E177" s="3" t="str">
        <f>IF([1]ROSTERS!E177="","",[1]ROSTERS!E177)</f>
        <v>POL</v>
      </c>
      <c r="F177" s="3">
        <f>IF([1]ROSTERS!F177="","",[1]ROSTERS!F177)</f>
        <v>215</v>
      </c>
      <c r="G177" s="3">
        <f>IF([1]ROSTERS!G177="","",[1]ROSTERS!G177)</f>
        <v>24</v>
      </c>
      <c r="H177" s="3" t="str">
        <f>IF([1]ROSTERS!H177="","",[1]ROSTERS!H177)</f>
        <v>Panathinaikos Athens</v>
      </c>
      <c r="I177" s="3" t="str">
        <f>IF([1]ROSTERS!I177="","",[1]ROSTERS!I177)</f>
        <v>PAN</v>
      </c>
      <c r="J177" s="3" t="str">
        <f>IF([1]ROSTERS!J177="","",[1]ROSTERS!J177)</f>
        <v>PAN.BalcerowskiAleksander</v>
      </c>
      <c r="K177" s="4" t="str">
        <f>IF([1]ROSTERS!K177="","",[1]ROSTERS!K177)</f>
        <v>PAN.Aleksander Balcerowski</v>
      </c>
      <c r="L177" s="4" t="str">
        <f>IF([1]ROSTERS!L177="","",[1]ROSTERS!L177)</f>
        <v>Balcerowski A.</v>
      </c>
      <c r="M177"/>
    </row>
    <row r="178" spans="1:13" s="1" customFormat="1" x14ac:dyDescent="0.25">
      <c r="A178" s="3">
        <f>IF(B178="","",COUNTIF($H$3:H178,H178))</f>
        <v>3</v>
      </c>
      <c r="B178" s="4" t="str">
        <f>IF([1]ROSTERS!B178="","",[1]ROSTERS!B178)</f>
        <v>Grant Jerian</v>
      </c>
      <c r="C178" s="4" t="str">
        <f>IF([1]ROSTERS!C178="","",[1]ROSTERS!C178)</f>
        <v>Jerian Grant</v>
      </c>
      <c r="D178" s="3" t="str">
        <f>IF([1]ROSTERS!D178="","",[1]ROSTERS!D178)</f>
        <v>PG</v>
      </c>
      <c r="E178" s="3" t="str">
        <f>IF([1]ROSTERS!E178="","",[1]ROSTERS!E178)</f>
        <v>USA</v>
      </c>
      <c r="F178" s="3">
        <f>IF([1]ROSTERS!F178="","",[1]ROSTERS!F178)</f>
        <v>196</v>
      </c>
      <c r="G178" s="3">
        <f>IF([1]ROSTERS!G178="","",[1]ROSTERS!G178)</f>
        <v>32</v>
      </c>
      <c r="H178" s="3" t="str">
        <f>IF([1]ROSTERS!H178="","",[1]ROSTERS!H178)</f>
        <v>Panathinaikos Athens</v>
      </c>
      <c r="I178" s="3" t="str">
        <f>IF([1]ROSTERS!I178="","",[1]ROSTERS!I178)</f>
        <v>PAN</v>
      </c>
      <c r="J178" s="3" t="str">
        <f>IF([1]ROSTERS!J178="","",[1]ROSTERS!J178)</f>
        <v>PAN.GrantJerian</v>
      </c>
      <c r="K178" s="4" t="str">
        <f>IF([1]ROSTERS!K178="","",[1]ROSTERS!K178)</f>
        <v>PAN.Jerian Grant</v>
      </c>
      <c r="L178" s="4" t="str">
        <f>IF([1]ROSTERS!L178="","",[1]ROSTERS!L178)</f>
        <v>Grant J.</v>
      </c>
      <c r="M178"/>
    </row>
    <row r="179" spans="1:13" s="1" customFormat="1" x14ac:dyDescent="0.25">
      <c r="A179" s="3">
        <f>IF(B179="","",COUNTIF($H$3:H179,H179))</f>
        <v>4</v>
      </c>
      <c r="B179" s="4" t="str">
        <f>IF([1]ROSTERS!B179="","",[1]ROSTERS!B179)</f>
        <v>Grigonis Marius</v>
      </c>
      <c r="C179" s="4" t="str">
        <f>IF([1]ROSTERS!C179="","",[1]ROSTERS!C179)</f>
        <v>Marius Grigonis</v>
      </c>
      <c r="D179" s="3" t="str">
        <f>IF([1]ROSTERS!D179="","",[1]ROSTERS!D179)</f>
        <v>SG</v>
      </c>
      <c r="E179" s="3" t="str">
        <f>IF([1]ROSTERS!E179="","",[1]ROSTERS!E179)</f>
        <v>LTU</v>
      </c>
      <c r="F179" s="3">
        <f>IF([1]ROSTERS!F179="","",[1]ROSTERS!F179)</f>
        <v>198</v>
      </c>
      <c r="G179" s="3">
        <f>IF([1]ROSTERS!G179="","",[1]ROSTERS!G179)</f>
        <v>30</v>
      </c>
      <c r="H179" s="3" t="str">
        <f>IF([1]ROSTERS!H179="","",[1]ROSTERS!H179)</f>
        <v>Panathinaikos Athens</v>
      </c>
      <c r="I179" s="3" t="str">
        <f>IF([1]ROSTERS!I179="","",[1]ROSTERS!I179)</f>
        <v>PAN</v>
      </c>
      <c r="J179" s="3" t="str">
        <f>IF([1]ROSTERS!J179="","",[1]ROSTERS!J179)</f>
        <v>PAN.GrigonisMarius</v>
      </c>
      <c r="K179" s="4" t="str">
        <f>IF([1]ROSTERS!K179="","",[1]ROSTERS!K179)</f>
        <v>PAN.Marius Grigonis</v>
      </c>
      <c r="L179" s="4" t="str">
        <f>IF([1]ROSTERS!L179="","",[1]ROSTERS!L179)</f>
        <v>Grigonis M.</v>
      </c>
      <c r="M179"/>
    </row>
    <row r="180" spans="1:13" s="1" customFormat="1" x14ac:dyDescent="0.25">
      <c r="A180" s="3">
        <f>IF(B180="","",COUNTIF($H$3:H180,H180))</f>
        <v>5</v>
      </c>
      <c r="B180" s="4" t="str">
        <f>IF([1]ROSTERS!B180="","",[1]ROSTERS!B180)</f>
        <v>Guy Kyle</v>
      </c>
      <c r="C180" s="4" t="str">
        <f>IF([1]ROSTERS!C180="","",[1]ROSTERS!C180)</f>
        <v>Kyle Guy</v>
      </c>
      <c r="D180" s="3" t="str">
        <f>IF([1]ROSTERS!D180="","",[1]ROSTERS!D180)</f>
        <v>PG</v>
      </c>
      <c r="E180" s="3" t="str">
        <f>IF([1]ROSTERS!E180="","",[1]ROSTERS!E180)</f>
        <v>USA</v>
      </c>
      <c r="F180" s="3">
        <f>IF([1]ROSTERS!F180="","",[1]ROSTERS!F180)</f>
        <v>188</v>
      </c>
      <c r="G180" s="3">
        <f>IF([1]ROSTERS!G180="","",[1]ROSTERS!G180)</f>
        <v>27</v>
      </c>
      <c r="H180" s="3" t="str">
        <f>IF([1]ROSTERS!H180="","",[1]ROSTERS!H180)</f>
        <v>Panathinaikos Athens</v>
      </c>
      <c r="I180" s="3" t="str">
        <f>IF([1]ROSTERS!I180="","",[1]ROSTERS!I180)</f>
        <v>PAN</v>
      </c>
      <c r="J180" s="3" t="str">
        <f>IF([1]ROSTERS!J180="","",[1]ROSTERS!J180)</f>
        <v>PAN.GuyKyle</v>
      </c>
      <c r="K180" s="4" t="str">
        <f>IF([1]ROSTERS!K180="","",[1]ROSTERS!K180)</f>
        <v>PAN.Kyle Guy</v>
      </c>
      <c r="L180" s="4" t="str">
        <f>IF([1]ROSTERS!L180="","",[1]ROSTERS!L180)</f>
        <v>Guy K.</v>
      </c>
      <c r="M180"/>
    </row>
    <row r="181" spans="1:13" s="1" customFormat="1" x14ac:dyDescent="0.25">
      <c r="A181" s="3">
        <f>IF(B181="","",COUNTIF($H$3:H181,H181))</f>
        <v>6</v>
      </c>
      <c r="B181" s="4" t="str">
        <f>IF([1]ROSTERS!B181="","",[1]ROSTERS!B181)</f>
        <v>Hernangomez Juancho</v>
      </c>
      <c r="C181" s="4" t="str">
        <f>IF([1]ROSTERS!C181="","",[1]ROSTERS!C181)</f>
        <v>Juancho Hernangomez</v>
      </c>
      <c r="D181" s="3" t="str">
        <f>IF([1]ROSTERS!D181="","",[1]ROSTERS!D181)</f>
        <v>C</v>
      </c>
      <c r="E181" s="3" t="str">
        <f>IF([1]ROSTERS!E181="","",[1]ROSTERS!E181)</f>
        <v>ESP</v>
      </c>
      <c r="F181" s="3">
        <f>IF([1]ROSTERS!F181="","",[1]ROSTERS!F181)</f>
        <v>209</v>
      </c>
      <c r="G181" s="3">
        <f>IF([1]ROSTERS!G181="","",[1]ROSTERS!G181)</f>
        <v>30</v>
      </c>
      <c r="H181" s="3" t="str">
        <f>IF([1]ROSTERS!H181="","",[1]ROSTERS!H181)</f>
        <v>Panathinaikos Athens</v>
      </c>
      <c r="I181" s="3" t="str">
        <f>IF([1]ROSTERS!I181="","",[1]ROSTERS!I181)</f>
        <v>PAN</v>
      </c>
      <c r="J181" s="3" t="str">
        <f>IF([1]ROSTERS!J181="","",[1]ROSTERS!J181)</f>
        <v>PAN.HernangomezJuancho</v>
      </c>
      <c r="K181" s="4" t="str">
        <f>IF([1]ROSTERS!K181="","",[1]ROSTERS!K181)</f>
        <v>PAN.Juancho Hernangomez</v>
      </c>
      <c r="L181" s="4" t="str">
        <f>IF([1]ROSTERS!L181="","",[1]ROSTERS!L181)</f>
        <v>Hernangomez J.</v>
      </c>
      <c r="M181"/>
    </row>
    <row r="182" spans="1:13" s="1" customFormat="1" x14ac:dyDescent="0.25">
      <c r="A182" s="3">
        <f>IF(B182="","",COUNTIF($H$3:H182,H182))</f>
        <v>7</v>
      </c>
      <c r="B182" s="4" t="str">
        <f>IF([1]ROSTERS!B182="","",[1]ROSTERS!B182)</f>
        <v>Kalaitzakis Panagiotis</v>
      </c>
      <c r="C182" s="4" t="str">
        <f>IF([1]ROSTERS!C182="","",[1]ROSTERS!C182)</f>
        <v>Panagiotis Kalaitzakis</v>
      </c>
      <c r="D182" s="3" t="str">
        <f>IF([1]ROSTERS!D182="","",[1]ROSTERS!D182)</f>
        <v>F</v>
      </c>
      <c r="E182" s="3" t="str">
        <f>IF([1]ROSTERS!E182="","",[1]ROSTERS!E182)</f>
        <v>GRE</v>
      </c>
      <c r="F182" s="3">
        <f>IF([1]ROSTERS!F182="","",[1]ROSTERS!F182)</f>
        <v>200</v>
      </c>
      <c r="G182" s="3">
        <f>IF([1]ROSTERS!G182="","",[1]ROSTERS!G182)</f>
        <v>25</v>
      </c>
      <c r="H182" s="3" t="str">
        <f>IF([1]ROSTERS!H182="","",[1]ROSTERS!H182)</f>
        <v>Panathinaikos Athens</v>
      </c>
      <c r="I182" s="3" t="str">
        <f>IF([1]ROSTERS!I182="","",[1]ROSTERS!I182)</f>
        <v>PAN</v>
      </c>
      <c r="J182" s="3" t="str">
        <f>IF([1]ROSTERS!J182="","",[1]ROSTERS!J182)</f>
        <v>PAN.KalaitzakisPanagiotis</v>
      </c>
      <c r="K182" s="4" t="str">
        <f>IF([1]ROSTERS!K182="","",[1]ROSTERS!K182)</f>
        <v>PAN.Panagiotis Kalaitzakis</v>
      </c>
      <c r="L182" s="4" t="str">
        <f>IF([1]ROSTERS!L182="","",[1]ROSTERS!L182)</f>
        <v>Kalaitzakis P.</v>
      </c>
      <c r="M182"/>
    </row>
    <row r="183" spans="1:13" s="1" customFormat="1" x14ac:dyDescent="0.25">
      <c r="A183" s="3">
        <f>IF(B183="","",COUNTIF($H$3:H183,H183))</f>
        <v>8</v>
      </c>
      <c r="B183" s="4" t="str">
        <f>IF([1]ROSTERS!B183="","",[1]ROSTERS!B183)</f>
        <v>Lessort Mathias</v>
      </c>
      <c r="C183" s="4" t="str">
        <f>IF([1]ROSTERS!C183="","",[1]ROSTERS!C183)</f>
        <v>Mathias Lessort</v>
      </c>
      <c r="D183" s="3" t="str">
        <f>IF([1]ROSTERS!D183="","",[1]ROSTERS!D183)</f>
        <v>C</v>
      </c>
      <c r="E183" s="3" t="str">
        <f>IF([1]ROSTERS!E183="","",[1]ROSTERS!E183)</f>
        <v>FRA</v>
      </c>
      <c r="F183" s="3">
        <f>IF([1]ROSTERS!F183="","",[1]ROSTERS!F183)</f>
        <v>206</v>
      </c>
      <c r="G183" s="3">
        <f>IF([1]ROSTERS!G183="","",[1]ROSTERS!G183)</f>
        <v>29</v>
      </c>
      <c r="H183" s="3" t="str">
        <f>IF([1]ROSTERS!H183="","",[1]ROSTERS!H183)</f>
        <v>Panathinaikos Athens</v>
      </c>
      <c r="I183" s="3" t="str">
        <f>IF([1]ROSTERS!I183="","",[1]ROSTERS!I183)</f>
        <v>PAN</v>
      </c>
      <c r="J183" s="3" t="str">
        <f>IF([1]ROSTERS!J183="","",[1]ROSTERS!J183)</f>
        <v>PAN.LessortMathias</v>
      </c>
      <c r="K183" s="4" t="str">
        <f>IF([1]ROSTERS!K183="","",[1]ROSTERS!K183)</f>
        <v>PAN.Mathias Lessort</v>
      </c>
      <c r="L183" s="4" t="str">
        <f>IF([1]ROSTERS!L183="","",[1]ROSTERS!L183)</f>
        <v>Lessort M.</v>
      </c>
      <c r="M183"/>
    </row>
    <row r="184" spans="1:13" s="1" customFormat="1" x14ac:dyDescent="0.25">
      <c r="A184" s="3">
        <f>IF(B184="","",COUNTIF($H$3:H184,H184))</f>
        <v>9</v>
      </c>
      <c r="B184" s="4" t="str">
        <f>IF([1]ROSTERS!B184="","",[1]ROSTERS!B184)</f>
        <v>Mantzoukas Eleftherios</v>
      </c>
      <c r="C184" s="4" t="str">
        <f>IF([1]ROSTERS!C184="","",[1]ROSTERS!C184)</f>
        <v>Eleftherios Mantzoukas</v>
      </c>
      <c r="D184" s="3" t="str">
        <f>IF([1]ROSTERS!D184="","",[1]ROSTERS!D184)</f>
        <v>PF</v>
      </c>
      <c r="E184" s="3" t="str">
        <f>IF([1]ROSTERS!E184="","",[1]ROSTERS!E184)</f>
        <v>GRE</v>
      </c>
      <c r="F184" s="3">
        <f>IF([1]ROSTERS!F184="","",[1]ROSTERS!F184)</f>
        <v>206.99999999999997</v>
      </c>
      <c r="G184" s="3">
        <f>IF([1]ROSTERS!G184="","",[1]ROSTERS!G184)</f>
        <v>21</v>
      </c>
      <c r="H184" s="3" t="str">
        <f>IF([1]ROSTERS!H184="","",[1]ROSTERS!H184)</f>
        <v>Panathinaikos Athens</v>
      </c>
      <c r="I184" s="3" t="str">
        <f>IF([1]ROSTERS!I184="","",[1]ROSTERS!I184)</f>
        <v>PAN</v>
      </c>
      <c r="J184" s="3" t="str">
        <f>IF([1]ROSTERS!J184="","",[1]ROSTERS!J184)</f>
        <v>PAN.MantzoukasEleftherios</v>
      </c>
      <c r="K184" s="4" t="str">
        <f>IF([1]ROSTERS!K184="","",[1]ROSTERS!K184)</f>
        <v>PAN.Eleftherios Mantzoukas</v>
      </c>
      <c r="L184" s="4" t="str">
        <f>IF([1]ROSTERS!L184="","",[1]ROSTERS!L184)</f>
        <v>Mantzoukas E.</v>
      </c>
      <c r="M184"/>
    </row>
    <row r="185" spans="1:13" s="1" customFormat="1" x14ac:dyDescent="0.25">
      <c r="A185" s="3">
        <f>IF(B185="","",COUNTIF($H$3:H185,H185))</f>
        <v>10</v>
      </c>
      <c r="B185" s="4" t="str">
        <f>IF([1]ROSTERS!B185="","",[1]ROSTERS!B185)</f>
        <v>Mitoglou Konstantinos</v>
      </c>
      <c r="C185" s="4" t="str">
        <f>IF([1]ROSTERS!C185="","",[1]ROSTERS!C185)</f>
        <v>Konstantinos Mitoglou</v>
      </c>
      <c r="D185" s="3" t="str">
        <f>IF([1]ROSTERS!D185="","",[1]ROSTERS!D185)</f>
        <v>PF</v>
      </c>
      <c r="E185" s="3" t="str">
        <f>IF([1]ROSTERS!E185="","",[1]ROSTERS!E185)</f>
        <v>GRE</v>
      </c>
      <c r="F185" s="3">
        <f>IF([1]ROSTERS!F185="","",[1]ROSTERS!F185)</f>
        <v>210</v>
      </c>
      <c r="G185" s="3">
        <f>IF([1]ROSTERS!G185="","",[1]ROSTERS!G185)</f>
        <v>28</v>
      </c>
      <c r="H185" s="3" t="str">
        <f>IF([1]ROSTERS!H185="","",[1]ROSTERS!H185)</f>
        <v>Panathinaikos Athens</v>
      </c>
      <c r="I185" s="3" t="str">
        <f>IF([1]ROSTERS!I185="","",[1]ROSTERS!I185)</f>
        <v>PAN</v>
      </c>
      <c r="J185" s="3" t="str">
        <f>IF([1]ROSTERS!J185="","",[1]ROSTERS!J185)</f>
        <v>PAN.MitoglouKonstantinos</v>
      </c>
      <c r="K185" s="4" t="str">
        <f>IF([1]ROSTERS!K185="","",[1]ROSTERS!K185)</f>
        <v>PAN.Konstantinos Mitoglou</v>
      </c>
      <c r="L185" s="4" t="str">
        <f>IF([1]ROSTERS!L185="","",[1]ROSTERS!L185)</f>
        <v>Mitoglou K.</v>
      </c>
      <c r="M185"/>
    </row>
    <row r="186" spans="1:13" s="1" customFormat="1" x14ac:dyDescent="0.25">
      <c r="A186" s="3">
        <f>IF(B186="","",COUNTIF($H$3:H186,H186))</f>
        <v>11</v>
      </c>
      <c r="B186" s="4" t="str">
        <f>IF([1]ROSTERS!B186="","",[1]ROSTERS!B186)</f>
        <v>Moraitis Dimitris</v>
      </c>
      <c r="C186" s="4" t="str">
        <f>IF([1]ROSTERS!C186="","",[1]ROSTERS!C186)</f>
        <v>Dimitris Moraitis</v>
      </c>
      <c r="D186" s="3" t="str">
        <f>IF([1]ROSTERS!D186="","",[1]ROSTERS!D186)</f>
        <v>PG</v>
      </c>
      <c r="E186" s="3" t="str">
        <f>IF([1]ROSTERS!E186="","",[1]ROSTERS!E186)</f>
        <v>GRE</v>
      </c>
      <c r="F186" s="3">
        <f>IF([1]ROSTERS!F186="","",[1]ROSTERS!F186)</f>
        <v>190</v>
      </c>
      <c r="G186" s="3">
        <f>IF([1]ROSTERS!G186="","",[1]ROSTERS!G186)</f>
        <v>25</v>
      </c>
      <c r="H186" s="3" t="str">
        <f>IF([1]ROSTERS!H186="","",[1]ROSTERS!H186)</f>
        <v>Panathinaikos Athens</v>
      </c>
      <c r="I186" s="3" t="str">
        <f>IF([1]ROSTERS!I186="","",[1]ROSTERS!I186)</f>
        <v>PAN</v>
      </c>
      <c r="J186" s="3" t="str">
        <f>IF([1]ROSTERS!J186="","",[1]ROSTERS!J186)</f>
        <v>PAN.MoraitisDimitris</v>
      </c>
      <c r="K186" s="4" t="str">
        <f>IF([1]ROSTERS!K186="","",[1]ROSTERS!K186)</f>
        <v>PAN.Dimitris Moraitis</v>
      </c>
      <c r="L186" s="4" t="str">
        <f>IF([1]ROSTERS!L186="","",[1]ROSTERS!L186)</f>
        <v>Moraitis D.</v>
      </c>
      <c r="M186"/>
    </row>
    <row r="187" spans="1:13" s="1" customFormat="1" x14ac:dyDescent="0.25">
      <c r="A187" s="3">
        <f>IF(B187="","",COUNTIF($H$3:H187,H187))</f>
        <v>12</v>
      </c>
      <c r="B187" s="4" t="str">
        <f>IF([1]ROSTERS!B187="","",[1]ROSTERS!B187)</f>
        <v>Nunn Kendrick</v>
      </c>
      <c r="C187" s="4" t="str">
        <f>IF([1]ROSTERS!C187="","",[1]ROSTERS!C187)</f>
        <v>Kendrick Nunn</v>
      </c>
      <c r="D187" s="3" t="str">
        <f>IF([1]ROSTERS!D187="","",[1]ROSTERS!D187)</f>
        <v>SG</v>
      </c>
      <c r="E187" s="3" t="str">
        <f>IF([1]ROSTERS!E187="","",[1]ROSTERS!E187)</f>
        <v>USA</v>
      </c>
      <c r="F187" s="3">
        <f>IF([1]ROSTERS!F187="","",[1]ROSTERS!F187)</f>
        <v>189</v>
      </c>
      <c r="G187" s="3">
        <f>IF([1]ROSTERS!G187="","",[1]ROSTERS!G187)</f>
        <v>29</v>
      </c>
      <c r="H187" s="3" t="str">
        <f>IF([1]ROSTERS!H187="","",[1]ROSTERS!H187)</f>
        <v>Panathinaikos Athens</v>
      </c>
      <c r="I187" s="3" t="str">
        <f>IF([1]ROSTERS!I187="","",[1]ROSTERS!I187)</f>
        <v>PAN</v>
      </c>
      <c r="J187" s="3" t="str">
        <f>IF([1]ROSTERS!J187="","",[1]ROSTERS!J187)</f>
        <v>PAN.NunnKendrick</v>
      </c>
      <c r="K187" s="4" t="str">
        <f>IF([1]ROSTERS!K187="","",[1]ROSTERS!K187)</f>
        <v>PAN.Kendrick Nunn</v>
      </c>
      <c r="L187" s="4" t="str">
        <f>IF([1]ROSTERS!L187="","",[1]ROSTERS!L187)</f>
        <v>Nunn K.</v>
      </c>
      <c r="M187"/>
    </row>
    <row r="188" spans="1:13" s="1" customFormat="1" x14ac:dyDescent="0.25">
      <c r="A188" s="3">
        <f>IF(B188="","",COUNTIF($H$3:H188,H188))</f>
        <v>13</v>
      </c>
      <c r="B188" s="4" t="str">
        <f>IF([1]ROSTERS!B188="","",[1]ROSTERS!B188)</f>
        <v>Papapetrou Ioannis</v>
      </c>
      <c r="C188" s="4" t="str">
        <f>IF([1]ROSTERS!C188="","",[1]ROSTERS!C188)</f>
        <v>Ioannis Papapetrou</v>
      </c>
      <c r="D188" s="3" t="str">
        <f>IF([1]ROSTERS!D188="","",[1]ROSTERS!D188)</f>
        <v>PF</v>
      </c>
      <c r="E188" s="3" t="str">
        <f>IF([1]ROSTERS!E188="","",[1]ROSTERS!E188)</f>
        <v>GRE</v>
      </c>
      <c r="F188" s="3">
        <f>IF([1]ROSTERS!F188="","",[1]ROSTERS!F188)</f>
        <v>206.99999999999997</v>
      </c>
      <c r="G188" s="3">
        <f>IF([1]ROSTERS!G188="","",[1]ROSTERS!G188)</f>
        <v>30</v>
      </c>
      <c r="H188" s="3" t="str">
        <f>IF([1]ROSTERS!H188="","",[1]ROSTERS!H188)</f>
        <v>Panathinaikos Athens</v>
      </c>
      <c r="I188" s="3" t="str">
        <f>IF([1]ROSTERS!I188="","",[1]ROSTERS!I188)</f>
        <v>PAN</v>
      </c>
      <c r="J188" s="3" t="str">
        <f>IF([1]ROSTERS!J188="","",[1]ROSTERS!J188)</f>
        <v>PAN.PapapetrouIoannis</v>
      </c>
      <c r="K188" s="4" t="str">
        <f>IF([1]ROSTERS!K188="","",[1]ROSTERS!K188)</f>
        <v>PAN.Ioannis Papapetrou</v>
      </c>
      <c r="L188" s="4" t="str">
        <f>IF([1]ROSTERS!L188="","",[1]ROSTERS!L188)</f>
        <v>Papapetrou I.</v>
      </c>
      <c r="M188"/>
    </row>
    <row r="189" spans="1:13" s="1" customFormat="1" x14ac:dyDescent="0.25">
      <c r="A189" s="3">
        <f>IF(B189="","",COUNTIF($H$3:H189,H189))</f>
        <v>14</v>
      </c>
      <c r="B189" s="4" t="str">
        <f>IF([1]ROSTERS!B189="","",[1]ROSTERS!B189)</f>
        <v>Samodurov Alexandros</v>
      </c>
      <c r="C189" s="4" t="str">
        <f>IF([1]ROSTERS!C189="","",[1]ROSTERS!C189)</f>
        <v>Alexandros Samodurov</v>
      </c>
      <c r="D189" s="3" t="str">
        <f>IF([1]ROSTERS!D189="","",[1]ROSTERS!D189)</f>
        <v>PF/C</v>
      </c>
      <c r="E189" s="3" t="str">
        <f>IF([1]ROSTERS!E189="","",[1]ROSTERS!E189)</f>
        <v>GRE</v>
      </c>
      <c r="F189" s="3">
        <f>IF([1]ROSTERS!F189="","",[1]ROSTERS!F189)</f>
        <v>210</v>
      </c>
      <c r="G189" s="3">
        <f>IF([1]ROSTERS!G189="","",[1]ROSTERS!G189)</f>
        <v>19</v>
      </c>
      <c r="H189" s="3" t="str">
        <f>IF([1]ROSTERS!H189="","",[1]ROSTERS!H189)</f>
        <v>Panathinaikos Athens</v>
      </c>
      <c r="I189" s="3" t="str">
        <f>IF([1]ROSTERS!I189="","",[1]ROSTERS!I189)</f>
        <v>PAN</v>
      </c>
      <c r="J189" s="3" t="str">
        <f>IF([1]ROSTERS!J189="","",[1]ROSTERS!J189)</f>
        <v>PAN.SamodurovAlexandros</v>
      </c>
      <c r="K189" s="4" t="str">
        <f>IF([1]ROSTERS!K189="","",[1]ROSTERS!K189)</f>
        <v>PAN.Alexandros Samodurov</v>
      </c>
      <c r="L189" s="4" t="str">
        <f>IF([1]ROSTERS!L189="","",[1]ROSTERS!L189)</f>
        <v>Samodurov A.</v>
      </c>
      <c r="M189"/>
    </row>
    <row r="190" spans="1:13" s="1" customFormat="1" x14ac:dyDescent="0.25">
      <c r="A190" s="3">
        <f>IF(B190="","",COUNTIF($H$3:H190,H190))</f>
        <v>15</v>
      </c>
      <c r="B190" s="4" t="str">
        <f>IF([1]ROSTERS!B190="","",[1]ROSTERS!B190)</f>
        <v>Sloukas Kostas</v>
      </c>
      <c r="C190" s="4" t="str">
        <f>IF([1]ROSTERS!C190="","",[1]ROSTERS!C190)</f>
        <v>Kostas Sloukas</v>
      </c>
      <c r="D190" s="3" t="str">
        <f>IF([1]ROSTERS!D190="","",[1]ROSTERS!D190)</f>
        <v>PG</v>
      </c>
      <c r="E190" s="3" t="str">
        <f>IF([1]ROSTERS!E190="","",[1]ROSTERS!E190)</f>
        <v>GRE</v>
      </c>
      <c r="F190" s="3">
        <f>IF([1]ROSTERS!F190="","",[1]ROSTERS!F190)</f>
        <v>190</v>
      </c>
      <c r="G190" s="3">
        <f>IF([1]ROSTERS!G190="","",[1]ROSTERS!G190)</f>
        <v>34</v>
      </c>
      <c r="H190" s="3" t="str">
        <f>IF([1]ROSTERS!H190="","",[1]ROSTERS!H190)</f>
        <v>Panathinaikos Athens</v>
      </c>
      <c r="I190" s="3" t="str">
        <f>IF([1]ROSTERS!I190="","",[1]ROSTERS!I190)</f>
        <v>PAN</v>
      </c>
      <c r="J190" s="3" t="str">
        <f>IF([1]ROSTERS!J190="","",[1]ROSTERS!J190)</f>
        <v>PAN.SloukasKostas</v>
      </c>
      <c r="K190" s="4" t="str">
        <f>IF([1]ROSTERS!K190="","",[1]ROSTERS!K190)</f>
        <v>PAN.Kostas Sloukas</v>
      </c>
      <c r="L190" s="4" t="str">
        <f>IF([1]ROSTERS!L190="","",[1]ROSTERS!L190)</f>
        <v>Sloukas K.</v>
      </c>
      <c r="M190"/>
    </row>
    <row r="191" spans="1:13" s="1" customFormat="1" x14ac:dyDescent="0.25">
      <c r="A191" s="3">
        <f>IF(B191="","",COUNTIF($H$3:H191,H191))</f>
        <v>16</v>
      </c>
      <c r="B191" s="4" t="str">
        <f>IF([1]ROSTERS!B191="","",[1]ROSTERS!B191)</f>
        <v>Vildoza Luca</v>
      </c>
      <c r="C191" s="4" t="str">
        <f>IF([1]ROSTERS!C191="","",[1]ROSTERS!C191)</f>
        <v>Luca Vildoza</v>
      </c>
      <c r="D191" s="3" t="str">
        <f>IF([1]ROSTERS!D191="","",[1]ROSTERS!D191)</f>
        <v>PG</v>
      </c>
      <c r="E191" s="3" t="str">
        <f>IF([1]ROSTERS!E191="","",[1]ROSTERS!E191)</f>
        <v>ITA</v>
      </c>
      <c r="F191" s="3">
        <f>IF([1]ROSTERS!F191="","",[1]ROSTERS!F191)</f>
        <v>191</v>
      </c>
      <c r="G191" s="3">
        <f>IF([1]ROSTERS!G191="","",[1]ROSTERS!G191)</f>
        <v>29</v>
      </c>
      <c r="H191" s="3" t="str">
        <f>IF([1]ROSTERS!H191="","",[1]ROSTERS!H191)</f>
        <v>Panathinaikos Athens</v>
      </c>
      <c r="I191" s="3" t="str">
        <f>IF([1]ROSTERS!I191="","",[1]ROSTERS!I191)</f>
        <v>PAN</v>
      </c>
      <c r="J191" s="3" t="str">
        <f>IF([1]ROSTERS!J191="","",[1]ROSTERS!J191)</f>
        <v>PAN.VildozaLuca</v>
      </c>
      <c r="K191" s="4" t="str">
        <f>IF([1]ROSTERS!K191="","",[1]ROSTERS!K191)</f>
        <v>PAN.Luca Vildoza</v>
      </c>
      <c r="L191" s="4" t="str">
        <f>IF([1]ROSTERS!L191="","",[1]ROSTERS!L191)</f>
        <v>Vildoza L.</v>
      </c>
      <c r="M191"/>
    </row>
    <row r="192" spans="1:13" s="1" customFormat="1" x14ac:dyDescent="0.25">
      <c r="A192" s="3">
        <f>IF(B192="","",COUNTIF($H$3:H192,H192))</f>
        <v>1</v>
      </c>
      <c r="B192" s="4" t="str">
        <f>IF([1]ROSTERS!B192="","",[1]ROSTERS!B192)</f>
        <v>Andjusic Danilo</v>
      </c>
      <c r="C192" s="4" t="str">
        <f>IF([1]ROSTERS!C192="","",[1]ROSTERS!C192)</f>
        <v>Danilo Andjusic</v>
      </c>
      <c r="D192" s="3" t="str">
        <f>IF([1]ROSTERS!D192="","",[1]ROSTERS!D192)</f>
        <v>PG</v>
      </c>
      <c r="E192" s="3" t="str">
        <f>IF([1]ROSTERS!E192="","",[1]ROSTERS!E192)</f>
        <v>SRB</v>
      </c>
      <c r="F192" s="3">
        <f>IF([1]ROSTERS!F192="","",[1]ROSTERS!F192)</f>
        <v>194</v>
      </c>
      <c r="G192" s="3">
        <f>IF([1]ROSTERS!G192="","",[1]ROSTERS!G192)</f>
        <v>33</v>
      </c>
      <c r="H192" s="3" t="str">
        <f>IF([1]ROSTERS!H192="","",[1]ROSTERS!H192)</f>
        <v>Partizan Mozzart Bet Belgrade</v>
      </c>
      <c r="I192" s="3" t="str">
        <f>IF([1]ROSTERS!I192="","",[1]ROSTERS!I192)</f>
        <v>PAR</v>
      </c>
      <c r="J192" s="3" t="str">
        <f>IF([1]ROSTERS!J192="","",[1]ROSTERS!J192)</f>
        <v>PAR.AndjusicDanilo</v>
      </c>
      <c r="K192" s="4" t="str">
        <f>IF([1]ROSTERS!K192="","",[1]ROSTERS!K192)</f>
        <v>PAR.Danilo Andjusic</v>
      </c>
      <c r="L192" s="4" t="str">
        <f>IF([1]ROSTERS!L192="","",[1]ROSTERS!L192)</f>
        <v>Andjusic D.</v>
      </c>
      <c r="M192"/>
    </row>
    <row r="193" spans="1:13" s="1" customFormat="1" x14ac:dyDescent="0.25">
      <c r="A193" s="3">
        <f>IF(B193="","",COUNTIF($H$3:H193,H193))</f>
        <v>2</v>
      </c>
      <c r="B193" s="4" t="str">
        <f>IF([1]ROSTERS!B193="","",[1]ROSTERS!B193)</f>
        <v>Avramovic Aleksa</v>
      </c>
      <c r="C193" s="4" t="str">
        <f>IF([1]ROSTERS!C193="","",[1]ROSTERS!C193)</f>
        <v>Aleksa Avramovic</v>
      </c>
      <c r="D193" s="3" t="str">
        <f>IF([1]ROSTERS!D193="","",[1]ROSTERS!D193)</f>
        <v>SG</v>
      </c>
      <c r="E193" s="3" t="str">
        <f>IF([1]ROSTERS!E193="","",[1]ROSTERS!E193)</f>
        <v>SRB</v>
      </c>
      <c r="F193" s="3">
        <f>IF([1]ROSTERS!F193="","",[1]ROSTERS!F193)</f>
        <v>192</v>
      </c>
      <c r="G193" s="3">
        <f>IF([1]ROSTERS!G193="","",[1]ROSTERS!G193)</f>
        <v>30</v>
      </c>
      <c r="H193" s="3" t="str">
        <f>IF([1]ROSTERS!H193="","",[1]ROSTERS!H193)</f>
        <v>Partizan Mozzart Bet Belgrade</v>
      </c>
      <c r="I193" s="3" t="str">
        <f>IF([1]ROSTERS!I193="","",[1]ROSTERS!I193)</f>
        <v>PAR</v>
      </c>
      <c r="J193" s="3" t="str">
        <f>IF([1]ROSTERS!J193="","",[1]ROSTERS!J193)</f>
        <v>PAR.AvramovicAleksa</v>
      </c>
      <c r="K193" s="4" t="str">
        <f>IF([1]ROSTERS!K193="","",[1]ROSTERS!K193)</f>
        <v>PAR.Aleksa Avramovic</v>
      </c>
      <c r="L193" s="4" t="str">
        <f>IF([1]ROSTERS!L193="","",[1]ROSTERS!L193)</f>
        <v>Avramovic A.</v>
      </c>
      <c r="M193"/>
    </row>
    <row r="194" spans="1:13" s="1" customFormat="1" x14ac:dyDescent="0.25">
      <c r="A194" s="3">
        <f>IF(B194="","",COUNTIF($H$3:H194,H194))</f>
        <v>3</v>
      </c>
      <c r="B194" s="4" t="str">
        <f>IF([1]ROSTERS!B194="","",[1]ROSTERS!B194)</f>
        <v>Caboclo Bruno</v>
      </c>
      <c r="C194" s="4" t="str">
        <f>IF([1]ROSTERS!C194="","",[1]ROSTERS!C194)</f>
        <v>Bruno Caboclo</v>
      </c>
      <c r="D194" s="3" t="str">
        <f>IF([1]ROSTERS!D194="","",[1]ROSTERS!D194)</f>
        <v>C</v>
      </c>
      <c r="E194" s="3" t="str">
        <f>IF([1]ROSTERS!E194="","",[1]ROSTERS!E194)</f>
        <v>BRA</v>
      </c>
      <c r="F194" s="3">
        <f>IF([1]ROSTERS!F194="","",[1]ROSTERS!F194)</f>
        <v>206</v>
      </c>
      <c r="G194" s="3">
        <f>IF([1]ROSTERS!G194="","",[1]ROSTERS!G194)</f>
        <v>29</v>
      </c>
      <c r="H194" s="3" t="str">
        <f>IF([1]ROSTERS!H194="","",[1]ROSTERS!H194)</f>
        <v>Partizan Mozzart Bet Belgrade</v>
      </c>
      <c r="I194" s="3" t="str">
        <f>IF([1]ROSTERS!I194="","",[1]ROSTERS!I194)</f>
        <v>PAR</v>
      </c>
      <c r="J194" s="3" t="str">
        <f>IF([1]ROSTERS!J194="","",[1]ROSTERS!J194)</f>
        <v>PAR.CabocloBruno</v>
      </c>
      <c r="K194" s="4" t="str">
        <f>IF([1]ROSTERS!K194="","",[1]ROSTERS!K194)</f>
        <v>PAR.Bruno Caboclo</v>
      </c>
      <c r="L194" s="4" t="str">
        <f>IF([1]ROSTERS!L194="","",[1]ROSTERS!L194)</f>
        <v>Caboclo B.</v>
      </c>
      <c r="M194"/>
    </row>
    <row r="195" spans="1:13" s="1" customFormat="1" x14ac:dyDescent="0.25">
      <c r="A195" s="3">
        <f>IF(B195="","",COUNTIF($H$3:H195,H195))</f>
        <v>4</v>
      </c>
      <c r="B195" s="4" t="str">
        <f>IF([1]ROSTERS!B195="","",[1]ROSTERS!B195)</f>
        <v>Dozier Perry</v>
      </c>
      <c r="C195" s="4" t="str">
        <f>IF([1]ROSTERS!C195="","",[1]ROSTERS!C195)</f>
        <v>Perry Dozier</v>
      </c>
      <c r="D195" s="3" t="str">
        <f>IF([1]ROSTERS!D195="","",[1]ROSTERS!D195)</f>
        <v>SG/F</v>
      </c>
      <c r="E195" s="3" t="str">
        <f>IF([1]ROSTERS!E195="","",[1]ROSTERS!E195)</f>
        <v>USA</v>
      </c>
      <c r="F195" s="3">
        <f>IF([1]ROSTERS!F195="","",[1]ROSTERS!F195)</f>
        <v>198</v>
      </c>
      <c r="G195" s="3">
        <f>IF([1]ROSTERS!G195="","",[1]ROSTERS!G195)</f>
        <v>28</v>
      </c>
      <c r="H195" s="3" t="str">
        <f>IF([1]ROSTERS!H195="","",[1]ROSTERS!H195)</f>
        <v>Partizan Mozzart Bet Belgrade</v>
      </c>
      <c r="I195" s="3" t="str">
        <f>IF([1]ROSTERS!I195="","",[1]ROSTERS!I195)</f>
        <v>PAR</v>
      </c>
      <c r="J195" s="3" t="str">
        <f>IF([1]ROSTERS!J195="","",[1]ROSTERS!J195)</f>
        <v>PAR.DozierPerry</v>
      </c>
      <c r="K195" s="4" t="str">
        <f>IF([1]ROSTERS!K195="","",[1]ROSTERS!K195)</f>
        <v>PAR.Perry Dozier</v>
      </c>
      <c r="L195" s="4" t="str">
        <f>IF([1]ROSTERS!L195="","",[1]ROSTERS!L195)</f>
        <v>Dozier P.</v>
      </c>
      <c r="M195"/>
    </row>
    <row r="196" spans="1:13" s="1" customFormat="1" x14ac:dyDescent="0.25">
      <c r="A196" s="3">
        <f>IF(B196="","",COUNTIF($H$3:H196,H196))</f>
        <v>5</v>
      </c>
      <c r="B196" s="4" t="str">
        <f>IF([1]ROSTERS!B196="","",[1]ROSTERS!B196)</f>
        <v>Jaramaz Ognjen</v>
      </c>
      <c r="C196" s="4" t="str">
        <f>IF([1]ROSTERS!C196="","",[1]ROSTERS!C196)</f>
        <v>Ognjen Jaramaz</v>
      </c>
      <c r="D196" s="3" t="str">
        <f>IF([1]ROSTERS!D196="","",[1]ROSTERS!D196)</f>
        <v>SG</v>
      </c>
      <c r="E196" s="3" t="str">
        <f>IF([1]ROSTERS!E196="","",[1]ROSTERS!E196)</f>
        <v>SRB</v>
      </c>
      <c r="F196" s="3">
        <f>IF([1]ROSTERS!F196="","",[1]ROSTERS!F196)</f>
        <v>193</v>
      </c>
      <c r="G196" s="3">
        <f>IF([1]ROSTERS!G196="","",[1]ROSTERS!G196)</f>
        <v>29</v>
      </c>
      <c r="H196" s="3" t="str">
        <f>IF([1]ROSTERS!H196="","",[1]ROSTERS!H196)</f>
        <v>Partizan Mozzart Bet Belgrade</v>
      </c>
      <c r="I196" s="3" t="str">
        <f>IF([1]ROSTERS!I196="","",[1]ROSTERS!I196)</f>
        <v>PAR</v>
      </c>
      <c r="J196" s="3" t="str">
        <f>IF([1]ROSTERS!J196="","",[1]ROSTERS!J196)</f>
        <v>PAR.JaramazOgnjen</v>
      </c>
      <c r="K196" s="4" t="str">
        <f>IF([1]ROSTERS!K196="","",[1]ROSTERS!K196)</f>
        <v>PAR.Ognjen Jaramaz</v>
      </c>
      <c r="L196" s="4" t="str">
        <f>IF([1]ROSTERS!L196="","",[1]ROSTERS!L196)</f>
        <v>Jaramaz O.</v>
      </c>
      <c r="M196"/>
    </row>
    <row r="197" spans="1:13" s="1" customFormat="1" x14ac:dyDescent="0.25">
      <c r="A197" s="3">
        <f>IF(B197="","",COUNTIF($H$3:H197,H197))</f>
        <v>6</v>
      </c>
      <c r="B197" s="4" t="str">
        <f>IF([1]ROSTERS!B197="","",[1]ROSTERS!B197)</f>
        <v>Kaminsky Frank</v>
      </c>
      <c r="C197" s="4" t="str">
        <f>IF([1]ROSTERS!C197="","",[1]ROSTERS!C197)</f>
        <v>Frank Kaminsky</v>
      </c>
      <c r="D197" s="3" t="str">
        <f>IF([1]ROSTERS!D197="","",[1]ROSTERS!D197)</f>
        <v>C</v>
      </c>
      <c r="E197" s="3" t="str">
        <f>IF([1]ROSTERS!E197="","",[1]ROSTERS!E197)</f>
        <v>USA</v>
      </c>
      <c r="F197" s="3">
        <f>IF([1]ROSTERS!F197="","",[1]ROSTERS!F197)</f>
        <v>213</v>
      </c>
      <c r="G197" s="3">
        <f>IF([1]ROSTERS!G197="","",[1]ROSTERS!G197)</f>
        <v>31</v>
      </c>
      <c r="H197" s="3" t="str">
        <f>IF([1]ROSTERS!H197="","",[1]ROSTERS!H197)</f>
        <v>Partizan Mozzart Bet Belgrade</v>
      </c>
      <c r="I197" s="3" t="str">
        <f>IF([1]ROSTERS!I197="","",[1]ROSTERS!I197)</f>
        <v>PAR</v>
      </c>
      <c r="J197" s="3" t="str">
        <f>IF([1]ROSTERS!J197="","",[1]ROSTERS!J197)</f>
        <v>PAR.KaminskyFrank</v>
      </c>
      <c r="K197" s="4" t="str">
        <f>IF([1]ROSTERS!K197="","",[1]ROSTERS!K197)</f>
        <v>PAR.Frank Kaminsky</v>
      </c>
      <c r="L197" s="4" t="str">
        <f>IF([1]ROSTERS!L197="","",[1]ROSTERS!L197)</f>
        <v>Kaminsky F.</v>
      </c>
      <c r="M197"/>
    </row>
    <row r="198" spans="1:13" s="1" customFormat="1" x14ac:dyDescent="0.25">
      <c r="A198" s="3">
        <f>IF(B198="","",COUNTIF($H$3:H198,H198))</f>
        <v>7</v>
      </c>
      <c r="B198" s="4" t="str">
        <f>IF([1]ROSTERS!B198="","",[1]ROSTERS!B198)</f>
        <v>Koprivica Balsa</v>
      </c>
      <c r="C198" s="4" t="str">
        <f>IF([1]ROSTERS!C198="","",[1]ROSTERS!C198)</f>
        <v>Balsa Koprivica</v>
      </c>
      <c r="D198" s="3" t="str">
        <f>IF([1]ROSTERS!D198="","",[1]ROSTERS!D198)</f>
        <v>C</v>
      </c>
      <c r="E198" s="3" t="str">
        <f>IF([1]ROSTERS!E198="","",[1]ROSTERS!E198)</f>
        <v>SRB</v>
      </c>
      <c r="F198" s="3">
        <f>IF([1]ROSTERS!F198="","",[1]ROSTERS!F198)</f>
        <v>215</v>
      </c>
      <c r="G198" s="3">
        <f>IF([1]ROSTERS!G198="","",[1]ROSTERS!G198)</f>
        <v>24</v>
      </c>
      <c r="H198" s="3" t="str">
        <f>IF([1]ROSTERS!H198="","",[1]ROSTERS!H198)</f>
        <v>Partizan Mozzart Bet Belgrade</v>
      </c>
      <c r="I198" s="3" t="str">
        <f>IF([1]ROSTERS!I198="","",[1]ROSTERS!I198)</f>
        <v>PAR</v>
      </c>
      <c r="J198" s="3" t="str">
        <f>IF([1]ROSTERS!J198="","",[1]ROSTERS!J198)</f>
        <v>PAR.KoprivicaBalsa</v>
      </c>
      <c r="K198" s="4" t="str">
        <f>IF([1]ROSTERS!K198="","",[1]ROSTERS!K198)</f>
        <v>PAR.Balsa Koprivica</v>
      </c>
      <c r="L198" s="4" t="str">
        <f>IF([1]ROSTERS!L198="","",[1]ROSTERS!L198)</f>
        <v>Koprivica B.</v>
      </c>
      <c r="M198"/>
    </row>
    <row r="199" spans="1:13" s="1" customFormat="1" x14ac:dyDescent="0.25">
      <c r="A199" s="3">
        <f>IF(B199="","",COUNTIF($H$3:H199,H199))</f>
        <v>8</v>
      </c>
      <c r="B199" s="4" t="str">
        <f>IF([1]ROSTERS!B199="","",[1]ROSTERS!B199)</f>
        <v>Leday Zach</v>
      </c>
      <c r="C199" s="4" t="str">
        <f>IF([1]ROSTERS!C199="","",[1]ROSTERS!C199)</f>
        <v>Zach Leday</v>
      </c>
      <c r="D199" s="3" t="str">
        <f>IF([1]ROSTERS!D199="","",[1]ROSTERS!D199)</f>
        <v>PF/C</v>
      </c>
      <c r="E199" s="3" t="str">
        <f>IF([1]ROSTERS!E199="","",[1]ROSTERS!E199)</f>
        <v>USA</v>
      </c>
      <c r="F199" s="3">
        <f>IF([1]ROSTERS!F199="","",[1]ROSTERS!F199)</f>
        <v>200.99999999999997</v>
      </c>
      <c r="G199" s="3">
        <f>IF([1]ROSTERS!G199="","",[1]ROSTERS!G199)</f>
        <v>30</v>
      </c>
      <c r="H199" s="3" t="str">
        <f>IF([1]ROSTERS!H199="","",[1]ROSTERS!H199)</f>
        <v>Partizan Mozzart Bet Belgrade</v>
      </c>
      <c r="I199" s="3" t="str">
        <f>IF([1]ROSTERS!I199="","",[1]ROSTERS!I199)</f>
        <v>PAR</v>
      </c>
      <c r="J199" s="3" t="str">
        <f>IF([1]ROSTERS!J199="","",[1]ROSTERS!J199)</f>
        <v>PAR.LedayZach</v>
      </c>
      <c r="K199" s="4" t="str">
        <f>IF([1]ROSTERS!K199="","",[1]ROSTERS!K199)</f>
        <v>PAR.Zach Leday</v>
      </c>
      <c r="L199" s="4" t="str">
        <f>IF([1]ROSTERS!L199="","",[1]ROSTERS!L199)</f>
        <v>Leday Z.</v>
      </c>
      <c r="M199"/>
    </row>
    <row r="200" spans="1:13" s="1" customFormat="1" x14ac:dyDescent="0.25">
      <c r="A200" s="3">
        <f>IF(B200="","",COUNTIF($H$3:H200,H200))</f>
        <v>9</v>
      </c>
      <c r="B200" s="4" t="str">
        <f>IF([1]ROSTERS!B200="","",[1]ROSTERS!B200)</f>
        <v>Nunnally James</v>
      </c>
      <c r="C200" s="4" t="str">
        <f>IF([1]ROSTERS!C200="","",[1]ROSTERS!C200)</f>
        <v>James Nunnally</v>
      </c>
      <c r="D200" s="3" t="str">
        <f>IF([1]ROSTERS!D200="","",[1]ROSTERS!D200)</f>
        <v>F</v>
      </c>
      <c r="E200" s="3" t="str">
        <f>IF([1]ROSTERS!E200="","",[1]ROSTERS!E200)</f>
        <v>USA</v>
      </c>
      <c r="F200" s="3">
        <f>IF([1]ROSTERS!F200="","",[1]ROSTERS!F200)</f>
        <v>201</v>
      </c>
      <c r="G200" s="3">
        <f>IF([1]ROSTERS!G200="","",[1]ROSTERS!G200)</f>
        <v>34</v>
      </c>
      <c r="H200" s="3" t="str">
        <f>IF([1]ROSTERS!H200="","",[1]ROSTERS!H200)</f>
        <v>Partizan Mozzart Bet Belgrade</v>
      </c>
      <c r="I200" s="3" t="str">
        <f>IF([1]ROSTERS!I200="","",[1]ROSTERS!I200)</f>
        <v>PAR</v>
      </c>
      <c r="J200" s="3" t="str">
        <f>IF([1]ROSTERS!J200="","",[1]ROSTERS!J200)</f>
        <v>PAR.NunnallyJames</v>
      </c>
      <c r="K200" s="4" t="str">
        <f>IF([1]ROSTERS!K200="","",[1]ROSTERS!K200)</f>
        <v>PAR.James Nunnally</v>
      </c>
      <c r="L200" s="4" t="str">
        <f>IF([1]ROSTERS!L200="","",[1]ROSTERS!L200)</f>
        <v>Nunnally J.</v>
      </c>
      <c r="M200"/>
    </row>
    <row r="201" spans="1:13" s="1" customFormat="1" x14ac:dyDescent="0.25">
      <c r="A201" s="3">
        <f>IF(B201="","",COUNTIF($H$3:H201,H201))</f>
        <v>10</v>
      </c>
      <c r="B201" s="4" t="str">
        <f>IF([1]ROSTERS!B201="","",[1]ROSTERS!B201)</f>
        <v>Ponitka Mateusz</v>
      </c>
      <c r="C201" s="4" t="str">
        <f>IF([1]ROSTERS!C201="","",[1]ROSTERS!C201)</f>
        <v>Mateusz Ponitka</v>
      </c>
      <c r="D201" s="3" t="str">
        <f>IF([1]ROSTERS!D201="","",[1]ROSTERS!D201)</f>
        <v>SG/F</v>
      </c>
      <c r="E201" s="3" t="str">
        <f>IF([1]ROSTERS!E201="","",[1]ROSTERS!E201)</f>
        <v>POL</v>
      </c>
      <c r="F201" s="3">
        <f>IF([1]ROSTERS!F201="","",[1]ROSTERS!F201)</f>
        <v>198</v>
      </c>
      <c r="G201" s="3">
        <f>IF([1]ROSTERS!G201="","",[1]ROSTERS!G201)</f>
        <v>31</v>
      </c>
      <c r="H201" s="3" t="str">
        <f>IF([1]ROSTERS!H201="","",[1]ROSTERS!H201)</f>
        <v>Partizan Mozzart Bet Belgrade</v>
      </c>
      <c r="I201" s="3" t="str">
        <f>IF([1]ROSTERS!I201="","",[1]ROSTERS!I201)</f>
        <v>PAR</v>
      </c>
      <c r="J201" s="3" t="str">
        <f>IF([1]ROSTERS!J201="","",[1]ROSTERS!J201)</f>
        <v>PAR.PonitkaMateusz</v>
      </c>
      <c r="K201" s="4" t="str">
        <f>IF([1]ROSTERS!K201="","",[1]ROSTERS!K201)</f>
        <v>PAR.Mateusz Ponitka</v>
      </c>
      <c r="L201" s="4" t="str">
        <f>IF([1]ROSTERS!L201="","",[1]ROSTERS!L201)</f>
        <v>Ponitka M.</v>
      </c>
      <c r="M201"/>
    </row>
    <row r="202" spans="1:13" s="1" customFormat="1" x14ac:dyDescent="0.25">
      <c r="A202" s="3">
        <f>IF(B202="","",COUNTIF($H$3:H202,H202))</f>
        <v>11</v>
      </c>
      <c r="B202" s="4" t="str">
        <f>IF([1]ROSTERS!B202="","",[1]ROSTERS!B202)</f>
        <v>Punter Kevin</v>
      </c>
      <c r="C202" s="4" t="str">
        <f>IF([1]ROSTERS!C202="","",[1]ROSTERS!C202)</f>
        <v>Kevin Punter</v>
      </c>
      <c r="D202" s="3" t="str">
        <f>IF([1]ROSTERS!D202="","",[1]ROSTERS!D202)</f>
        <v>SG</v>
      </c>
      <c r="E202" s="3" t="str">
        <f>IF([1]ROSTERS!E202="","",[1]ROSTERS!E202)</f>
        <v>USA</v>
      </c>
      <c r="F202" s="3">
        <f>IF([1]ROSTERS!F202="","",[1]ROSTERS!F202)</f>
        <v>193</v>
      </c>
      <c r="G202" s="3">
        <f>IF([1]ROSTERS!G202="","",[1]ROSTERS!G202)</f>
        <v>31</v>
      </c>
      <c r="H202" s="3" t="str">
        <f>IF([1]ROSTERS!H202="","",[1]ROSTERS!H202)</f>
        <v>Partizan Mozzart Bet Belgrade</v>
      </c>
      <c r="I202" s="3" t="str">
        <f>IF([1]ROSTERS!I202="","",[1]ROSTERS!I202)</f>
        <v>PAR</v>
      </c>
      <c r="J202" s="3" t="str">
        <f>IF([1]ROSTERS!J202="","",[1]ROSTERS!J202)</f>
        <v>PAR.PunterKevin</v>
      </c>
      <c r="K202" s="4" t="str">
        <f>IF([1]ROSTERS!K202="","",[1]ROSTERS!K202)</f>
        <v>PAR.Kevin Punter</v>
      </c>
      <c r="L202" s="4" t="str">
        <f>IF([1]ROSTERS!L202="","",[1]ROSTERS!L202)</f>
        <v>Punter K.</v>
      </c>
      <c r="M202"/>
    </row>
    <row r="203" spans="1:13" s="1" customFormat="1" x14ac:dyDescent="0.25">
      <c r="A203" s="3">
        <f>IF(B203="","",COUNTIF($H$3:H203,H203))</f>
        <v>12</v>
      </c>
      <c r="B203" s="4" t="str">
        <f>IF([1]ROSTERS!B203="","",[1]ROSTERS!B203)</f>
        <v>Smailagic Alen</v>
      </c>
      <c r="C203" s="4" t="str">
        <f>IF([1]ROSTERS!C203="","",[1]ROSTERS!C203)</f>
        <v>Alen Smailagic</v>
      </c>
      <c r="D203" s="3" t="str">
        <f>IF([1]ROSTERS!D203="","",[1]ROSTERS!D203)</f>
        <v>C</v>
      </c>
      <c r="E203" s="3" t="str">
        <f>IF([1]ROSTERS!E203="","",[1]ROSTERS!E203)</f>
        <v>SRB</v>
      </c>
      <c r="F203" s="3">
        <f>IF([1]ROSTERS!F203="","",[1]ROSTERS!F203)</f>
        <v>208</v>
      </c>
      <c r="G203" s="3">
        <f>IF([1]ROSTERS!G203="","",[1]ROSTERS!G203)</f>
        <v>24</v>
      </c>
      <c r="H203" s="3" t="str">
        <f>IF([1]ROSTERS!H203="","",[1]ROSTERS!H203)</f>
        <v>Partizan Mozzart Bet Belgrade</v>
      </c>
      <c r="I203" s="3" t="str">
        <f>IF([1]ROSTERS!I203="","",[1]ROSTERS!I203)</f>
        <v>PAR</v>
      </c>
      <c r="J203" s="3" t="str">
        <f>IF([1]ROSTERS!J203="","",[1]ROSTERS!J203)</f>
        <v>PAR.SmailagicAlen</v>
      </c>
      <c r="K203" s="4" t="str">
        <f>IF([1]ROSTERS!K203="","",[1]ROSTERS!K203)</f>
        <v>PAR.Alen Smailagic</v>
      </c>
      <c r="L203" s="4" t="str">
        <f>IF([1]ROSTERS!L203="","",[1]ROSTERS!L203)</f>
        <v>Smailagic A.</v>
      </c>
      <c r="M203"/>
    </row>
    <row r="204" spans="1:13" s="1" customFormat="1" x14ac:dyDescent="0.25">
      <c r="A204" s="3">
        <f>IF(B204="","",COUNTIF($H$3:H204,H204))</f>
        <v>13</v>
      </c>
      <c r="B204" s="4" t="str">
        <f>IF([1]ROSTERS!B204="","",[1]ROSTERS!B204)</f>
        <v>Trifunovic Uros</v>
      </c>
      <c r="C204" s="4" t="str">
        <f>IF([1]ROSTERS!C204="","",[1]ROSTERS!C204)</f>
        <v>Uros Trifunovic</v>
      </c>
      <c r="D204" s="3" t="str">
        <f>IF([1]ROSTERS!D204="","",[1]ROSTERS!D204)</f>
        <v>F</v>
      </c>
      <c r="E204" s="3" t="str">
        <f>IF([1]ROSTERS!E204="","",[1]ROSTERS!E204)</f>
        <v>SRB</v>
      </c>
      <c r="F204" s="3">
        <f>IF([1]ROSTERS!F204="","",[1]ROSTERS!F204)</f>
        <v>200</v>
      </c>
      <c r="G204" s="3">
        <f>IF([1]ROSTERS!G204="","",[1]ROSTERS!G204)</f>
        <v>24</v>
      </c>
      <c r="H204" s="3" t="str">
        <f>IF([1]ROSTERS!H204="","",[1]ROSTERS!H204)</f>
        <v>Partizan Mozzart Bet Belgrade</v>
      </c>
      <c r="I204" s="3" t="str">
        <f>IF([1]ROSTERS!I204="","",[1]ROSTERS!I204)</f>
        <v>PAR</v>
      </c>
      <c r="J204" s="3" t="str">
        <f>IF([1]ROSTERS!J204="","",[1]ROSTERS!J204)</f>
        <v>PAR.TrifunovicUros</v>
      </c>
      <c r="K204" s="4" t="str">
        <f>IF([1]ROSTERS!K204="","",[1]ROSTERS!K204)</f>
        <v>PAR.Uros Trifunovic</v>
      </c>
      <c r="L204" s="4" t="str">
        <f>IF([1]ROSTERS!L204="","",[1]ROSTERS!L204)</f>
        <v>Trifunovic U.</v>
      </c>
      <c r="M204"/>
    </row>
    <row r="205" spans="1:13" s="1" customFormat="1" x14ac:dyDescent="0.25">
      <c r="A205" s="3">
        <f>IF(B205="","",COUNTIF($H$3:H205,H205))</f>
        <v>14</v>
      </c>
      <c r="B205" s="4" t="str">
        <f>IF([1]ROSTERS!B205="","",[1]ROSTERS!B205)</f>
        <v>Vukcevic Tristan</v>
      </c>
      <c r="C205" s="4" t="str">
        <f>IF([1]ROSTERS!C205="","",[1]ROSTERS!C205)</f>
        <v>Tristan Vukcevic</v>
      </c>
      <c r="D205" s="3" t="str">
        <f>IF([1]ROSTERS!D205="","",[1]ROSTERS!D205)</f>
        <v>PF/C</v>
      </c>
      <c r="E205" s="3" t="str">
        <f>IF([1]ROSTERS!E205="","",[1]ROSTERS!E205)</f>
        <v>SWE</v>
      </c>
      <c r="F205" s="3">
        <f>IF([1]ROSTERS!F205="","",[1]ROSTERS!F205)</f>
        <v>209</v>
      </c>
      <c r="G205" s="3">
        <f>IF([1]ROSTERS!G205="","",[1]ROSTERS!G205)</f>
        <v>21</v>
      </c>
      <c r="H205" s="3" t="str">
        <f>IF([1]ROSTERS!H205="","",[1]ROSTERS!H205)</f>
        <v>Partizan Mozzart Bet Belgrade</v>
      </c>
      <c r="I205" s="3" t="str">
        <f>IF([1]ROSTERS!I205="","",[1]ROSTERS!I205)</f>
        <v>PAR</v>
      </c>
      <c r="J205" s="3" t="str">
        <f>IF([1]ROSTERS!J205="","",[1]ROSTERS!J205)</f>
        <v>PAR.VukcevicTristan</v>
      </c>
      <c r="K205" s="4" t="str">
        <f>IF([1]ROSTERS!K205="","",[1]ROSTERS!K205)</f>
        <v>PAR.Tristan Vukcevic</v>
      </c>
      <c r="L205" s="4" t="str">
        <f>IF([1]ROSTERS!L205="","",[1]ROSTERS!L205)</f>
        <v>Vukcevic T.</v>
      </c>
      <c r="M205"/>
    </row>
    <row r="206" spans="1:13" s="1" customFormat="1" x14ac:dyDescent="0.25">
      <c r="A206" s="3">
        <f>IF(B206="","",COUNTIF($H$3:H206,H206))</f>
        <v>1</v>
      </c>
      <c r="B206" s="4" t="str">
        <f>IF([1]ROSTERS!B206="","",[1]ROSTERS!B206)</f>
        <v>Abalde Alberto</v>
      </c>
      <c r="C206" s="4" t="str">
        <f>IF([1]ROSTERS!C206="","",[1]ROSTERS!C206)</f>
        <v>Alberto Abalde</v>
      </c>
      <c r="D206" s="3" t="str">
        <f>IF([1]ROSTERS!D206="","",[1]ROSTERS!D206)</f>
        <v>F</v>
      </c>
      <c r="E206" s="3" t="str">
        <f>IF([1]ROSTERS!E206="","",[1]ROSTERS!E206)</f>
        <v>ESP</v>
      </c>
      <c r="F206" s="3">
        <f>IF([1]ROSTERS!F206="","",[1]ROSTERS!F206)</f>
        <v>202</v>
      </c>
      <c r="G206" s="3">
        <f>IF([1]ROSTERS!G206="","",[1]ROSTERS!G206)</f>
        <v>29</v>
      </c>
      <c r="H206" s="3" t="str">
        <f>IF([1]ROSTERS!H206="","",[1]ROSTERS!H206)</f>
        <v>Real Madrid</v>
      </c>
      <c r="I206" s="3" t="str">
        <f>IF([1]ROSTERS!I206="","",[1]ROSTERS!I206)</f>
        <v>RMB</v>
      </c>
      <c r="J206" s="3" t="str">
        <f>IF([1]ROSTERS!J206="","",[1]ROSTERS!J206)</f>
        <v>RMB.AbaldeAlberto</v>
      </c>
      <c r="K206" s="4" t="str">
        <f>IF([1]ROSTERS!K206="","",[1]ROSTERS!K206)</f>
        <v>RMB.Alberto Abalde</v>
      </c>
      <c r="L206" s="4" t="str">
        <f>IF([1]ROSTERS!L206="","",[1]ROSTERS!L206)</f>
        <v>Abalde A.</v>
      </c>
      <c r="M206"/>
    </row>
    <row r="207" spans="1:13" s="1" customFormat="1" x14ac:dyDescent="0.25">
      <c r="A207" s="3">
        <f>IF(B207="","",COUNTIF($H$3:H207,H207))</f>
        <v>2</v>
      </c>
      <c r="B207" s="4" t="str">
        <f>IF([1]ROSTERS!B207="","",[1]ROSTERS!B207)</f>
        <v>Campazzo Facundo</v>
      </c>
      <c r="C207" s="4" t="str">
        <f>IF([1]ROSTERS!C207="","",[1]ROSTERS!C207)</f>
        <v>Facundo Campazzo</v>
      </c>
      <c r="D207" s="3" t="str">
        <f>IF([1]ROSTERS!D207="","",[1]ROSTERS!D207)</f>
        <v>PG</v>
      </c>
      <c r="E207" s="3" t="str">
        <f>IF([1]ROSTERS!E207="","",[1]ROSTERS!E207)</f>
        <v>ARG</v>
      </c>
      <c r="F207" s="3">
        <f>IF([1]ROSTERS!F207="","",[1]ROSTERS!F207)</f>
        <v>179</v>
      </c>
      <c r="G207" s="3">
        <f>IF([1]ROSTERS!G207="","",[1]ROSTERS!G207)</f>
        <v>33</v>
      </c>
      <c r="H207" s="3" t="str">
        <f>IF([1]ROSTERS!H207="","",[1]ROSTERS!H207)</f>
        <v>Real Madrid</v>
      </c>
      <c r="I207" s="3" t="str">
        <f>IF([1]ROSTERS!I207="","",[1]ROSTERS!I207)</f>
        <v>RMB</v>
      </c>
      <c r="J207" s="3" t="str">
        <f>IF([1]ROSTERS!J207="","",[1]ROSTERS!J207)</f>
        <v>RMB.CampazzoFacundo</v>
      </c>
      <c r="K207" s="4" t="str">
        <f>IF([1]ROSTERS!K207="","",[1]ROSTERS!K207)</f>
        <v>RMB.Facundo Campazzo</v>
      </c>
      <c r="L207" s="4" t="str">
        <f>IF([1]ROSTERS!L207="","",[1]ROSTERS!L207)</f>
        <v>Campazzo F.</v>
      </c>
      <c r="M207"/>
    </row>
    <row r="208" spans="1:13" s="1" customFormat="1" x14ac:dyDescent="0.25">
      <c r="A208" s="3">
        <f>IF(B208="","",COUNTIF($H$3:H208,H208))</f>
        <v>3</v>
      </c>
      <c r="B208" s="4" t="str">
        <f>IF([1]ROSTERS!B208="","",[1]ROSTERS!B208)</f>
        <v>Causeur Fabien</v>
      </c>
      <c r="C208" s="4" t="str">
        <f>IF([1]ROSTERS!C208="","",[1]ROSTERS!C208)</f>
        <v>Fabien Causeur</v>
      </c>
      <c r="D208" s="3" t="str">
        <f>IF([1]ROSTERS!D208="","",[1]ROSTERS!D208)</f>
        <v>PG</v>
      </c>
      <c r="E208" s="3" t="str">
        <f>IF([1]ROSTERS!E208="","",[1]ROSTERS!E208)</f>
        <v>FRA</v>
      </c>
      <c r="F208" s="3">
        <f>IF([1]ROSTERS!F208="","",[1]ROSTERS!F208)</f>
        <v>195</v>
      </c>
      <c r="G208" s="3">
        <f>IF([1]ROSTERS!G208="","",[1]ROSTERS!G208)</f>
        <v>37</v>
      </c>
      <c r="H208" s="3" t="str">
        <f>IF([1]ROSTERS!H208="","",[1]ROSTERS!H208)</f>
        <v>Real Madrid</v>
      </c>
      <c r="I208" s="3" t="str">
        <f>IF([1]ROSTERS!I208="","",[1]ROSTERS!I208)</f>
        <v>RMB</v>
      </c>
      <c r="J208" s="3" t="str">
        <f>IF([1]ROSTERS!J208="","",[1]ROSTERS!J208)</f>
        <v>RMB.CauseurFabien</v>
      </c>
      <c r="K208" s="4" t="str">
        <f>IF([1]ROSTERS!K208="","",[1]ROSTERS!K208)</f>
        <v>RMB.Fabien Causeur</v>
      </c>
      <c r="L208" s="4" t="str">
        <f>IF([1]ROSTERS!L208="","",[1]ROSTERS!L208)</f>
        <v>Causeur F.</v>
      </c>
      <c r="M208"/>
    </row>
    <row r="209" spans="1:13" s="1" customFormat="1" x14ac:dyDescent="0.25">
      <c r="A209" s="3">
        <f>IF(B209="","",COUNTIF($H$3:H209,H209))</f>
        <v>4</v>
      </c>
      <c r="B209" s="4" t="str">
        <f>IF([1]ROSTERS!B209="","",[1]ROSTERS!B209)</f>
        <v>Deck Gabriel</v>
      </c>
      <c r="C209" s="4" t="str">
        <f>IF([1]ROSTERS!C209="","",[1]ROSTERS!C209)</f>
        <v>Gabriel Deck</v>
      </c>
      <c r="D209" s="3" t="str">
        <f>IF([1]ROSTERS!D209="","",[1]ROSTERS!D209)</f>
        <v>F</v>
      </c>
      <c r="E209" s="3" t="str">
        <f>IF([1]ROSTERS!E209="","",[1]ROSTERS!E209)</f>
        <v>ARG</v>
      </c>
      <c r="F209" s="3">
        <f>IF([1]ROSTERS!F209="","",[1]ROSTERS!F209)</f>
        <v>198</v>
      </c>
      <c r="G209" s="3">
        <f>IF([1]ROSTERS!G209="","",[1]ROSTERS!G209)</f>
        <v>29</v>
      </c>
      <c r="H209" s="3" t="str">
        <f>IF([1]ROSTERS!H209="","",[1]ROSTERS!H209)</f>
        <v>Real Madrid</v>
      </c>
      <c r="I209" s="3" t="str">
        <f>IF([1]ROSTERS!I209="","",[1]ROSTERS!I209)</f>
        <v>RMB</v>
      </c>
      <c r="J209" s="3" t="str">
        <f>IF([1]ROSTERS!J209="","",[1]ROSTERS!J209)</f>
        <v>RMB.DeckGabriel</v>
      </c>
      <c r="K209" s="4" t="str">
        <f>IF([1]ROSTERS!K209="","",[1]ROSTERS!K209)</f>
        <v>RMB.Gabriel Deck</v>
      </c>
      <c r="L209" s="4" t="str">
        <f>IF([1]ROSTERS!L209="","",[1]ROSTERS!L209)</f>
        <v>Deck G.</v>
      </c>
      <c r="M209"/>
    </row>
    <row r="210" spans="1:13" s="1" customFormat="1" x14ac:dyDescent="0.25">
      <c r="A210" s="3">
        <f>IF(B210="","",COUNTIF($H$3:H210,H210))</f>
        <v>5</v>
      </c>
      <c r="B210" s="4" t="str">
        <f>IF([1]ROSTERS!B210="","",[1]ROSTERS!B210)</f>
        <v>Diagne Ismaila</v>
      </c>
      <c r="C210" s="4" t="str">
        <f>IF([1]ROSTERS!C210="","",[1]ROSTERS!C210)</f>
        <v>Ismaila Diagne</v>
      </c>
      <c r="D210" s="3" t="str">
        <f>IF([1]ROSTERS!D210="","",[1]ROSTERS!D210)</f>
        <v>C</v>
      </c>
      <c r="E210" s="3" t="str">
        <f>IF([1]ROSTERS!E210="","",[1]ROSTERS!E210)</f>
        <v>SEN</v>
      </c>
      <c r="F210" s="3">
        <f>IF([1]ROSTERS!F210="","",[1]ROSTERS!F210)</f>
        <v>214</v>
      </c>
      <c r="G210" s="3">
        <f>IF([1]ROSTERS!G210="","",[1]ROSTERS!G210)</f>
        <v>18</v>
      </c>
      <c r="H210" s="3" t="str">
        <f>IF([1]ROSTERS!H210="","",[1]ROSTERS!H210)</f>
        <v>Real Madrid</v>
      </c>
      <c r="I210" s="3" t="str">
        <f>IF([1]ROSTERS!I210="","",[1]ROSTERS!I210)</f>
        <v>RMB</v>
      </c>
      <c r="J210" s="3" t="str">
        <f>IF([1]ROSTERS!J210="","",[1]ROSTERS!J210)</f>
        <v>RMB.DiagneIsmaila</v>
      </c>
      <c r="K210" s="4" t="str">
        <f>IF([1]ROSTERS!K210="","",[1]ROSTERS!K210)</f>
        <v>RMB.Ismaila Diagne</v>
      </c>
      <c r="L210" s="4" t="str">
        <f>IF([1]ROSTERS!L210="","",[1]ROSTERS!L210)</f>
        <v>Diagne I.</v>
      </c>
      <c r="M210"/>
    </row>
    <row r="211" spans="1:13" s="1" customFormat="1" x14ac:dyDescent="0.25">
      <c r="A211" s="3">
        <f>IF(B211="","",COUNTIF($H$3:H211,H211))</f>
        <v>6</v>
      </c>
      <c r="B211" s="4" t="str">
        <f>IF([1]ROSTERS!B211="","",[1]ROSTERS!B211)</f>
        <v>Fernandez Rudy</v>
      </c>
      <c r="C211" s="4" t="str">
        <f>IF([1]ROSTERS!C211="","",[1]ROSTERS!C211)</f>
        <v>Rudy Fernandez</v>
      </c>
      <c r="D211" s="3" t="str">
        <f>IF([1]ROSTERS!D211="","",[1]ROSTERS!D211)</f>
        <v>F</v>
      </c>
      <c r="E211" s="3" t="str">
        <f>IF([1]ROSTERS!E211="","",[1]ROSTERS!E211)</f>
        <v>ESP</v>
      </c>
      <c r="F211" s="3">
        <f>IF([1]ROSTERS!F211="","",[1]ROSTERS!F211)</f>
        <v>196</v>
      </c>
      <c r="G211" s="3">
        <f>IF([1]ROSTERS!G211="","",[1]ROSTERS!G211)</f>
        <v>39</v>
      </c>
      <c r="H211" s="3" t="str">
        <f>IF([1]ROSTERS!H211="","",[1]ROSTERS!H211)</f>
        <v>Real Madrid</v>
      </c>
      <c r="I211" s="3" t="str">
        <f>IF([1]ROSTERS!I211="","",[1]ROSTERS!I211)</f>
        <v>RMB</v>
      </c>
      <c r="J211" s="3" t="str">
        <f>IF([1]ROSTERS!J211="","",[1]ROSTERS!J211)</f>
        <v>RMB.FernandezRudy</v>
      </c>
      <c r="K211" s="4" t="str">
        <f>IF([1]ROSTERS!K211="","",[1]ROSTERS!K211)</f>
        <v>RMB.Rudy Fernandez</v>
      </c>
      <c r="L211" s="4" t="str">
        <f>IF([1]ROSTERS!L211="","",[1]ROSTERS!L211)</f>
        <v>Fernandez R.</v>
      </c>
      <c r="M211"/>
    </row>
    <row r="212" spans="1:13" s="1" customFormat="1" x14ac:dyDescent="0.25">
      <c r="A212" s="3">
        <f>IF(B212="","",COUNTIF($H$3:H212,H212))</f>
        <v>7</v>
      </c>
      <c r="B212" s="4" t="str">
        <f>IF([1]ROSTERS!B212="","",[1]ROSTERS!B212)</f>
        <v>Gonzalez Hugo</v>
      </c>
      <c r="C212" s="4" t="str">
        <f>IF([1]ROSTERS!C212="","",[1]ROSTERS!C212)</f>
        <v>Hugo Gonzalez</v>
      </c>
      <c r="D212" s="3" t="str">
        <f>IF([1]ROSTERS!D212="","",[1]ROSTERS!D212)</f>
        <v>F</v>
      </c>
      <c r="E212" s="3" t="str">
        <f>IF([1]ROSTERS!E212="","",[1]ROSTERS!E212)</f>
        <v>ESP</v>
      </c>
      <c r="F212" s="3">
        <f>IF([1]ROSTERS!F212="","",[1]ROSTERS!F212)</f>
        <v>198</v>
      </c>
      <c r="G212" s="3">
        <f>IF([1]ROSTERS!G212="","",[1]ROSTERS!G212)</f>
        <v>18</v>
      </c>
      <c r="H212" s="3" t="str">
        <f>IF([1]ROSTERS!H212="","",[1]ROSTERS!H212)</f>
        <v>Real Madrid</v>
      </c>
      <c r="I212" s="3" t="str">
        <f>IF([1]ROSTERS!I212="","",[1]ROSTERS!I212)</f>
        <v>RMB</v>
      </c>
      <c r="J212" s="3" t="str">
        <f>IF([1]ROSTERS!J212="","",[1]ROSTERS!J212)</f>
        <v>RMB.GonzalezHugo</v>
      </c>
      <c r="K212" s="4" t="str">
        <f>IF([1]ROSTERS!K212="","",[1]ROSTERS!K212)</f>
        <v>RMB.Hugo Gonzalez</v>
      </c>
      <c r="L212" s="4" t="str">
        <f>IF([1]ROSTERS!L212="","",[1]ROSTERS!L212)</f>
        <v>Gonzalez H.</v>
      </c>
      <c r="M212"/>
    </row>
    <row r="213" spans="1:13" s="1" customFormat="1" x14ac:dyDescent="0.25">
      <c r="A213" s="3">
        <f>IF(B213="","",COUNTIF($H$3:H213,H213))</f>
        <v>8</v>
      </c>
      <c r="B213" s="4" t="str">
        <f>IF([1]ROSTERS!B213="","",[1]ROSTERS!B213)</f>
        <v>Hezonja Mario</v>
      </c>
      <c r="C213" s="4" t="str">
        <f>IF([1]ROSTERS!C213="","",[1]ROSTERS!C213)</f>
        <v>Mario Hezonja</v>
      </c>
      <c r="D213" s="3" t="str">
        <f>IF([1]ROSTERS!D213="","",[1]ROSTERS!D213)</f>
        <v>F</v>
      </c>
      <c r="E213" s="3" t="str">
        <f>IF([1]ROSTERS!E213="","",[1]ROSTERS!E213)</f>
        <v>CRO</v>
      </c>
      <c r="F213" s="3">
        <f>IF([1]ROSTERS!F213="","",[1]ROSTERS!F213)</f>
        <v>198</v>
      </c>
      <c r="G213" s="3">
        <f>IF([1]ROSTERS!G213="","",[1]ROSTERS!G213)</f>
        <v>29</v>
      </c>
      <c r="H213" s="3" t="str">
        <f>IF([1]ROSTERS!H213="","",[1]ROSTERS!H213)</f>
        <v>Real Madrid</v>
      </c>
      <c r="I213" s="3" t="str">
        <f>IF([1]ROSTERS!I213="","",[1]ROSTERS!I213)</f>
        <v>RMB</v>
      </c>
      <c r="J213" s="3" t="str">
        <f>IF([1]ROSTERS!J213="","",[1]ROSTERS!J213)</f>
        <v>RMB.HezonjaMario</v>
      </c>
      <c r="K213" s="4" t="str">
        <f>IF([1]ROSTERS!K213="","",[1]ROSTERS!K213)</f>
        <v>RMB.Mario Hezonja</v>
      </c>
      <c r="L213" s="4" t="str">
        <f>IF([1]ROSTERS!L213="","",[1]ROSTERS!L213)</f>
        <v>Hezonja M.</v>
      </c>
      <c r="M213"/>
    </row>
    <row r="214" spans="1:13" s="1" customFormat="1" x14ac:dyDescent="0.25">
      <c r="A214" s="3">
        <f>IF(B214="","",COUNTIF($H$3:H214,H214))</f>
        <v>9</v>
      </c>
      <c r="B214" s="4" t="str">
        <f>IF([1]ROSTERS!B214="","",[1]ROSTERS!B214)</f>
        <v>Llull Sergio</v>
      </c>
      <c r="C214" s="4" t="str">
        <f>IF([1]ROSTERS!C214="","",[1]ROSTERS!C214)</f>
        <v>Sergio Llull</v>
      </c>
      <c r="D214" s="3" t="str">
        <f>IF([1]ROSTERS!D214="","",[1]ROSTERS!D214)</f>
        <v>PG</v>
      </c>
      <c r="E214" s="3" t="str">
        <f>IF([1]ROSTERS!E214="","",[1]ROSTERS!E214)</f>
        <v>ESP</v>
      </c>
      <c r="F214" s="3">
        <f>IF([1]ROSTERS!F214="","",[1]ROSTERS!F214)</f>
        <v>190</v>
      </c>
      <c r="G214" s="3">
        <f>IF([1]ROSTERS!G214="","",[1]ROSTERS!G214)</f>
        <v>37</v>
      </c>
      <c r="H214" s="3" t="str">
        <f>IF([1]ROSTERS!H214="","",[1]ROSTERS!H214)</f>
        <v>Real Madrid</v>
      </c>
      <c r="I214" s="3" t="str">
        <f>IF([1]ROSTERS!I214="","",[1]ROSTERS!I214)</f>
        <v>RMB</v>
      </c>
      <c r="J214" s="3" t="str">
        <f>IF([1]ROSTERS!J214="","",[1]ROSTERS!J214)</f>
        <v>RMB.LlullSergio</v>
      </c>
      <c r="K214" s="4" t="str">
        <f>IF([1]ROSTERS!K214="","",[1]ROSTERS!K214)</f>
        <v>RMB.Sergio Llull</v>
      </c>
      <c r="L214" s="4" t="str">
        <f>IF([1]ROSTERS!L214="","",[1]ROSTERS!L214)</f>
        <v>Llull S.</v>
      </c>
      <c r="M214"/>
    </row>
    <row r="215" spans="1:13" s="1" customFormat="1" x14ac:dyDescent="0.25">
      <c r="A215" s="3">
        <f>IF(B215="","",COUNTIF($H$3:H215,H215))</f>
        <v>10</v>
      </c>
      <c r="B215" s="4" t="str">
        <f>IF([1]ROSTERS!B215="","",[1]ROSTERS!B215)</f>
        <v>Musa Dzanan</v>
      </c>
      <c r="C215" s="4" t="str">
        <f>IF([1]ROSTERS!C215="","",[1]ROSTERS!C215)</f>
        <v>Dzanan Musa</v>
      </c>
      <c r="D215" s="3" t="str">
        <f>IF([1]ROSTERS!D215="","",[1]ROSTERS!D215)</f>
        <v>F</v>
      </c>
      <c r="E215" s="3" t="str">
        <f>IF([1]ROSTERS!E215="","",[1]ROSTERS!E215)</f>
        <v>BIH</v>
      </c>
      <c r="F215" s="3">
        <f>IF([1]ROSTERS!F215="","",[1]ROSTERS!F215)</f>
        <v>202.99999999999997</v>
      </c>
      <c r="G215" s="3">
        <f>IF([1]ROSTERS!G215="","",[1]ROSTERS!G215)</f>
        <v>25</v>
      </c>
      <c r="H215" s="3" t="str">
        <f>IF([1]ROSTERS!H215="","",[1]ROSTERS!H215)</f>
        <v>Real Madrid</v>
      </c>
      <c r="I215" s="3" t="str">
        <f>IF([1]ROSTERS!I215="","",[1]ROSTERS!I215)</f>
        <v>RMB</v>
      </c>
      <c r="J215" s="3" t="str">
        <f>IF([1]ROSTERS!J215="","",[1]ROSTERS!J215)</f>
        <v>RMB.MusaDzanan</v>
      </c>
      <c r="K215" s="4" t="str">
        <f>IF([1]ROSTERS!K215="","",[1]ROSTERS!K215)</f>
        <v>RMB.Dzanan Musa</v>
      </c>
      <c r="L215" s="4" t="str">
        <f>IF([1]ROSTERS!L215="","",[1]ROSTERS!L215)</f>
        <v>Musa D.</v>
      </c>
      <c r="M215"/>
    </row>
    <row r="216" spans="1:13" s="1" customFormat="1" x14ac:dyDescent="0.25">
      <c r="A216" s="3">
        <f>IF(B216="","",COUNTIF($H$3:H216,H216))</f>
        <v>11</v>
      </c>
      <c r="B216" s="4" t="str">
        <f>IF([1]ROSTERS!B216="","",[1]ROSTERS!B216)</f>
        <v>Ndiaye Eli</v>
      </c>
      <c r="C216" s="4" t="str">
        <f>IF([1]ROSTERS!C216="","",[1]ROSTERS!C216)</f>
        <v>Eli Ndiaye</v>
      </c>
      <c r="D216" s="3" t="str">
        <f>IF([1]ROSTERS!D216="","",[1]ROSTERS!D216)</f>
        <v>PF</v>
      </c>
      <c r="E216" s="3" t="str">
        <f>IF([1]ROSTERS!E216="","",[1]ROSTERS!E216)</f>
        <v>ESP</v>
      </c>
      <c r="F216" s="3">
        <f>IF([1]ROSTERS!F216="","",[1]ROSTERS!F216)</f>
        <v>204</v>
      </c>
      <c r="G216" s="3">
        <f>IF([1]ROSTERS!G216="","",[1]ROSTERS!G216)</f>
        <v>20</v>
      </c>
      <c r="H216" s="3" t="str">
        <f>IF([1]ROSTERS!H216="","",[1]ROSTERS!H216)</f>
        <v>Real Madrid</v>
      </c>
      <c r="I216" s="3" t="str">
        <f>IF([1]ROSTERS!I216="","",[1]ROSTERS!I216)</f>
        <v>RMB</v>
      </c>
      <c r="J216" s="3" t="str">
        <f>IF([1]ROSTERS!J216="","",[1]ROSTERS!J216)</f>
        <v>RMB.NdiayeEli</v>
      </c>
      <c r="K216" s="4" t="str">
        <f>IF([1]ROSTERS!K216="","",[1]ROSTERS!K216)</f>
        <v>RMB.Eli Ndiaye</v>
      </c>
      <c r="L216" s="4" t="str">
        <f>IF([1]ROSTERS!L216="","",[1]ROSTERS!L216)</f>
        <v>Ndiaye E.</v>
      </c>
      <c r="M216"/>
    </row>
    <row r="217" spans="1:13" s="1" customFormat="1" x14ac:dyDescent="0.25">
      <c r="A217" s="3">
        <f>IF(B217="","",COUNTIF($H$3:H217,H217))</f>
        <v>12</v>
      </c>
      <c r="B217" s="4" t="str">
        <f>IF([1]ROSTERS!B217="","",[1]ROSTERS!B217)</f>
        <v>Poirier Vincent</v>
      </c>
      <c r="C217" s="4" t="str">
        <f>IF([1]ROSTERS!C217="","",[1]ROSTERS!C217)</f>
        <v>Vincent Poirier</v>
      </c>
      <c r="D217" s="3" t="str">
        <f>IF([1]ROSTERS!D217="","",[1]ROSTERS!D217)</f>
        <v>C</v>
      </c>
      <c r="E217" s="3" t="str">
        <f>IF([1]ROSTERS!E217="","",[1]ROSTERS!E217)</f>
        <v>FRA</v>
      </c>
      <c r="F217" s="3">
        <f>IF([1]ROSTERS!F217="","",[1]ROSTERS!F217)</f>
        <v>213</v>
      </c>
      <c r="G217" s="3">
        <f>IF([1]ROSTERS!G217="","",[1]ROSTERS!G217)</f>
        <v>31</v>
      </c>
      <c r="H217" s="3" t="str">
        <f>IF([1]ROSTERS!H217="","",[1]ROSTERS!H217)</f>
        <v>Real Madrid</v>
      </c>
      <c r="I217" s="3" t="str">
        <f>IF([1]ROSTERS!I217="","",[1]ROSTERS!I217)</f>
        <v>RMB</v>
      </c>
      <c r="J217" s="3" t="str">
        <f>IF([1]ROSTERS!J217="","",[1]ROSTERS!J217)</f>
        <v>RMB.PoirierVincent</v>
      </c>
      <c r="K217" s="4" t="str">
        <f>IF([1]ROSTERS!K217="","",[1]ROSTERS!K217)</f>
        <v>RMB.Vincent Poirier</v>
      </c>
      <c r="L217" s="4" t="str">
        <f>IF([1]ROSTERS!L217="","",[1]ROSTERS!L217)</f>
        <v>Poirier V.</v>
      </c>
      <c r="M217"/>
    </row>
    <row r="218" spans="1:13" s="1" customFormat="1" x14ac:dyDescent="0.25">
      <c r="A218" s="3">
        <f>IF(B218="","",COUNTIF($H$3:H218,H218))</f>
        <v>13</v>
      </c>
      <c r="B218" s="4" t="str">
        <f>IF([1]ROSTERS!B218="","",[1]ROSTERS!B218)</f>
        <v>Rodriguez Sergio</v>
      </c>
      <c r="C218" s="4" t="str">
        <f>IF([1]ROSTERS!C218="","",[1]ROSTERS!C218)</f>
        <v>Sergio Rodriguez</v>
      </c>
      <c r="D218" s="3" t="str">
        <f>IF([1]ROSTERS!D218="","",[1]ROSTERS!D218)</f>
        <v>PG</v>
      </c>
      <c r="E218" s="3" t="str">
        <f>IF([1]ROSTERS!E218="","",[1]ROSTERS!E218)</f>
        <v>ESP</v>
      </c>
      <c r="F218" s="3">
        <f>IF([1]ROSTERS!F218="","",[1]ROSTERS!F218)</f>
        <v>191</v>
      </c>
      <c r="G218" s="3">
        <f>IF([1]ROSTERS!G218="","",[1]ROSTERS!G218)</f>
        <v>38</v>
      </c>
      <c r="H218" s="3" t="str">
        <f>IF([1]ROSTERS!H218="","",[1]ROSTERS!H218)</f>
        <v>Real Madrid</v>
      </c>
      <c r="I218" s="3" t="str">
        <f>IF([1]ROSTERS!I218="","",[1]ROSTERS!I218)</f>
        <v>RMB</v>
      </c>
      <c r="J218" s="3" t="str">
        <f>IF([1]ROSTERS!J218="","",[1]ROSTERS!J218)</f>
        <v>RMB.RodriguezSergio</v>
      </c>
      <c r="K218" s="4" t="str">
        <f>IF([1]ROSTERS!K218="","",[1]ROSTERS!K218)</f>
        <v>RMB.Sergio Rodriguez</v>
      </c>
      <c r="L218" s="4" t="str">
        <f>IF([1]ROSTERS!L218="","",[1]ROSTERS!L218)</f>
        <v>Rodriguez S.</v>
      </c>
      <c r="M218"/>
    </row>
    <row r="219" spans="1:13" s="1" customFormat="1" x14ac:dyDescent="0.25">
      <c r="A219" s="3">
        <f>IF(B219="","",COUNTIF($H$3:H219,H219))</f>
        <v>14</v>
      </c>
      <c r="B219" s="4" t="str">
        <f>IF([1]ROSTERS!B219="","",[1]ROSTERS!B219)</f>
        <v>Tavares Walter</v>
      </c>
      <c r="C219" s="4" t="str">
        <f>IF([1]ROSTERS!C219="","",[1]ROSTERS!C219)</f>
        <v>Walter Tavares</v>
      </c>
      <c r="D219" s="3" t="str">
        <f>IF([1]ROSTERS!D219="","",[1]ROSTERS!D219)</f>
        <v>C</v>
      </c>
      <c r="E219" s="3" t="str">
        <f>IF([1]ROSTERS!E219="","",[1]ROSTERS!E219)</f>
        <v>CAB</v>
      </c>
      <c r="F219" s="3">
        <f>IF([1]ROSTERS!F219="","",[1]ROSTERS!F219)</f>
        <v>220.00000000000003</v>
      </c>
      <c r="G219" s="3">
        <f>IF([1]ROSTERS!G219="","",[1]ROSTERS!G219)</f>
        <v>32</v>
      </c>
      <c r="H219" s="3" t="str">
        <f>IF([1]ROSTERS!H219="","",[1]ROSTERS!H219)</f>
        <v>Real Madrid</v>
      </c>
      <c r="I219" s="3" t="str">
        <f>IF([1]ROSTERS!I219="","",[1]ROSTERS!I219)</f>
        <v>RMB</v>
      </c>
      <c r="J219" s="3" t="str">
        <f>IF([1]ROSTERS!J219="","",[1]ROSTERS!J219)</f>
        <v>RMB.TavaresWalter</v>
      </c>
      <c r="K219" s="4" t="str">
        <f>IF([1]ROSTERS!K219="","",[1]ROSTERS!K219)</f>
        <v>RMB.Walter Tavares</v>
      </c>
      <c r="L219" s="4" t="str">
        <f>IF([1]ROSTERS!L219="","",[1]ROSTERS!L219)</f>
        <v>Tavares W.</v>
      </c>
      <c r="M219"/>
    </row>
    <row r="220" spans="1:13" s="1" customFormat="1" x14ac:dyDescent="0.25">
      <c r="A220" s="3">
        <f>IF(B220="","",COUNTIF($H$3:H220,H220))</f>
        <v>15</v>
      </c>
      <c r="B220" s="4" t="str">
        <f>IF([1]ROSTERS!B220="","",[1]ROSTERS!B220)</f>
        <v>Yabusele Guerschon</v>
      </c>
      <c r="C220" s="4" t="str">
        <f>IF([1]ROSTERS!C220="","",[1]ROSTERS!C220)</f>
        <v>Guerschon Yabusele</v>
      </c>
      <c r="D220" s="3" t="str">
        <f>IF([1]ROSTERS!D220="","",[1]ROSTERS!D220)</f>
        <v>PF</v>
      </c>
      <c r="E220" s="3" t="str">
        <f>IF([1]ROSTERS!E220="","",[1]ROSTERS!E220)</f>
        <v>FRA</v>
      </c>
      <c r="F220" s="3">
        <f>IF([1]ROSTERS!F220="","",[1]ROSTERS!F220)</f>
        <v>202</v>
      </c>
      <c r="G220" s="3">
        <f>IF([1]ROSTERS!G220="","",[1]ROSTERS!G220)</f>
        <v>29</v>
      </c>
      <c r="H220" s="3" t="str">
        <f>IF([1]ROSTERS!H220="","",[1]ROSTERS!H220)</f>
        <v>Real Madrid</v>
      </c>
      <c r="I220" s="3" t="str">
        <f>IF([1]ROSTERS!I220="","",[1]ROSTERS!I220)</f>
        <v>RMB</v>
      </c>
      <c r="J220" s="3" t="str">
        <f>IF([1]ROSTERS!J220="","",[1]ROSTERS!J220)</f>
        <v>RMB.YabuseleGuerschon</v>
      </c>
      <c r="K220" s="4" t="str">
        <f>IF([1]ROSTERS!K220="","",[1]ROSTERS!K220)</f>
        <v>RMB.Guerschon Yabusele</v>
      </c>
      <c r="L220" s="4" t="str">
        <f>IF([1]ROSTERS!L220="","",[1]ROSTERS!L220)</f>
        <v>Yabusele G.</v>
      </c>
      <c r="M220"/>
    </row>
    <row r="221" spans="1:13" s="1" customFormat="1" x14ac:dyDescent="0.25">
      <c r="A221" s="3">
        <f>IF(B221="","",COUNTIF($H$3:H221,H221))</f>
        <v>1</v>
      </c>
      <c r="B221" s="4" t="str">
        <f>IF([1]ROSTERS!B221="","",[1]ROSTERS!B221)</f>
        <v>Claver Victor</v>
      </c>
      <c r="C221" s="4" t="str">
        <f>IF([1]ROSTERS!C221="","",[1]ROSTERS!C221)</f>
        <v>Victor Claver</v>
      </c>
      <c r="D221" s="3" t="str">
        <f>IF([1]ROSTERS!D221="","",[1]ROSTERS!D221)</f>
        <v>F/PF</v>
      </c>
      <c r="E221" s="3" t="str">
        <f>IF([1]ROSTERS!E221="","",[1]ROSTERS!E221)</f>
        <v>ESP</v>
      </c>
      <c r="F221" s="3">
        <f>IF([1]ROSTERS!F221="","",[1]ROSTERS!F221)</f>
        <v>206.99999999999997</v>
      </c>
      <c r="G221" s="3">
        <f>IF([1]ROSTERS!G221="","",[1]ROSTERS!G221)</f>
        <v>36</v>
      </c>
      <c r="H221" s="3" t="str">
        <f>IF([1]ROSTERS!H221="","",[1]ROSTERS!H221)</f>
        <v>Valencia Basket</v>
      </c>
      <c r="I221" s="3" t="str">
        <f>IF([1]ROSTERS!I221="","",[1]ROSTERS!I221)</f>
        <v>VAL</v>
      </c>
      <c r="J221" s="3" t="str">
        <f>IF([1]ROSTERS!J221="","",[1]ROSTERS!J221)</f>
        <v>VAL.ClaverVictor</v>
      </c>
      <c r="K221" s="4" t="str">
        <f>IF([1]ROSTERS!K221="","",[1]ROSTERS!K221)</f>
        <v>VAL.Victor Claver</v>
      </c>
      <c r="L221" s="4" t="str">
        <f>IF([1]ROSTERS!L221="","",[1]ROSTERS!L221)</f>
        <v>Claver V.</v>
      </c>
      <c r="M221"/>
    </row>
    <row r="222" spans="1:13" s="1" customFormat="1" x14ac:dyDescent="0.25">
      <c r="A222" s="3">
        <f>IF(B222="","",COUNTIF($H$3:H222,H222))</f>
        <v>2</v>
      </c>
      <c r="B222" s="4" t="str">
        <f>IF([1]ROSTERS!B222="","",[1]ROSTERS!B222)</f>
        <v>Davies Brandon</v>
      </c>
      <c r="C222" s="4" t="str">
        <f>IF([1]ROSTERS!C222="","",[1]ROSTERS!C222)</f>
        <v>Brandon Davies</v>
      </c>
      <c r="D222" s="3" t="str">
        <f>IF([1]ROSTERS!D222="","",[1]ROSTERS!D222)</f>
        <v>C</v>
      </c>
      <c r="E222" s="3" t="str">
        <f>IF([1]ROSTERS!E222="","",[1]ROSTERS!E222)</f>
        <v>USA</v>
      </c>
      <c r="F222" s="3">
        <f>IF([1]ROSTERS!F222="","",[1]ROSTERS!F222)</f>
        <v>208</v>
      </c>
      <c r="G222" s="3">
        <f>IF([1]ROSTERS!G222="","",[1]ROSTERS!G222)</f>
        <v>33</v>
      </c>
      <c r="H222" s="3" t="str">
        <f>IF([1]ROSTERS!H222="","",[1]ROSTERS!H222)</f>
        <v>Valencia Basket</v>
      </c>
      <c r="I222" s="3" t="str">
        <f>IF([1]ROSTERS!I222="","",[1]ROSTERS!I222)</f>
        <v>VAL</v>
      </c>
      <c r="J222" s="3" t="str">
        <f>IF([1]ROSTERS!J222="","",[1]ROSTERS!J222)</f>
        <v>VAL.DaviesBrandon</v>
      </c>
      <c r="K222" s="4" t="str">
        <f>IF([1]ROSTERS!K222="","",[1]ROSTERS!K222)</f>
        <v>VAL.Brandon Davies</v>
      </c>
      <c r="L222" s="4" t="str">
        <f>IF([1]ROSTERS!L222="","",[1]ROSTERS!L222)</f>
        <v>Davies B.</v>
      </c>
      <c r="M222"/>
    </row>
    <row r="223" spans="1:13" s="1" customFormat="1" x14ac:dyDescent="0.25">
      <c r="A223" s="3">
        <f>IF(B223="","",COUNTIF($H$3:H223,H223))</f>
        <v>3</v>
      </c>
      <c r="B223" s="4" t="str">
        <f>IF([1]ROSTERS!B223="","",[1]ROSTERS!B223)</f>
        <v>Ferrando Guillem</v>
      </c>
      <c r="C223" s="4" t="str">
        <f>IF([1]ROSTERS!C223="","",[1]ROSTERS!C223)</f>
        <v>Guillem Ferrando Porro</v>
      </c>
      <c r="D223" s="3" t="str">
        <f>IF([1]ROSTERS!D223="","",[1]ROSTERS!D223)</f>
        <v>SG</v>
      </c>
      <c r="E223" s="3" t="str">
        <f>IF([1]ROSTERS!E223="","",[1]ROSTERS!E223)</f>
        <v>ESP</v>
      </c>
      <c r="F223" s="3">
        <f>IF([1]ROSTERS!F223="","",[1]ROSTERS!F223)</f>
        <v>185</v>
      </c>
      <c r="G223" s="3">
        <f>IF([1]ROSTERS!G223="","",[1]ROSTERS!G223)</f>
        <v>22</v>
      </c>
      <c r="H223" s="3" t="str">
        <f>IF([1]ROSTERS!H223="","",[1]ROSTERS!H223)</f>
        <v>Valencia Basket</v>
      </c>
      <c r="I223" s="3" t="str">
        <f>IF([1]ROSTERS!I223="","",[1]ROSTERS!I223)</f>
        <v>VAL</v>
      </c>
      <c r="J223" s="3" t="str">
        <f>IF([1]ROSTERS!J223="","",[1]ROSTERS!J223)</f>
        <v>VAL.FerrandoGuillem</v>
      </c>
      <c r="K223" s="4" t="str">
        <f>IF([1]ROSTERS!K223="","",[1]ROSTERS!K223)</f>
        <v>VAL.Guillem Ferrando Porro</v>
      </c>
      <c r="L223" s="4" t="str">
        <f>IF([1]ROSTERS!L223="","",[1]ROSTERS!L223)</f>
        <v>Ferrando G.</v>
      </c>
      <c r="M223"/>
    </row>
    <row r="224" spans="1:13" s="1" customFormat="1" x14ac:dyDescent="0.25">
      <c r="A224" s="3">
        <f>IF(B224="","",COUNTIF($H$3:H224,H224))</f>
        <v>4</v>
      </c>
      <c r="B224" s="4" t="str">
        <f>IF([1]ROSTERS!B224="","",[1]ROSTERS!B224)</f>
        <v>Harper Jared</v>
      </c>
      <c r="C224" s="4" t="str">
        <f>IF([1]ROSTERS!C224="","",[1]ROSTERS!C224)</f>
        <v>Jared Harper</v>
      </c>
      <c r="D224" s="3" t="str">
        <f>IF([1]ROSTERS!D224="","",[1]ROSTERS!D224)</f>
        <v>PG</v>
      </c>
      <c r="E224" s="3" t="str">
        <f>IF([1]ROSTERS!E224="","",[1]ROSTERS!E224)</f>
        <v>USA</v>
      </c>
      <c r="F224" s="3">
        <f>IF([1]ROSTERS!F224="","",[1]ROSTERS!F224)</f>
        <v>178</v>
      </c>
      <c r="G224" s="3">
        <f>IF([1]ROSTERS!G224="","",[1]ROSTERS!G224)</f>
        <v>27</v>
      </c>
      <c r="H224" s="3" t="str">
        <f>IF([1]ROSTERS!H224="","",[1]ROSTERS!H224)</f>
        <v>Valencia Basket</v>
      </c>
      <c r="I224" s="3" t="str">
        <f>IF([1]ROSTERS!I224="","",[1]ROSTERS!I224)</f>
        <v>VAL</v>
      </c>
      <c r="J224" s="3" t="str">
        <f>IF([1]ROSTERS!J224="","",[1]ROSTERS!J224)</f>
        <v>VAL.HarperJared</v>
      </c>
      <c r="K224" s="4" t="str">
        <f>IF([1]ROSTERS!K224="","",[1]ROSTERS!K224)</f>
        <v>VAL.Jared Harper</v>
      </c>
      <c r="L224" s="4" t="str">
        <f>IF([1]ROSTERS!L224="","",[1]ROSTERS!L224)</f>
        <v>Harper J.</v>
      </c>
      <c r="M224"/>
    </row>
    <row r="225" spans="1:13" s="1" customFormat="1" x14ac:dyDescent="0.25">
      <c r="A225" s="3">
        <f>IF(B225="","",COUNTIF($H$3:H225,H225))</f>
        <v>5</v>
      </c>
      <c r="B225" s="4" t="str">
        <f>IF([1]ROSTERS!B225="","",[1]ROSTERS!B225)</f>
        <v>Inglis Damien</v>
      </c>
      <c r="C225" s="4" t="str">
        <f>IF([1]ROSTERS!C225="","",[1]ROSTERS!C225)</f>
        <v>Damien Inglis</v>
      </c>
      <c r="D225" s="3" t="str">
        <f>IF([1]ROSTERS!D225="","",[1]ROSTERS!D225)</f>
        <v>PF</v>
      </c>
      <c r="E225" s="3" t="str">
        <f>IF([1]ROSTERS!E225="","",[1]ROSTERS!E225)</f>
        <v>FRA</v>
      </c>
      <c r="F225" s="3">
        <f>IF([1]ROSTERS!F225="","",[1]ROSTERS!F225)</f>
        <v>204</v>
      </c>
      <c r="G225" s="3">
        <f>IF([1]ROSTERS!G225="","",[1]ROSTERS!G225)</f>
        <v>29</v>
      </c>
      <c r="H225" s="3" t="str">
        <f>IF([1]ROSTERS!H225="","",[1]ROSTERS!H225)</f>
        <v>Valencia Basket</v>
      </c>
      <c r="I225" s="3" t="str">
        <f>IF([1]ROSTERS!I225="","",[1]ROSTERS!I225)</f>
        <v>VAL</v>
      </c>
      <c r="J225" s="3" t="str">
        <f>IF([1]ROSTERS!J225="","",[1]ROSTERS!J225)</f>
        <v>VAL.InglisDamien</v>
      </c>
      <c r="K225" s="4" t="str">
        <f>IF([1]ROSTERS!K225="","",[1]ROSTERS!K225)</f>
        <v>VAL.Damien Inglis</v>
      </c>
      <c r="L225" s="4" t="str">
        <f>IF([1]ROSTERS!L225="","",[1]ROSTERS!L225)</f>
        <v>Inglis D.</v>
      </c>
      <c r="M225"/>
    </row>
    <row r="226" spans="1:13" s="1" customFormat="1" x14ac:dyDescent="0.25">
      <c r="A226" s="3">
        <f>IF(B226="","",COUNTIF($H$3:H226,H226))</f>
        <v>6</v>
      </c>
      <c r="B226" s="4" t="str">
        <f>IF([1]ROSTERS!B226="","",[1]ROSTERS!B226)</f>
        <v>Jones Chris</v>
      </c>
      <c r="C226" s="4" t="str">
        <f>IF([1]ROSTERS!C226="","",[1]ROSTERS!C226)</f>
        <v>Chris Jones</v>
      </c>
      <c r="D226" s="3" t="str">
        <f>IF([1]ROSTERS!D226="","",[1]ROSTERS!D226)</f>
        <v>PG/SG</v>
      </c>
      <c r="E226" s="3" t="str">
        <f>IF([1]ROSTERS!E226="","",[1]ROSTERS!E226)</f>
        <v>USA</v>
      </c>
      <c r="F226" s="3">
        <f>IF([1]ROSTERS!F226="","",[1]ROSTERS!F226)</f>
        <v>188</v>
      </c>
      <c r="G226" s="3">
        <f>IF([1]ROSTERS!G226="","",[1]ROSTERS!G226)</f>
        <v>31</v>
      </c>
      <c r="H226" s="3" t="str">
        <f>IF([1]ROSTERS!H226="","",[1]ROSTERS!H226)</f>
        <v>Valencia Basket</v>
      </c>
      <c r="I226" s="3" t="str">
        <f>IF([1]ROSTERS!I226="","",[1]ROSTERS!I226)</f>
        <v>VAL</v>
      </c>
      <c r="J226" s="3" t="str">
        <f>IF([1]ROSTERS!J226="","",[1]ROSTERS!J226)</f>
        <v>VAL.JonesChris</v>
      </c>
      <c r="K226" s="4" t="str">
        <f>IF([1]ROSTERS!K226="","",[1]ROSTERS!K226)</f>
        <v>VAL.Chris Jones</v>
      </c>
      <c r="L226" s="4" t="str">
        <f>IF([1]ROSTERS!L226="","",[1]ROSTERS!L226)</f>
        <v>Jones C.</v>
      </c>
      <c r="M226"/>
    </row>
    <row r="227" spans="1:13" s="1" customFormat="1" x14ac:dyDescent="0.25">
      <c r="A227" s="3">
        <f>IF(B227="","",COUNTIF($H$3:H227,H227))</f>
        <v>7</v>
      </c>
      <c r="B227" s="4" t="str">
        <f>IF([1]ROSTERS!B227="","",[1]ROSTERS!B227)</f>
        <v>Jovic Stefan</v>
      </c>
      <c r="C227" s="4" t="str">
        <f>IF([1]ROSTERS!C227="","",[1]ROSTERS!C227)</f>
        <v>Stefan Jovic</v>
      </c>
      <c r="D227" s="3" t="str">
        <f>IF([1]ROSTERS!D227="","",[1]ROSTERS!D227)</f>
        <v>PG</v>
      </c>
      <c r="E227" s="3" t="str">
        <f>IF([1]ROSTERS!E227="","",[1]ROSTERS!E227)</f>
        <v>SRB</v>
      </c>
      <c r="F227" s="3">
        <f>IF([1]ROSTERS!F227="","",[1]ROSTERS!F227)</f>
        <v>198</v>
      </c>
      <c r="G227" s="3">
        <f>IF([1]ROSTERS!G227="","",[1]ROSTERS!G227)</f>
        <v>34</v>
      </c>
      <c r="H227" s="3" t="str">
        <f>IF([1]ROSTERS!H227="","",[1]ROSTERS!H227)</f>
        <v>Valencia Basket</v>
      </c>
      <c r="I227" s="3" t="str">
        <f>IF([1]ROSTERS!I227="","",[1]ROSTERS!I227)</f>
        <v>VAL</v>
      </c>
      <c r="J227" s="3" t="str">
        <f>IF([1]ROSTERS!J227="","",[1]ROSTERS!J227)</f>
        <v>VAL.JovicStefan</v>
      </c>
      <c r="K227" s="4" t="str">
        <f>IF([1]ROSTERS!K227="","",[1]ROSTERS!K227)</f>
        <v>VAL.Stefan Jovic</v>
      </c>
      <c r="L227" s="4" t="str">
        <f>IF([1]ROSTERS!L227="","",[1]ROSTERS!L227)</f>
        <v>Jovic S.</v>
      </c>
      <c r="M227"/>
    </row>
    <row r="228" spans="1:13" s="1" customFormat="1" x14ac:dyDescent="0.25">
      <c r="A228" s="3">
        <f>IF(B228="","",COUNTIF($H$3:H228,H228))</f>
        <v>8</v>
      </c>
      <c r="B228" s="4" t="str">
        <f>IF([1]ROSTERS!B228="","",[1]ROSTERS!B228)</f>
        <v>Lopez Arostegui Xabi</v>
      </c>
      <c r="C228" s="4" t="str">
        <f>IF([1]ROSTERS!C228="","",[1]ROSTERS!C228)</f>
        <v>Xabi Lopez Arostegui</v>
      </c>
      <c r="D228" s="3" t="str">
        <f>IF([1]ROSTERS!D228="","",[1]ROSTERS!D228)</f>
        <v>F/PF</v>
      </c>
      <c r="E228" s="3" t="str">
        <f>IF([1]ROSTERS!E228="","",[1]ROSTERS!E228)</f>
        <v>ESP</v>
      </c>
      <c r="F228" s="3">
        <f>IF([1]ROSTERS!F228="","",[1]ROSTERS!F228)</f>
        <v>200</v>
      </c>
      <c r="G228" s="3">
        <f>IF([1]ROSTERS!G228="","",[1]ROSTERS!G228)</f>
        <v>27</v>
      </c>
      <c r="H228" s="3" t="str">
        <f>IF([1]ROSTERS!H228="","",[1]ROSTERS!H228)</f>
        <v>Valencia Basket</v>
      </c>
      <c r="I228" s="3" t="str">
        <f>IF([1]ROSTERS!I228="","",[1]ROSTERS!I228)</f>
        <v>VAL</v>
      </c>
      <c r="J228" s="3" t="str">
        <f>IF([1]ROSTERS!J228="","",[1]ROSTERS!J228)</f>
        <v>VAL.LopezArosteguiXabi</v>
      </c>
      <c r="K228" s="4" t="str">
        <f>IF([1]ROSTERS!K228="","",[1]ROSTERS!K228)</f>
        <v>VAL.Xabi Lopez Arostegui</v>
      </c>
      <c r="L228" s="4" t="str">
        <f>IF([1]ROSTERS!L228="","",[1]ROSTERS!L228)</f>
        <v>Lopez Arostegui X.</v>
      </c>
      <c r="M228"/>
    </row>
    <row r="229" spans="1:13" s="1" customFormat="1" x14ac:dyDescent="0.25">
      <c r="A229" s="3">
        <f>IF(B229="","",COUNTIF($H$3:H229,H229))</f>
        <v>9</v>
      </c>
      <c r="B229" s="4" t="str">
        <f>IF([1]ROSTERS!B229="","",[1]ROSTERS!B229)</f>
        <v>Mari Lucas</v>
      </c>
      <c r="C229" s="4" t="str">
        <f>IF([1]ROSTERS!C229="","",[1]ROSTERS!C229)</f>
        <v>Lucas Mari</v>
      </c>
      <c r="D229" s="3" t="str">
        <f>IF([1]ROSTERS!D229="","",[1]ROSTERS!D229)</f>
        <v>SG</v>
      </c>
      <c r="E229" s="3" t="str">
        <f>IF([1]ROSTERS!E229="","",[1]ROSTERS!E229)</f>
        <v>ESP</v>
      </c>
      <c r="F229" s="3">
        <f>IF([1]ROSTERS!F229="","",[1]ROSTERS!F229)</f>
        <v>197</v>
      </c>
      <c r="G229" s="3">
        <f>IF([1]ROSTERS!G229="","",[1]ROSTERS!G229)</f>
        <v>19</v>
      </c>
      <c r="H229" s="3" t="str">
        <f>IF([1]ROSTERS!H229="","",[1]ROSTERS!H229)</f>
        <v>Valencia Basket</v>
      </c>
      <c r="I229" s="3" t="str">
        <f>IF([1]ROSTERS!I229="","",[1]ROSTERS!I229)</f>
        <v>VAL</v>
      </c>
      <c r="J229" s="3" t="str">
        <f>IF([1]ROSTERS!J229="","",[1]ROSTERS!J229)</f>
        <v>VAL.MariLucas</v>
      </c>
      <c r="K229" s="4" t="str">
        <f>IF([1]ROSTERS!K229="","",[1]ROSTERS!K229)</f>
        <v>VAL.Lucas Mari</v>
      </c>
      <c r="L229" s="4" t="str">
        <f>IF([1]ROSTERS!L229="","",[1]ROSTERS!L229)</f>
        <v>Mari L.</v>
      </c>
      <c r="M229"/>
    </row>
    <row r="230" spans="1:13" s="1" customFormat="1" x14ac:dyDescent="0.25">
      <c r="A230" s="3">
        <f>IF(B230="","",COUNTIF($H$3:H230,H230))</f>
        <v>10</v>
      </c>
      <c r="B230" s="4" t="str">
        <f>IF([1]ROSTERS!B230="","",[1]ROSTERS!B230)</f>
        <v>Ojeleye Semi</v>
      </c>
      <c r="C230" s="4" t="str">
        <f>IF([1]ROSTERS!C230="","",[1]ROSTERS!C230)</f>
        <v>Semi Ojeleye</v>
      </c>
      <c r="D230" s="3" t="str">
        <f>IF([1]ROSTERS!D230="","",[1]ROSTERS!D230)</f>
        <v>PF</v>
      </c>
      <c r="E230" s="3" t="str">
        <f>IF([1]ROSTERS!E230="","",[1]ROSTERS!E230)</f>
        <v>NGA</v>
      </c>
      <c r="F230" s="3">
        <f>IF([1]ROSTERS!F230="","",[1]ROSTERS!F230)</f>
        <v>201</v>
      </c>
      <c r="G230" s="3">
        <f>IF([1]ROSTERS!G230="","",[1]ROSTERS!G230)</f>
        <v>30</v>
      </c>
      <c r="H230" s="3" t="str">
        <f>IF([1]ROSTERS!H230="","",[1]ROSTERS!H230)</f>
        <v>Valencia Basket</v>
      </c>
      <c r="I230" s="3" t="str">
        <f>IF([1]ROSTERS!I230="","",[1]ROSTERS!I230)</f>
        <v>VAL</v>
      </c>
      <c r="J230" s="3" t="str">
        <f>IF([1]ROSTERS!J230="","",[1]ROSTERS!J230)</f>
        <v>VAL.OjeleyeSemi</v>
      </c>
      <c r="K230" s="4" t="str">
        <f>IF([1]ROSTERS!K230="","",[1]ROSTERS!K230)</f>
        <v>VAL.Semi Ojeleye</v>
      </c>
      <c r="L230" s="4" t="str">
        <f>IF([1]ROSTERS!L230="","",[1]ROSTERS!L230)</f>
        <v>Ojeleye S.</v>
      </c>
      <c r="M230"/>
    </row>
    <row r="231" spans="1:13" s="1" customFormat="1" x14ac:dyDescent="0.25">
      <c r="A231" s="3">
        <f>IF(B231="","",COUNTIF($H$3:H231,H231))</f>
        <v>11</v>
      </c>
      <c r="B231" s="4" t="str">
        <f>IF([1]ROSTERS!B231="","",[1]ROSTERS!B231)</f>
        <v>Pradilla Jaime</v>
      </c>
      <c r="C231" s="4" t="str">
        <f>IF([1]ROSTERS!C231="","",[1]ROSTERS!C231)</f>
        <v>Jaime Pradilla</v>
      </c>
      <c r="D231" s="3" t="str">
        <f>IF([1]ROSTERS!D231="","",[1]ROSTERS!D231)</f>
        <v>C</v>
      </c>
      <c r="E231" s="3" t="str">
        <f>IF([1]ROSTERS!E231="","",[1]ROSTERS!E231)</f>
        <v>ESP</v>
      </c>
      <c r="F231" s="3">
        <f>IF([1]ROSTERS!F231="","",[1]ROSTERS!F231)</f>
        <v>204.99999999999997</v>
      </c>
      <c r="G231" s="3">
        <f>IF([1]ROSTERS!G231="","",[1]ROSTERS!G231)</f>
        <v>23</v>
      </c>
      <c r="H231" s="3" t="str">
        <f>IF([1]ROSTERS!H231="","",[1]ROSTERS!H231)</f>
        <v>Valencia Basket</v>
      </c>
      <c r="I231" s="3" t="str">
        <f>IF([1]ROSTERS!I231="","",[1]ROSTERS!I231)</f>
        <v>VAL</v>
      </c>
      <c r="J231" s="3" t="str">
        <f>IF([1]ROSTERS!J231="","",[1]ROSTERS!J231)</f>
        <v>VAL.PradillaJaime</v>
      </c>
      <c r="K231" s="4" t="str">
        <f>IF([1]ROSTERS!K231="","",[1]ROSTERS!K231)</f>
        <v>VAL.Jaime Pradilla</v>
      </c>
      <c r="L231" s="4" t="str">
        <f>IF([1]ROSTERS!L231="","",[1]ROSTERS!L231)</f>
        <v>Pradilla J.</v>
      </c>
      <c r="M231"/>
    </row>
    <row r="232" spans="1:13" s="1" customFormat="1" x14ac:dyDescent="0.25">
      <c r="A232" s="3">
        <f>IF(B232="","",COUNTIF($H$3:H232,H232))</f>
        <v>12</v>
      </c>
      <c r="B232" s="4" t="str">
        <f>IF([1]ROSTERS!B232="","",[1]ROSTERS!B232)</f>
        <v>Puerto Josep</v>
      </c>
      <c r="C232" s="4" t="str">
        <f>IF([1]ROSTERS!C232="","",[1]ROSTERS!C232)</f>
        <v>Josep Puerto</v>
      </c>
      <c r="D232" s="3" t="str">
        <f>IF([1]ROSTERS!D232="","",[1]ROSTERS!D232)</f>
        <v>SG/F</v>
      </c>
      <c r="E232" s="3" t="str">
        <f>IF([1]ROSTERS!E232="","",[1]ROSTERS!E232)</f>
        <v>ESP</v>
      </c>
      <c r="F232" s="3">
        <f>IF([1]ROSTERS!F232="","",[1]ROSTERS!F232)</f>
        <v>199</v>
      </c>
      <c r="G232" s="3">
        <f>IF([1]ROSTERS!G232="","",[1]ROSTERS!G232)</f>
        <v>25</v>
      </c>
      <c r="H232" s="3" t="str">
        <f>IF([1]ROSTERS!H232="","",[1]ROSTERS!H232)</f>
        <v>Valencia Basket</v>
      </c>
      <c r="I232" s="3" t="str">
        <f>IF([1]ROSTERS!I232="","",[1]ROSTERS!I232)</f>
        <v>VAL</v>
      </c>
      <c r="J232" s="3" t="str">
        <f>IF([1]ROSTERS!J232="","",[1]ROSTERS!J232)</f>
        <v>VAL.PuertoJosep</v>
      </c>
      <c r="K232" s="4" t="str">
        <f>IF([1]ROSTERS!K232="","",[1]ROSTERS!K232)</f>
        <v>VAL.Josep Puerto</v>
      </c>
      <c r="L232" s="4" t="str">
        <f>IF([1]ROSTERS!L232="","",[1]ROSTERS!L232)</f>
        <v>Puerto J.</v>
      </c>
      <c r="M232"/>
    </row>
    <row r="233" spans="1:13" s="1" customFormat="1" x14ac:dyDescent="0.25">
      <c r="A233" s="3">
        <f>IF(B233="","",COUNTIF($H$3:H233,H233))</f>
        <v>13</v>
      </c>
      <c r="B233" s="4" t="str">
        <f>IF([1]ROSTERS!B233="","",[1]ROSTERS!B233)</f>
        <v>Reuvers Nathan</v>
      </c>
      <c r="C233" s="4" t="str">
        <f>IF([1]ROSTERS!C233="","",[1]ROSTERS!C233)</f>
        <v>Nathan Reuvers</v>
      </c>
      <c r="D233" s="3" t="str">
        <f>IF([1]ROSTERS!D233="","",[1]ROSTERS!D233)</f>
        <v>PF/C</v>
      </c>
      <c r="E233" s="3" t="str">
        <f>IF([1]ROSTERS!E233="","",[1]ROSTERS!E233)</f>
        <v>USA</v>
      </c>
      <c r="F233" s="3">
        <f>IF([1]ROSTERS!F233="","",[1]ROSTERS!F233)</f>
        <v>211</v>
      </c>
      <c r="G233" s="3">
        <f>IF([1]ROSTERS!G233="","",[1]ROSTERS!G233)</f>
        <v>26</v>
      </c>
      <c r="H233" s="3" t="str">
        <f>IF([1]ROSTERS!H233="","",[1]ROSTERS!H233)</f>
        <v>Valencia Basket</v>
      </c>
      <c r="I233" s="3" t="str">
        <f>IF([1]ROSTERS!I233="","",[1]ROSTERS!I233)</f>
        <v>VAL</v>
      </c>
      <c r="J233" s="3" t="str">
        <f>IF([1]ROSTERS!J233="","",[1]ROSTERS!J233)</f>
        <v>VAL.ReuversNathan</v>
      </c>
      <c r="K233" s="4" t="str">
        <f>IF([1]ROSTERS!K233="","",[1]ROSTERS!K233)</f>
        <v>VAL.Nathan Reuvers</v>
      </c>
      <c r="L233" s="4" t="str">
        <f>IF([1]ROSTERS!L233="","",[1]ROSTERS!L233)</f>
        <v>Reuvers N.</v>
      </c>
      <c r="M233"/>
    </row>
    <row r="234" spans="1:13" s="1" customFormat="1" x14ac:dyDescent="0.25">
      <c r="A234" s="3">
        <f>IF(B234="","",COUNTIF($H$3:H234,H234))</f>
        <v>14</v>
      </c>
      <c r="B234" s="4" t="str">
        <f>IF([1]ROSTERS!B234="","",[1]ROSTERS!B234)</f>
        <v>Robertson Kassius</v>
      </c>
      <c r="C234" s="4" t="str">
        <f>IF([1]ROSTERS!C234="","",[1]ROSTERS!C234)</f>
        <v>Kassius Robertson</v>
      </c>
      <c r="D234" s="3" t="str">
        <f>IF([1]ROSTERS!D234="","",[1]ROSTERS!D234)</f>
        <v>SG</v>
      </c>
      <c r="E234" s="3" t="str">
        <f>IF([1]ROSTERS!E234="","",[1]ROSTERS!E234)</f>
        <v>CAN</v>
      </c>
      <c r="F234" s="3">
        <f>IF([1]ROSTERS!F234="","",[1]ROSTERS!F234)</f>
        <v>191</v>
      </c>
      <c r="G234" s="3">
        <f>IF([1]ROSTERS!G234="","",[1]ROSTERS!G234)</f>
        <v>30</v>
      </c>
      <c r="H234" s="3" t="str">
        <f>IF([1]ROSTERS!H234="","",[1]ROSTERS!H234)</f>
        <v>Valencia Basket</v>
      </c>
      <c r="I234" s="3" t="str">
        <f>IF([1]ROSTERS!I234="","",[1]ROSTERS!I234)</f>
        <v>VAL</v>
      </c>
      <c r="J234" s="3" t="str">
        <f>IF([1]ROSTERS!J234="","",[1]ROSTERS!J234)</f>
        <v>VAL.RobertsonKassius</v>
      </c>
      <c r="K234" s="4" t="str">
        <f>IF([1]ROSTERS!K234="","",[1]ROSTERS!K234)</f>
        <v>VAL.Kassius Robertson</v>
      </c>
      <c r="L234" s="4" t="str">
        <f>IF([1]ROSTERS!L234="","",[1]ROSTERS!L234)</f>
        <v>Robertson K.</v>
      </c>
      <c r="M234"/>
    </row>
    <row r="235" spans="1:13" s="1" customFormat="1" x14ac:dyDescent="0.25">
      <c r="A235" s="3">
        <f>IF(B235="","",COUNTIF($H$3:H235,H235))</f>
        <v>15</v>
      </c>
      <c r="B235" s="4" t="str">
        <f>IF([1]ROSTERS!B235="","",[1]ROSTERS!B235)</f>
        <v>Toure Boubacar</v>
      </c>
      <c r="C235" s="4" t="str">
        <f>IF([1]ROSTERS!C235="","",[1]ROSTERS!C235)</f>
        <v>Boubacar Toure</v>
      </c>
      <c r="D235" s="3" t="str">
        <f>IF([1]ROSTERS!D235="","",[1]ROSTERS!D235)</f>
        <v>C</v>
      </c>
      <c r="E235" s="3" t="str">
        <f>IF([1]ROSTERS!E235="","",[1]ROSTERS!E235)</f>
        <v>SEN</v>
      </c>
      <c r="F235" s="3">
        <f>IF([1]ROSTERS!F235="","",[1]ROSTERS!F235)</f>
        <v>210</v>
      </c>
      <c r="G235" s="3">
        <f>IF([1]ROSTERS!G235="","",[1]ROSTERS!G235)</f>
        <v>29</v>
      </c>
      <c r="H235" s="3" t="str">
        <f>IF([1]ROSTERS!H235="","",[1]ROSTERS!H235)</f>
        <v>Valencia Basket</v>
      </c>
      <c r="I235" s="3" t="str">
        <f>IF([1]ROSTERS!I235="","",[1]ROSTERS!I235)</f>
        <v>VAL</v>
      </c>
      <c r="J235" s="3" t="str">
        <f>IF([1]ROSTERS!J235="","",[1]ROSTERS!J235)</f>
        <v>VAL.ToureBoubacar</v>
      </c>
      <c r="K235" s="4" t="str">
        <f>IF([1]ROSTERS!K235="","",[1]ROSTERS!K235)</f>
        <v>VAL.Boubacar Toure</v>
      </c>
      <c r="L235" s="4" t="str">
        <f>IF([1]ROSTERS!L235="","",[1]ROSTERS!L235)</f>
        <v>Toure B.</v>
      </c>
      <c r="M235"/>
    </row>
    <row r="236" spans="1:13" s="1" customFormat="1" x14ac:dyDescent="0.25">
      <c r="A236" s="3">
        <f>IF(B236="","",COUNTIF($H$3:H236,H236))</f>
        <v>1</v>
      </c>
      <c r="B236" s="4" t="str">
        <f>IF([1]ROSTERS!B236="","",[1]ROSTERS!B236)</f>
        <v>Abass Awudu</v>
      </c>
      <c r="C236" s="4" t="str">
        <f>IF([1]ROSTERS!C236="","",[1]ROSTERS!C236)</f>
        <v>Awudu Abass</v>
      </c>
      <c r="D236" s="3" t="str">
        <f>IF([1]ROSTERS!D236="","",[1]ROSTERS!D236)</f>
        <v>F</v>
      </c>
      <c r="E236" s="3" t="str">
        <f>IF([1]ROSTERS!E236="","",[1]ROSTERS!E236)</f>
        <v>ITA</v>
      </c>
      <c r="F236" s="3">
        <f>IF([1]ROSTERS!F236="","",[1]ROSTERS!F236)</f>
        <v>200</v>
      </c>
      <c r="G236" s="3">
        <f>IF([1]ROSTERS!G236="","",[1]ROSTERS!G236)</f>
        <v>31</v>
      </c>
      <c r="H236" s="3" t="str">
        <f>IF([1]ROSTERS!H236="","",[1]ROSTERS!H236)</f>
        <v>Virtus Segafredo Bologna</v>
      </c>
      <c r="I236" s="3" t="str">
        <f>IF([1]ROSTERS!I236="","",[1]ROSTERS!I236)</f>
        <v>VIR</v>
      </c>
      <c r="J236" s="3" t="str">
        <f>IF([1]ROSTERS!J236="","",[1]ROSTERS!J236)</f>
        <v>VIR.AbassAwudu</v>
      </c>
      <c r="K236" s="4" t="str">
        <f>IF([1]ROSTERS!K236="","",[1]ROSTERS!K236)</f>
        <v>VIR.Awudu Abass</v>
      </c>
      <c r="L236" s="4" t="str">
        <f>IF([1]ROSTERS!L236="","",[1]ROSTERS!L236)</f>
        <v>Abass A.</v>
      </c>
      <c r="M236"/>
    </row>
    <row r="237" spans="1:13" s="1" customFormat="1" x14ac:dyDescent="0.25">
      <c r="A237" s="3">
        <f>IF(B237="","",COUNTIF($H$3:H237,H237))</f>
        <v>2</v>
      </c>
      <c r="B237" s="4" t="str">
        <f>IF([1]ROSTERS!B237="","",[1]ROSTERS!B237)</f>
        <v>Belinelli Marco</v>
      </c>
      <c r="C237" s="4" t="str">
        <f>IF([1]ROSTERS!C237="","",[1]ROSTERS!C237)</f>
        <v>Marco Belinelli</v>
      </c>
      <c r="D237" s="3" t="str">
        <f>IF([1]ROSTERS!D237="","",[1]ROSTERS!D237)</f>
        <v>SG</v>
      </c>
      <c r="E237" s="3" t="str">
        <f>IF([1]ROSTERS!E237="","",[1]ROSTERS!E237)</f>
        <v>ITA</v>
      </c>
      <c r="F237" s="3">
        <f>IF([1]ROSTERS!F237="","",[1]ROSTERS!F237)</f>
        <v>195</v>
      </c>
      <c r="G237" s="3">
        <f>IF([1]ROSTERS!G237="","",[1]ROSTERS!G237)</f>
        <v>38</v>
      </c>
      <c r="H237" s="3" t="str">
        <f>IF([1]ROSTERS!H237="","",[1]ROSTERS!H237)</f>
        <v>Virtus Segafredo Bologna</v>
      </c>
      <c r="I237" s="3" t="str">
        <f>IF([1]ROSTERS!I237="","",[1]ROSTERS!I237)</f>
        <v>VIR</v>
      </c>
      <c r="J237" s="3" t="str">
        <f>IF([1]ROSTERS!J237="","",[1]ROSTERS!J237)</f>
        <v>VIR.BelinelliMarco</v>
      </c>
      <c r="K237" s="4" t="str">
        <f>IF([1]ROSTERS!K237="","",[1]ROSTERS!K237)</f>
        <v>VIR.Marco Belinelli</v>
      </c>
      <c r="L237" s="4" t="str">
        <f>IF([1]ROSTERS!L237="","",[1]ROSTERS!L237)</f>
        <v>Belinelli M.</v>
      </c>
      <c r="M237"/>
    </row>
    <row r="238" spans="1:13" s="1" customFormat="1" x14ac:dyDescent="0.25">
      <c r="A238" s="3">
        <f>IF(B238="","",COUNTIF($H$3:H238,H238))</f>
        <v>3</v>
      </c>
      <c r="B238" s="4" t="str">
        <f>IF([1]ROSTERS!B238="","",[1]ROSTERS!B238)</f>
        <v>Cacok Devontae</v>
      </c>
      <c r="C238" s="4" t="str">
        <f>IF([1]ROSTERS!C238="","",[1]ROSTERS!C238)</f>
        <v>Devontae Cacok</v>
      </c>
      <c r="D238" s="3" t="str">
        <f>IF([1]ROSTERS!D238="","",[1]ROSTERS!D238)</f>
        <v>C</v>
      </c>
      <c r="E238" s="3" t="str">
        <f>IF([1]ROSTERS!E238="","",[1]ROSTERS!E238)</f>
        <v>USA</v>
      </c>
      <c r="F238" s="3">
        <f>IF([1]ROSTERS!F238="","",[1]ROSTERS!F238)</f>
        <v>204</v>
      </c>
      <c r="G238" s="3">
        <f>IF([1]ROSTERS!G238="","",[1]ROSTERS!G238)</f>
        <v>28</v>
      </c>
      <c r="H238" s="3" t="str">
        <f>IF([1]ROSTERS!H238="","",[1]ROSTERS!H238)</f>
        <v>Virtus Segafredo Bologna</v>
      </c>
      <c r="I238" s="3" t="str">
        <f>IF([1]ROSTERS!I238="","",[1]ROSTERS!I238)</f>
        <v>VIR</v>
      </c>
      <c r="J238" s="3" t="str">
        <f>IF([1]ROSTERS!J238="","",[1]ROSTERS!J238)</f>
        <v>VIR.CacokDevontae</v>
      </c>
      <c r="K238" s="4" t="str">
        <f>IF([1]ROSTERS!K238="","",[1]ROSTERS!K238)</f>
        <v>VIR.Devontae Cacok</v>
      </c>
      <c r="L238" s="4" t="str">
        <f>IF([1]ROSTERS!L238="","",[1]ROSTERS!L238)</f>
        <v>Cacok D.</v>
      </c>
      <c r="M238"/>
    </row>
    <row r="239" spans="1:13" s="1" customFormat="1" x14ac:dyDescent="0.25">
      <c r="A239" s="3">
        <f>IF(B239="","",COUNTIF($H$3:H239,H239))</f>
        <v>4</v>
      </c>
      <c r="B239" s="4" t="str">
        <f>IF([1]ROSTERS!B239="","",[1]ROSTERS!B239)</f>
        <v>Cordinier Isaia</v>
      </c>
      <c r="C239" s="4" t="str">
        <f>IF([1]ROSTERS!C239="","",[1]ROSTERS!C239)</f>
        <v>Isaia Cordinier</v>
      </c>
      <c r="D239" s="3" t="str">
        <f>IF([1]ROSTERS!D239="","",[1]ROSTERS!D239)</f>
        <v>F</v>
      </c>
      <c r="E239" s="3" t="str">
        <f>IF([1]ROSTERS!E239="","",[1]ROSTERS!E239)</f>
        <v>FRA</v>
      </c>
      <c r="F239" s="3">
        <f>IF([1]ROSTERS!F239="","",[1]ROSTERS!F239)</f>
        <v>194</v>
      </c>
      <c r="G239" s="3">
        <f>IF([1]ROSTERS!G239="","",[1]ROSTERS!G239)</f>
        <v>28</v>
      </c>
      <c r="H239" s="3" t="str">
        <f>IF([1]ROSTERS!H239="","",[1]ROSTERS!H239)</f>
        <v>Virtus Segafredo Bologna</v>
      </c>
      <c r="I239" s="3" t="str">
        <f>IF([1]ROSTERS!I239="","",[1]ROSTERS!I239)</f>
        <v>VIR</v>
      </c>
      <c r="J239" s="3" t="str">
        <f>IF([1]ROSTERS!J239="","",[1]ROSTERS!J239)</f>
        <v>VIR.CordinierIsaia</v>
      </c>
      <c r="K239" s="4" t="str">
        <f>IF([1]ROSTERS!K239="","",[1]ROSTERS!K239)</f>
        <v>VIR.Isaia Cordinier</v>
      </c>
      <c r="L239" s="4" t="str">
        <f>IF([1]ROSTERS!L239="","",[1]ROSTERS!L239)</f>
        <v>Cordinier I.</v>
      </c>
      <c r="M239"/>
    </row>
    <row r="240" spans="1:13" s="1" customFormat="1" x14ac:dyDescent="0.25">
      <c r="A240" s="3">
        <f>IF(B240="","",COUNTIF($H$3:H240,H240))</f>
        <v>5</v>
      </c>
      <c r="B240" s="4" t="str">
        <f>IF([1]ROSTERS!B240="","",[1]ROSTERS!B240)</f>
        <v>Dobric Ognjen</v>
      </c>
      <c r="C240" s="4" t="str">
        <f>IF([1]ROSTERS!C240="","",[1]ROSTERS!C240)</f>
        <v>Ognjen Dobric</v>
      </c>
      <c r="D240" s="3" t="str">
        <f>IF([1]ROSTERS!D240="","",[1]ROSTERS!D240)</f>
        <v>SG/F</v>
      </c>
      <c r="E240" s="3" t="str">
        <f>IF([1]ROSTERS!E240="","",[1]ROSTERS!E240)</f>
        <v>SRB</v>
      </c>
      <c r="F240" s="3">
        <f>IF([1]ROSTERS!F240="","",[1]ROSTERS!F240)</f>
        <v>200</v>
      </c>
      <c r="G240" s="3">
        <f>IF([1]ROSTERS!G240="","",[1]ROSTERS!G240)</f>
        <v>30</v>
      </c>
      <c r="H240" s="3" t="str">
        <f>IF([1]ROSTERS!H240="","",[1]ROSTERS!H240)</f>
        <v>Virtus Segafredo Bologna</v>
      </c>
      <c r="I240" s="3" t="str">
        <f>IF([1]ROSTERS!I240="","",[1]ROSTERS!I240)</f>
        <v>VIR</v>
      </c>
      <c r="J240" s="3" t="str">
        <f>IF([1]ROSTERS!J240="","",[1]ROSTERS!J240)</f>
        <v>VIR.DobricOgnjen</v>
      </c>
      <c r="K240" s="4" t="str">
        <f>IF([1]ROSTERS!K240="","",[1]ROSTERS!K240)</f>
        <v>VIR.Ognjen Dobric</v>
      </c>
      <c r="L240" s="4" t="str">
        <f>IF([1]ROSTERS!L240="","",[1]ROSTERS!L240)</f>
        <v>Dobric O.</v>
      </c>
      <c r="M240"/>
    </row>
    <row r="241" spans="1:13" s="1" customFormat="1" x14ac:dyDescent="0.25">
      <c r="A241" s="3">
        <f>IF(B241="","",COUNTIF($H$3:H241,H241))</f>
        <v>6</v>
      </c>
      <c r="B241" s="4" t="str">
        <f>IF([1]ROSTERS!B241="","",[1]ROSTERS!B241)</f>
        <v>Dunston Bryant</v>
      </c>
      <c r="C241" s="4" t="str">
        <f>IF([1]ROSTERS!C241="","",[1]ROSTERS!C241)</f>
        <v>Bryant Dunston</v>
      </c>
      <c r="D241" s="3" t="str">
        <f>IF([1]ROSTERS!D241="","",[1]ROSTERS!D241)</f>
        <v>C</v>
      </c>
      <c r="E241" s="3" t="str">
        <f>IF([1]ROSTERS!E241="","",[1]ROSTERS!E241)</f>
        <v>USA</v>
      </c>
      <c r="F241" s="3">
        <f>IF([1]ROSTERS!F241="","",[1]ROSTERS!F241)</f>
        <v>202.99999999999997</v>
      </c>
      <c r="G241" s="3">
        <f>IF([1]ROSTERS!G241="","",[1]ROSTERS!G241)</f>
        <v>38</v>
      </c>
      <c r="H241" s="3" t="str">
        <f>IF([1]ROSTERS!H241="","",[1]ROSTERS!H241)</f>
        <v>Virtus Segafredo Bologna</v>
      </c>
      <c r="I241" s="3" t="str">
        <f>IF([1]ROSTERS!I241="","",[1]ROSTERS!I241)</f>
        <v>VIR</v>
      </c>
      <c r="J241" s="3" t="str">
        <f>IF([1]ROSTERS!J241="","",[1]ROSTERS!J241)</f>
        <v>VIR.DunstonBryant</v>
      </c>
      <c r="K241" s="4" t="str">
        <f>IF([1]ROSTERS!K241="","",[1]ROSTERS!K241)</f>
        <v>VIR.Bryant Dunston</v>
      </c>
      <c r="L241" s="4" t="str">
        <f>IF([1]ROSTERS!L241="","",[1]ROSTERS!L241)</f>
        <v>Dunston B.</v>
      </c>
      <c r="M241"/>
    </row>
    <row r="242" spans="1:13" s="1" customFormat="1" x14ac:dyDescent="0.25">
      <c r="A242" s="3">
        <f>IF(B242="","",COUNTIF($H$3:H242,H242))</f>
        <v>7</v>
      </c>
      <c r="B242" s="4" t="str">
        <f>IF([1]ROSTERS!B242="","",[1]ROSTERS!B242)</f>
        <v>Hackett Daniel</v>
      </c>
      <c r="C242" s="4" t="str">
        <f>IF([1]ROSTERS!C242="","",[1]ROSTERS!C242)</f>
        <v>Daniel Hackett</v>
      </c>
      <c r="D242" s="3" t="str">
        <f>IF([1]ROSTERS!D242="","",[1]ROSTERS!D242)</f>
        <v>PG</v>
      </c>
      <c r="E242" s="3" t="str">
        <f>IF([1]ROSTERS!E242="","",[1]ROSTERS!E242)</f>
        <v>ITA</v>
      </c>
      <c r="F242" s="3">
        <f>IF([1]ROSTERS!F242="","",[1]ROSTERS!F242)</f>
        <v>197</v>
      </c>
      <c r="G242" s="3">
        <f>IF([1]ROSTERS!G242="","",[1]ROSTERS!G242)</f>
        <v>37</v>
      </c>
      <c r="H242" s="3" t="str">
        <f>IF([1]ROSTERS!H242="","",[1]ROSTERS!H242)</f>
        <v>Virtus Segafredo Bologna</v>
      </c>
      <c r="I242" s="3" t="str">
        <f>IF([1]ROSTERS!I242="","",[1]ROSTERS!I242)</f>
        <v>VIR</v>
      </c>
      <c r="J242" s="3" t="str">
        <f>IF([1]ROSTERS!J242="","",[1]ROSTERS!J242)</f>
        <v>VIR.HackettDaniel</v>
      </c>
      <c r="K242" s="4" t="str">
        <f>IF([1]ROSTERS!K242="","",[1]ROSTERS!K242)</f>
        <v>VIR.Daniel Hackett</v>
      </c>
      <c r="L242" s="4" t="str">
        <f>IF([1]ROSTERS!L242="","",[1]ROSTERS!L242)</f>
        <v>Hackett D.</v>
      </c>
      <c r="M242"/>
    </row>
    <row r="243" spans="1:13" s="1" customFormat="1" x14ac:dyDescent="0.25">
      <c r="A243" s="3">
        <f>IF(B243="","",COUNTIF($H$3:H243,H243))</f>
        <v>8</v>
      </c>
      <c r="B243" s="4" t="str">
        <f>IF([1]ROSTERS!B243="","",[1]ROSTERS!B243)</f>
        <v>Lundberg Iffe</v>
      </c>
      <c r="C243" s="4" t="str">
        <f>IF([1]ROSTERS!C243="","",[1]ROSTERS!C243)</f>
        <v>Iffe Lundberg</v>
      </c>
      <c r="D243" s="3" t="str">
        <f>IF([1]ROSTERS!D243="","",[1]ROSTERS!D243)</f>
        <v>PG</v>
      </c>
      <c r="E243" s="3" t="str">
        <f>IF([1]ROSTERS!E243="","",[1]ROSTERS!E243)</f>
        <v>DEN</v>
      </c>
      <c r="F243" s="3">
        <f>IF([1]ROSTERS!F243="","",[1]ROSTERS!F243)</f>
        <v>193</v>
      </c>
      <c r="G243" s="3">
        <f>IF([1]ROSTERS!G243="","",[1]ROSTERS!G243)</f>
        <v>30</v>
      </c>
      <c r="H243" s="3" t="str">
        <f>IF([1]ROSTERS!H243="","",[1]ROSTERS!H243)</f>
        <v>Virtus Segafredo Bologna</v>
      </c>
      <c r="I243" s="3" t="str">
        <f>IF([1]ROSTERS!I243="","",[1]ROSTERS!I243)</f>
        <v>VIR</v>
      </c>
      <c r="J243" s="3" t="str">
        <f>IF([1]ROSTERS!J243="","",[1]ROSTERS!J243)</f>
        <v>VIR.LundbergIffe</v>
      </c>
      <c r="K243" s="4" t="str">
        <f>IF([1]ROSTERS!K243="","",[1]ROSTERS!K243)</f>
        <v>VIR.Iffe Lundberg</v>
      </c>
      <c r="L243" s="4" t="str">
        <f>IF([1]ROSTERS!L243="","",[1]ROSTERS!L243)</f>
        <v>Lundberg I.</v>
      </c>
      <c r="M243"/>
    </row>
    <row r="244" spans="1:13" s="1" customFormat="1" x14ac:dyDescent="0.25">
      <c r="A244" s="3">
        <f>IF(B244="","",COUNTIF($H$3:H244,H244))</f>
        <v>9</v>
      </c>
      <c r="B244" s="4" t="str">
        <f>IF([1]ROSTERS!B244="","",[1]ROSTERS!B244)</f>
        <v>Mascolo Bruno</v>
      </c>
      <c r="C244" s="4" t="str">
        <f>IF([1]ROSTERS!C244="","",[1]ROSTERS!C244)</f>
        <v>Bruno Mascolo</v>
      </c>
      <c r="D244" s="3" t="str">
        <f>IF([1]ROSTERS!D244="","",[1]ROSTERS!D244)</f>
        <v>SG</v>
      </c>
      <c r="E244" s="3" t="str">
        <f>IF([1]ROSTERS!E244="","",[1]ROSTERS!E244)</f>
        <v>ITA</v>
      </c>
      <c r="F244" s="3">
        <f>IF([1]ROSTERS!F244="","",[1]ROSTERS!F244)</f>
        <v>190</v>
      </c>
      <c r="G244" s="3">
        <f>IF([1]ROSTERS!G244="","",[1]ROSTERS!G244)</f>
        <v>28</v>
      </c>
      <c r="H244" s="3" t="str">
        <f>IF([1]ROSTERS!H244="","",[1]ROSTERS!H244)</f>
        <v>Virtus Segafredo Bologna</v>
      </c>
      <c r="I244" s="3" t="str">
        <f>IF([1]ROSTERS!I244="","",[1]ROSTERS!I244)</f>
        <v>VIR</v>
      </c>
      <c r="J244" s="3" t="str">
        <f>IF([1]ROSTERS!J244="","",[1]ROSTERS!J244)</f>
        <v>VIR.MascoloBruno</v>
      </c>
      <c r="K244" s="4" t="str">
        <f>IF([1]ROSTERS!K244="","",[1]ROSTERS!K244)</f>
        <v>VIR.Bruno Mascolo</v>
      </c>
      <c r="L244" s="4" t="str">
        <f>IF([1]ROSTERS!L244="","",[1]ROSTERS!L244)</f>
        <v>Mascolo B.</v>
      </c>
      <c r="M244"/>
    </row>
    <row r="245" spans="1:13" s="1" customFormat="1" x14ac:dyDescent="0.25">
      <c r="A245" s="3">
        <f>IF(B245="","",COUNTIF($H$3:H245,H245))</f>
        <v>10</v>
      </c>
      <c r="B245" s="4" t="str">
        <f>IF([1]ROSTERS!B245="","",[1]ROSTERS!B245)</f>
        <v>Mickey Jordan</v>
      </c>
      <c r="C245" s="4" t="str">
        <f>IF([1]ROSTERS!C245="","",[1]ROSTERS!C245)</f>
        <v>Jordan Mickey</v>
      </c>
      <c r="D245" s="3" t="str">
        <f>IF([1]ROSTERS!D245="","",[1]ROSTERS!D245)</f>
        <v>PF/C</v>
      </c>
      <c r="E245" s="3" t="str">
        <f>IF([1]ROSTERS!E245="","",[1]ROSTERS!E245)</f>
        <v>USA</v>
      </c>
      <c r="F245" s="3">
        <f>IF([1]ROSTERS!F245="","",[1]ROSTERS!F245)</f>
        <v>202.99999999999997</v>
      </c>
      <c r="G245" s="3">
        <f>IF([1]ROSTERS!G245="","",[1]ROSTERS!G245)</f>
        <v>30</v>
      </c>
      <c r="H245" s="3" t="str">
        <f>IF([1]ROSTERS!H245="","",[1]ROSTERS!H245)</f>
        <v>Virtus Segafredo Bologna</v>
      </c>
      <c r="I245" s="3" t="str">
        <f>IF([1]ROSTERS!I245="","",[1]ROSTERS!I245)</f>
        <v>VIR</v>
      </c>
      <c r="J245" s="3" t="str">
        <f>IF([1]ROSTERS!J245="","",[1]ROSTERS!J245)</f>
        <v>VIR.MickeyJordan</v>
      </c>
      <c r="K245" s="4" t="str">
        <f>IF([1]ROSTERS!K245="","",[1]ROSTERS!K245)</f>
        <v>VIR.Jordan Mickey</v>
      </c>
      <c r="L245" s="4" t="str">
        <f>IF([1]ROSTERS!L245="","",[1]ROSTERS!L245)</f>
        <v>Mickey J.</v>
      </c>
      <c r="M245"/>
    </row>
    <row r="246" spans="1:13" s="1" customFormat="1" x14ac:dyDescent="0.25">
      <c r="A246" s="3">
        <f>IF(B246="","",COUNTIF($H$3:H246,H246))</f>
        <v>11</v>
      </c>
      <c r="B246" s="4" t="str">
        <f>IF([1]ROSTERS!B246="","",[1]ROSTERS!B246)</f>
        <v>Pajola Alessandro</v>
      </c>
      <c r="C246" s="4" t="str">
        <f>IF([1]ROSTERS!C246="","",[1]ROSTERS!C246)</f>
        <v>Alessandro Pajola</v>
      </c>
      <c r="D246" s="3" t="str">
        <f>IF([1]ROSTERS!D246="","",[1]ROSTERS!D246)</f>
        <v>PG</v>
      </c>
      <c r="E246" s="3" t="str">
        <f>IF([1]ROSTERS!E246="","",[1]ROSTERS!E246)</f>
        <v>ITA</v>
      </c>
      <c r="F246" s="3">
        <f>IF([1]ROSTERS!F246="","",[1]ROSTERS!F246)</f>
        <v>194</v>
      </c>
      <c r="G246" s="3">
        <f>IF([1]ROSTERS!G246="","",[1]ROSTERS!G246)</f>
        <v>25</v>
      </c>
      <c r="H246" s="3" t="str">
        <f>IF([1]ROSTERS!H246="","",[1]ROSTERS!H246)</f>
        <v>Virtus Segafredo Bologna</v>
      </c>
      <c r="I246" s="3" t="str">
        <f>IF([1]ROSTERS!I246="","",[1]ROSTERS!I246)</f>
        <v>VIR</v>
      </c>
      <c r="J246" s="3" t="str">
        <f>IF([1]ROSTERS!J246="","",[1]ROSTERS!J246)</f>
        <v>VIR.PajolaAlessandro</v>
      </c>
      <c r="K246" s="4" t="str">
        <f>IF([1]ROSTERS!K246="","",[1]ROSTERS!K246)</f>
        <v>VIR.Alessandro Pajola</v>
      </c>
      <c r="L246" s="4" t="str">
        <f>IF([1]ROSTERS!L246="","",[1]ROSTERS!L246)</f>
        <v>Pajola A.</v>
      </c>
      <c r="M246"/>
    </row>
    <row r="247" spans="1:13" s="1" customFormat="1" x14ac:dyDescent="0.25">
      <c r="A247" s="3">
        <f>IF(B247="","",COUNTIF($H$3:H247,H247))</f>
        <v>12</v>
      </c>
      <c r="B247" s="4" t="str">
        <f>IF([1]ROSTERS!B247="","",[1]ROSTERS!B247)</f>
        <v>Polonara Achille</v>
      </c>
      <c r="C247" s="4" t="str">
        <f>IF([1]ROSTERS!C247="","",[1]ROSTERS!C247)</f>
        <v>Achille Polonara</v>
      </c>
      <c r="D247" s="3" t="str">
        <f>IF([1]ROSTERS!D247="","",[1]ROSTERS!D247)</f>
        <v>PF</v>
      </c>
      <c r="E247" s="3" t="str">
        <f>IF([1]ROSTERS!E247="","",[1]ROSTERS!E247)</f>
        <v>ITA</v>
      </c>
      <c r="F247" s="3">
        <f>IF([1]ROSTERS!F247="","",[1]ROSTERS!F247)</f>
        <v>202</v>
      </c>
      <c r="G247" s="3">
        <f>IF([1]ROSTERS!G247="","",[1]ROSTERS!G247)</f>
        <v>33</v>
      </c>
      <c r="H247" s="3" t="str">
        <f>IF([1]ROSTERS!H247="","",[1]ROSTERS!H247)</f>
        <v>Virtus Segafredo Bologna</v>
      </c>
      <c r="I247" s="3" t="str">
        <f>IF([1]ROSTERS!I247="","",[1]ROSTERS!I247)</f>
        <v>VIR</v>
      </c>
      <c r="J247" s="3" t="str">
        <f>IF([1]ROSTERS!J247="","",[1]ROSTERS!J247)</f>
        <v>VIR.PolonaraAchille</v>
      </c>
      <c r="K247" s="4" t="str">
        <f>IF([1]ROSTERS!K247="","",[1]ROSTERS!K247)</f>
        <v>VIR.Achille Polonara</v>
      </c>
      <c r="L247" s="4" t="str">
        <f>IF([1]ROSTERS!L247="","",[1]ROSTERS!L247)</f>
        <v>Polonara A.</v>
      </c>
      <c r="M247"/>
    </row>
    <row r="248" spans="1:13" s="1" customFormat="1" x14ac:dyDescent="0.25">
      <c r="A248" s="3">
        <f>IF(B248="","",COUNTIF($H$3:H248,H248))</f>
        <v>13</v>
      </c>
      <c r="B248" s="4" t="str">
        <f>IF([1]ROSTERS!B248="","",[1]ROSTERS!B248)</f>
        <v>Shengelia Tornike</v>
      </c>
      <c r="C248" s="4" t="str">
        <f>IF([1]ROSTERS!C248="","",[1]ROSTERS!C248)</f>
        <v>Tornike Shengelia</v>
      </c>
      <c r="D248" s="3" t="str">
        <f>IF([1]ROSTERS!D248="","",[1]ROSTERS!D248)</f>
        <v>PF</v>
      </c>
      <c r="E248" s="3" t="str">
        <f>IF([1]ROSTERS!E248="","",[1]ROSTERS!E248)</f>
        <v>GEO</v>
      </c>
      <c r="F248" s="3">
        <f>IF([1]ROSTERS!F248="","",[1]ROSTERS!F248)</f>
        <v>202.99999999999997</v>
      </c>
      <c r="G248" s="3">
        <f>IF([1]ROSTERS!G248="","",[1]ROSTERS!G248)</f>
        <v>33</v>
      </c>
      <c r="H248" s="3" t="str">
        <f>IF([1]ROSTERS!H248="","",[1]ROSTERS!H248)</f>
        <v>Virtus Segafredo Bologna</v>
      </c>
      <c r="I248" s="3" t="str">
        <f>IF([1]ROSTERS!I248="","",[1]ROSTERS!I248)</f>
        <v>VIR</v>
      </c>
      <c r="J248" s="3" t="str">
        <f>IF([1]ROSTERS!J248="","",[1]ROSTERS!J248)</f>
        <v>VIR.ShengeliaTornike</v>
      </c>
      <c r="K248" s="4" t="str">
        <f>IF([1]ROSTERS!K248="","",[1]ROSTERS!K248)</f>
        <v>VIR.Tornike Shengelia</v>
      </c>
      <c r="L248" s="4" t="str">
        <f>IF([1]ROSTERS!L248="","",[1]ROSTERS!L248)</f>
        <v>Shengelia T.</v>
      </c>
      <c r="M248"/>
    </row>
    <row r="249" spans="1:13" s="1" customFormat="1" x14ac:dyDescent="0.25">
      <c r="A249" s="3">
        <f>IF(B249="","",COUNTIF($H$3:H249,H249))</f>
        <v>14</v>
      </c>
      <c r="B249" s="4" t="str">
        <f>IF([1]ROSTERS!B249="","",[1]ROSTERS!B249)</f>
        <v>Smith Jaleen</v>
      </c>
      <c r="C249" s="4" t="str">
        <f>IF([1]ROSTERS!C249="","",[1]ROSTERS!C249)</f>
        <v>Jaleen Smith</v>
      </c>
      <c r="D249" s="3" t="str">
        <f>IF([1]ROSTERS!D249="","",[1]ROSTERS!D249)</f>
        <v>PG</v>
      </c>
      <c r="E249" s="3" t="str">
        <f>IF([1]ROSTERS!E249="","",[1]ROSTERS!E249)</f>
        <v>USA</v>
      </c>
      <c r="F249" s="3">
        <f>IF([1]ROSTERS!F249="","",[1]ROSTERS!F249)</f>
        <v>190</v>
      </c>
      <c r="G249" s="3">
        <f>IF([1]ROSTERS!G249="","",[1]ROSTERS!G249)</f>
        <v>30</v>
      </c>
      <c r="H249" s="3" t="str">
        <f>IF([1]ROSTERS!H249="","",[1]ROSTERS!H249)</f>
        <v>Virtus Segafredo Bologna</v>
      </c>
      <c r="I249" s="3" t="str">
        <f>IF([1]ROSTERS!I249="","",[1]ROSTERS!I249)</f>
        <v>VIR</v>
      </c>
      <c r="J249" s="3" t="str">
        <f>IF([1]ROSTERS!J249="","",[1]ROSTERS!J249)</f>
        <v>VIR.SmithJaleen</v>
      </c>
      <c r="K249" s="4" t="str">
        <f>IF([1]ROSTERS!K249="","",[1]ROSTERS!K249)</f>
        <v>VIR.Jaleen Smith</v>
      </c>
      <c r="L249" s="4" t="str">
        <f>IF([1]ROSTERS!L249="","",[1]ROSTERS!L249)</f>
        <v>Smith J.</v>
      </c>
      <c r="M249"/>
    </row>
    <row r="250" spans="1:13" s="1" customFormat="1" x14ac:dyDescent="0.25">
      <c r="A250" s="3">
        <f>IF(B250="","",COUNTIF($H$3:H250,H250))</f>
        <v>1</v>
      </c>
      <c r="B250" s="4" t="str">
        <f>IF([1]ROSTERS!B250="","",[1]ROSTERS!B250)</f>
        <v>Birutis Laurynas</v>
      </c>
      <c r="C250" s="4" t="str">
        <f>IF([1]ROSTERS!C250="","",[1]ROSTERS!C250)</f>
        <v>Laurynas Birutis</v>
      </c>
      <c r="D250" s="3" t="str">
        <f>IF([1]ROSTERS!D250="","",[1]ROSTERS!D250)</f>
        <v>C</v>
      </c>
      <c r="E250" s="3" t="str">
        <f>IF([1]ROSTERS!E250="","",[1]ROSTERS!E250)</f>
        <v>LTU</v>
      </c>
      <c r="F250" s="3">
        <f>IF([1]ROSTERS!F250="","",[1]ROSTERS!F250)</f>
        <v>213</v>
      </c>
      <c r="G250" s="3">
        <f>IF([1]ROSTERS!G250="","",[1]ROSTERS!G250)</f>
        <v>27</v>
      </c>
      <c r="H250" s="3" t="str">
        <f>IF([1]ROSTERS!H250="","",[1]ROSTERS!H250)</f>
        <v>Zalgiris Kaunas</v>
      </c>
      <c r="I250" s="3" t="str">
        <f>IF([1]ROSTERS!I250="","",[1]ROSTERS!I250)</f>
        <v>ZAL</v>
      </c>
      <c r="J250" s="3" t="str">
        <f>IF([1]ROSTERS!J250="","",[1]ROSTERS!J250)</f>
        <v>ZAL.BirutisLaurynas</v>
      </c>
      <c r="K250" s="4" t="str">
        <f>IF([1]ROSTERS!K250="","",[1]ROSTERS!K250)</f>
        <v>ZAL.Laurynas Birutis</v>
      </c>
      <c r="L250" s="4" t="str">
        <f>IF([1]ROSTERS!L250="","",[1]ROSTERS!L250)</f>
        <v>Birutis L.</v>
      </c>
      <c r="M250"/>
    </row>
    <row r="251" spans="1:13" s="1" customFormat="1" x14ac:dyDescent="0.25">
      <c r="A251" s="3">
        <f>IF(B251="","",COUNTIF($H$3:H251,H251))</f>
        <v>2</v>
      </c>
      <c r="B251" s="4" t="str">
        <f>IF([1]ROSTERS!B251="","",[1]ROSTERS!B251)</f>
        <v>Butka Dovydas</v>
      </c>
      <c r="C251" s="4" t="str">
        <f>IF([1]ROSTERS!C251="","",[1]ROSTERS!C251)</f>
        <v>Dovydas Butka</v>
      </c>
      <c r="D251" s="3" t="str">
        <f>IF([1]ROSTERS!D251="","",[1]ROSTERS!D251)</f>
        <v>PF</v>
      </c>
      <c r="E251" s="3" t="str">
        <f>IF([1]ROSTERS!E251="","",[1]ROSTERS!E251)</f>
        <v>LTU</v>
      </c>
      <c r="F251" s="3">
        <f>IF([1]ROSTERS!F251="","",[1]ROSTERS!F251)</f>
        <v>204</v>
      </c>
      <c r="G251" s="3">
        <f>IF([1]ROSTERS!G251="","",[1]ROSTERS!G251)</f>
        <v>21</v>
      </c>
      <c r="H251" s="3" t="str">
        <f>IF([1]ROSTERS!H251="","",[1]ROSTERS!H251)</f>
        <v>Zalgiris Kaunas</v>
      </c>
      <c r="I251" s="3" t="str">
        <f>IF([1]ROSTERS!I251="","",[1]ROSTERS!I251)</f>
        <v>ZAL</v>
      </c>
      <c r="J251" s="3" t="str">
        <f>IF([1]ROSTERS!J251="","",[1]ROSTERS!J251)</f>
        <v>ZAL.ButkaDovydas</v>
      </c>
      <c r="K251" s="4" t="str">
        <f>IF([1]ROSTERS!K251="","",[1]ROSTERS!K251)</f>
        <v>ZAL.Dovydas Butka</v>
      </c>
      <c r="L251" s="4" t="str">
        <f>IF([1]ROSTERS!L251="","",[1]ROSTERS!L251)</f>
        <v>Butka D.</v>
      </c>
      <c r="M251"/>
    </row>
    <row r="252" spans="1:13" s="1" customFormat="1" x14ac:dyDescent="0.25">
      <c r="A252" s="3">
        <f>IF(B252="","",COUNTIF($H$3:H252,H252))</f>
        <v>3</v>
      </c>
      <c r="B252" s="4" t="str">
        <f>IF([1]ROSTERS!B252="","",[1]ROSTERS!B252)</f>
        <v>Butkevicius Arnas</v>
      </c>
      <c r="C252" s="4" t="str">
        <f>IF([1]ROSTERS!C252="","",[1]ROSTERS!C252)</f>
        <v>Arnas Butkevicius</v>
      </c>
      <c r="D252" s="3" t="str">
        <f>IF([1]ROSTERS!D252="","",[1]ROSTERS!D252)</f>
        <v>SG</v>
      </c>
      <c r="E252" s="3" t="str">
        <f>IF([1]ROSTERS!E252="","",[1]ROSTERS!E252)</f>
        <v>LTU</v>
      </c>
      <c r="F252" s="3">
        <f>IF([1]ROSTERS!F252="","",[1]ROSTERS!F252)</f>
        <v>197</v>
      </c>
      <c r="G252" s="3">
        <f>IF([1]ROSTERS!G252="","",[1]ROSTERS!G252)</f>
        <v>32</v>
      </c>
      <c r="H252" s="3" t="str">
        <f>IF([1]ROSTERS!H252="","",[1]ROSTERS!H252)</f>
        <v>Zalgiris Kaunas</v>
      </c>
      <c r="I252" s="3" t="str">
        <f>IF([1]ROSTERS!I252="","",[1]ROSTERS!I252)</f>
        <v>ZAL</v>
      </c>
      <c r="J252" s="3" t="str">
        <f>IF([1]ROSTERS!J252="","",[1]ROSTERS!J252)</f>
        <v>ZAL.ButkeviciusArnas</v>
      </c>
      <c r="K252" s="4" t="str">
        <f>IF([1]ROSTERS!K252="","",[1]ROSTERS!K252)</f>
        <v>ZAL.Arnas Butkevicius</v>
      </c>
      <c r="L252" s="4" t="str">
        <f>IF([1]ROSTERS!L252="","",[1]ROSTERS!L252)</f>
        <v>Butkevicius A.</v>
      </c>
      <c r="M252"/>
    </row>
    <row r="253" spans="1:13" s="1" customFormat="1" x14ac:dyDescent="0.25">
      <c r="A253" s="3">
        <f>IF(B253="","",COUNTIF($H$3:H253,H253))</f>
        <v>4</v>
      </c>
      <c r="B253" s="4" t="str">
        <f>IF([1]ROSTERS!B253="","",[1]ROSTERS!B253)</f>
        <v>Dimsa Tomas</v>
      </c>
      <c r="C253" s="4" t="str">
        <f>IF([1]ROSTERS!C253="","",[1]ROSTERS!C253)</f>
        <v>Tomas Dimsa</v>
      </c>
      <c r="D253" s="3" t="str">
        <f>IF([1]ROSTERS!D253="","",[1]ROSTERS!D253)</f>
        <v>PG</v>
      </c>
      <c r="E253" s="3" t="str">
        <f>IF([1]ROSTERS!E253="","",[1]ROSTERS!E253)</f>
        <v>LTU</v>
      </c>
      <c r="F253" s="3">
        <f>IF([1]ROSTERS!F253="","",[1]ROSTERS!F253)</f>
        <v>195</v>
      </c>
      <c r="G253" s="3">
        <f>IF([1]ROSTERS!G253="","",[1]ROSTERS!G253)</f>
        <v>30</v>
      </c>
      <c r="H253" s="3" t="str">
        <f>IF([1]ROSTERS!H253="","",[1]ROSTERS!H253)</f>
        <v>Zalgiris Kaunas</v>
      </c>
      <c r="I253" s="3" t="str">
        <f>IF([1]ROSTERS!I253="","",[1]ROSTERS!I253)</f>
        <v>ZAL</v>
      </c>
      <c r="J253" s="3" t="str">
        <f>IF([1]ROSTERS!J253="","",[1]ROSTERS!J253)</f>
        <v>ZAL.DimsaTomas</v>
      </c>
      <c r="K253" s="4" t="str">
        <f>IF([1]ROSTERS!K253="","",[1]ROSTERS!K253)</f>
        <v>ZAL.Tomas Dimsa</v>
      </c>
      <c r="L253" s="4" t="str">
        <f>IF([1]ROSTERS!L253="","",[1]ROSTERS!L253)</f>
        <v>Dimsa T.</v>
      </c>
      <c r="M253"/>
    </row>
    <row r="254" spans="1:13" s="1" customFormat="1" x14ac:dyDescent="0.25">
      <c r="A254" s="3">
        <f>IF(B254="","",COUNTIF($H$3:H254,H254))</f>
        <v>5</v>
      </c>
      <c r="B254" s="4" t="str">
        <f>IF([1]ROSTERS!B254="","",[1]ROSTERS!B254)</f>
        <v>Evans Keenan</v>
      </c>
      <c r="C254" s="4" t="str">
        <f>IF([1]ROSTERS!C254="","",[1]ROSTERS!C254)</f>
        <v>Keenan Evans</v>
      </c>
      <c r="D254" s="3" t="str">
        <f>IF([1]ROSTERS!D254="","",[1]ROSTERS!D254)</f>
        <v>PG/SG</v>
      </c>
      <c r="E254" s="3" t="str">
        <f>IF([1]ROSTERS!E254="","",[1]ROSTERS!E254)</f>
        <v>USA</v>
      </c>
      <c r="F254" s="3">
        <f>IF([1]ROSTERS!F254="","",[1]ROSTERS!F254)</f>
        <v>190</v>
      </c>
      <c r="G254" s="3">
        <f>IF([1]ROSTERS!G254="","",[1]ROSTERS!G254)</f>
        <v>28</v>
      </c>
      <c r="H254" s="3" t="str">
        <f>IF([1]ROSTERS!H254="","",[1]ROSTERS!H254)</f>
        <v>Zalgiris Kaunas</v>
      </c>
      <c r="I254" s="3" t="str">
        <f>IF([1]ROSTERS!I254="","",[1]ROSTERS!I254)</f>
        <v>ZAL</v>
      </c>
      <c r="J254" s="3" t="str">
        <f>IF([1]ROSTERS!J254="","",[1]ROSTERS!J254)</f>
        <v>ZAL.EvansKeenan</v>
      </c>
      <c r="K254" s="4" t="str">
        <f>IF([1]ROSTERS!K254="","",[1]ROSTERS!K254)</f>
        <v>ZAL.Keenan Evans</v>
      </c>
      <c r="L254" s="4" t="str">
        <f>IF([1]ROSTERS!L254="","",[1]ROSTERS!L254)</f>
        <v>Evans K.</v>
      </c>
      <c r="M254"/>
    </row>
    <row r="255" spans="1:13" s="1" customFormat="1" x14ac:dyDescent="0.25">
      <c r="A255" s="3">
        <f>IF(B255="","",COUNTIF($H$3:H255,H255))</f>
        <v>6</v>
      </c>
      <c r="B255" s="4" t="str">
        <f>IF([1]ROSTERS!B255="","",[1]ROSTERS!B255)</f>
        <v>Giedraitis Dovydas</v>
      </c>
      <c r="C255" s="4" t="str">
        <f>IF([1]ROSTERS!C255="","",[1]ROSTERS!C255)</f>
        <v>Dovydas Giedraitis</v>
      </c>
      <c r="D255" s="3" t="str">
        <f>IF([1]ROSTERS!D255="","",[1]ROSTERS!D255)</f>
        <v>SG</v>
      </c>
      <c r="E255" s="3" t="str">
        <f>IF([1]ROSTERS!E255="","",[1]ROSTERS!E255)</f>
        <v>LTU</v>
      </c>
      <c r="F255" s="3">
        <f>IF([1]ROSTERS!F255="","",[1]ROSTERS!F255)</f>
        <v>185</v>
      </c>
      <c r="G255" s="3">
        <f>IF([1]ROSTERS!G255="","",[1]ROSTERS!G255)</f>
        <v>24</v>
      </c>
      <c r="H255" s="3" t="str">
        <f>IF([1]ROSTERS!H255="","",[1]ROSTERS!H255)</f>
        <v>Zalgiris Kaunas</v>
      </c>
      <c r="I255" s="3" t="str">
        <f>IF([1]ROSTERS!I255="","",[1]ROSTERS!I255)</f>
        <v>ZAL</v>
      </c>
      <c r="J255" s="3" t="str">
        <f>IF([1]ROSTERS!J255="","",[1]ROSTERS!J255)</f>
        <v>ZAL.GiedraitisDovydas</v>
      </c>
      <c r="K255" s="4" t="str">
        <f>IF([1]ROSTERS!K255="","",[1]ROSTERS!K255)</f>
        <v>ZAL.Dovydas Giedraitis</v>
      </c>
      <c r="L255" s="4" t="str">
        <f>IF([1]ROSTERS!L255="","",[1]ROSTERS!L255)</f>
        <v>Giedraitis D.</v>
      </c>
      <c r="M255"/>
    </row>
    <row r="256" spans="1:13" s="1" customFormat="1" x14ac:dyDescent="0.25">
      <c r="A256" s="3">
        <f>IF(B256="","",COUNTIF($H$3:H256,H256))</f>
        <v>7</v>
      </c>
      <c r="B256" s="4" t="str">
        <f>IF([1]ROSTERS!B256="","",[1]ROSTERS!B256)</f>
        <v>Hayes Kevarrius</v>
      </c>
      <c r="C256" s="4" t="str">
        <f>IF([1]ROSTERS!C256="","",[1]ROSTERS!C256)</f>
        <v>Kevarrius Hayes</v>
      </c>
      <c r="D256" s="3" t="str">
        <f>IF([1]ROSTERS!D256="","",[1]ROSTERS!D256)</f>
        <v>C</v>
      </c>
      <c r="E256" s="3" t="str">
        <f>IF([1]ROSTERS!E256="","",[1]ROSTERS!E256)</f>
        <v>USA</v>
      </c>
      <c r="F256" s="3">
        <f>IF([1]ROSTERS!F256="","",[1]ROSTERS!F256)</f>
        <v>206</v>
      </c>
      <c r="G256" s="3">
        <f>IF([1]ROSTERS!G256="","",[1]ROSTERS!G256)</f>
        <v>27</v>
      </c>
      <c r="H256" s="3" t="str">
        <f>IF([1]ROSTERS!H256="","",[1]ROSTERS!H256)</f>
        <v>Zalgiris Kaunas</v>
      </c>
      <c r="I256" s="3" t="str">
        <f>IF([1]ROSTERS!I256="","",[1]ROSTERS!I256)</f>
        <v>ZAL</v>
      </c>
      <c r="J256" s="3" t="str">
        <f>IF([1]ROSTERS!J256="","",[1]ROSTERS!J256)</f>
        <v>ZAL.HayesKevarrius</v>
      </c>
      <c r="K256" s="4" t="str">
        <f>IF([1]ROSTERS!K256="","",[1]ROSTERS!K256)</f>
        <v>ZAL.Kevarrius Hayes</v>
      </c>
      <c r="L256" s="4" t="str">
        <f>IF([1]ROSTERS!L256="","",[1]ROSTERS!L256)</f>
        <v>Hayes K.</v>
      </c>
      <c r="M256"/>
    </row>
    <row r="257" spans="1:13" s="1" customFormat="1" x14ac:dyDescent="0.25">
      <c r="A257" s="3">
        <f>IF(B257="","",COUNTIF($H$3:H257,H257))</f>
        <v>8</v>
      </c>
      <c r="B257" s="4" t="str">
        <f>IF([1]ROSTERS!B257="","",[1]ROSTERS!B257)</f>
        <v>Lavrinovicius Danielius</v>
      </c>
      <c r="C257" s="4" t="str">
        <f>IF([1]ROSTERS!C257="","",[1]ROSTERS!C257)</f>
        <v>Danielius Lavrinovicius</v>
      </c>
      <c r="D257" s="3" t="str">
        <f>IF([1]ROSTERS!D257="","",[1]ROSTERS!D257)</f>
        <v>C</v>
      </c>
      <c r="E257" s="3" t="str">
        <f>IF([1]ROSTERS!E257="","",[1]ROSTERS!E257)</f>
        <v>LTU</v>
      </c>
      <c r="F257" s="3">
        <f>IF([1]ROSTERS!F257="","",[1]ROSTERS!F257)</f>
        <v>205</v>
      </c>
      <c r="G257" s="3">
        <f>IF([1]ROSTERS!G257="","",[1]ROSTERS!G257)</f>
        <v>25</v>
      </c>
      <c r="H257" s="3" t="str">
        <f>IF([1]ROSTERS!H257="","",[1]ROSTERS!H257)</f>
        <v>Zalgiris Kaunas</v>
      </c>
      <c r="I257" s="3" t="str">
        <f>IF([1]ROSTERS!I257="","",[1]ROSTERS!I257)</f>
        <v>ZAL</v>
      </c>
      <c r="J257" s="3" t="str">
        <f>IF([1]ROSTERS!J257="","",[1]ROSTERS!J257)</f>
        <v>ZAL.LavrinoviciusDanielius</v>
      </c>
      <c r="K257" s="4" t="str">
        <f>IF([1]ROSTERS!K257="","",[1]ROSTERS!K257)</f>
        <v>ZAL.Danielius Lavrinovicius</v>
      </c>
      <c r="L257" s="4" t="str">
        <f>IF([1]ROSTERS!L257="","",[1]ROSTERS!L257)</f>
        <v>Lavrinovicius D.</v>
      </c>
      <c r="M257"/>
    </row>
    <row r="258" spans="1:13" s="1" customFormat="1" x14ac:dyDescent="0.25">
      <c r="A258" s="3">
        <f>IF(B258="","",COUNTIF($H$3:H258,H258))</f>
        <v>9</v>
      </c>
      <c r="B258" s="4" t="str">
        <f>IF([1]ROSTERS!B258="","",[1]ROSTERS!B258)</f>
        <v>Lekavicius Lukas</v>
      </c>
      <c r="C258" s="4" t="str">
        <f>IF([1]ROSTERS!C258="","",[1]ROSTERS!C258)</f>
        <v>Lukas Lekavicius</v>
      </c>
      <c r="D258" s="3" t="str">
        <f>IF([1]ROSTERS!D258="","",[1]ROSTERS!D258)</f>
        <v>SG</v>
      </c>
      <c r="E258" s="3" t="str">
        <f>IF([1]ROSTERS!E258="","",[1]ROSTERS!E258)</f>
        <v>LTU</v>
      </c>
      <c r="F258" s="3">
        <f>IF([1]ROSTERS!F258="","",[1]ROSTERS!F258)</f>
        <v>183</v>
      </c>
      <c r="G258" s="3">
        <f>IF([1]ROSTERS!G258="","",[1]ROSTERS!G258)</f>
        <v>30</v>
      </c>
      <c r="H258" s="3" t="str">
        <f>IF([1]ROSTERS!H258="","",[1]ROSTERS!H258)</f>
        <v>Zalgiris Kaunas</v>
      </c>
      <c r="I258" s="3" t="str">
        <f>IF([1]ROSTERS!I258="","",[1]ROSTERS!I258)</f>
        <v>ZAL</v>
      </c>
      <c r="J258" s="3" t="str">
        <f>IF([1]ROSTERS!J258="","",[1]ROSTERS!J258)</f>
        <v>ZAL.LekaviciusLukas</v>
      </c>
      <c r="K258" s="4" t="str">
        <f>IF([1]ROSTERS!K258="","",[1]ROSTERS!K258)</f>
        <v>ZAL.Lukas Lekavicius</v>
      </c>
      <c r="L258" s="4" t="str">
        <f>IF([1]ROSTERS!L258="","",[1]ROSTERS!L258)</f>
        <v>Lekavicius L.</v>
      </c>
      <c r="M258"/>
    </row>
    <row r="259" spans="1:13" s="1" customFormat="1" x14ac:dyDescent="0.25">
      <c r="A259" s="3">
        <f>IF(B259="","",COUNTIF($H$3:H259,H259))</f>
        <v>10</v>
      </c>
      <c r="B259" s="4" t="str">
        <f>IF([1]ROSTERS!B259="","",[1]ROSTERS!B259)</f>
        <v>Manek Brady</v>
      </c>
      <c r="C259" s="4" t="str">
        <f>IF([1]ROSTERS!C259="","",[1]ROSTERS!C259)</f>
        <v>Brady Manek</v>
      </c>
      <c r="D259" s="3" t="str">
        <f>IF([1]ROSTERS!D259="","",[1]ROSTERS!D259)</f>
        <v>PF</v>
      </c>
      <c r="E259" s="3" t="str">
        <f>IF([1]ROSTERS!E259="","",[1]ROSTERS!E259)</f>
        <v>USA</v>
      </c>
      <c r="F259" s="3">
        <f>IF([1]ROSTERS!F259="","",[1]ROSTERS!F259)</f>
        <v>206</v>
      </c>
      <c r="G259" s="3">
        <f>IF([1]ROSTERS!G259="","",[1]ROSTERS!G259)</f>
        <v>26</v>
      </c>
      <c r="H259" s="3" t="str">
        <f>IF([1]ROSTERS!H259="","",[1]ROSTERS!H259)</f>
        <v>Zalgiris Kaunas</v>
      </c>
      <c r="I259" s="3" t="str">
        <f>IF([1]ROSTERS!I259="","",[1]ROSTERS!I259)</f>
        <v>ZAL</v>
      </c>
      <c r="J259" s="3" t="str">
        <f>IF([1]ROSTERS!J259="","",[1]ROSTERS!J259)</f>
        <v>ZAL.ManekBrady</v>
      </c>
      <c r="K259" s="4" t="str">
        <f>IF([1]ROSTERS!K259="","",[1]ROSTERS!K259)</f>
        <v>ZAL.Brady Manek</v>
      </c>
      <c r="L259" s="4" t="str">
        <f>IF([1]ROSTERS!L259="","",[1]ROSTERS!L259)</f>
        <v>Manek B.</v>
      </c>
      <c r="M259"/>
    </row>
    <row r="260" spans="1:13" s="1" customFormat="1" x14ac:dyDescent="0.25">
      <c r="A260" s="3">
        <f>IF(B260="","",COUNTIF($H$3:H260,H260))</f>
        <v>11</v>
      </c>
      <c r="B260" s="4" t="str">
        <f>IF([1]ROSTERS!B260="","",[1]ROSTERS!B260)</f>
        <v>Mitrou Long Naz</v>
      </c>
      <c r="C260" s="4" t="str">
        <f>IF([1]ROSTERS!C260="","",[1]ROSTERS!C260)</f>
        <v>Naz Mitrou Long</v>
      </c>
      <c r="D260" s="3" t="str">
        <f>IF([1]ROSTERS!D260="","",[1]ROSTERS!D260)</f>
        <v>PG/SG</v>
      </c>
      <c r="E260" s="3" t="str">
        <f>IF([1]ROSTERS!E260="","",[1]ROSTERS!E260)</f>
        <v>CAN</v>
      </c>
      <c r="F260" s="3">
        <f>IF([1]ROSTERS!F260="","",[1]ROSTERS!F260)</f>
        <v>193</v>
      </c>
      <c r="G260" s="3">
        <f>IF([1]ROSTERS!G260="","",[1]ROSTERS!G260)</f>
        <v>31</v>
      </c>
      <c r="H260" s="3" t="str">
        <f>IF([1]ROSTERS!H260="","",[1]ROSTERS!H260)</f>
        <v>Zalgiris Kaunas</v>
      </c>
      <c r="I260" s="3" t="str">
        <f>IF([1]ROSTERS!I260="","",[1]ROSTERS!I260)</f>
        <v>ZAL</v>
      </c>
      <c r="J260" s="3" t="str">
        <f>IF([1]ROSTERS!J260="","",[1]ROSTERS!J260)</f>
        <v>ZAL.MitrouLongNaz</v>
      </c>
      <c r="K260" s="4" t="str">
        <f>IF([1]ROSTERS!K260="","",[1]ROSTERS!K260)</f>
        <v>ZAL.Naz Mitrou Long</v>
      </c>
      <c r="L260" s="4" t="str">
        <f>IF([1]ROSTERS!L260="","",[1]ROSTERS!L260)</f>
        <v>Mitrou Long N.</v>
      </c>
      <c r="M260"/>
    </row>
    <row r="261" spans="1:13" s="1" customFormat="1" x14ac:dyDescent="0.25">
      <c r="A261" s="3">
        <f>IF(B261="","",COUNTIF($H$3:H261,H261))</f>
        <v>12</v>
      </c>
      <c r="B261" s="4" t="str">
        <f>IF([1]ROSTERS!B261="","",[1]ROSTERS!B261)</f>
        <v>Smits Rolands</v>
      </c>
      <c r="C261" s="4" t="str">
        <f>IF([1]ROSTERS!C261="","",[1]ROSTERS!C261)</f>
        <v>Rolands Smits</v>
      </c>
      <c r="D261" s="3" t="str">
        <f>IF([1]ROSTERS!D261="","",[1]ROSTERS!D261)</f>
        <v>PF</v>
      </c>
      <c r="E261" s="3" t="str">
        <f>IF([1]ROSTERS!E261="","",[1]ROSTERS!E261)</f>
        <v>LAT</v>
      </c>
      <c r="F261" s="3">
        <f>IF([1]ROSTERS!F261="","",[1]ROSTERS!F261)</f>
        <v>206.99999999999997</v>
      </c>
      <c r="G261" s="3">
        <f>IF([1]ROSTERS!G261="","",[1]ROSTERS!G261)</f>
        <v>29</v>
      </c>
      <c r="H261" s="3" t="str">
        <f>IF([1]ROSTERS!H261="","",[1]ROSTERS!H261)</f>
        <v>Zalgiris Kaunas</v>
      </c>
      <c r="I261" s="3" t="str">
        <f>IF([1]ROSTERS!I261="","",[1]ROSTERS!I261)</f>
        <v>ZAL</v>
      </c>
      <c r="J261" s="3" t="str">
        <f>IF([1]ROSTERS!J261="","",[1]ROSTERS!J261)</f>
        <v>ZAL.SmitsRolands</v>
      </c>
      <c r="K261" s="4" t="str">
        <f>IF([1]ROSTERS!K261="","",[1]ROSTERS!K261)</f>
        <v>ZAL.Rolands Smits</v>
      </c>
      <c r="L261" s="4" t="str">
        <f>IF([1]ROSTERS!L261="","",[1]ROSTERS!L261)</f>
        <v>Smits R.</v>
      </c>
      <c r="M261"/>
    </row>
    <row r="262" spans="1:13" s="1" customFormat="1" x14ac:dyDescent="0.25">
      <c r="A262" s="3">
        <f>IF(B262="","",COUNTIF($H$3:H262,H262))</f>
        <v>13</v>
      </c>
      <c r="B262" s="4" t="str">
        <f>IF([1]ROSTERS!B262="","",[1]ROSTERS!B262)</f>
        <v>Ulanovas Edgaras</v>
      </c>
      <c r="C262" s="4" t="str">
        <f>IF([1]ROSTERS!C262="","",[1]ROSTERS!C262)</f>
        <v>Edgaras Ulanovas</v>
      </c>
      <c r="D262" s="3" t="str">
        <f>IF([1]ROSTERS!D262="","",[1]ROSTERS!D262)</f>
        <v>F</v>
      </c>
      <c r="E262" s="3" t="str">
        <f>IF([1]ROSTERS!E262="","",[1]ROSTERS!E262)</f>
        <v>LTU</v>
      </c>
      <c r="F262" s="3">
        <f>IF([1]ROSTERS!F262="","",[1]ROSTERS!F262)</f>
        <v>198</v>
      </c>
      <c r="G262" s="3">
        <f>IF([1]ROSTERS!G262="","",[1]ROSTERS!G262)</f>
        <v>32</v>
      </c>
      <c r="H262" s="3" t="str">
        <f>IF([1]ROSTERS!H262="","",[1]ROSTERS!H262)</f>
        <v>Zalgiris Kaunas</v>
      </c>
      <c r="I262" s="3" t="str">
        <f>IF([1]ROSTERS!I262="","",[1]ROSTERS!I262)</f>
        <v>ZAL</v>
      </c>
      <c r="J262" s="3" t="str">
        <f>IF([1]ROSTERS!J262="","",[1]ROSTERS!J262)</f>
        <v>ZAL.UlanovasEdgaras</v>
      </c>
      <c r="K262" s="4" t="str">
        <f>IF([1]ROSTERS!K262="","",[1]ROSTERS!K262)</f>
        <v>ZAL.Edgaras Ulanovas</v>
      </c>
      <c r="L262" s="4" t="str">
        <f>IF([1]ROSTERS!L262="","",[1]ROSTERS!L262)</f>
        <v>Ulanovas E.</v>
      </c>
      <c r="M262"/>
    </row>
    <row r="263" spans="1:13" s="1" customFormat="1" x14ac:dyDescent="0.25">
      <c r="A263" s="3" t="str">
        <f>IF(B263="","",COUNTIF($H$3:H263,H263))</f>
        <v/>
      </c>
      <c r="B263" s="4" t="str">
        <f>IF([1]ROSTERS!B263="","",[1]ROSTERS!B263)</f>
        <v/>
      </c>
      <c r="C263" s="4" t="str">
        <f>IF([1]ROSTERS!C263="","",[1]ROSTERS!C263)</f>
        <v/>
      </c>
      <c r="D263" s="3" t="str">
        <f>IF([1]ROSTERS!D263="","",[1]ROSTERS!D263)</f>
        <v/>
      </c>
      <c r="E263" s="3" t="str">
        <f>IF([1]ROSTERS!E263="","",[1]ROSTERS!E263)</f>
        <v/>
      </c>
      <c r="F263" s="3" t="str">
        <f>IF([1]ROSTERS!F263="","",[1]ROSTERS!F263)</f>
        <v/>
      </c>
      <c r="G263" s="3" t="str">
        <f>IF([1]ROSTERS!G263="","",[1]ROSTERS!G263)</f>
        <v/>
      </c>
      <c r="H263" s="3" t="str">
        <f>IF([1]ROSTERS!H263="","",[1]ROSTERS!H263)</f>
        <v/>
      </c>
      <c r="I263" s="3" t="str">
        <f>IF([1]ROSTERS!I263="","",[1]ROSTERS!I263)</f>
        <v/>
      </c>
      <c r="J263" s="3" t="str">
        <f>IF([1]ROSTERS!J263="","",[1]ROSTERS!J263)</f>
        <v/>
      </c>
      <c r="K263" s="4" t="str">
        <f>IF([1]ROSTERS!K263="","",[1]ROSTERS!K263)</f>
        <v/>
      </c>
      <c r="L263" s="4" t="str">
        <f>IF([1]ROSTERS!L263="","",[1]ROSTERS!L263)</f>
        <v/>
      </c>
      <c r="M263"/>
    </row>
    <row r="264" spans="1:13" s="1" customFormat="1" x14ac:dyDescent="0.25">
      <c r="A264" s="3" t="str">
        <f>IF(B264="","",COUNTIF($H$3:H264,H264))</f>
        <v/>
      </c>
      <c r="B264" s="4" t="str">
        <f>IF([1]ROSTERS!B264="","",[1]ROSTERS!B264)</f>
        <v/>
      </c>
      <c r="C264" s="4" t="str">
        <f>IF([1]ROSTERS!C264="","",[1]ROSTERS!C264)</f>
        <v/>
      </c>
      <c r="D264" s="3" t="str">
        <f>IF([1]ROSTERS!D264="","",[1]ROSTERS!D264)</f>
        <v/>
      </c>
      <c r="E264" s="3" t="str">
        <f>IF([1]ROSTERS!E264="","",[1]ROSTERS!E264)</f>
        <v/>
      </c>
      <c r="F264" s="3" t="str">
        <f>IF([1]ROSTERS!F264="","",[1]ROSTERS!F264)</f>
        <v/>
      </c>
      <c r="G264" s="3" t="str">
        <f>IF([1]ROSTERS!G264="","",[1]ROSTERS!G264)</f>
        <v/>
      </c>
      <c r="H264" s="3" t="str">
        <f>IF([1]ROSTERS!H264="","",[1]ROSTERS!H264)</f>
        <v/>
      </c>
      <c r="I264" s="3" t="str">
        <f>IF([1]ROSTERS!I264="","",[1]ROSTERS!I264)</f>
        <v/>
      </c>
      <c r="J264" s="3" t="str">
        <f>IF([1]ROSTERS!J264="","",[1]ROSTERS!J264)</f>
        <v/>
      </c>
      <c r="K264" s="4" t="str">
        <f>IF([1]ROSTERS!K264="","",[1]ROSTERS!K264)</f>
        <v/>
      </c>
      <c r="L264" s="4" t="str">
        <f>IF([1]ROSTERS!L264="","",[1]ROSTERS!L264)</f>
        <v/>
      </c>
      <c r="M264"/>
    </row>
    <row r="265" spans="1:13" s="1" customFormat="1" x14ac:dyDescent="0.25">
      <c r="A265" s="3" t="str">
        <f>IF(B265="","",COUNTIF($H$3:H265,H265))</f>
        <v/>
      </c>
      <c r="B265" s="4" t="str">
        <f>IF([1]ROSTERS!B265="","",[1]ROSTERS!B265)</f>
        <v/>
      </c>
      <c r="C265" s="4" t="str">
        <f>IF([1]ROSTERS!C265="","",[1]ROSTERS!C265)</f>
        <v/>
      </c>
      <c r="D265" s="3" t="str">
        <f>IF([1]ROSTERS!D265="","",[1]ROSTERS!D265)</f>
        <v/>
      </c>
      <c r="E265" s="3" t="str">
        <f>IF([1]ROSTERS!E265="","",[1]ROSTERS!E265)</f>
        <v/>
      </c>
      <c r="F265" s="3" t="str">
        <f>IF([1]ROSTERS!F265="","",[1]ROSTERS!F265)</f>
        <v/>
      </c>
      <c r="G265" s="3" t="str">
        <f>IF([1]ROSTERS!G265="","",[1]ROSTERS!G265)</f>
        <v/>
      </c>
      <c r="H265" s="3" t="str">
        <f>IF([1]ROSTERS!H265="","",[1]ROSTERS!H265)</f>
        <v/>
      </c>
      <c r="I265" s="3" t="str">
        <f>IF([1]ROSTERS!I265="","",[1]ROSTERS!I265)</f>
        <v/>
      </c>
      <c r="J265" s="3" t="str">
        <f>IF([1]ROSTERS!J265="","",[1]ROSTERS!J265)</f>
        <v/>
      </c>
      <c r="K265" s="4" t="str">
        <f>IF([1]ROSTERS!K265="","",[1]ROSTERS!K265)</f>
        <v/>
      </c>
      <c r="L265" s="4" t="str">
        <f>IF([1]ROSTERS!L265="","",[1]ROSTERS!L265)</f>
        <v/>
      </c>
      <c r="M265"/>
    </row>
    <row r="266" spans="1:13" s="1" customFormat="1" x14ac:dyDescent="0.25">
      <c r="A266" s="3" t="str">
        <f>IF(B266="","",COUNTIF($H$3:H266,H266))</f>
        <v/>
      </c>
      <c r="B266" s="4" t="str">
        <f>IF([1]ROSTERS!B266="","",[1]ROSTERS!B266)</f>
        <v/>
      </c>
      <c r="C266" s="4" t="str">
        <f>IF([1]ROSTERS!C266="","",[1]ROSTERS!C266)</f>
        <v/>
      </c>
      <c r="D266" s="3" t="str">
        <f>IF([1]ROSTERS!D266="","",[1]ROSTERS!D266)</f>
        <v/>
      </c>
      <c r="E266" s="3" t="str">
        <f>IF([1]ROSTERS!E266="","",[1]ROSTERS!E266)</f>
        <v/>
      </c>
      <c r="F266" s="3" t="str">
        <f>IF([1]ROSTERS!F266="","",[1]ROSTERS!F266)</f>
        <v/>
      </c>
      <c r="G266" s="3" t="str">
        <f>IF([1]ROSTERS!G266="","",[1]ROSTERS!G266)</f>
        <v/>
      </c>
      <c r="H266" s="3" t="str">
        <f>IF([1]ROSTERS!H266="","",[1]ROSTERS!H266)</f>
        <v/>
      </c>
      <c r="I266" s="3" t="str">
        <f>IF([1]ROSTERS!I266="","",[1]ROSTERS!I266)</f>
        <v/>
      </c>
      <c r="J266" s="3" t="str">
        <f>IF([1]ROSTERS!J266="","",[1]ROSTERS!J266)</f>
        <v/>
      </c>
      <c r="K266" s="4" t="str">
        <f>IF([1]ROSTERS!K266="","",[1]ROSTERS!K266)</f>
        <v/>
      </c>
      <c r="L266" s="4" t="str">
        <f>IF([1]ROSTERS!L266="","",[1]ROSTERS!L266)</f>
        <v/>
      </c>
      <c r="M266"/>
    </row>
    <row r="267" spans="1:13" s="1" customFormat="1" x14ac:dyDescent="0.25">
      <c r="A267" s="3" t="str">
        <f>IF(B267="","",COUNTIF($H$3:H267,H267))</f>
        <v/>
      </c>
      <c r="B267" s="4" t="str">
        <f>IF([1]ROSTERS!B267="","",[1]ROSTERS!B267)</f>
        <v/>
      </c>
      <c r="C267" s="4" t="str">
        <f>IF([1]ROSTERS!C267="","",[1]ROSTERS!C267)</f>
        <v/>
      </c>
      <c r="D267" s="3" t="str">
        <f>IF([1]ROSTERS!D267="","",[1]ROSTERS!D267)</f>
        <v/>
      </c>
      <c r="E267" s="3" t="str">
        <f>IF([1]ROSTERS!E267="","",[1]ROSTERS!E267)</f>
        <v/>
      </c>
      <c r="F267" s="3" t="str">
        <f>IF([1]ROSTERS!F267="","",[1]ROSTERS!F267)</f>
        <v/>
      </c>
      <c r="G267" s="3" t="str">
        <f>IF([1]ROSTERS!G267="","",[1]ROSTERS!G267)</f>
        <v/>
      </c>
      <c r="H267" s="3" t="str">
        <f>IF([1]ROSTERS!H267="","",[1]ROSTERS!H267)</f>
        <v/>
      </c>
      <c r="I267" s="3" t="str">
        <f>IF([1]ROSTERS!I267="","",[1]ROSTERS!I267)</f>
        <v/>
      </c>
      <c r="J267" s="3" t="str">
        <f>IF([1]ROSTERS!J267="","",[1]ROSTERS!J267)</f>
        <v/>
      </c>
      <c r="K267" s="4" t="str">
        <f>IF([1]ROSTERS!K267="","",[1]ROSTERS!K267)</f>
        <v/>
      </c>
      <c r="L267" s="4" t="str">
        <f>IF([1]ROSTERS!L267="","",[1]ROSTERS!L267)</f>
        <v/>
      </c>
      <c r="M267"/>
    </row>
    <row r="268" spans="1:13" s="1" customFormat="1" x14ac:dyDescent="0.25">
      <c r="A268" s="3" t="str">
        <f>IF(B268="","",COUNTIF($H$3:H268,H268))</f>
        <v/>
      </c>
      <c r="B268" s="4" t="str">
        <f>IF([1]ROSTERS!B268="","",[1]ROSTERS!B268)</f>
        <v/>
      </c>
      <c r="C268" s="4" t="str">
        <f>IF([1]ROSTERS!C268="","",[1]ROSTERS!C268)</f>
        <v/>
      </c>
      <c r="D268" s="3" t="str">
        <f>IF([1]ROSTERS!D268="","",[1]ROSTERS!D268)</f>
        <v/>
      </c>
      <c r="E268" s="3" t="str">
        <f>IF([1]ROSTERS!E268="","",[1]ROSTERS!E268)</f>
        <v/>
      </c>
      <c r="F268" s="3" t="str">
        <f>IF([1]ROSTERS!F268="","",[1]ROSTERS!F268)</f>
        <v/>
      </c>
      <c r="G268" s="3" t="str">
        <f>IF([1]ROSTERS!G268="","",[1]ROSTERS!G268)</f>
        <v/>
      </c>
      <c r="H268" s="3" t="str">
        <f>IF([1]ROSTERS!H268="","",[1]ROSTERS!H268)</f>
        <v/>
      </c>
      <c r="I268" s="3" t="str">
        <f>IF([1]ROSTERS!I268="","",[1]ROSTERS!I268)</f>
        <v/>
      </c>
      <c r="J268" s="3" t="str">
        <f>IF([1]ROSTERS!J268="","",[1]ROSTERS!J268)</f>
        <v/>
      </c>
      <c r="K268" s="4" t="str">
        <f>IF([1]ROSTERS!K268="","",[1]ROSTERS!K268)</f>
        <v/>
      </c>
      <c r="L268" s="4" t="str">
        <f>IF([1]ROSTERS!L268="","",[1]ROSTERS!L268)</f>
        <v/>
      </c>
      <c r="M268"/>
    </row>
    <row r="269" spans="1:13" s="1" customFormat="1" x14ac:dyDescent="0.25">
      <c r="A269" s="3" t="str">
        <f>IF(B269="","",COUNTIF($H$3:H269,H269))</f>
        <v/>
      </c>
      <c r="B269" s="4" t="str">
        <f>IF([1]ROSTERS!B269="","",[1]ROSTERS!B269)</f>
        <v/>
      </c>
      <c r="C269" s="4" t="str">
        <f>IF([1]ROSTERS!C269="","",[1]ROSTERS!C269)</f>
        <v/>
      </c>
      <c r="D269" s="3" t="str">
        <f>IF([1]ROSTERS!D269="","",[1]ROSTERS!D269)</f>
        <v/>
      </c>
      <c r="E269" s="3" t="str">
        <f>IF([1]ROSTERS!E269="","",[1]ROSTERS!E269)</f>
        <v/>
      </c>
      <c r="F269" s="3" t="str">
        <f>IF([1]ROSTERS!F269="","",[1]ROSTERS!F269)</f>
        <v/>
      </c>
      <c r="G269" s="3" t="str">
        <f>IF([1]ROSTERS!G269="","",[1]ROSTERS!G269)</f>
        <v/>
      </c>
      <c r="H269" s="3" t="str">
        <f>IF([1]ROSTERS!H269="","",[1]ROSTERS!H269)</f>
        <v/>
      </c>
      <c r="I269" s="3" t="str">
        <f>IF([1]ROSTERS!I269="","",[1]ROSTERS!I269)</f>
        <v/>
      </c>
      <c r="J269" s="3" t="str">
        <f>IF([1]ROSTERS!J269="","",[1]ROSTERS!J269)</f>
        <v/>
      </c>
      <c r="K269" s="4" t="str">
        <f>IF([1]ROSTERS!K269="","",[1]ROSTERS!K269)</f>
        <v/>
      </c>
      <c r="L269" s="4" t="str">
        <f>IF([1]ROSTERS!L269="","",[1]ROSTERS!L269)</f>
        <v/>
      </c>
      <c r="M269"/>
    </row>
    <row r="270" spans="1:13" s="1" customFormat="1" x14ac:dyDescent="0.25">
      <c r="A270" s="3" t="str">
        <f>IF(B270="","",COUNTIF($H$3:H270,H270))</f>
        <v/>
      </c>
      <c r="B270" s="4" t="str">
        <f>IF([1]ROSTERS!B270="","",[1]ROSTERS!B270)</f>
        <v/>
      </c>
      <c r="C270" s="4" t="str">
        <f>IF([1]ROSTERS!C270="","",[1]ROSTERS!C270)</f>
        <v/>
      </c>
      <c r="D270" s="3" t="str">
        <f>IF([1]ROSTERS!D270="","",[1]ROSTERS!D270)</f>
        <v/>
      </c>
      <c r="E270" s="3" t="str">
        <f>IF([1]ROSTERS!E270="","",[1]ROSTERS!E270)</f>
        <v/>
      </c>
      <c r="F270" s="3" t="str">
        <f>IF([1]ROSTERS!F270="","",[1]ROSTERS!F270)</f>
        <v/>
      </c>
      <c r="G270" s="3" t="str">
        <f>IF([1]ROSTERS!G270="","",[1]ROSTERS!G270)</f>
        <v/>
      </c>
      <c r="H270" s="3" t="str">
        <f>IF([1]ROSTERS!H270="","",[1]ROSTERS!H270)</f>
        <v/>
      </c>
      <c r="I270" s="3" t="str">
        <f>IF([1]ROSTERS!I270="","",[1]ROSTERS!I270)</f>
        <v/>
      </c>
      <c r="J270" s="3" t="str">
        <f>IF([1]ROSTERS!J270="","",[1]ROSTERS!J270)</f>
        <v/>
      </c>
      <c r="K270" s="4" t="str">
        <f>IF([1]ROSTERS!K270="","",[1]ROSTERS!K270)</f>
        <v/>
      </c>
      <c r="L270" s="4" t="str">
        <f>IF([1]ROSTERS!L270="","",[1]ROSTERS!L270)</f>
        <v/>
      </c>
      <c r="M270"/>
    </row>
    <row r="271" spans="1:13" s="1" customFormat="1" x14ac:dyDescent="0.25">
      <c r="A271" s="3" t="str">
        <f>IF(B271="","",COUNTIF($H$3:H271,H271))</f>
        <v/>
      </c>
      <c r="B271" s="4" t="str">
        <f>IF([1]ROSTERS!B271="","",[1]ROSTERS!B271)</f>
        <v/>
      </c>
      <c r="C271" s="4" t="str">
        <f>IF([1]ROSTERS!C271="","",[1]ROSTERS!C271)</f>
        <v/>
      </c>
      <c r="D271" s="3" t="str">
        <f>IF([1]ROSTERS!D271="","",[1]ROSTERS!D271)</f>
        <v/>
      </c>
      <c r="E271" s="3" t="str">
        <f>IF([1]ROSTERS!E271="","",[1]ROSTERS!E271)</f>
        <v/>
      </c>
      <c r="F271" s="3" t="str">
        <f>IF([1]ROSTERS!F271="","",[1]ROSTERS!F271)</f>
        <v/>
      </c>
      <c r="G271" s="3" t="str">
        <f>IF([1]ROSTERS!G271="","",[1]ROSTERS!G271)</f>
        <v/>
      </c>
      <c r="H271" s="3" t="str">
        <f>IF([1]ROSTERS!H271="","",[1]ROSTERS!H271)</f>
        <v/>
      </c>
      <c r="I271" s="3" t="str">
        <f>IF([1]ROSTERS!I271="","",[1]ROSTERS!I271)</f>
        <v/>
      </c>
      <c r="J271" s="3" t="str">
        <f>IF([1]ROSTERS!J271="","",[1]ROSTERS!J271)</f>
        <v/>
      </c>
      <c r="K271" s="4" t="str">
        <f>IF([1]ROSTERS!K271="","",[1]ROSTERS!K271)</f>
        <v/>
      </c>
      <c r="L271" s="4" t="str">
        <f>IF([1]ROSTERS!L271="","",[1]ROSTERS!L271)</f>
        <v/>
      </c>
      <c r="M271"/>
    </row>
    <row r="272" spans="1:13" s="1" customFormat="1" x14ac:dyDescent="0.25">
      <c r="A272" s="3" t="str">
        <f>IF(B272="","",COUNTIF($H$3:H272,H272))</f>
        <v/>
      </c>
      <c r="B272" s="4" t="str">
        <f>IF([1]ROSTERS!B272="","",[1]ROSTERS!B272)</f>
        <v/>
      </c>
      <c r="C272" s="4" t="str">
        <f>IF([1]ROSTERS!C272="","",[1]ROSTERS!C272)</f>
        <v/>
      </c>
      <c r="D272" s="3" t="str">
        <f>IF([1]ROSTERS!D272="","",[1]ROSTERS!D272)</f>
        <v/>
      </c>
      <c r="E272" s="3" t="str">
        <f>IF([1]ROSTERS!E272="","",[1]ROSTERS!E272)</f>
        <v/>
      </c>
      <c r="F272" s="3" t="str">
        <f>IF([1]ROSTERS!F272="","",[1]ROSTERS!F272)</f>
        <v/>
      </c>
      <c r="G272" s="3" t="str">
        <f>IF([1]ROSTERS!G272="","",[1]ROSTERS!G272)</f>
        <v/>
      </c>
      <c r="H272" s="3" t="str">
        <f>IF([1]ROSTERS!H272="","",[1]ROSTERS!H272)</f>
        <v/>
      </c>
      <c r="I272" s="3" t="str">
        <f>IF([1]ROSTERS!I272="","",[1]ROSTERS!I272)</f>
        <v/>
      </c>
      <c r="J272" s="3" t="str">
        <f>IF([1]ROSTERS!J272="","",[1]ROSTERS!J272)</f>
        <v/>
      </c>
      <c r="K272" s="4" t="str">
        <f>IF([1]ROSTERS!K272="","",[1]ROSTERS!K272)</f>
        <v/>
      </c>
      <c r="L272" s="4" t="str">
        <f>IF([1]ROSTERS!L272="","",[1]ROSTERS!L272)</f>
        <v/>
      </c>
      <c r="M272"/>
    </row>
    <row r="273" spans="1:13" s="1" customFormat="1" x14ac:dyDescent="0.25">
      <c r="A273" s="3" t="str">
        <f>IF(B273="","",COUNTIF($H$3:H273,H273))</f>
        <v/>
      </c>
      <c r="B273" s="4" t="str">
        <f>IF([1]ROSTERS!B273="","",[1]ROSTERS!B273)</f>
        <v/>
      </c>
      <c r="C273" s="4" t="str">
        <f>IF([1]ROSTERS!C273="","",[1]ROSTERS!C273)</f>
        <v/>
      </c>
      <c r="D273" s="3" t="str">
        <f>IF([1]ROSTERS!D273="","",[1]ROSTERS!D273)</f>
        <v/>
      </c>
      <c r="E273" s="3" t="str">
        <f>IF([1]ROSTERS!E273="","",[1]ROSTERS!E273)</f>
        <v/>
      </c>
      <c r="F273" s="3" t="str">
        <f>IF([1]ROSTERS!F273="","",[1]ROSTERS!F273)</f>
        <v/>
      </c>
      <c r="G273" s="3" t="str">
        <f>IF([1]ROSTERS!G273="","",[1]ROSTERS!G273)</f>
        <v/>
      </c>
      <c r="H273" s="3" t="str">
        <f>IF([1]ROSTERS!H273="","",[1]ROSTERS!H273)</f>
        <v/>
      </c>
      <c r="I273" s="3" t="str">
        <f>IF([1]ROSTERS!I273="","",[1]ROSTERS!I273)</f>
        <v/>
      </c>
      <c r="J273" s="3" t="str">
        <f>IF([1]ROSTERS!J273="","",[1]ROSTERS!J273)</f>
        <v/>
      </c>
      <c r="K273" s="4" t="str">
        <f>IF([1]ROSTERS!K273="","",[1]ROSTERS!K273)</f>
        <v/>
      </c>
      <c r="L273" s="4" t="str">
        <f>IF([1]ROSTERS!L273="","",[1]ROSTERS!L273)</f>
        <v/>
      </c>
      <c r="M273"/>
    </row>
    <row r="274" spans="1:13" s="1" customFormat="1" x14ac:dyDescent="0.25">
      <c r="A274" s="3" t="str">
        <f>IF(B274="","",COUNTIF($H$3:H274,H274))</f>
        <v/>
      </c>
      <c r="B274" s="4" t="str">
        <f>IF([1]ROSTERS!B274="","",[1]ROSTERS!B274)</f>
        <v/>
      </c>
      <c r="C274" s="4" t="str">
        <f>IF([1]ROSTERS!C274="","",[1]ROSTERS!C274)</f>
        <v/>
      </c>
      <c r="D274" s="3" t="str">
        <f>IF([1]ROSTERS!D274="","",[1]ROSTERS!D274)</f>
        <v/>
      </c>
      <c r="E274" s="3" t="str">
        <f>IF([1]ROSTERS!E274="","",[1]ROSTERS!E274)</f>
        <v/>
      </c>
      <c r="F274" s="3" t="str">
        <f>IF([1]ROSTERS!F274="","",[1]ROSTERS!F274)</f>
        <v/>
      </c>
      <c r="G274" s="3" t="str">
        <f>IF([1]ROSTERS!G274="","",[1]ROSTERS!G274)</f>
        <v/>
      </c>
      <c r="H274" s="3" t="str">
        <f>IF([1]ROSTERS!H274="","",[1]ROSTERS!H274)</f>
        <v/>
      </c>
      <c r="I274" s="3" t="str">
        <f>IF([1]ROSTERS!I274="","",[1]ROSTERS!I274)</f>
        <v/>
      </c>
      <c r="J274" s="3" t="str">
        <f>IF([1]ROSTERS!J274="","",[1]ROSTERS!J274)</f>
        <v/>
      </c>
      <c r="K274" s="4" t="str">
        <f>IF([1]ROSTERS!K274="","",[1]ROSTERS!K274)</f>
        <v/>
      </c>
      <c r="L274" s="4" t="str">
        <f>IF([1]ROSTERS!L274="","",[1]ROSTERS!L274)</f>
        <v/>
      </c>
      <c r="M274"/>
    </row>
    <row r="275" spans="1:13" s="1" customFormat="1" x14ac:dyDescent="0.25">
      <c r="A275" s="3" t="str">
        <f>IF(B275="","",COUNTIF($H$3:H275,H275))</f>
        <v/>
      </c>
      <c r="B275" s="4" t="str">
        <f>IF([1]ROSTERS!B275="","",[1]ROSTERS!B275)</f>
        <v/>
      </c>
      <c r="C275" s="4" t="str">
        <f>IF([1]ROSTERS!C275="","",[1]ROSTERS!C275)</f>
        <v/>
      </c>
      <c r="D275" s="3" t="str">
        <f>IF([1]ROSTERS!D275="","",[1]ROSTERS!D275)</f>
        <v/>
      </c>
      <c r="E275" s="3" t="str">
        <f>IF([1]ROSTERS!E275="","",[1]ROSTERS!E275)</f>
        <v/>
      </c>
      <c r="F275" s="3" t="str">
        <f>IF([1]ROSTERS!F275="","",[1]ROSTERS!F275)</f>
        <v/>
      </c>
      <c r="G275" s="3" t="str">
        <f>IF([1]ROSTERS!G275="","",[1]ROSTERS!G275)</f>
        <v/>
      </c>
      <c r="H275" s="3" t="str">
        <f>IF([1]ROSTERS!H275="","",[1]ROSTERS!H275)</f>
        <v/>
      </c>
      <c r="I275" s="3" t="str">
        <f>IF([1]ROSTERS!I275="","",[1]ROSTERS!I275)</f>
        <v/>
      </c>
      <c r="J275" s="3" t="str">
        <f>IF([1]ROSTERS!J275="","",[1]ROSTERS!J275)</f>
        <v/>
      </c>
      <c r="K275" s="4" t="str">
        <f>IF([1]ROSTERS!K275="","",[1]ROSTERS!K275)</f>
        <v/>
      </c>
      <c r="L275" s="4" t="str">
        <f>IF([1]ROSTERS!L275="","",[1]ROSTERS!L275)</f>
        <v/>
      </c>
      <c r="M275"/>
    </row>
    <row r="276" spans="1:13" s="1" customFormat="1" x14ac:dyDescent="0.25">
      <c r="A276" s="3" t="str">
        <f>IF(B276="","",COUNTIF($H$3:H276,H276))</f>
        <v/>
      </c>
      <c r="B276" s="4" t="str">
        <f>IF([1]ROSTERS!B276="","",[1]ROSTERS!B276)</f>
        <v/>
      </c>
      <c r="C276" s="4" t="str">
        <f>IF([1]ROSTERS!C276="","",[1]ROSTERS!C276)</f>
        <v/>
      </c>
      <c r="D276" s="3" t="str">
        <f>IF([1]ROSTERS!D276="","",[1]ROSTERS!D276)</f>
        <v/>
      </c>
      <c r="E276" s="3" t="str">
        <f>IF([1]ROSTERS!E276="","",[1]ROSTERS!E276)</f>
        <v/>
      </c>
      <c r="F276" s="3" t="str">
        <f>IF([1]ROSTERS!F276="","",[1]ROSTERS!F276)</f>
        <v/>
      </c>
      <c r="G276" s="3" t="str">
        <f>IF([1]ROSTERS!G276="","",[1]ROSTERS!G276)</f>
        <v/>
      </c>
      <c r="H276" s="3" t="str">
        <f>IF([1]ROSTERS!H276="","",[1]ROSTERS!H276)</f>
        <v/>
      </c>
      <c r="I276" s="3" t="str">
        <f>IF([1]ROSTERS!I276="","",[1]ROSTERS!I276)</f>
        <v/>
      </c>
      <c r="J276" s="3" t="str">
        <f>IF([1]ROSTERS!J276="","",[1]ROSTERS!J276)</f>
        <v/>
      </c>
      <c r="K276" s="4" t="str">
        <f>IF([1]ROSTERS!K276="","",[1]ROSTERS!K276)</f>
        <v/>
      </c>
      <c r="L276" s="4" t="str">
        <f>IF([1]ROSTERS!L276="","",[1]ROSTERS!L276)</f>
        <v/>
      </c>
      <c r="M276"/>
    </row>
    <row r="277" spans="1:13" s="1" customFormat="1" x14ac:dyDescent="0.25">
      <c r="A277" s="3" t="str">
        <f>IF(B277="","",COUNTIF($H$3:H277,H277))</f>
        <v/>
      </c>
      <c r="B277" s="4" t="str">
        <f>IF([1]ROSTERS!B277="","",[1]ROSTERS!B277)</f>
        <v/>
      </c>
      <c r="C277" s="4" t="str">
        <f>IF([1]ROSTERS!C277="","",[1]ROSTERS!C277)</f>
        <v/>
      </c>
      <c r="D277" s="3" t="str">
        <f>IF([1]ROSTERS!D277="","",[1]ROSTERS!D277)</f>
        <v/>
      </c>
      <c r="E277" s="3" t="str">
        <f>IF([1]ROSTERS!E277="","",[1]ROSTERS!E277)</f>
        <v/>
      </c>
      <c r="F277" s="3" t="str">
        <f>IF([1]ROSTERS!F277="","",[1]ROSTERS!F277)</f>
        <v/>
      </c>
      <c r="G277" s="3" t="str">
        <f>IF([1]ROSTERS!G277="","",[1]ROSTERS!G277)</f>
        <v/>
      </c>
      <c r="H277" s="3" t="str">
        <f>IF([1]ROSTERS!H277="","",[1]ROSTERS!H277)</f>
        <v/>
      </c>
      <c r="I277" s="3" t="str">
        <f>IF([1]ROSTERS!I277="","",[1]ROSTERS!I277)</f>
        <v/>
      </c>
      <c r="J277" s="3" t="str">
        <f>IF([1]ROSTERS!J277="","",[1]ROSTERS!J277)</f>
        <v/>
      </c>
      <c r="K277" s="4" t="str">
        <f>IF([1]ROSTERS!K277="","",[1]ROSTERS!K277)</f>
        <v/>
      </c>
      <c r="L277" s="4" t="str">
        <f>IF([1]ROSTERS!L277="","",[1]ROSTERS!L277)</f>
        <v/>
      </c>
      <c r="M277"/>
    </row>
    <row r="278" spans="1:13" s="1" customFormat="1" x14ac:dyDescent="0.25">
      <c r="A278" s="3" t="str">
        <f>IF(B278="","",COUNTIF($H$3:H278,H278))</f>
        <v/>
      </c>
      <c r="B278" s="4" t="str">
        <f>IF([1]ROSTERS!B278="","",[1]ROSTERS!B278)</f>
        <v/>
      </c>
      <c r="C278" s="4" t="str">
        <f>IF([1]ROSTERS!C278="","",[1]ROSTERS!C278)</f>
        <v/>
      </c>
      <c r="D278" s="3" t="str">
        <f>IF([1]ROSTERS!D278="","",[1]ROSTERS!D278)</f>
        <v/>
      </c>
      <c r="E278" s="3" t="str">
        <f>IF([1]ROSTERS!E278="","",[1]ROSTERS!E278)</f>
        <v/>
      </c>
      <c r="F278" s="3" t="str">
        <f>IF([1]ROSTERS!F278="","",[1]ROSTERS!F278)</f>
        <v/>
      </c>
      <c r="G278" s="3" t="str">
        <f>IF([1]ROSTERS!G278="","",[1]ROSTERS!G278)</f>
        <v/>
      </c>
      <c r="H278" s="3" t="str">
        <f>IF([1]ROSTERS!H278="","",[1]ROSTERS!H278)</f>
        <v/>
      </c>
      <c r="I278" s="3" t="str">
        <f>IF([1]ROSTERS!I278="","",[1]ROSTERS!I278)</f>
        <v/>
      </c>
      <c r="J278" s="3" t="str">
        <f>IF([1]ROSTERS!J278="","",[1]ROSTERS!J278)</f>
        <v/>
      </c>
      <c r="K278" s="4" t="str">
        <f>IF([1]ROSTERS!K278="","",[1]ROSTERS!K278)</f>
        <v/>
      </c>
      <c r="L278" s="4" t="str">
        <f>IF([1]ROSTERS!L278="","",[1]ROSTERS!L278)</f>
        <v/>
      </c>
      <c r="M278"/>
    </row>
    <row r="279" spans="1:13" s="1" customFormat="1" x14ac:dyDescent="0.25">
      <c r="A279" s="3" t="str">
        <f>IF(B279="","",COUNTIF($H$3:H279,H279))</f>
        <v/>
      </c>
      <c r="B279" s="4" t="str">
        <f>IF([1]ROSTERS!B279="","",[1]ROSTERS!B279)</f>
        <v/>
      </c>
      <c r="C279" s="4" t="str">
        <f>IF([1]ROSTERS!C279="","",[1]ROSTERS!C279)</f>
        <v/>
      </c>
      <c r="D279" s="3" t="str">
        <f>IF([1]ROSTERS!D279="","",[1]ROSTERS!D279)</f>
        <v/>
      </c>
      <c r="E279" s="3" t="str">
        <f>IF([1]ROSTERS!E279="","",[1]ROSTERS!E279)</f>
        <v/>
      </c>
      <c r="F279" s="3" t="str">
        <f>IF([1]ROSTERS!F279="","",[1]ROSTERS!F279)</f>
        <v/>
      </c>
      <c r="G279" s="3" t="str">
        <f>IF([1]ROSTERS!G279="","",[1]ROSTERS!G279)</f>
        <v/>
      </c>
      <c r="H279" s="3" t="str">
        <f>IF([1]ROSTERS!H279="","",[1]ROSTERS!H279)</f>
        <v/>
      </c>
      <c r="I279" s="3" t="str">
        <f>IF([1]ROSTERS!I279="","",[1]ROSTERS!I279)</f>
        <v/>
      </c>
      <c r="J279" s="3" t="str">
        <f>IF([1]ROSTERS!J279="","",[1]ROSTERS!J279)</f>
        <v/>
      </c>
      <c r="K279" s="4" t="str">
        <f>IF([1]ROSTERS!K279="","",[1]ROSTERS!K279)</f>
        <v/>
      </c>
      <c r="L279" s="4" t="str">
        <f>IF([1]ROSTERS!L279="","",[1]ROSTERS!L279)</f>
        <v/>
      </c>
      <c r="M279"/>
    </row>
    <row r="280" spans="1:13" s="1" customFormat="1" x14ac:dyDescent="0.25">
      <c r="A280" s="3" t="str">
        <f>IF(B280="","",COUNTIF($H$3:H280,H280))</f>
        <v/>
      </c>
      <c r="B280" s="4" t="str">
        <f>IF([1]ROSTERS!B280="","",[1]ROSTERS!B280)</f>
        <v/>
      </c>
      <c r="C280" s="4" t="str">
        <f>IF([1]ROSTERS!C280="","",[1]ROSTERS!C280)</f>
        <v/>
      </c>
      <c r="D280" s="3" t="str">
        <f>IF([1]ROSTERS!D280="","",[1]ROSTERS!D280)</f>
        <v/>
      </c>
      <c r="E280" s="3" t="str">
        <f>IF([1]ROSTERS!E280="","",[1]ROSTERS!E280)</f>
        <v/>
      </c>
      <c r="F280" s="3" t="str">
        <f>IF([1]ROSTERS!F280="","",[1]ROSTERS!F280)</f>
        <v/>
      </c>
      <c r="G280" s="3" t="str">
        <f>IF([1]ROSTERS!G280="","",[1]ROSTERS!G280)</f>
        <v/>
      </c>
      <c r="H280" s="3" t="str">
        <f>IF([1]ROSTERS!H280="","",[1]ROSTERS!H280)</f>
        <v/>
      </c>
      <c r="I280" s="3" t="str">
        <f>IF([1]ROSTERS!I280="","",[1]ROSTERS!I280)</f>
        <v/>
      </c>
      <c r="J280" s="3" t="str">
        <f>IF([1]ROSTERS!J280="","",[1]ROSTERS!J280)</f>
        <v/>
      </c>
      <c r="K280" s="4" t="str">
        <f>IF([1]ROSTERS!K280="","",[1]ROSTERS!K280)</f>
        <v/>
      </c>
      <c r="L280" s="4" t="str">
        <f>IF([1]ROSTERS!L280="","",[1]ROSTERS!L280)</f>
        <v/>
      </c>
      <c r="M280"/>
    </row>
    <row r="281" spans="1:13" s="1" customFormat="1" x14ac:dyDescent="0.25">
      <c r="A281" s="3" t="str">
        <f>IF(B281="","",COUNTIF($H$3:H281,H281))</f>
        <v/>
      </c>
      <c r="B281" s="4" t="str">
        <f>IF([1]ROSTERS!B281="","",[1]ROSTERS!B281)</f>
        <v/>
      </c>
      <c r="C281" s="4" t="str">
        <f>IF([1]ROSTERS!C281="","",[1]ROSTERS!C281)</f>
        <v/>
      </c>
      <c r="D281" s="3" t="str">
        <f>IF([1]ROSTERS!D281="","",[1]ROSTERS!D281)</f>
        <v/>
      </c>
      <c r="E281" s="3" t="str">
        <f>IF([1]ROSTERS!E281="","",[1]ROSTERS!E281)</f>
        <v/>
      </c>
      <c r="F281" s="3" t="str">
        <f>IF([1]ROSTERS!F281="","",[1]ROSTERS!F281)</f>
        <v/>
      </c>
      <c r="G281" s="3" t="str">
        <f>IF([1]ROSTERS!G281="","",[1]ROSTERS!G281)</f>
        <v/>
      </c>
      <c r="H281" s="3" t="str">
        <f>IF([1]ROSTERS!H281="","",[1]ROSTERS!H281)</f>
        <v/>
      </c>
      <c r="I281" s="3" t="str">
        <f>IF([1]ROSTERS!I281="","",[1]ROSTERS!I281)</f>
        <v/>
      </c>
      <c r="J281" s="3" t="str">
        <f>IF([1]ROSTERS!J281="","",[1]ROSTERS!J281)</f>
        <v/>
      </c>
      <c r="K281" s="4" t="str">
        <f>IF([1]ROSTERS!K281="","",[1]ROSTERS!K281)</f>
        <v/>
      </c>
      <c r="L281" s="4" t="str">
        <f>IF([1]ROSTERS!L281="","",[1]ROSTERS!L281)</f>
        <v/>
      </c>
      <c r="M281"/>
    </row>
    <row r="282" spans="1:13" s="1" customFormat="1" x14ac:dyDescent="0.25">
      <c r="A282" s="3" t="str">
        <f>IF(B282="","",COUNTIF($H$3:H282,H282))</f>
        <v/>
      </c>
      <c r="B282" s="4" t="str">
        <f>IF([1]ROSTERS!B282="","",[1]ROSTERS!B282)</f>
        <v/>
      </c>
      <c r="C282" s="4" t="str">
        <f>IF([1]ROSTERS!C282="","",[1]ROSTERS!C282)</f>
        <v/>
      </c>
      <c r="D282" s="3" t="str">
        <f>IF([1]ROSTERS!D282="","",[1]ROSTERS!D282)</f>
        <v/>
      </c>
      <c r="E282" s="3" t="str">
        <f>IF([1]ROSTERS!E282="","",[1]ROSTERS!E282)</f>
        <v/>
      </c>
      <c r="F282" s="3" t="str">
        <f>IF([1]ROSTERS!F282="","",[1]ROSTERS!F282)</f>
        <v/>
      </c>
      <c r="G282" s="3" t="str">
        <f>IF([1]ROSTERS!G282="","",[1]ROSTERS!G282)</f>
        <v/>
      </c>
      <c r="H282" s="3" t="str">
        <f>IF([1]ROSTERS!H282="","",[1]ROSTERS!H282)</f>
        <v/>
      </c>
      <c r="I282" s="3" t="str">
        <f>IF([1]ROSTERS!I282="","",[1]ROSTERS!I282)</f>
        <v/>
      </c>
      <c r="J282" s="3" t="str">
        <f>IF([1]ROSTERS!J282="","",[1]ROSTERS!J282)</f>
        <v/>
      </c>
      <c r="K282" s="4" t="str">
        <f>IF([1]ROSTERS!K282="","",[1]ROSTERS!K282)</f>
        <v/>
      </c>
      <c r="L282" s="4" t="str">
        <f>IF([1]ROSTERS!L282="","",[1]ROSTERS!L282)</f>
        <v/>
      </c>
      <c r="M282"/>
    </row>
    <row r="283" spans="1:13" s="1" customFormat="1" x14ac:dyDescent="0.25">
      <c r="A283" s="3" t="str">
        <f>IF(B283="","",COUNTIF($H$3:H283,H283))</f>
        <v/>
      </c>
      <c r="B283" s="4" t="str">
        <f>IF([1]ROSTERS!B283="","",[1]ROSTERS!B283)</f>
        <v/>
      </c>
      <c r="C283" s="4" t="str">
        <f>IF([1]ROSTERS!C283="","",[1]ROSTERS!C283)</f>
        <v/>
      </c>
      <c r="D283" s="3" t="str">
        <f>IF([1]ROSTERS!D283="","",[1]ROSTERS!D283)</f>
        <v/>
      </c>
      <c r="E283" s="3" t="str">
        <f>IF([1]ROSTERS!E283="","",[1]ROSTERS!E283)</f>
        <v/>
      </c>
      <c r="F283" s="3" t="str">
        <f>IF([1]ROSTERS!F283="","",[1]ROSTERS!F283)</f>
        <v/>
      </c>
      <c r="G283" s="3" t="str">
        <f>IF([1]ROSTERS!G283="","",[1]ROSTERS!G283)</f>
        <v/>
      </c>
      <c r="H283" s="3" t="str">
        <f>IF([1]ROSTERS!H283="","",[1]ROSTERS!H283)</f>
        <v/>
      </c>
      <c r="I283" s="3" t="str">
        <f>IF([1]ROSTERS!I283="","",[1]ROSTERS!I283)</f>
        <v/>
      </c>
      <c r="J283" s="3" t="str">
        <f>IF([1]ROSTERS!J283="","",[1]ROSTERS!J283)</f>
        <v/>
      </c>
      <c r="K283" s="4" t="str">
        <f>IF([1]ROSTERS!K283="","",[1]ROSTERS!K283)</f>
        <v/>
      </c>
      <c r="L283" s="4" t="str">
        <f>IF([1]ROSTERS!L283="","",[1]ROSTERS!L283)</f>
        <v/>
      </c>
      <c r="M283"/>
    </row>
    <row r="284" spans="1:13" s="1" customFormat="1" x14ac:dyDescent="0.25">
      <c r="A284" s="3" t="str">
        <f>IF(B284="","",COUNTIF($H$3:H284,H284))</f>
        <v/>
      </c>
      <c r="B284" s="4" t="str">
        <f>IF([1]ROSTERS!B284="","",[1]ROSTERS!B284)</f>
        <v/>
      </c>
      <c r="C284" s="4" t="str">
        <f>IF([1]ROSTERS!C284="","",[1]ROSTERS!C284)</f>
        <v/>
      </c>
      <c r="D284" s="3" t="str">
        <f>IF([1]ROSTERS!D284="","",[1]ROSTERS!D284)</f>
        <v/>
      </c>
      <c r="E284" s="3" t="str">
        <f>IF([1]ROSTERS!E284="","",[1]ROSTERS!E284)</f>
        <v/>
      </c>
      <c r="F284" s="3" t="str">
        <f>IF([1]ROSTERS!F284="","",[1]ROSTERS!F284)</f>
        <v/>
      </c>
      <c r="G284" s="3" t="str">
        <f>IF([1]ROSTERS!G284="","",[1]ROSTERS!G284)</f>
        <v/>
      </c>
      <c r="H284" s="3" t="str">
        <f>IF([1]ROSTERS!H284="","",[1]ROSTERS!H284)</f>
        <v/>
      </c>
      <c r="I284" s="3" t="str">
        <f>IF([1]ROSTERS!I284="","",[1]ROSTERS!I284)</f>
        <v/>
      </c>
      <c r="J284" s="3" t="str">
        <f>IF([1]ROSTERS!J284="","",[1]ROSTERS!J284)</f>
        <v/>
      </c>
      <c r="K284" s="4" t="str">
        <f>IF([1]ROSTERS!K284="","",[1]ROSTERS!K284)</f>
        <v/>
      </c>
      <c r="L284" s="4" t="str">
        <f>IF([1]ROSTERS!L284="","",[1]ROSTERS!L284)</f>
        <v/>
      </c>
      <c r="M284"/>
    </row>
    <row r="285" spans="1:13" s="1" customFormat="1" x14ac:dyDescent="0.25">
      <c r="A285" s="3" t="str">
        <f>IF(B285="","",COUNTIF($H$3:H285,H285))</f>
        <v/>
      </c>
      <c r="B285" s="4" t="str">
        <f>IF([1]ROSTERS!B285="","",[1]ROSTERS!B285)</f>
        <v/>
      </c>
      <c r="C285" s="4" t="str">
        <f>IF([1]ROSTERS!C285="","",[1]ROSTERS!C285)</f>
        <v/>
      </c>
      <c r="D285" s="3" t="str">
        <f>IF([1]ROSTERS!D285="","",[1]ROSTERS!D285)</f>
        <v/>
      </c>
      <c r="E285" s="3" t="str">
        <f>IF([1]ROSTERS!E285="","",[1]ROSTERS!E285)</f>
        <v/>
      </c>
      <c r="F285" s="3" t="str">
        <f>IF([1]ROSTERS!F285="","",[1]ROSTERS!F285)</f>
        <v/>
      </c>
      <c r="G285" s="3" t="str">
        <f>IF([1]ROSTERS!G285="","",[1]ROSTERS!G285)</f>
        <v/>
      </c>
      <c r="H285" s="3" t="str">
        <f>IF([1]ROSTERS!H285="","",[1]ROSTERS!H285)</f>
        <v/>
      </c>
      <c r="I285" s="3" t="str">
        <f>IF([1]ROSTERS!I285="","",[1]ROSTERS!I285)</f>
        <v/>
      </c>
      <c r="J285" s="3" t="str">
        <f>IF([1]ROSTERS!J285="","",[1]ROSTERS!J285)</f>
        <v/>
      </c>
      <c r="K285" s="4" t="str">
        <f>IF([1]ROSTERS!K285="","",[1]ROSTERS!K285)</f>
        <v/>
      </c>
      <c r="L285" s="4" t="str">
        <f>IF([1]ROSTERS!L285="","",[1]ROSTERS!L285)</f>
        <v/>
      </c>
      <c r="M285"/>
    </row>
    <row r="286" spans="1:13" s="1" customFormat="1" x14ac:dyDescent="0.25">
      <c r="A286" s="3" t="str">
        <f>IF(B286="","",COUNTIF($H$3:H286,H286))</f>
        <v/>
      </c>
      <c r="B286" s="4" t="str">
        <f>IF([1]ROSTERS!B286="","",[1]ROSTERS!B286)</f>
        <v/>
      </c>
      <c r="C286" s="4" t="str">
        <f>IF([1]ROSTERS!C286="","",[1]ROSTERS!C286)</f>
        <v/>
      </c>
      <c r="D286" s="3" t="str">
        <f>IF([1]ROSTERS!D286="","",[1]ROSTERS!D286)</f>
        <v/>
      </c>
      <c r="E286" s="3" t="str">
        <f>IF([1]ROSTERS!E286="","",[1]ROSTERS!E286)</f>
        <v/>
      </c>
      <c r="F286" s="3" t="str">
        <f>IF([1]ROSTERS!F286="","",[1]ROSTERS!F286)</f>
        <v/>
      </c>
      <c r="G286" s="3" t="str">
        <f>IF([1]ROSTERS!G286="","",[1]ROSTERS!G286)</f>
        <v/>
      </c>
      <c r="H286" s="3" t="str">
        <f>IF([1]ROSTERS!H286="","",[1]ROSTERS!H286)</f>
        <v/>
      </c>
      <c r="I286" s="3" t="str">
        <f>IF([1]ROSTERS!I286="","",[1]ROSTERS!I286)</f>
        <v/>
      </c>
      <c r="J286" s="3" t="str">
        <f>IF([1]ROSTERS!J286="","",[1]ROSTERS!J286)</f>
        <v/>
      </c>
      <c r="K286" s="4" t="str">
        <f>IF([1]ROSTERS!K286="","",[1]ROSTERS!K286)</f>
        <v/>
      </c>
      <c r="L286" s="4" t="str">
        <f>IF([1]ROSTERS!L286="","",[1]ROSTERS!L286)</f>
        <v/>
      </c>
      <c r="M286"/>
    </row>
    <row r="287" spans="1:13" s="1" customFormat="1" x14ac:dyDescent="0.25">
      <c r="A287" s="3" t="str">
        <f>IF(B287="","",COUNTIF($H$3:H287,H287))</f>
        <v/>
      </c>
      <c r="B287" s="4" t="str">
        <f>IF([1]ROSTERS!B287="","",[1]ROSTERS!B287)</f>
        <v/>
      </c>
      <c r="C287" s="4" t="str">
        <f>IF([1]ROSTERS!C287="","",[1]ROSTERS!C287)</f>
        <v/>
      </c>
      <c r="D287" s="3" t="str">
        <f>IF([1]ROSTERS!D287="","",[1]ROSTERS!D287)</f>
        <v/>
      </c>
      <c r="E287" s="3" t="str">
        <f>IF([1]ROSTERS!E287="","",[1]ROSTERS!E287)</f>
        <v/>
      </c>
      <c r="F287" s="3" t="str">
        <f>IF([1]ROSTERS!F287="","",[1]ROSTERS!F287)</f>
        <v/>
      </c>
      <c r="G287" s="3" t="str">
        <f>IF([1]ROSTERS!G287="","",[1]ROSTERS!G287)</f>
        <v/>
      </c>
      <c r="H287" s="3" t="str">
        <f>IF([1]ROSTERS!H287="","",[1]ROSTERS!H287)</f>
        <v/>
      </c>
      <c r="I287" s="3" t="str">
        <f>IF([1]ROSTERS!I287="","",[1]ROSTERS!I287)</f>
        <v/>
      </c>
      <c r="J287" s="3" t="str">
        <f>IF([1]ROSTERS!J287="","",[1]ROSTERS!J287)</f>
        <v/>
      </c>
      <c r="K287" s="4" t="str">
        <f>IF([1]ROSTERS!K287="","",[1]ROSTERS!K287)</f>
        <v/>
      </c>
      <c r="L287" s="4" t="str">
        <f>IF([1]ROSTERS!L287="","",[1]ROSTERS!L287)</f>
        <v/>
      </c>
      <c r="M287"/>
    </row>
    <row r="288" spans="1:13" s="1" customFormat="1" x14ac:dyDescent="0.25">
      <c r="A288" s="3" t="str">
        <f>IF(B288="","",COUNTIF($H$3:H288,H288))</f>
        <v/>
      </c>
      <c r="B288" s="4" t="str">
        <f>IF([1]ROSTERS!B288="","",[1]ROSTERS!B288)</f>
        <v/>
      </c>
      <c r="C288" s="4" t="str">
        <f>IF([1]ROSTERS!C288="","",[1]ROSTERS!C288)</f>
        <v/>
      </c>
      <c r="D288" s="3" t="str">
        <f>IF([1]ROSTERS!D288="","",[1]ROSTERS!D288)</f>
        <v/>
      </c>
      <c r="E288" s="3" t="str">
        <f>IF([1]ROSTERS!E288="","",[1]ROSTERS!E288)</f>
        <v/>
      </c>
      <c r="F288" s="3" t="str">
        <f>IF([1]ROSTERS!F288="","",[1]ROSTERS!F288)</f>
        <v/>
      </c>
      <c r="G288" s="3" t="str">
        <f>IF([1]ROSTERS!G288="","",[1]ROSTERS!G288)</f>
        <v/>
      </c>
      <c r="H288" s="3" t="str">
        <f>IF([1]ROSTERS!H288="","",[1]ROSTERS!H288)</f>
        <v/>
      </c>
      <c r="I288" s="3" t="str">
        <f>IF([1]ROSTERS!I288="","",[1]ROSTERS!I288)</f>
        <v/>
      </c>
      <c r="J288" s="3" t="str">
        <f>IF([1]ROSTERS!J288="","",[1]ROSTERS!J288)</f>
        <v/>
      </c>
      <c r="K288" s="4" t="str">
        <f>IF([1]ROSTERS!K288="","",[1]ROSTERS!K288)</f>
        <v/>
      </c>
      <c r="L288" s="4" t="str">
        <f>IF([1]ROSTERS!L288="","",[1]ROSTERS!L288)</f>
        <v/>
      </c>
      <c r="M288"/>
    </row>
    <row r="289" spans="1:13" s="1" customFormat="1" x14ac:dyDescent="0.25">
      <c r="A289" s="3" t="str">
        <f>IF(B289="","",COUNTIF($H$3:H289,H289))</f>
        <v/>
      </c>
      <c r="B289" s="4" t="str">
        <f>IF([1]ROSTERS!B289="","",[1]ROSTERS!B289)</f>
        <v/>
      </c>
      <c r="C289" s="4" t="str">
        <f>IF([1]ROSTERS!C289="","",[1]ROSTERS!C289)</f>
        <v/>
      </c>
      <c r="D289" s="3" t="str">
        <f>IF([1]ROSTERS!D289="","",[1]ROSTERS!D289)</f>
        <v/>
      </c>
      <c r="E289" s="3" t="str">
        <f>IF([1]ROSTERS!E289="","",[1]ROSTERS!E289)</f>
        <v/>
      </c>
      <c r="F289" s="3" t="str">
        <f>IF([1]ROSTERS!F289="","",[1]ROSTERS!F289)</f>
        <v/>
      </c>
      <c r="G289" s="3" t="str">
        <f>IF([1]ROSTERS!G289="","",[1]ROSTERS!G289)</f>
        <v/>
      </c>
      <c r="H289" s="3" t="str">
        <f>IF([1]ROSTERS!H289="","",[1]ROSTERS!H289)</f>
        <v/>
      </c>
      <c r="I289" s="3" t="str">
        <f>IF([1]ROSTERS!I289="","",[1]ROSTERS!I289)</f>
        <v/>
      </c>
      <c r="J289" s="3" t="str">
        <f>IF([1]ROSTERS!J289="","",[1]ROSTERS!J289)</f>
        <v/>
      </c>
      <c r="K289" s="4" t="str">
        <f>IF([1]ROSTERS!K289="","",[1]ROSTERS!K289)</f>
        <v/>
      </c>
      <c r="L289" s="4" t="str">
        <f>IF([1]ROSTERS!L289="","",[1]ROSTERS!L289)</f>
        <v/>
      </c>
      <c r="M289"/>
    </row>
    <row r="290" spans="1:13" s="1" customFormat="1" x14ac:dyDescent="0.25">
      <c r="A290" s="3" t="str">
        <f>IF(B290="","",COUNTIF($H$3:H290,H290))</f>
        <v/>
      </c>
      <c r="B290" s="4" t="str">
        <f>IF([1]ROSTERS!B290="","",[1]ROSTERS!B290)</f>
        <v/>
      </c>
      <c r="C290" s="4" t="str">
        <f>IF([1]ROSTERS!C290="","",[1]ROSTERS!C290)</f>
        <v/>
      </c>
      <c r="D290" s="3" t="str">
        <f>IF([1]ROSTERS!D290="","",[1]ROSTERS!D290)</f>
        <v/>
      </c>
      <c r="E290" s="3" t="str">
        <f>IF([1]ROSTERS!E290="","",[1]ROSTERS!E290)</f>
        <v/>
      </c>
      <c r="F290" s="3" t="str">
        <f>IF([1]ROSTERS!F290="","",[1]ROSTERS!F290)</f>
        <v/>
      </c>
      <c r="G290" s="3" t="str">
        <f>IF([1]ROSTERS!G290="","",[1]ROSTERS!G290)</f>
        <v/>
      </c>
      <c r="H290" s="3" t="str">
        <f>IF([1]ROSTERS!H290="","",[1]ROSTERS!H290)</f>
        <v/>
      </c>
      <c r="I290" s="3" t="str">
        <f>IF([1]ROSTERS!I290="","",[1]ROSTERS!I290)</f>
        <v/>
      </c>
      <c r="J290" s="3" t="str">
        <f>IF([1]ROSTERS!J290="","",[1]ROSTERS!J290)</f>
        <v/>
      </c>
      <c r="K290" s="4" t="str">
        <f>IF([1]ROSTERS!K290="","",[1]ROSTERS!K290)</f>
        <v/>
      </c>
      <c r="L290" s="4" t="str">
        <f>IF([1]ROSTERS!L290="","",[1]ROSTERS!L290)</f>
        <v/>
      </c>
      <c r="M290"/>
    </row>
    <row r="291" spans="1:13" s="1" customFormat="1" x14ac:dyDescent="0.25">
      <c r="A291" s="3" t="str">
        <f>IF(B291="","",COUNTIF($H$3:H291,H291))</f>
        <v/>
      </c>
      <c r="B291" s="4" t="str">
        <f>IF([1]ROSTERS!B291="","",[1]ROSTERS!B291)</f>
        <v/>
      </c>
      <c r="C291" s="4" t="str">
        <f>IF([1]ROSTERS!C291="","",[1]ROSTERS!C291)</f>
        <v/>
      </c>
      <c r="D291" s="3" t="str">
        <f>IF([1]ROSTERS!D291="","",[1]ROSTERS!D291)</f>
        <v/>
      </c>
      <c r="E291" s="3" t="str">
        <f>IF([1]ROSTERS!E291="","",[1]ROSTERS!E291)</f>
        <v/>
      </c>
      <c r="F291" s="3" t="str">
        <f>IF([1]ROSTERS!F291="","",[1]ROSTERS!F291)</f>
        <v/>
      </c>
      <c r="G291" s="3" t="str">
        <f>IF([1]ROSTERS!G291="","",[1]ROSTERS!G291)</f>
        <v/>
      </c>
      <c r="H291" s="3" t="str">
        <f>IF([1]ROSTERS!H291="","",[1]ROSTERS!H291)</f>
        <v/>
      </c>
      <c r="I291" s="3" t="str">
        <f>IF([1]ROSTERS!I291="","",[1]ROSTERS!I291)</f>
        <v/>
      </c>
      <c r="J291" s="3" t="str">
        <f>IF([1]ROSTERS!J291="","",[1]ROSTERS!J291)</f>
        <v/>
      </c>
      <c r="K291" s="4" t="str">
        <f>IF([1]ROSTERS!K291="","",[1]ROSTERS!K291)</f>
        <v/>
      </c>
      <c r="L291" s="4" t="str">
        <f>IF([1]ROSTERS!L291="","",[1]ROSTERS!L291)</f>
        <v/>
      </c>
      <c r="M291"/>
    </row>
    <row r="292" spans="1:13" s="1" customFormat="1" x14ac:dyDescent="0.25">
      <c r="A292" s="3" t="str">
        <f>IF(B292="","",COUNTIF($H$3:H292,H292))</f>
        <v/>
      </c>
      <c r="B292" s="4" t="str">
        <f>IF([1]ROSTERS!B292="","",[1]ROSTERS!B292)</f>
        <v/>
      </c>
      <c r="C292" s="4" t="str">
        <f>IF([1]ROSTERS!C292="","",[1]ROSTERS!C292)</f>
        <v/>
      </c>
      <c r="D292" s="3" t="str">
        <f>IF([1]ROSTERS!D292="","",[1]ROSTERS!D292)</f>
        <v/>
      </c>
      <c r="E292" s="3" t="str">
        <f>IF([1]ROSTERS!E292="","",[1]ROSTERS!E292)</f>
        <v/>
      </c>
      <c r="F292" s="3" t="str">
        <f>IF([1]ROSTERS!F292="","",[1]ROSTERS!F292)</f>
        <v/>
      </c>
      <c r="G292" s="3" t="str">
        <f>IF([1]ROSTERS!G292="","",[1]ROSTERS!G292)</f>
        <v/>
      </c>
      <c r="H292" s="3" t="str">
        <f>IF([1]ROSTERS!H292="","",[1]ROSTERS!H292)</f>
        <v/>
      </c>
      <c r="I292" s="3" t="str">
        <f>IF([1]ROSTERS!I292="","",[1]ROSTERS!I292)</f>
        <v/>
      </c>
      <c r="J292" s="3" t="str">
        <f>IF([1]ROSTERS!J292="","",[1]ROSTERS!J292)</f>
        <v/>
      </c>
      <c r="K292" s="4" t="str">
        <f>IF([1]ROSTERS!K292="","",[1]ROSTERS!K292)</f>
        <v/>
      </c>
      <c r="L292" s="4" t="str">
        <f>IF([1]ROSTERS!L292="","",[1]ROSTERS!L292)</f>
        <v/>
      </c>
      <c r="M292"/>
    </row>
    <row r="293" spans="1:13" s="1" customFormat="1" x14ac:dyDescent="0.25">
      <c r="A293" s="3" t="str">
        <f>IF(B293="","",COUNTIF($H$3:H293,H293))</f>
        <v/>
      </c>
      <c r="B293" s="4" t="str">
        <f>IF([1]ROSTERS!B293="","",[1]ROSTERS!B293)</f>
        <v/>
      </c>
      <c r="C293" s="4" t="str">
        <f>IF([1]ROSTERS!C293="","",[1]ROSTERS!C293)</f>
        <v/>
      </c>
      <c r="D293" s="3" t="str">
        <f>IF([1]ROSTERS!D293="","",[1]ROSTERS!D293)</f>
        <v/>
      </c>
      <c r="E293" s="3" t="str">
        <f>IF([1]ROSTERS!E293="","",[1]ROSTERS!E293)</f>
        <v/>
      </c>
      <c r="F293" s="3" t="str">
        <f>IF([1]ROSTERS!F293="","",[1]ROSTERS!F293)</f>
        <v/>
      </c>
      <c r="G293" s="3" t="str">
        <f>IF([1]ROSTERS!G293="","",[1]ROSTERS!G293)</f>
        <v/>
      </c>
      <c r="H293" s="3" t="str">
        <f>IF([1]ROSTERS!H293="","",[1]ROSTERS!H293)</f>
        <v/>
      </c>
      <c r="I293" s="3" t="str">
        <f>IF([1]ROSTERS!I293="","",[1]ROSTERS!I293)</f>
        <v/>
      </c>
      <c r="J293" s="3" t="str">
        <f>IF([1]ROSTERS!J293="","",[1]ROSTERS!J293)</f>
        <v/>
      </c>
      <c r="K293" s="4" t="str">
        <f>IF([1]ROSTERS!K293="","",[1]ROSTERS!K293)</f>
        <v/>
      </c>
      <c r="L293" s="4" t="str">
        <f>IF([1]ROSTERS!L293="","",[1]ROSTERS!L293)</f>
        <v/>
      </c>
      <c r="M293"/>
    </row>
    <row r="294" spans="1:13" s="1" customFormat="1" x14ac:dyDescent="0.25">
      <c r="A294" s="3" t="str">
        <f>IF(B294="","",COUNTIF($H$3:H294,H294))</f>
        <v/>
      </c>
      <c r="B294" s="4" t="str">
        <f>IF([1]ROSTERS!B294="","",[1]ROSTERS!B294)</f>
        <v/>
      </c>
      <c r="C294" s="4" t="str">
        <f>IF([1]ROSTERS!C294="","",[1]ROSTERS!C294)</f>
        <v/>
      </c>
      <c r="D294" s="3" t="str">
        <f>IF([1]ROSTERS!D294="","",[1]ROSTERS!D294)</f>
        <v/>
      </c>
      <c r="E294" s="3" t="str">
        <f>IF([1]ROSTERS!E294="","",[1]ROSTERS!E294)</f>
        <v/>
      </c>
      <c r="F294" s="3" t="str">
        <f>IF([1]ROSTERS!F294="","",[1]ROSTERS!F294)</f>
        <v/>
      </c>
      <c r="G294" s="3" t="str">
        <f>IF([1]ROSTERS!G294="","",[1]ROSTERS!G294)</f>
        <v/>
      </c>
      <c r="H294" s="3" t="str">
        <f>IF([1]ROSTERS!H294="","",[1]ROSTERS!H294)</f>
        <v/>
      </c>
      <c r="I294" s="3" t="str">
        <f>IF([1]ROSTERS!I294="","",[1]ROSTERS!I294)</f>
        <v/>
      </c>
      <c r="J294" s="3" t="str">
        <f>IF([1]ROSTERS!J294="","",[1]ROSTERS!J294)</f>
        <v/>
      </c>
      <c r="K294" s="4" t="str">
        <f>IF([1]ROSTERS!K294="","",[1]ROSTERS!K294)</f>
        <v/>
      </c>
      <c r="L294" s="4" t="str">
        <f>IF([1]ROSTERS!L294="","",[1]ROSTERS!L294)</f>
        <v/>
      </c>
      <c r="M294"/>
    </row>
    <row r="295" spans="1:13" s="1" customFormat="1" x14ac:dyDescent="0.25">
      <c r="A295" s="3" t="str">
        <f>IF(B295="","",COUNTIF($H$3:H295,H295))</f>
        <v/>
      </c>
      <c r="B295" s="4" t="str">
        <f>IF([1]ROSTERS!B295="","",[1]ROSTERS!B295)</f>
        <v/>
      </c>
      <c r="C295" s="4" t="str">
        <f>IF([1]ROSTERS!C295="","",[1]ROSTERS!C295)</f>
        <v/>
      </c>
      <c r="D295" s="3" t="str">
        <f>IF([1]ROSTERS!D295="","",[1]ROSTERS!D295)</f>
        <v/>
      </c>
      <c r="E295" s="3" t="str">
        <f>IF([1]ROSTERS!E295="","",[1]ROSTERS!E295)</f>
        <v/>
      </c>
      <c r="F295" s="3" t="str">
        <f>IF([1]ROSTERS!F295="","",[1]ROSTERS!F295)</f>
        <v/>
      </c>
      <c r="G295" s="3" t="str">
        <f>IF([1]ROSTERS!G295="","",[1]ROSTERS!G295)</f>
        <v/>
      </c>
      <c r="H295" s="3" t="str">
        <f>IF([1]ROSTERS!H295="","",[1]ROSTERS!H295)</f>
        <v/>
      </c>
      <c r="I295" s="3" t="str">
        <f>IF([1]ROSTERS!I295="","",[1]ROSTERS!I295)</f>
        <v/>
      </c>
      <c r="J295" s="3" t="str">
        <f>IF([1]ROSTERS!J295="","",[1]ROSTERS!J295)</f>
        <v/>
      </c>
      <c r="K295" s="4" t="str">
        <f>IF([1]ROSTERS!K295="","",[1]ROSTERS!K295)</f>
        <v/>
      </c>
      <c r="L295" s="4" t="str">
        <f>IF([1]ROSTERS!L295="","",[1]ROSTERS!L295)</f>
        <v/>
      </c>
      <c r="M295"/>
    </row>
    <row r="296" spans="1:13" s="1" customFormat="1" x14ac:dyDescent="0.25">
      <c r="A296" s="3" t="str">
        <f>IF(B296="","",COUNTIF($H$3:H296,H296))</f>
        <v/>
      </c>
      <c r="B296" s="4" t="str">
        <f>IF([1]ROSTERS!B296="","",[1]ROSTERS!B296)</f>
        <v/>
      </c>
      <c r="C296" s="4" t="str">
        <f>IF([1]ROSTERS!C296="","",[1]ROSTERS!C296)</f>
        <v/>
      </c>
      <c r="D296" s="3" t="str">
        <f>IF([1]ROSTERS!D296="","",[1]ROSTERS!D296)</f>
        <v/>
      </c>
      <c r="E296" s="3" t="str">
        <f>IF([1]ROSTERS!E296="","",[1]ROSTERS!E296)</f>
        <v/>
      </c>
      <c r="F296" s="3" t="str">
        <f>IF([1]ROSTERS!F296="","",[1]ROSTERS!F296)</f>
        <v/>
      </c>
      <c r="G296" s="3" t="str">
        <f>IF([1]ROSTERS!G296="","",[1]ROSTERS!G296)</f>
        <v/>
      </c>
      <c r="H296" s="3" t="str">
        <f>IF([1]ROSTERS!H296="","",[1]ROSTERS!H296)</f>
        <v/>
      </c>
      <c r="I296" s="3" t="str">
        <f>IF([1]ROSTERS!I296="","",[1]ROSTERS!I296)</f>
        <v/>
      </c>
      <c r="J296" s="3" t="str">
        <f>IF([1]ROSTERS!J296="","",[1]ROSTERS!J296)</f>
        <v/>
      </c>
      <c r="K296" s="4" t="str">
        <f>IF([1]ROSTERS!K296="","",[1]ROSTERS!K296)</f>
        <v/>
      </c>
      <c r="L296" s="4" t="str">
        <f>IF([1]ROSTERS!L296="","",[1]ROSTERS!L296)</f>
        <v/>
      </c>
      <c r="M296"/>
    </row>
    <row r="297" spans="1:13" s="1" customFormat="1" x14ac:dyDescent="0.25">
      <c r="A297" s="3" t="str">
        <f>IF(B297="","",COUNTIF($H$3:H297,H297))</f>
        <v/>
      </c>
      <c r="B297" s="4" t="str">
        <f>IF([1]ROSTERS!B297="","",[1]ROSTERS!B297)</f>
        <v/>
      </c>
      <c r="C297" s="4" t="str">
        <f>IF([1]ROSTERS!C297="","",[1]ROSTERS!C297)</f>
        <v/>
      </c>
      <c r="D297" s="3" t="str">
        <f>IF([1]ROSTERS!D297="","",[1]ROSTERS!D297)</f>
        <v/>
      </c>
      <c r="E297" s="3" t="str">
        <f>IF([1]ROSTERS!E297="","",[1]ROSTERS!E297)</f>
        <v/>
      </c>
      <c r="F297" s="3" t="str">
        <f>IF([1]ROSTERS!F297="","",[1]ROSTERS!F297)</f>
        <v/>
      </c>
      <c r="G297" s="3" t="str">
        <f>IF([1]ROSTERS!G297="","",[1]ROSTERS!G297)</f>
        <v/>
      </c>
      <c r="H297" s="3" t="str">
        <f>IF([1]ROSTERS!H297="","",[1]ROSTERS!H297)</f>
        <v/>
      </c>
      <c r="I297" s="3" t="str">
        <f>IF([1]ROSTERS!I297="","",[1]ROSTERS!I297)</f>
        <v/>
      </c>
      <c r="J297" s="3" t="str">
        <f>IF([1]ROSTERS!J297="","",[1]ROSTERS!J297)</f>
        <v/>
      </c>
      <c r="K297" s="4" t="str">
        <f>IF([1]ROSTERS!K297="","",[1]ROSTERS!K297)</f>
        <v/>
      </c>
      <c r="L297" s="4" t="str">
        <f>IF([1]ROSTERS!L297="","",[1]ROSTERS!L297)</f>
        <v/>
      </c>
      <c r="M297"/>
    </row>
    <row r="298" spans="1:13" s="1" customFormat="1" x14ac:dyDescent="0.25">
      <c r="A298" s="3" t="str">
        <f>IF(B298="","",COUNTIF($H$3:H298,H298))</f>
        <v/>
      </c>
      <c r="B298" s="4" t="str">
        <f>IF([1]ROSTERS!B298="","",[1]ROSTERS!B298)</f>
        <v/>
      </c>
      <c r="C298" s="4" t="str">
        <f>IF([1]ROSTERS!C298="","",[1]ROSTERS!C298)</f>
        <v/>
      </c>
      <c r="D298" s="3" t="str">
        <f>IF([1]ROSTERS!D298="","",[1]ROSTERS!D298)</f>
        <v/>
      </c>
      <c r="E298" s="3" t="str">
        <f>IF([1]ROSTERS!E298="","",[1]ROSTERS!E298)</f>
        <v/>
      </c>
      <c r="F298" s="3" t="str">
        <f>IF([1]ROSTERS!F298="","",[1]ROSTERS!F298)</f>
        <v/>
      </c>
      <c r="G298" s="3" t="str">
        <f>IF([1]ROSTERS!G298="","",[1]ROSTERS!G298)</f>
        <v/>
      </c>
      <c r="H298" s="3" t="str">
        <f>IF([1]ROSTERS!H298="","",[1]ROSTERS!H298)</f>
        <v/>
      </c>
      <c r="I298" s="3" t="str">
        <f>IF([1]ROSTERS!I298="","",[1]ROSTERS!I298)</f>
        <v/>
      </c>
      <c r="J298" s="3" t="str">
        <f>IF([1]ROSTERS!J298="","",[1]ROSTERS!J298)</f>
        <v/>
      </c>
      <c r="K298" s="4" t="str">
        <f>IF([1]ROSTERS!K298="","",[1]ROSTERS!K298)</f>
        <v/>
      </c>
      <c r="L298" s="4" t="str">
        <f>IF([1]ROSTERS!L298="","",[1]ROSTERS!L298)</f>
        <v/>
      </c>
      <c r="M298"/>
    </row>
    <row r="299" spans="1:13" s="1" customFormat="1" x14ac:dyDescent="0.25">
      <c r="A299" s="3" t="str">
        <f>IF(B299="","",COUNTIF($H$3:H299,H299))</f>
        <v/>
      </c>
      <c r="B299" s="4" t="str">
        <f>IF([1]ROSTERS!B299="","",[1]ROSTERS!B299)</f>
        <v/>
      </c>
      <c r="C299" s="4" t="str">
        <f>IF([1]ROSTERS!C299="","",[1]ROSTERS!C299)</f>
        <v/>
      </c>
      <c r="D299" s="3" t="str">
        <f>IF([1]ROSTERS!D299="","",[1]ROSTERS!D299)</f>
        <v/>
      </c>
      <c r="E299" s="3" t="str">
        <f>IF([1]ROSTERS!E299="","",[1]ROSTERS!E299)</f>
        <v/>
      </c>
      <c r="F299" s="3" t="str">
        <f>IF([1]ROSTERS!F299="","",[1]ROSTERS!F299)</f>
        <v/>
      </c>
      <c r="G299" s="3" t="str">
        <f>IF([1]ROSTERS!G299="","",[1]ROSTERS!G299)</f>
        <v/>
      </c>
      <c r="H299" s="3" t="str">
        <f>IF([1]ROSTERS!H299="","",[1]ROSTERS!H299)</f>
        <v/>
      </c>
      <c r="I299" s="3" t="str">
        <f>IF([1]ROSTERS!I299="","",[1]ROSTERS!I299)</f>
        <v/>
      </c>
      <c r="J299" s="3" t="str">
        <f>IF([1]ROSTERS!J299="","",[1]ROSTERS!J299)</f>
        <v/>
      </c>
      <c r="K299" s="4" t="str">
        <f>IF([1]ROSTERS!K299="","",[1]ROSTERS!K299)</f>
        <v/>
      </c>
      <c r="L299" s="4" t="str">
        <f>IF([1]ROSTERS!L299="","",[1]ROSTERS!L299)</f>
        <v/>
      </c>
      <c r="M299"/>
    </row>
    <row r="300" spans="1:13" s="1" customFormat="1" x14ac:dyDescent="0.25">
      <c r="A300" s="3" t="str">
        <f>IF(B300="","",COUNTIF($H$3:H300,H300))</f>
        <v/>
      </c>
      <c r="B300" s="4" t="str">
        <f>IF([1]ROSTERS!B300="","",[1]ROSTERS!B300)</f>
        <v/>
      </c>
      <c r="C300" s="4" t="str">
        <f>IF([1]ROSTERS!C300="","",[1]ROSTERS!C300)</f>
        <v/>
      </c>
      <c r="D300" s="3" t="str">
        <f>IF([1]ROSTERS!D300="","",[1]ROSTERS!D300)</f>
        <v/>
      </c>
      <c r="E300" s="3" t="str">
        <f>IF([1]ROSTERS!E300="","",[1]ROSTERS!E300)</f>
        <v/>
      </c>
      <c r="F300" s="3" t="str">
        <f>IF([1]ROSTERS!F300="","",[1]ROSTERS!F300)</f>
        <v/>
      </c>
      <c r="G300" s="3" t="str">
        <f>IF([1]ROSTERS!G300="","",[1]ROSTERS!G300)</f>
        <v/>
      </c>
      <c r="H300" s="3" t="str">
        <f>IF([1]ROSTERS!H300="","",[1]ROSTERS!H300)</f>
        <v/>
      </c>
      <c r="I300" s="3" t="str">
        <f>IF([1]ROSTERS!I300="","",[1]ROSTERS!I300)</f>
        <v/>
      </c>
      <c r="J300" s="3" t="str">
        <f>IF([1]ROSTERS!J300="","",[1]ROSTERS!J300)</f>
        <v/>
      </c>
      <c r="K300" s="4" t="str">
        <f>IF([1]ROSTERS!K300="","",[1]ROSTERS!K300)</f>
        <v/>
      </c>
      <c r="L300" s="4" t="str">
        <f>IF([1]ROSTERS!L300="","",[1]ROSTERS!L300)</f>
        <v/>
      </c>
      <c r="M300"/>
    </row>
    <row r="301" spans="1:13" s="1" customFormat="1" x14ac:dyDescent="0.25">
      <c r="A301" s="3" t="str">
        <f>IF(B301="","",COUNTIF($H$3:H301,H301))</f>
        <v/>
      </c>
      <c r="B301" s="4" t="str">
        <f>IF([1]ROSTERS!B301="","",[1]ROSTERS!B301)</f>
        <v/>
      </c>
      <c r="C301" s="4" t="str">
        <f>IF([1]ROSTERS!C301="","",[1]ROSTERS!C301)</f>
        <v/>
      </c>
      <c r="D301" s="3" t="str">
        <f>IF([1]ROSTERS!D301="","",[1]ROSTERS!D301)</f>
        <v/>
      </c>
      <c r="E301" s="3" t="str">
        <f>IF([1]ROSTERS!E301="","",[1]ROSTERS!E301)</f>
        <v/>
      </c>
      <c r="F301" s="3" t="str">
        <f>IF([1]ROSTERS!F301="","",[1]ROSTERS!F301)</f>
        <v/>
      </c>
      <c r="G301" s="3" t="str">
        <f>IF([1]ROSTERS!G301="","",[1]ROSTERS!G301)</f>
        <v/>
      </c>
      <c r="H301" s="3" t="str">
        <f>IF([1]ROSTERS!H301="","",[1]ROSTERS!H301)</f>
        <v/>
      </c>
      <c r="I301" s="3" t="str">
        <f>IF([1]ROSTERS!I301="","",[1]ROSTERS!I301)</f>
        <v/>
      </c>
      <c r="J301" s="3" t="str">
        <f>IF([1]ROSTERS!J301="","",[1]ROSTERS!J301)</f>
        <v/>
      </c>
      <c r="K301" s="4" t="str">
        <f>IF([1]ROSTERS!K301="","",[1]ROSTERS!K301)</f>
        <v/>
      </c>
      <c r="L301" s="4" t="str">
        <f>IF([1]ROSTERS!L301="","",[1]ROSTERS!L301)</f>
        <v/>
      </c>
      <c r="M301"/>
    </row>
    <row r="302" spans="1:13" s="1" customFormat="1" x14ac:dyDescent="0.25">
      <c r="A302" s="3" t="str">
        <f>IF(B302="","",COUNTIF($H$3:H302,H302))</f>
        <v/>
      </c>
      <c r="B302" s="4" t="str">
        <f>IF([1]ROSTERS!B302="","",[1]ROSTERS!B302)</f>
        <v/>
      </c>
      <c r="C302" s="4" t="str">
        <f>IF([1]ROSTERS!C302="","",[1]ROSTERS!C302)</f>
        <v/>
      </c>
      <c r="D302" s="3" t="str">
        <f>IF([1]ROSTERS!D302="","",[1]ROSTERS!D302)</f>
        <v/>
      </c>
      <c r="E302" s="3" t="str">
        <f>IF([1]ROSTERS!E302="","",[1]ROSTERS!E302)</f>
        <v/>
      </c>
      <c r="F302" s="3" t="str">
        <f>IF([1]ROSTERS!F302="","",[1]ROSTERS!F302)</f>
        <v/>
      </c>
      <c r="G302" s="3" t="str">
        <f>IF([1]ROSTERS!G302="","",[1]ROSTERS!G302)</f>
        <v/>
      </c>
      <c r="H302" s="3" t="str">
        <f>IF([1]ROSTERS!H302="","",[1]ROSTERS!H302)</f>
        <v/>
      </c>
      <c r="I302" s="3" t="str">
        <f>IF([1]ROSTERS!I302="","",[1]ROSTERS!I302)</f>
        <v/>
      </c>
      <c r="J302" s="3" t="str">
        <f>IF([1]ROSTERS!J302="","",[1]ROSTERS!J302)</f>
        <v/>
      </c>
      <c r="K302" s="4" t="str">
        <f>IF([1]ROSTERS!K302="","",[1]ROSTERS!K302)</f>
        <v/>
      </c>
      <c r="L302" s="4" t="str">
        <f>IF([1]ROSTERS!L302="","",[1]ROSTERS!L302)</f>
        <v/>
      </c>
      <c r="M302"/>
    </row>
    <row r="303" spans="1:13" s="1" customFormat="1" x14ac:dyDescent="0.25">
      <c r="A303" s="3" t="str">
        <f>IF(B303="","",COUNTIF($H$3:H303,H303))</f>
        <v/>
      </c>
      <c r="B303" s="4" t="str">
        <f>IF([1]ROSTERS!B303="","",[1]ROSTERS!B303)</f>
        <v/>
      </c>
      <c r="C303" s="4" t="str">
        <f>IF([1]ROSTERS!C303="","",[1]ROSTERS!C303)</f>
        <v/>
      </c>
      <c r="D303" s="3" t="str">
        <f>IF([1]ROSTERS!D303="","",[1]ROSTERS!D303)</f>
        <v/>
      </c>
      <c r="E303" s="3" t="str">
        <f>IF([1]ROSTERS!E303="","",[1]ROSTERS!E303)</f>
        <v/>
      </c>
      <c r="F303" s="3" t="str">
        <f>IF([1]ROSTERS!F303="","",[1]ROSTERS!F303)</f>
        <v/>
      </c>
      <c r="G303" s="3" t="str">
        <f>IF([1]ROSTERS!G303="","",[1]ROSTERS!G303)</f>
        <v/>
      </c>
      <c r="H303" s="3" t="str">
        <f>IF([1]ROSTERS!H303="","",[1]ROSTERS!H303)</f>
        <v/>
      </c>
      <c r="I303" s="3" t="str">
        <f>IF([1]ROSTERS!I303="","",[1]ROSTERS!I303)</f>
        <v/>
      </c>
      <c r="J303" s="3" t="str">
        <f>IF([1]ROSTERS!J303="","",[1]ROSTERS!J303)</f>
        <v/>
      </c>
      <c r="K303" s="4" t="str">
        <f>IF([1]ROSTERS!K303="","",[1]ROSTERS!K303)</f>
        <v/>
      </c>
      <c r="L303" s="4" t="str">
        <f>IF([1]ROSTERS!L303="","",[1]ROSTERS!L303)</f>
        <v/>
      </c>
      <c r="M303"/>
    </row>
    <row r="304" spans="1:13" s="1" customFormat="1" x14ac:dyDescent="0.25">
      <c r="A304" s="3" t="str">
        <f>IF(B304="","",COUNTIF($H$3:H304,H304))</f>
        <v/>
      </c>
      <c r="B304" s="4" t="str">
        <f>IF([1]ROSTERS!B304="","",[1]ROSTERS!B304)</f>
        <v/>
      </c>
      <c r="C304" s="4" t="str">
        <f>IF([1]ROSTERS!C304="","",[1]ROSTERS!C304)</f>
        <v/>
      </c>
      <c r="D304" s="3" t="str">
        <f>IF([1]ROSTERS!D304="","",[1]ROSTERS!D304)</f>
        <v/>
      </c>
      <c r="E304" s="3" t="str">
        <f>IF([1]ROSTERS!E304="","",[1]ROSTERS!E304)</f>
        <v/>
      </c>
      <c r="F304" s="3" t="str">
        <f>IF([1]ROSTERS!F304="","",[1]ROSTERS!F304)</f>
        <v/>
      </c>
      <c r="G304" s="3" t="str">
        <f>IF([1]ROSTERS!G304="","",[1]ROSTERS!G304)</f>
        <v/>
      </c>
      <c r="H304" s="3" t="str">
        <f>IF([1]ROSTERS!H304="","",[1]ROSTERS!H304)</f>
        <v/>
      </c>
      <c r="I304" s="3" t="str">
        <f>IF([1]ROSTERS!I304="","",[1]ROSTERS!I304)</f>
        <v/>
      </c>
      <c r="J304" s="3" t="str">
        <f>IF([1]ROSTERS!J304="","",[1]ROSTERS!J304)</f>
        <v/>
      </c>
      <c r="K304" s="4" t="str">
        <f>IF([1]ROSTERS!K304="","",[1]ROSTERS!K304)</f>
        <v/>
      </c>
      <c r="L304" s="4" t="str">
        <f>IF([1]ROSTERS!L304="","",[1]ROSTERS!L304)</f>
        <v/>
      </c>
      <c r="M304"/>
    </row>
    <row r="305" spans="1:13" s="1" customFormat="1" x14ac:dyDescent="0.25">
      <c r="A305" s="3" t="str">
        <f>IF(B305="","",COUNTIF($H$3:H305,H305))</f>
        <v/>
      </c>
      <c r="B305" s="4" t="str">
        <f>IF([1]ROSTERS!B305="","",[1]ROSTERS!B305)</f>
        <v/>
      </c>
      <c r="C305" s="4" t="str">
        <f>IF([1]ROSTERS!C305="","",[1]ROSTERS!C305)</f>
        <v/>
      </c>
      <c r="D305" s="3" t="str">
        <f>IF([1]ROSTERS!D305="","",[1]ROSTERS!D305)</f>
        <v/>
      </c>
      <c r="E305" s="3" t="str">
        <f>IF([1]ROSTERS!E305="","",[1]ROSTERS!E305)</f>
        <v/>
      </c>
      <c r="F305" s="3" t="str">
        <f>IF([1]ROSTERS!F305="","",[1]ROSTERS!F305)</f>
        <v/>
      </c>
      <c r="G305" s="3" t="str">
        <f>IF([1]ROSTERS!G305="","",[1]ROSTERS!G305)</f>
        <v/>
      </c>
      <c r="H305" s="3" t="str">
        <f>IF([1]ROSTERS!H305="","",[1]ROSTERS!H305)</f>
        <v/>
      </c>
      <c r="I305" s="3" t="str">
        <f>IF([1]ROSTERS!I305="","",[1]ROSTERS!I305)</f>
        <v/>
      </c>
      <c r="J305" s="3" t="str">
        <f>IF([1]ROSTERS!J305="","",[1]ROSTERS!J305)</f>
        <v/>
      </c>
      <c r="K305" s="4" t="str">
        <f>IF([1]ROSTERS!K305="","",[1]ROSTERS!K305)</f>
        <v/>
      </c>
      <c r="L305" s="4" t="str">
        <f>IF([1]ROSTERS!L305="","",[1]ROSTERS!L305)</f>
        <v/>
      </c>
      <c r="M305"/>
    </row>
    <row r="306" spans="1:13" s="1" customFormat="1" x14ac:dyDescent="0.25">
      <c r="A306" s="3" t="str">
        <f>IF(B306="","",COUNTIF($H$3:H306,H306))</f>
        <v/>
      </c>
      <c r="B306" s="4" t="str">
        <f>IF([1]ROSTERS!B306="","",[1]ROSTERS!B306)</f>
        <v/>
      </c>
      <c r="C306" s="4" t="str">
        <f>IF([1]ROSTERS!C306="","",[1]ROSTERS!C306)</f>
        <v/>
      </c>
      <c r="D306" s="3" t="str">
        <f>IF([1]ROSTERS!D306="","",[1]ROSTERS!D306)</f>
        <v/>
      </c>
      <c r="E306" s="3" t="str">
        <f>IF([1]ROSTERS!E306="","",[1]ROSTERS!E306)</f>
        <v/>
      </c>
      <c r="F306" s="3" t="str">
        <f>IF([1]ROSTERS!F306="","",[1]ROSTERS!F306)</f>
        <v/>
      </c>
      <c r="G306" s="3" t="str">
        <f>IF([1]ROSTERS!G306="","",[1]ROSTERS!G306)</f>
        <v/>
      </c>
      <c r="H306" s="3" t="str">
        <f>IF([1]ROSTERS!H306="","",[1]ROSTERS!H306)</f>
        <v/>
      </c>
      <c r="I306" s="3" t="str">
        <f>IF([1]ROSTERS!I306="","",[1]ROSTERS!I306)</f>
        <v/>
      </c>
      <c r="J306" s="3" t="str">
        <f>IF([1]ROSTERS!J306="","",[1]ROSTERS!J306)</f>
        <v/>
      </c>
      <c r="K306" s="4" t="str">
        <f>IF([1]ROSTERS!K306="","",[1]ROSTERS!K306)</f>
        <v/>
      </c>
      <c r="L306" s="4" t="str">
        <f>IF([1]ROSTERS!L306="","",[1]ROSTERS!L306)</f>
        <v/>
      </c>
      <c r="M306"/>
    </row>
    <row r="307" spans="1:13" s="1" customFormat="1" x14ac:dyDescent="0.25">
      <c r="A307" s="3" t="str">
        <f>IF(B307="","",COUNTIF($H$3:H307,H307))</f>
        <v/>
      </c>
      <c r="B307" s="4" t="str">
        <f>IF([1]ROSTERS!B307="","",[1]ROSTERS!B307)</f>
        <v/>
      </c>
      <c r="C307" s="4" t="str">
        <f>IF([1]ROSTERS!C307="","",[1]ROSTERS!C307)</f>
        <v/>
      </c>
      <c r="D307" s="3" t="str">
        <f>IF([1]ROSTERS!D307="","",[1]ROSTERS!D307)</f>
        <v/>
      </c>
      <c r="E307" s="3" t="str">
        <f>IF([1]ROSTERS!E307="","",[1]ROSTERS!E307)</f>
        <v/>
      </c>
      <c r="F307" s="3" t="str">
        <f>IF([1]ROSTERS!F307="","",[1]ROSTERS!F307)</f>
        <v/>
      </c>
      <c r="G307" s="3" t="str">
        <f>IF([1]ROSTERS!G307="","",[1]ROSTERS!G307)</f>
        <v/>
      </c>
      <c r="H307" s="3" t="str">
        <f>IF([1]ROSTERS!H307="","",[1]ROSTERS!H307)</f>
        <v/>
      </c>
      <c r="I307" s="3" t="str">
        <f>IF([1]ROSTERS!I307="","",[1]ROSTERS!I307)</f>
        <v/>
      </c>
      <c r="J307" s="3" t="str">
        <f>IF([1]ROSTERS!J307="","",[1]ROSTERS!J307)</f>
        <v/>
      </c>
      <c r="K307" s="4" t="str">
        <f>IF([1]ROSTERS!K307="","",[1]ROSTERS!K307)</f>
        <v/>
      </c>
      <c r="L307" s="4" t="str">
        <f>IF([1]ROSTERS!L307="","",[1]ROSTERS!L307)</f>
        <v/>
      </c>
      <c r="M307"/>
    </row>
    <row r="308" spans="1:13" s="1" customFormat="1" x14ac:dyDescent="0.25">
      <c r="A308" s="3" t="str">
        <f>IF(B308="","",COUNTIF($H$3:H308,H308))</f>
        <v/>
      </c>
      <c r="B308" s="4" t="str">
        <f>IF([1]ROSTERS!B308="","",[1]ROSTERS!B308)</f>
        <v/>
      </c>
      <c r="C308" s="4" t="str">
        <f>IF([1]ROSTERS!C308="","",[1]ROSTERS!C308)</f>
        <v/>
      </c>
      <c r="D308" s="3" t="str">
        <f>IF([1]ROSTERS!D308="","",[1]ROSTERS!D308)</f>
        <v/>
      </c>
      <c r="E308" s="3" t="str">
        <f>IF([1]ROSTERS!E308="","",[1]ROSTERS!E308)</f>
        <v/>
      </c>
      <c r="F308" s="3" t="str">
        <f>IF([1]ROSTERS!F308="","",[1]ROSTERS!F308)</f>
        <v/>
      </c>
      <c r="G308" s="3" t="str">
        <f>IF([1]ROSTERS!G308="","",[1]ROSTERS!G308)</f>
        <v/>
      </c>
      <c r="H308" s="3" t="str">
        <f>IF([1]ROSTERS!H308="","",[1]ROSTERS!H308)</f>
        <v/>
      </c>
      <c r="I308" s="3" t="str">
        <f>IF([1]ROSTERS!I308="","",[1]ROSTERS!I308)</f>
        <v/>
      </c>
      <c r="J308" s="3" t="str">
        <f>IF([1]ROSTERS!J308="","",[1]ROSTERS!J308)</f>
        <v/>
      </c>
      <c r="K308" s="4" t="str">
        <f>IF([1]ROSTERS!K308="","",[1]ROSTERS!K308)</f>
        <v/>
      </c>
      <c r="L308" s="4" t="str">
        <f>IF([1]ROSTERS!L308="","",[1]ROSTERS!L308)</f>
        <v/>
      </c>
      <c r="M308"/>
    </row>
    <row r="309" spans="1:13" s="1" customFormat="1" x14ac:dyDescent="0.25">
      <c r="A309" s="3" t="str">
        <f>IF(B309="","",COUNTIF($H$3:H309,H309))</f>
        <v/>
      </c>
      <c r="B309" s="4" t="str">
        <f>IF([1]ROSTERS!B309="","",[1]ROSTERS!B309)</f>
        <v/>
      </c>
      <c r="C309" s="4" t="str">
        <f>IF([1]ROSTERS!C309="","",[1]ROSTERS!C309)</f>
        <v/>
      </c>
      <c r="D309" s="3" t="str">
        <f>IF([1]ROSTERS!D309="","",[1]ROSTERS!D309)</f>
        <v/>
      </c>
      <c r="E309" s="3" t="str">
        <f>IF([1]ROSTERS!E309="","",[1]ROSTERS!E309)</f>
        <v/>
      </c>
      <c r="F309" s="3" t="str">
        <f>IF([1]ROSTERS!F309="","",[1]ROSTERS!F309)</f>
        <v/>
      </c>
      <c r="G309" s="3" t="str">
        <f>IF([1]ROSTERS!G309="","",[1]ROSTERS!G309)</f>
        <v/>
      </c>
      <c r="H309" s="3" t="str">
        <f>IF([1]ROSTERS!H309="","",[1]ROSTERS!H309)</f>
        <v/>
      </c>
      <c r="I309" s="3" t="str">
        <f>IF([1]ROSTERS!I309="","",[1]ROSTERS!I309)</f>
        <v/>
      </c>
      <c r="J309" s="3" t="str">
        <f>IF([1]ROSTERS!J309="","",[1]ROSTERS!J309)</f>
        <v/>
      </c>
      <c r="K309" s="4" t="str">
        <f>IF([1]ROSTERS!K309="","",[1]ROSTERS!K309)</f>
        <v/>
      </c>
      <c r="L309" s="4" t="str">
        <f>IF([1]ROSTERS!L309="","",[1]ROSTERS!L309)</f>
        <v/>
      </c>
      <c r="M309"/>
    </row>
    <row r="310" spans="1:13" s="1" customFormat="1" x14ac:dyDescent="0.25">
      <c r="A310" s="3" t="str">
        <f>IF(B310="","",COUNTIF($H$3:H310,H310))</f>
        <v/>
      </c>
      <c r="B310" s="4" t="str">
        <f>IF([1]ROSTERS!B310="","",[1]ROSTERS!B310)</f>
        <v/>
      </c>
      <c r="C310" s="4" t="str">
        <f>IF([1]ROSTERS!C310="","",[1]ROSTERS!C310)</f>
        <v/>
      </c>
      <c r="D310" s="3" t="str">
        <f>IF([1]ROSTERS!D310="","",[1]ROSTERS!D310)</f>
        <v/>
      </c>
      <c r="E310" s="3" t="str">
        <f>IF([1]ROSTERS!E310="","",[1]ROSTERS!E310)</f>
        <v/>
      </c>
      <c r="F310" s="3" t="str">
        <f>IF([1]ROSTERS!F310="","",[1]ROSTERS!F310)</f>
        <v/>
      </c>
      <c r="G310" s="3" t="str">
        <f>IF([1]ROSTERS!G310="","",[1]ROSTERS!G310)</f>
        <v/>
      </c>
      <c r="H310" s="3" t="str">
        <f>IF([1]ROSTERS!H310="","",[1]ROSTERS!H310)</f>
        <v/>
      </c>
      <c r="I310" s="3" t="str">
        <f>IF([1]ROSTERS!I310="","",[1]ROSTERS!I310)</f>
        <v/>
      </c>
      <c r="J310" s="3" t="str">
        <f>IF([1]ROSTERS!J310="","",[1]ROSTERS!J310)</f>
        <v/>
      </c>
      <c r="K310" s="4" t="str">
        <f>IF([1]ROSTERS!K310="","",[1]ROSTERS!K310)</f>
        <v/>
      </c>
      <c r="L310" s="4" t="str">
        <f>IF([1]ROSTERS!L310="","",[1]ROSTERS!L310)</f>
        <v/>
      </c>
      <c r="M310"/>
    </row>
    <row r="311" spans="1:13" s="1" customFormat="1" x14ac:dyDescent="0.25">
      <c r="A311" s="3" t="str">
        <f>IF(B311="","",COUNTIF($H$3:H311,H311))</f>
        <v/>
      </c>
      <c r="B311" s="4" t="str">
        <f>IF([1]ROSTERS!B311="","",[1]ROSTERS!B311)</f>
        <v/>
      </c>
      <c r="C311" s="4" t="str">
        <f>IF([1]ROSTERS!C311="","",[1]ROSTERS!C311)</f>
        <v/>
      </c>
      <c r="D311" s="3" t="str">
        <f>IF([1]ROSTERS!D311="","",[1]ROSTERS!D311)</f>
        <v/>
      </c>
      <c r="E311" s="3" t="str">
        <f>IF([1]ROSTERS!E311="","",[1]ROSTERS!E311)</f>
        <v/>
      </c>
      <c r="F311" s="3" t="str">
        <f>IF([1]ROSTERS!F311="","",[1]ROSTERS!F311)</f>
        <v/>
      </c>
      <c r="G311" s="3" t="str">
        <f>IF([1]ROSTERS!G311="","",[1]ROSTERS!G311)</f>
        <v/>
      </c>
      <c r="H311" s="3" t="str">
        <f>IF([1]ROSTERS!H311="","",[1]ROSTERS!H311)</f>
        <v/>
      </c>
      <c r="I311" s="3" t="str">
        <f>IF([1]ROSTERS!I311="","",[1]ROSTERS!I311)</f>
        <v/>
      </c>
      <c r="J311" s="3" t="str">
        <f>IF([1]ROSTERS!J311="","",[1]ROSTERS!J311)</f>
        <v/>
      </c>
      <c r="K311" s="4" t="str">
        <f>IF([1]ROSTERS!K311="","",[1]ROSTERS!K311)</f>
        <v/>
      </c>
      <c r="L311" s="4" t="str">
        <f>IF([1]ROSTERS!L311="","",[1]ROSTERS!L311)</f>
        <v/>
      </c>
      <c r="M311"/>
    </row>
    <row r="312" spans="1:13" s="1" customFormat="1" x14ac:dyDescent="0.25">
      <c r="A312" s="3" t="str">
        <f>IF(B312="","",COUNTIF($H$3:H312,H312))</f>
        <v/>
      </c>
      <c r="B312" s="4" t="str">
        <f>IF([1]ROSTERS!B312="","",[1]ROSTERS!B312)</f>
        <v/>
      </c>
      <c r="C312" s="4" t="str">
        <f>IF([1]ROSTERS!C312="","",[1]ROSTERS!C312)</f>
        <v/>
      </c>
      <c r="D312" s="3" t="str">
        <f>IF([1]ROSTERS!D312="","",[1]ROSTERS!D312)</f>
        <v/>
      </c>
      <c r="E312" s="3" t="str">
        <f>IF([1]ROSTERS!E312="","",[1]ROSTERS!E312)</f>
        <v/>
      </c>
      <c r="F312" s="3" t="str">
        <f>IF([1]ROSTERS!F312="","",[1]ROSTERS!F312)</f>
        <v/>
      </c>
      <c r="G312" s="3" t="str">
        <f>IF([1]ROSTERS!G312="","",[1]ROSTERS!G312)</f>
        <v/>
      </c>
      <c r="H312" s="3" t="str">
        <f>IF([1]ROSTERS!H312="","",[1]ROSTERS!H312)</f>
        <v/>
      </c>
      <c r="I312" s="3" t="str">
        <f>IF([1]ROSTERS!I312="","",[1]ROSTERS!I312)</f>
        <v/>
      </c>
      <c r="J312" s="3" t="str">
        <f>IF([1]ROSTERS!J312="","",[1]ROSTERS!J312)</f>
        <v/>
      </c>
      <c r="K312" s="4" t="str">
        <f>IF([1]ROSTERS!K312="","",[1]ROSTERS!K312)</f>
        <v/>
      </c>
      <c r="L312" s="4" t="str">
        <f>IF([1]ROSTERS!L312="","",[1]ROSTERS!L312)</f>
        <v/>
      </c>
      <c r="M312"/>
    </row>
    <row r="313" spans="1:13" s="1" customFormat="1" x14ac:dyDescent="0.25">
      <c r="A313" s="3" t="str">
        <f>IF(B313="","",COUNTIF($H$3:H313,H313))</f>
        <v/>
      </c>
      <c r="B313" s="4" t="str">
        <f>IF([1]ROSTERS!B313="","",[1]ROSTERS!B313)</f>
        <v/>
      </c>
      <c r="C313" s="4" t="str">
        <f>IF([1]ROSTERS!C313="","",[1]ROSTERS!C313)</f>
        <v/>
      </c>
      <c r="D313" s="3" t="str">
        <f>IF([1]ROSTERS!D313="","",[1]ROSTERS!D313)</f>
        <v/>
      </c>
      <c r="E313" s="3" t="str">
        <f>IF([1]ROSTERS!E313="","",[1]ROSTERS!E313)</f>
        <v/>
      </c>
      <c r="F313" s="3" t="str">
        <f>IF([1]ROSTERS!F313="","",[1]ROSTERS!F313)</f>
        <v/>
      </c>
      <c r="G313" s="3" t="str">
        <f>IF([1]ROSTERS!G313="","",[1]ROSTERS!G313)</f>
        <v/>
      </c>
      <c r="H313" s="3" t="str">
        <f>IF([1]ROSTERS!H313="","",[1]ROSTERS!H313)</f>
        <v/>
      </c>
      <c r="I313" s="3" t="str">
        <f>IF([1]ROSTERS!I313="","",[1]ROSTERS!I313)</f>
        <v/>
      </c>
      <c r="J313" s="3" t="str">
        <f>IF([1]ROSTERS!J313="","",[1]ROSTERS!J313)</f>
        <v/>
      </c>
      <c r="K313" s="4" t="str">
        <f>IF([1]ROSTERS!K313="","",[1]ROSTERS!K313)</f>
        <v/>
      </c>
      <c r="L313" s="4" t="str">
        <f>IF([1]ROSTERS!L313="","",[1]ROSTERS!L313)</f>
        <v/>
      </c>
      <c r="M313"/>
    </row>
    <row r="314" spans="1:13" s="1" customFormat="1" x14ac:dyDescent="0.25">
      <c r="A314" s="3" t="str">
        <f>IF(B314="","",COUNTIF($H$3:H314,H314))</f>
        <v/>
      </c>
      <c r="B314" s="4" t="str">
        <f>IF([1]ROSTERS!B314="","",[1]ROSTERS!B314)</f>
        <v/>
      </c>
      <c r="C314" s="4" t="str">
        <f>IF([1]ROSTERS!C314="","",[1]ROSTERS!C314)</f>
        <v/>
      </c>
      <c r="D314" s="3" t="str">
        <f>IF([1]ROSTERS!D314="","",[1]ROSTERS!D314)</f>
        <v/>
      </c>
      <c r="E314" s="3" t="str">
        <f>IF([1]ROSTERS!E314="","",[1]ROSTERS!E314)</f>
        <v/>
      </c>
      <c r="F314" s="3" t="str">
        <f>IF([1]ROSTERS!F314="","",[1]ROSTERS!F314)</f>
        <v/>
      </c>
      <c r="G314" s="3" t="str">
        <f>IF([1]ROSTERS!G314="","",[1]ROSTERS!G314)</f>
        <v/>
      </c>
      <c r="H314" s="3" t="str">
        <f>IF([1]ROSTERS!H314="","",[1]ROSTERS!H314)</f>
        <v/>
      </c>
      <c r="I314" s="3" t="str">
        <f>IF([1]ROSTERS!I314="","",[1]ROSTERS!I314)</f>
        <v/>
      </c>
      <c r="J314" s="3" t="str">
        <f>IF([1]ROSTERS!J314="","",[1]ROSTERS!J314)</f>
        <v/>
      </c>
      <c r="K314" s="4" t="str">
        <f>IF([1]ROSTERS!K314="","",[1]ROSTERS!K314)</f>
        <v/>
      </c>
      <c r="L314" s="4" t="str">
        <f>IF([1]ROSTERS!L314="","",[1]ROSTERS!L314)</f>
        <v/>
      </c>
      <c r="M314"/>
    </row>
    <row r="315" spans="1:13" s="1" customFormat="1" x14ac:dyDescent="0.25">
      <c r="A315" s="3" t="str">
        <f>IF(B315="","",COUNTIF($H$3:H315,H315))</f>
        <v/>
      </c>
      <c r="B315" s="4" t="str">
        <f>IF([1]ROSTERS!B315="","",[1]ROSTERS!B315)</f>
        <v/>
      </c>
      <c r="C315" s="4" t="str">
        <f>IF([1]ROSTERS!C315="","",[1]ROSTERS!C315)</f>
        <v/>
      </c>
      <c r="D315" s="3" t="str">
        <f>IF([1]ROSTERS!D315="","",[1]ROSTERS!D315)</f>
        <v/>
      </c>
      <c r="E315" s="3" t="str">
        <f>IF([1]ROSTERS!E315="","",[1]ROSTERS!E315)</f>
        <v/>
      </c>
      <c r="F315" s="3" t="str">
        <f>IF([1]ROSTERS!F315="","",[1]ROSTERS!F315)</f>
        <v/>
      </c>
      <c r="G315" s="3" t="str">
        <f>IF([1]ROSTERS!G315="","",[1]ROSTERS!G315)</f>
        <v/>
      </c>
      <c r="H315" s="3" t="str">
        <f>IF([1]ROSTERS!H315="","",[1]ROSTERS!H315)</f>
        <v/>
      </c>
      <c r="I315" s="3" t="str">
        <f>IF([1]ROSTERS!I315="","",[1]ROSTERS!I315)</f>
        <v/>
      </c>
      <c r="J315" s="3" t="str">
        <f>IF([1]ROSTERS!J315="","",[1]ROSTERS!J315)</f>
        <v/>
      </c>
      <c r="K315" s="4" t="str">
        <f>IF([1]ROSTERS!K315="","",[1]ROSTERS!K315)</f>
        <v/>
      </c>
      <c r="L315" s="4" t="str">
        <f>IF([1]ROSTERS!L315="","",[1]ROSTERS!L315)</f>
        <v/>
      </c>
      <c r="M315"/>
    </row>
    <row r="316" spans="1:13" s="1" customFormat="1" x14ac:dyDescent="0.25">
      <c r="A316" s="3" t="str">
        <f>IF(B316="","",COUNTIF($H$3:H316,H316))</f>
        <v/>
      </c>
      <c r="B316" s="4" t="str">
        <f>IF([1]ROSTERS!B316="","",[1]ROSTERS!B316)</f>
        <v/>
      </c>
      <c r="C316" s="4" t="str">
        <f>IF([1]ROSTERS!C316="","",[1]ROSTERS!C316)</f>
        <v/>
      </c>
      <c r="D316" s="3" t="str">
        <f>IF([1]ROSTERS!D316="","",[1]ROSTERS!D316)</f>
        <v/>
      </c>
      <c r="E316" s="3" t="str">
        <f>IF([1]ROSTERS!E316="","",[1]ROSTERS!E316)</f>
        <v/>
      </c>
      <c r="F316" s="3" t="str">
        <f>IF([1]ROSTERS!F316="","",[1]ROSTERS!F316)</f>
        <v/>
      </c>
      <c r="G316" s="3" t="str">
        <f>IF([1]ROSTERS!G316="","",[1]ROSTERS!G316)</f>
        <v/>
      </c>
      <c r="H316" s="3" t="str">
        <f>IF([1]ROSTERS!H316="","",[1]ROSTERS!H316)</f>
        <v/>
      </c>
      <c r="I316" s="3" t="str">
        <f>IF([1]ROSTERS!I316="","",[1]ROSTERS!I316)</f>
        <v/>
      </c>
      <c r="J316" s="3" t="str">
        <f>IF([1]ROSTERS!J316="","",[1]ROSTERS!J316)</f>
        <v/>
      </c>
      <c r="K316" s="4" t="str">
        <f>IF([1]ROSTERS!K316="","",[1]ROSTERS!K316)</f>
        <v/>
      </c>
      <c r="L316" s="4" t="str">
        <f>IF([1]ROSTERS!L316="","",[1]ROSTERS!L316)</f>
        <v/>
      </c>
      <c r="M316"/>
    </row>
    <row r="317" spans="1:13" s="1" customFormat="1" x14ac:dyDescent="0.25">
      <c r="A317" s="3" t="str">
        <f>IF(B317="","",COUNTIF($H$3:H317,H317))</f>
        <v/>
      </c>
      <c r="B317" s="4" t="str">
        <f>IF([1]ROSTERS!B317="","",[1]ROSTERS!B317)</f>
        <v/>
      </c>
      <c r="C317" s="4" t="str">
        <f>IF([1]ROSTERS!C317="","",[1]ROSTERS!C317)</f>
        <v/>
      </c>
      <c r="D317" s="3" t="str">
        <f>IF([1]ROSTERS!D317="","",[1]ROSTERS!D317)</f>
        <v/>
      </c>
      <c r="E317" s="3" t="str">
        <f>IF([1]ROSTERS!E317="","",[1]ROSTERS!E317)</f>
        <v/>
      </c>
      <c r="F317" s="3" t="str">
        <f>IF([1]ROSTERS!F317="","",[1]ROSTERS!F317)</f>
        <v/>
      </c>
      <c r="G317" s="3" t="str">
        <f>IF([1]ROSTERS!G317="","",[1]ROSTERS!G317)</f>
        <v/>
      </c>
      <c r="H317" s="3" t="str">
        <f>IF([1]ROSTERS!H317="","",[1]ROSTERS!H317)</f>
        <v/>
      </c>
      <c r="I317" s="3" t="str">
        <f>IF([1]ROSTERS!I317="","",[1]ROSTERS!I317)</f>
        <v/>
      </c>
      <c r="J317" s="3" t="str">
        <f>IF([1]ROSTERS!J317="","",[1]ROSTERS!J317)</f>
        <v/>
      </c>
      <c r="K317" s="4" t="str">
        <f>IF([1]ROSTERS!K317="","",[1]ROSTERS!K317)</f>
        <v/>
      </c>
      <c r="L317" s="4" t="str">
        <f>IF([1]ROSTERS!L317="","",[1]ROSTERS!L317)</f>
        <v/>
      </c>
      <c r="M317"/>
    </row>
    <row r="318" spans="1:13" s="1" customFormat="1" x14ac:dyDescent="0.25">
      <c r="A318" s="3" t="str">
        <f>IF(B318="","",COUNTIF($H$3:H318,H318))</f>
        <v/>
      </c>
      <c r="B318" s="4" t="str">
        <f>IF([1]ROSTERS!B318="","",[1]ROSTERS!B318)</f>
        <v/>
      </c>
      <c r="C318" s="4" t="str">
        <f>IF([1]ROSTERS!C318="","",[1]ROSTERS!C318)</f>
        <v/>
      </c>
      <c r="D318" s="3" t="str">
        <f>IF([1]ROSTERS!D318="","",[1]ROSTERS!D318)</f>
        <v/>
      </c>
      <c r="E318" s="3" t="str">
        <f>IF([1]ROSTERS!E318="","",[1]ROSTERS!E318)</f>
        <v/>
      </c>
      <c r="F318" s="3" t="str">
        <f>IF([1]ROSTERS!F318="","",[1]ROSTERS!F318)</f>
        <v/>
      </c>
      <c r="G318" s="3" t="str">
        <f>IF([1]ROSTERS!G318="","",[1]ROSTERS!G318)</f>
        <v/>
      </c>
      <c r="H318" s="3" t="str">
        <f>IF([1]ROSTERS!H318="","",[1]ROSTERS!H318)</f>
        <v/>
      </c>
      <c r="I318" s="3" t="str">
        <f>IF([1]ROSTERS!I318="","",[1]ROSTERS!I318)</f>
        <v/>
      </c>
      <c r="J318" s="3" t="str">
        <f>IF([1]ROSTERS!J318="","",[1]ROSTERS!J318)</f>
        <v/>
      </c>
      <c r="K318" s="4" t="str">
        <f>IF([1]ROSTERS!K318="","",[1]ROSTERS!K318)</f>
        <v/>
      </c>
      <c r="L318" s="4" t="str">
        <f>IF([1]ROSTERS!L318="","",[1]ROSTERS!L318)</f>
        <v/>
      </c>
      <c r="M318"/>
    </row>
    <row r="319" spans="1:13" s="1" customFormat="1" x14ac:dyDescent="0.25">
      <c r="A319" s="3" t="str">
        <f>IF(B319="","",COUNTIF($H$3:H319,H319))</f>
        <v/>
      </c>
      <c r="B319" s="4" t="str">
        <f>IF([1]ROSTERS!B319="","",[1]ROSTERS!B319)</f>
        <v/>
      </c>
      <c r="C319" s="4" t="str">
        <f>IF([1]ROSTERS!C319="","",[1]ROSTERS!C319)</f>
        <v/>
      </c>
      <c r="D319" s="3" t="str">
        <f>IF([1]ROSTERS!D319="","",[1]ROSTERS!D319)</f>
        <v/>
      </c>
      <c r="E319" s="3" t="str">
        <f>IF([1]ROSTERS!E319="","",[1]ROSTERS!E319)</f>
        <v/>
      </c>
      <c r="F319" s="3" t="str">
        <f>IF([1]ROSTERS!F319="","",[1]ROSTERS!F319)</f>
        <v/>
      </c>
      <c r="G319" s="3" t="str">
        <f>IF([1]ROSTERS!G319="","",[1]ROSTERS!G319)</f>
        <v/>
      </c>
      <c r="H319" s="3" t="str">
        <f>IF([1]ROSTERS!H319="","",[1]ROSTERS!H319)</f>
        <v/>
      </c>
      <c r="I319" s="3" t="str">
        <f>IF([1]ROSTERS!I319="","",[1]ROSTERS!I319)</f>
        <v/>
      </c>
      <c r="J319" s="3" t="str">
        <f>IF([1]ROSTERS!J319="","",[1]ROSTERS!J319)</f>
        <v/>
      </c>
      <c r="K319" s="4" t="str">
        <f>IF([1]ROSTERS!K319="","",[1]ROSTERS!K319)</f>
        <v/>
      </c>
      <c r="L319" s="4" t="str">
        <f>IF([1]ROSTERS!L319="","",[1]ROSTERS!L319)</f>
        <v/>
      </c>
      <c r="M319"/>
    </row>
    <row r="320" spans="1:13" s="1" customFormat="1" x14ac:dyDescent="0.25">
      <c r="A320" s="3" t="str">
        <f>IF(B320="","",COUNTIF($H$3:H320,H320))</f>
        <v/>
      </c>
      <c r="B320" s="4" t="str">
        <f>IF([1]ROSTERS!B320="","",[1]ROSTERS!B320)</f>
        <v/>
      </c>
      <c r="C320" s="4" t="str">
        <f>IF([1]ROSTERS!C320="","",[1]ROSTERS!C320)</f>
        <v/>
      </c>
      <c r="D320" s="3" t="str">
        <f>IF([1]ROSTERS!D320="","",[1]ROSTERS!D320)</f>
        <v/>
      </c>
      <c r="E320" s="3" t="str">
        <f>IF([1]ROSTERS!E320="","",[1]ROSTERS!E320)</f>
        <v/>
      </c>
      <c r="F320" s="3" t="str">
        <f>IF([1]ROSTERS!F320="","",[1]ROSTERS!F320)</f>
        <v/>
      </c>
      <c r="G320" s="3" t="str">
        <f>IF([1]ROSTERS!G320="","",[1]ROSTERS!G320)</f>
        <v/>
      </c>
      <c r="H320" s="3" t="str">
        <f>IF([1]ROSTERS!H320="","",[1]ROSTERS!H320)</f>
        <v/>
      </c>
      <c r="I320" s="3" t="str">
        <f>IF([1]ROSTERS!I320="","",[1]ROSTERS!I320)</f>
        <v/>
      </c>
      <c r="J320" s="3" t="str">
        <f>IF([1]ROSTERS!J320="","",[1]ROSTERS!J320)</f>
        <v/>
      </c>
      <c r="K320" s="4" t="str">
        <f>IF([1]ROSTERS!K320="","",[1]ROSTERS!K320)</f>
        <v/>
      </c>
      <c r="L320" s="4" t="str">
        <f>IF([1]ROSTERS!L320="","",[1]ROSTERS!L320)</f>
        <v/>
      </c>
      <c r="M320"/>
    </row>
    <row r="321" spans="1:13" s="1" customFormat="1" x14ac:dyDescent="0.25">
      <c r="A321" s="3" t="str">
        <f>IF(B321="","",COUNTIF($H$3:H321,H321))</f>
        <v/>
      </c>
      <c r="B321" s="4" t="str">
        <f>IF([1]ROSTERS!B321="","",[1]ROSTERS!B321)</f>
        <v/>
      </c>
      <c r="C321" s="4" t="str">
        <f>IF([1]ROSTERS!C321="","",[1]ROSTERS!C321)</f>
        <v/>
      </c>
      <c r="D321" s="3" t="str">
        <f>IF([1]ROSTERS!D321="","",[1]ROSTERS!D321)</f>
        <v/>
      </c>
      <c r="E321" s="3" t="str">
        <f>IF([1]ROSTERS!E321="","",[1]ROSTERS!E321)</f>
        <v/>
      </c>
      <c r="F321" s="3" t="str">
        <f>IF([1]ROSTERS!F321="","",[1]ROSTERS!F321)</f>
        <v/>
      </c>
      <c r="G321" s="3" t="str">
        <f>IF([1]ROSTERS!G321="","",[1]ROSTERS!G321)</f>
        <v/>
      </c>
      <c r="H321" s="3" t="str">
        <f>IF([1]ROSTERS!H321="","",[1]ROSTERS!H321)</f>
        <v/>
      </c>
      <c r="I321" s="3" t="str">
        <f>IF([1]ROSTERS!I321="","",[1]ROSTERS!I321)</f>
        <v/>
      </c>
      <c r="J321" s="3" t="str">
        <f>IF([1]ROSTERS!J321="","",[1]ROSTERS!J321)</f>
        <v/>
      </c>
      <c r="K321" s="4" t="str">
        <f>IF([1]ROSTERS!K321="","",[1]ROSTERS!K321)</f>
        <v/>
      </c>
      <c r="L321" s="4" t="str">
        <f>IF([1]ROSTERS!L321="","",[1]ROSTERS!L321)</f>
        <v/>
      </c>
      <c r="M321"/>
    </row>
    <row r="322" spans="1:13" x14ac:dyDescent="0.25">
      <c r="A322" s="3" t="str">
        <f>IF(B322="","",COUNTIF($H$3:H322,H322))</f>
        <v/>
      </c>
      <c r="B322" t="str">
        <f>IF([1]ROSTERS!B322="","",[1]ROSTERS!B322)</f>
        <v/>
      </c>
      <c r="C322" t="str">
        <f>IF([1]ROSTERS!C322="","",[1]ROSTERS!C322)</f>
        <v/>
      </c>
      <c r="D322" s="8" t="str">
        <f>IF([1]ROSTERS!D322="","",[1]ROSTERS!D322)</f>
        <v/>
      </c>
      <c r="E322" t="str">
        <f>IF([1]ROSTERS!E322="","",[1]ROSTERS!E322)</f>
        <v/>
      </c>
      <c r="F322" t="str">
        <f>IF([1]ROSTERS!F322="","",[1]ROSTERS!F322)</f>
        <v/>
      </c>
      <c r="G322" t="str">
        <f>IF([1]ROSTERS!G322="","",[1]ROSTERS!G322)</f>
        <v/>
      </c>
      <c r="H322" t="str">
        <f>IF([1]ROSTERS!H322="","",[1]ROSTERS!H322)</f>
        <v/>
      </c>
      <c r="I322" s="8" t="str">
        <f>IF([1]ROSTERS!I322="","",[1]ROSTERS!I322)</f>
        <v/>
      </c>
      <c r="J322" t="str">
        <f>IF([1]ROSTERS!J322="","",[1]ROSTERS!J322)</f>
        <v/>
      </c>
      <c r="K322" t="str">
        <f>IF([1]ROSTERS!K322="","",[1]ROSTERS!K322)</f>
        <v/>
      </c>
      <c r="L322" t="str">
        <f>IF([1]ROSTERS!L322="","",[1]ROSTERS!L322)</f>
        <v/>
      </c>
    </row>
    <row r="323" spans="1:13" x14ac:dyDescent="0.25">
      <c r="A323" s="3" t="str">
        <f>IF(B323="","",COUNTIF($H$3:H323,H323))</f>
        <v/>
      </c>
      <c r="B323" t="str">
        <f>IF([1]ROSTERS!B323="","",[1]ROSTERS!B323)</f>
        <v/>
      </c>
      <c r="C323" t="str">
        <f>IF([1]ROSTERS!C323="","",[1]ROSTERS!C323)</f>
        <v/>
      </c>
      <c r="D323" s="8" t="str">
        <f>IF([1]ROSTERS!D323="","",[1]ROSTERS!D323)</f>
        <v/>
      </c>
      <c r="E323" t="str">
        <f>IF([1]ROSTERS!E323="","",[1]ROSTERS!E323)</f>
        <v/>
      </c>
      <c r="F323" t="str">
        <f>IF([1]ROSTERS!F323="","",[1]ROSTERS!F323)</f>
        <v/>
      </c>
      <c r="G323" t="str">
        <f>IF([1]ROSTERS!G323="","",[1]ROSTERS!G323)</f>
        <v/>
      </c>
      <c r="H323" t="str">
        <f>IF([1]ROSTERS!H323="","",[1]ROSTERS!H323)</f>
        <v/>
      </c>
      <c r="I323" s="8" t="str">
        <f>IF([1]ROSTERS!I323="","",[1]ROSTERS!I323)</f>
        <v/>
      </c>
      <c r="J323" t="str">
        <f>IF([1]ROSTERS!J323="","",[1]ROSTERS!J323)</f>
        <v/>
      </c>
      <c r="K323" t="str">
        <f>IF([1]ROSTERS!K323="","",[1]ROSTERS!K323)</f>
        <v/>
      </c>
      <c r="L323" t="str">
        <f>IF([1]ROSTERS!L323="","",[1]ROSTERS!L323)</f>
        <v/>
      </c>
    </row>
    <row r="324" spans="1:13" x14ac:dyDescent="0.25">
      <c r="A324" s="3" t="str">
        <f>IF(B324="","",COUNTIF($H$3:H324,H324))</f>
        <v/>
      </c>
      <c r="B324" t="str">
        <f>IF([1]ROSTERS!B324="","",[1]ROSTERS!B324)</f>
        <v/>
      </c>
      <c r="C324" t="str">
        <f>IF([1]ROSTERS!C324="","",[1]ROSTERS!C324)</f>
        <v/>
      </c>
      <c r="D324" s="8" t="str">
        <f>IF([1]ROSTERS!D324="","",[1]ROSTERS!D324)</f>
        <v/>
      </c>
      <c r="E324" t="str">
        <f>IF([1]ROSTERS!E324="","",[1]ROSTERS!E324)</f>
        <v/>
      </c>
      <c r="F324" t="str">
        <f>IF([1]ROSTERS!F324="","",[1]ROSTERS!F324)</f>
        <v/>
      </c>
      <c r="G324" t="str">
        <f>IF([1]ROSTERS!G324="","",[1]ROSTERS!G324)</f>
        <v/>
      </c>
      <c r="H324" t="str">
        <f>IF([1]ROSTERS!H324="","",[1]ROSTERS!H324)</f>
        <v/>
      </c>
      <c r="I324" s="8" t="str">
        <f>IF([1]ROSTERS!I324="","",[1]ROSTERS!I324)</f>
        <v/>
      </c>
      <c r="J324" t="str">
        <f>IF([1]ROSTERS!J324="","",[1]ROSTERS!J324)</f>
        <v/>
      </c>
      <c r="K324" t="str">
        <f>IF([1]ROSTERS!K324="","",[1]ROSTERS!K324)</f>
        <v/>
      </c>
      <c r="L324" t="str">
        <f>IF([1]ROSTERS!L324="","",[1]ROSTERS!L324)</f>
        <v/>
      </c>
    </row>
    <row r="325" spans="1:13" x14ac:dyDescent="0.25">
      <c r="A325" s="3" t="str">
        <f>IF(B325="","",COUNTIF($H$3:H325,H325))</f>
        <v/>
      </c>
      <c r="B325" t="str">
        <f>IF([1]ROSTERS!B325="","",[1]ROSTERS!B325)</f>
        <v/>
      </c>
      <c r="C325" t="str">
        <f>IF([1]ROSTERS!C325="","",[1]ROSTERS!C325)</f>
        <v/>
      </c>
      <c r="D325" s="8" t="str">
        <f>IF([1]ROSTERS!D325="","",[1]ROSTERS!D325)</f>
        <v/>
      </c>
      <c r="E325" t="str">
        <f>IF([1]ROSTERS!E325="","",[1]ROSTERS!E325)</f>
        <v/>
      </c>
      <c r="F325" t="str">
        <f>IF([1]ROSTERS!F325="","",[1]ROSTERS!F325)</f>
        <v/>
      </c>
      <c r="G325" t="str">
        <f>IF([1]ROSTERS!G325="","",[1]ROSTERS!G325)</f>
        <v/>
      </c>
      <c r="H325" t="str">
        <f>IF([1]ROSTERS!H325="","",[1]ROSTERS!H325)</f>
        <v/>
      </c>
      <c r="I325" s="8" t="str">
        <f>IF([1]ROSTERS!I325="","",[1]ROSTERS!I325)</f>
        <v/>
      </c>
      <c r="J325" t="str">
        <f>IF([1]ROSTERS!J325="","",[1]ROSTERS!J325)</f>
        <v/>
      </c>
      <c r="K325" t="str">
        <f>IF([1]ROSTERS!K325="","",[1]ROSTERS!K325)</f>
        <v/>
      </c>
      <c r="L325" t="str">
        <f>IF([1]ROSTERS!L325="","",[1]ROSTERS!L325)</f>
        <v/>
      </c>
    </row>
    <row r="326" spans="1:13" x14ac:dyDescent="0.25">
      <c r="A326" s="3" t="str">
        <f>IF(B326="","",COUNTIF($H$3:H326,H326))</f>
        <v/>
      </c>
      <c r="B326" t="str">
        <f>IF([1]ROSTERS!B326="","",[1]ROSTERS!B326)</f>
        <v/>
      </c>
      <c r="C326" t="str">
        <f>IF([1]ROSTERS!C326="","",[1]ROSTERS!C326)</f>
        <v/>
      </c>
      <c r="D326" s="8" t="str">
        <f>IF([1]ROSTERS!D326="","",[1]ROSTERS!D326)</f>
        <v/>
      </c>
      <c r="E326" t="str">
        <f>IF([1]ROSTERS!E326="","",[1]ROSTERS!E326)</f>
        <v/>
      </c>
      <c r="F326" t="str">
        <f>IF([1]ROSTERS!F326="","",[1]ROSTERS!F326)</f>
        <v/>
      </c>
      <c r="G326" t="str">
        <f>IF([1]ROSTERS!G326="","",[1]ROSTERS!G326)</f>
        <v/>
      </c>
      <c r="H326" t="str">
        <f>IF([1]ROSTERS!H326="","",[1]ROSTERS!H326)</f>
        <v/>
      </c>
      <c r="I326" s="8" t="str">
        <f>IF([1]ROSTERS!I326="","",[1]ROSTERS!I326)</f>
        <v/>
      </c>
      <c r="J326" t="str">
        <f>IF([1]ROSTERS!J326="","",[1]ROSTERS!J326)</f>
        <v/>
      </c>
      <c r="K326" t="str">
        <f>IF([1]ROSTERS!K326="","",[1]ROSTERS!K326)</f>
        <v/>
      </c>
      <c r="L326" t="str">
        <f>IF([1]ROSTERS!L326="","",[1]ROSTERS!L326)</f>
        <v/>
      </c>
    </row>
    <row r="327" spans="1:13" x14ac:dyDescent="0.25">
      <c r="A327" s="3" t="str">
        <f>IF(B327="","",COUNTIF($H$3:H327,H327))</f>
        <v/>
      </c>
      <c r="B327" t="str">
        <f>IF([1]ROSTERS!B327="","",[1]ROSTERS!B327)</f>
        <v/>
      </c>
      <c r="C327" t="str">
        <f>IF([1]ROSTERS!C327="","",[1]ROSTERS!C327)</f>
        <v/>
      </c>
      <c r="D327" s="8" t="str">
        <f>IF([1]ROSTERS!D327="","",[1]ROSTERS!D327)</f>
        <v/>
      </c>
      <c r="E327" t="str">
        <f>IF([1]ROSTERS!E327="","",[1]ROSTERS!E327)</f>
        <v/>
      </c>
      <c r="F327" t="str">
        <f>IF([1]ROSTERS!F327="","",[1]ROSTERS!F327)</f>
        <v/>
      </c>
      <c r="G327" t="str">
        <f>IF([1]ROSTERS!G327="","",[1]ROSTERS!G327)</f>
        <v/>
      </c>
      <c r="H327" t="str">
        <f>IF([1]ROSTERS!H327="","",[1]ROSTERS!H327)</f>
        <v/>
      </c>
      <c r="I327" s="8" t="str">
        <f>IF([1]ROSTERS!I327="","",[1]ROSTERS!I327)</f>
        <v/>
      </c>
      <c r="J327" t="str">
        <f>IF([1]ROSTERS!J327="","",[1]ROSTERS!J327)</f>
        <v/>
      </c>
      <c r="K327" t="str">
        <f>IF([1]ROSTERS!K327="","",[1]ROSTERS!K327)</f>
        <v/>
      </c>
      <c r="L327" t="str">
        <f>IF([1]ROSTERS!L327="","",[1]ROSTERS!L327)</f>
        <v/>
      </c>
    </row>
    <row r="328" spans="1:13" x14ac:dyDescent="0.25">
      <c r="A328" s="3" t="str">
        <f>IF(B328="","",COUNTIF($H$3:H328,H328))</f>
        <v/>
      </c>
      <c r="B328" t="str">
        <f>IF([1]ROSTERS!B328="","",[1]ROSTERS!B328)</f>
        <v/>
      </c>
      <c r="C328" t="str">
        <f>IF([1]ROSTERS!C328="","",[1]ROSTERS!C328)</f>
        <v/>
      </c>
      <c r="D328" s="8" t="str">
        <f>IF([1]ROSTERS!D328="","",[1]ROSTERS!D328)</f>
        <v/>
      </c>
      <c r="E328" t="str">
        <f>IF([1]ROSTERS!E328="","",[1]ROSTERS!E328)</f>
        <v/>
      </c>
      <c r="F328" t="str">
        <f>IF([1]ROSTERS!F328="","",[1]ROSTERS!F328)</f>
        <v/>
      </c>
      <c r="G328" t="str">
        <f>IF([1]ROSTERS!G328="","",[1]ROSTERS!G328)</f>
        <v/>
      </c>
      <c r="H328" t="str">
        <f>IF([1]ROSTERS!H328="","",[1]ROSTERS!H328)</f>
        <v/>
      </c>
      <c r="I328" s="8" t="str">
        <f>IF([1]ROSTERS!I328="","",[1]ROSTERS!I328)</f>
        <v/>
      </c>
      <c r="J328" t="str">
        <f>IF([1]ROSTERS!J328="","",[1]ROSTERS!J328)</f>
        <v/>
      </c>
      <c r="K328" t="str">
        <f>IF([1]ROSTERS!K328="","",[1]ROSTERS!K328)</f>
        <v/>
      </c>
      <c r="L328" t="str">
        <f>IF([1]ROSTERS!L328="","",[1]ROSTERS!L328)</f>
        <v/>
      </c>
    </row>
    <row r="329" spans="1:13" x14ac:dyDescent="0.25">
      <c r="A329" s="3" t="str">
        <f>IF(B329="","",COUNTIF($H$3:H329,H329))</f>
        <v/>
      </c>
      <c r="B329" t="str">
        <f>IF([1]ROSTERS!B329="","",[1]ROSTERS!B329)</f>
        <v/>
      </c>
      <c r="C329" t="str">
        <f>IF([1]ROSTERS!C329="","",[1]ROSTERS!C329)</f>
        <v/>
      </c>
      <c r="D329" s="8" t="str">
        <f>IF([1]ROSTERS!D329="","",[1]ROSTERS!D329)</f>
        <v/>
      </c>
      <c r="E329" t="str">
        <f>IF([1]ROSTERS!E329="","",[1]ROSTERS!E329)</f>
        <v/>
      </c>
      <c r="F329" t="str">
        <f>IF([1]ROSTERS!F329="","",[1]ROSTERS!F329)</f>
        <v/>
      </c>
      <c r="G329" t="str">
        <f>IF([1]ROSTERS!G329="","",[1]ROSTERS!G329)</f>
        <v/>
      </c>
      <c r="H329" t="str">
        <f>IF([1]ROSTERS!H329="","",[1]ROSTERS!H329)</f>
        <v/>
      </c>
      <c r="I329" s="8" t="str">
        <f>IF([1]ROSTERS!I329="","",[1]ROSTERS!I329)</f>
        <v/>
      </c>
      <c r="J329" t="str">
        <f>IF([1]ROSTERS!J329="","",[1]ROSTERS!J329)</f>
        <v/>
      </c>
      <c r="K329" t="str">
        <f>IF([1]ROSTERS!K329="","",[1]ROSTERS!K329)</f>
        <v/>
      </c>
      <c r="L329" t="str">
        <f>IF([1]ROSTERS!L329="","",[1]ROSTERS!L329)</f>
        <v/>
      </c>
    </row>
    <row r="330" spans="1:13" x14ac:dyDescent="0.25">
      <c r="A330" s="3" t="str">
        <f>IF(B330="","",COUNTIF($H$3:H330,H330))</f>
        <v/>
      </c>
      <c r="B330" t="str">
        <f>IF([1]ROSTERS!B330="","",[1]ROSTERS!B330)</f>
        <v/>
      </c>
      <c r="C330" t="str">
        <f>IF([1]ROSTERS!C330="","",[1]ROSTERS!C330)</f>
        <v/>
      </c>
      <c r="D330" s="8" t="str">
        <f>IF([1]ROSTERS!D330="","",[1]ROSTERS!D330)</f>
        <v/>
      </c>
      <c r="E330" t="str">
        <f>IF([1]ROSTERS!E330="","",[1]ROSTERS!E330)</f>
        <v/>
      </c>
      <c r="F330" t="str">
        <f>IF([1]ROSTERS!F330="","",[1]ROSTERS!F330)</f>
        <v/>
      </c>
      <c r="G330" t="str">
        <f>IF([1]ROSTERS!G330="","",[1]ROSTERS!G330)</f>
        <v/>
      </c>
      <c r="H330" t="str">
        <f>IF([1]ROSTERS!H330="","",[1]ROSTERS!H330)</f>
        <v/>
      </c>
      <c r="I330" s="8" t="str">
        <f>IF([1]ROSTERS!I330="","",[1]ROSTERS!I330)</f>
        <v/>
      </c>
      <c r="J330" t="str">
        <f>IF([1]ROSTERS!J330="","",[1]ROSTERS!J330)</f>
        <v/>
      </c>
      <c r="K330" t="str">
        <f>IF([1]ROSTERS!K330="","",[1]ROSTERS!K330)</f>
        <v/>
      </c>
      <c r="L330" t="str">
        <f>IF([1]ROSTERS!L330="","",[1]ROSTERS!L330)</f>
        <v/>
      </c>
    </row>
    <row r="331" spans="1:13" x14ac:dyDescent="0.25">
      <c r="A331" s="3" t="str">
        <f>IF(B331="","",COUNTIF($H$3:H331,H331))</f>
        <v/>
      </c>
      <c r="B331" t="str">
        <f>IF([1]ROSTERS!B331="","",[1]ROSTERS!B331)</f>
        <v/>
      </c>
      <c r="C331" t="str">
        <f>IF([1]ROSTERS!C331="","",[1]ROSTERS!C331)</f>
        <v/>
      </c>
      <c r="D331" s="8" t="str">
        <f>IF([1]ROSTERS!D331="","",[1]ROSTERS!D331)</f>
        <v/>
      </c>
      <c r="E331" t="str">
        <f>IF([1]ROSTERS!E331="","",[1]ROSTERS!E331)</f>
        <v/>
      </c>
      <c r="F331" t="str">
        <f>IF([1]ROSTERS!F331="","",[1]ROSTERS!F331)</f>
        <v/>
      </c>
      <c r="G331" t="str">
        <f>IF([1]ROSTERS!G331="","",[1]ROSTERS!G331)</f>
        <v/>
      </c>
      <c r="H331" t="str">
        <f>IF([1]ROSTERS!H331="","",[1]ROSTERS!H331)</f>
        <v/>
      </c>
      <c r="I331" s="8" t="str">
        <f>IF([1]ROSTERS!I331="","",[1]ROSTERS!I331)</f>
        <v/>
      </c>
      <c r="J331" t="str">
        <f>IF([1]ROSTERS!J331="","",[1]ROSTERS!J331)</f>
        <v/>
      </c>
      <c r="K331" t="str">
        <f>IF([1]ROSTERS!K331="","",[1]ROSTERS!K331)</f>
        <v/>
      </c>
      <c r="L331" t="str">
        <f>IF([1]ROSTERS!L331="","",[1]ROSTERS!L331)</f>
        <v/>
      </c>
    </row>
    <row r="332" spans="1:13" x14ac:dyDescent="0.25">
      <c r="A332" s="3" t="str">
        <f>IF(B332="","",COUNTIF($H$3:H332,H332))</f>
        <v/>
      </c>
      <c r="B332" t="str">
        <f>IF([1]ROSTERS!B332="","",[1]ROSTERS!B332)</f>
        <v/>
      </c>
      <c r="C332" t="str">
        <f>IF([1]ROSTERS!C332="","",[1]ROSTERS!C332)</f>
        <v/>
      </c>
      <c r="D332" s="8" t="str">
        <f>IF([1]ROSTERS!D332="","",[1]ROSTERS!D332)</f>
        <v/>
      </c>
      <c r="E332" t="str">
        <f>IF([1]ROSTERS!E332="","",[1]ROSTERS!E332)</f>
        <v/>
      </c>
      <c r="F332" t="str">
        <f>IF([1]ROSTERS!F332="","",[1]ROSTERS!F332)</f>
        <v/>
      </c>
      <c r="G332" t="str">
        <f>IF([1]ROSTERS!G332="","",[1]ROSTERS!G332)</f>
        <v/>
      </c>
      <c r="H332" t="str">
        <f>IF([1]ROSTERS!H332="","",[1]ROSTERS!H332)</f>
        <v/>
      </c>
      <c r="I332" s="8" t="str">
        <f>IF([1]ROSTERS!I332="","",[1]ROSTERS!I332)</f>
        <v/>
      </c>
      <c r="J332" t="str">
        <f>IF([1]ROSTERS!J332="","",[1]ROSTERS!J332)</f>
        <v/>
      </c>
      <c r="K332" t="str">
        <f>IF([1]ROSTERS!K332="","",[1]ROSTERS!K332)</f>
        <v/>
      </c>
      <c r="L332" t="str">
        <f>IF([1]ROSTERS!L332="","",[1]ROSTERS!L332)</f>
        <v/>
      </c>
    </row>
    <row r="333" spans="1:13" x14ac:dyDescent="0.25">
      <c r="A333" s="3" t="str">
        <f>IF(B333="","",COUNTIF($H$3:H333,H333))</f>
        <v/>
      </c>
      <c r="B333" t="str">
        <f>IF([1]ROSTERS!B333="","",[1]ROSTERS!B333)</f>
        <v/>
      </c>
      <c r="C333" t="str">
        <f>IF([1]ROSTERS!C333="","",[1]ROSTERS!C333)</f>
        <v/>
      </c>
      <c r="D333" s="8" t="str">
        <f>IF([1]ROSTERS!D333="","",[1]ROSTERS!D333)</f>
        <v/>
      </c>
      <c r="E333" t="str">
        <f>IF([1]ROSTERS!E333="","",[1]ROSTERS!E333)</f>
        <v/>
      </c>
      <c r="F333" t="str">
        <f>IF([1]ROSTERS!F333="","",[1]ROSTERS!F333)</f>
        <v/>
      </c>
      <c r="G333" t="str">
        <f>IF([1]ROSTERS!G333="","",[1]ROSTERS!G333)</f>
        <v/>
      </c>
      <c r="H333" t="str">
        <f>IF([1]ROSTERS!H333="","",[1]ROSTERS!H333)</f>
        <v/>
      </c>
      <c r="I333" s="8" t="str">
        <f>IF([1]ROSTERS!I333="","",[1]ROSTERS!I333)</f>
        <v/>
      </c>
      <c r="J333" t="str">
        <f>IF([1]ROSTERS!J333="","",[1]ROSTERS!J333)</f>
        <v/>
      </c>
      <c r="K333" t="str">
        <f>IF([1]ROSTERS!K333="","",[1]ROSTERS!K333)</f>
        <v/>
      </c>
      <c r="L333" t="str">
        <f>IF([1]ROSTERS!L333="","",[1]ROSTERS!L333)</f>
        <v/>
      </c>
    </row>
    <row r="334" spans="1:13" x14ac:dyDescent="0.25">
      <c r="A334" s="3" t="str">
        <f>IF(B334="","",COUNTIF($H$3:H334,H334))</f>
        <v/>
      </c>
      <c r="B334" t="str">
        <f>IF([1]ROSTERS!B334="","",[1]ROSTERS!B334)</f>
        <v/>
      </c>
      <c r="C334" t="str">
        <f>IF([1]ROSTERS!C334="","",[1]ROSTERS!C334)</f>
        <v/>
      </c>
      <c r="D334" s="8" t="str">
        <f>IF([1]ROSTERS!D334="","",[1]ROSTERS!D334)</f>
        <v/>
      </c>
      <c r="E334" t="str">
        <f>IF([1]ROSTERS!E334="","",[1]ROSTERS!E334)</f>
        <v/>
      </c>
      <c r="F334" t="str">
        <f>IF([1]ROSTERS!F334="","",[1]ROSTERS!F334)</f>
        <v/>
      </c>
      <c r="G334" t="str">
        <f>IF([1]ROSTERS!G334="","",[1]ROSTERS!G334)</f>
        <v/>
      </c>
      <c r="H334" t="str">
        <f>IF([1]ROSTERS!H334="","",[1]ROSTERS!H334)</f>
        <v/>
      </c>
      <c r="I334" s="8" t="str">
        <f>IF([1]ROSTERS!I334="","",[1]ROSTERS!I334)</f>
        <v/>
      </c>
      <c r="J334" t="str">
        <f>IF([1]ROSTERS!J334="","",[1]ROSTERS!J334)</f>
        <v/>
      </c>
      <c r="K334" t="str">
        <f>IF([1]ROSTERS!K334="","",[1]ROSTERS!K334)</f>
        <v/>
      </c>
      <c r="L334" t="str">
        <f>IF([1]ROSTERS!L334="","",[1]ROSTERS!L334)</f>
        <v/>
      </c>
    </row>
    <row r="335" spans="1:13" x14ac:dyDescent="0.25">
      <c r="A335" s="3" t="str">
        <f>IF(B335="","",COUNTIF($H$3:H335,H335))</f>
        <v/>
      </c>
      <c r="B335" t="str">
        <f>IF([1]ROSTERS!B335="","",[1]ROSTERS!B335)</f>
        <v/>
      </c>
      <c r="C335" t="str">
        <f>IF([1]ROSTERS!C335="","",[1]ROSTERS!C335)</f>
        <v/>
      </c>
      <c r="D335" s="8" t="str">
        <f>IF([1]ROSTERS!D335="","",[1]ROSTERS!D335)</f>
        <v/>
      </c>
      <c r="E335" t="str">
        <f>IF([1]ROSTERS!E335="","",[1]ROSTERS!E335)</f>
        <v/>
      </c>
      <c r="F335" t="str">
        <f>IF([1]ROSTERS!F335="","",[1]ROSTERS!F335)</f>
        <v/>
      </c>
      <c r="G335" t="str">
        <f>IF([1]ROSTERS!G335="","",[1]ROSTERS!G335)</f>
        <v/>
      </c>
      <c r="H335" t="str">
        <f>IF([1]ROSTERS!H335="","",[1]ROSTERS!H335)</f>
        <v/>
      </c>
      <c r="I335" s="8" t="str">
        <f>IF([1]ROSTERS!I335="","",[1]ROSTERS!I335)</f>
        <v/>
      </c>
      <c r="J335" t="str">
        <f>IF([1]ROSTERS!J335="","",[1]ROSTERS!J335)</f>
        <v/>
      </c>
      <c r="K335" t="str">
        <f>IF([1]ROSTERS!K335="","",[1]ROSTERS!K335)</f>
        <v/>
      </c>
      <c r="L335" t="str">
        <f>IF([1]ROSTERS!L335="","",[1]ROSTERS!L335)</f>
        <v/>
      </c>
    </row>
    <row r="336" spans="1:13" x14ac:dyDescent="0.25">
      <c r="A336" s="3" t="str">
        <f>IF(B336="","",COUNTIF($H$3:H336,H336))</f>
        <v/>
      </c>
      <c r="B336" t="str">
        <f>IF([1]ROSTERS!B336="","",[1]ROSTERS!B336)</f>
        <v/>
      </c>
      <c r="C336" t="str">
        <f>IF([1]ROSTERS!C336="","",[1]ROSTERS!C336)</f>
        <v/>
      </c>
      <c r="D336" s="8" t="str">
        <f>IF([1]ROSTERS!D336="","",[1]ROSTERS!D336)</f>
        <v/>
      </c>
      <c r="E336" t="str">
        <f>IF([1]ROSTERS!E336="","",[1]ROSTERS!E336)</f>
        <v/>
      </c>
      <c r="F336" t="str">
        <f>IF([1]ROSTERS!F336="","",[1]ROSTERS!F336)</f>
        <v/>
      </c>
      <c r="G336" t="str">
        <f>IF([1]ROSTERS!G336="","",[1]ROSTERS!G336)</f>
        <v/>
      </c>
      <c r="H336" t="str">
        <f>IF([1]ROSTERS!H336="","",[1]ROSTERS!H336)</f>
        <v/>
      </c>
      <c r="I336" s="8" t="str">
        <f>IF([1]ROSTERS!I336="","",[1]ROSTERS!I336)</f>
        <v/>
      </c>
      <c r="J336" t="str">
        <f>IF([1]ROSTERS!J336="","",[1]ROSTERS!J336)</f>
        <v/>
      </c>
      <c r="K336" t="str">
        <f>IF([1]ROSTERS!K336="","",[1]ROSTERS!K336)</f>
        <v/>
      </c>
      <c r="L336" t="str">
        <f>IF([1]ROSTERS!L336="","",[1]ROSTERS!L336)</f>
        <v/>
      </c>
    </row>
    <row r="337" spans="1:12" x14ac:dyDescent="0.25">
      <c r="A337" s="3" t="str">
        <f>IF(B337="","",COUNTIF($H$3:H337,H337))</f>
        <v/>
      </c>
      <c r="B337" t="str">
        <f>IF([1]ROSTERS!B337="","",[1]ROSTERS!B337)</f>
        <v/>
      </c>
      <c r="C337" t="str">
        <f>IF([1]ROSTERS!C337="","",[1]ROSTERS!C337)</f>
        <v/>
      </c>
      <c r="D337" s="8" t="str">
        <f>IF([1]ROSTERS!D337="","",[1]ROSTERS!D337)</f>
        <v/>
      </c>
      <c r="E337" t="str">
        <f>IF([1]ROSTERS!E337="","",[1]ROSTERS!E337)</f>
        <v/>
      </c>
      <c r="F337" t="str">
        <f>IF([1]ROSTERS!F337="","",[1]ROSTERS!F337)</f>
        <v/>
      </c>
      <c r="G337" t="str">
        <f>IF([1]ROSTERS!G337="","",[1]ROSTERS!G337)</f>
        <v/>
      </c>
      <c r="H337" t="str">
        <f>IF([1]ROSTERS!H337="","",[1]ROSTERS!H337)</f>
        <v/>
      </c>
      <c r="I337" s="8" t="str">
        <f>IF([1]ROSTERS!I337="","",[1]ROSTERS!I337)</f>
        <v/>
      </c>
      <c r="J337" t="str">
        <f>IF([1]ROSTERS!J337="","",[1]ROSTERS!J337)</f>
        <v/>
      </c>
      <c r="K337" t="str">
        <f>IF([1]ROSTERS!K337="","",[1]ROSTERS!K337)</f>
        <v/>
      </c>
      <c r="L337" t="str">
        <f>IF([1]ROSTERS!L337="","",[1]ROSTERS!L337)</f>
        <v/>
      </c>
    </row>
    <row r="338" spans="1:12" x14ac:dyDescent="0.25">
      <c r="A338" s="3" t="str">
        <f>IF(B338="","",COUNTIF($H$3:H338,H338))</f>
        <v/>
      </c>
      <c r="B338" t="str">
        <f>IF([1]ROSTERS!B338="","",[1]ROSTERS!B338)</f>
        <v/>
      </c>
      <c r="C338" t="str">
        <f>IF([1]ROSTERS!C338="","",[1]ROSTERS!C338)</f>
        <v/>
      </c>
      <c r="D338" s="8" t="str">
        <f>IF([1]ROSTERS!D338="","",[1]ROSTERS!D338)</f>
        <v/>
      </c>
      <c r="E338" t="str">
        <f>IF([1]ROSTERS!E338="","",[1]ROSTERS!E338)</f>
        <v/>
      </c>
      <c r="F338" t="str">
        <f>IF([1]ROSTERS!F338="","",[1]ROSTERS!F338)</f>
        <v/>
      </c>
      <c r="G338" t="str">
        <f>IF([1]ROSTERS!G338="","",[1]ROSTERS!G338)</f>
        <v/>
      </c>
      <c r="H338" t="str">
        <f>IF([1]ROSTERS!H338="","",[1]ROSTERS!H338)</f>
        <v/>
      </c>
      <c r="I338" s="8" t="str">
        <f>IF([1]ROSTERS!I338="","",[1]ROSTERS!I338)</f>
        <v/>
      </c>
      <c r="J338" t="str">
        <f>IF([1]ROSTERS!J338="","",[1]ROSTERS!J338)</f>
        <v/>
      </c>
      <c r="K338" t="str">
        <f>IF([1]ROSTERS!K338="","",[1]ROSTERS!K338)</f>
        <v/>
      </c>
      <c r="L338" t="str">
        <f>IF([1]ROSTERS!L338="","",[1]ROSTERS!L338)</f>
        <v/>
      </c>
    </row>
    <row r="339" spans="1:12" x14ac:dyDescent="0.25">
      <c r="A339" s="3" t="str">
        <f>IF(B339="","",COUNTIF($H$3:H339,H339))</f>
        <v/>
      </c>
      <c r="B339" t="str">
        <f>IF([1]ROSTERS!B339="","",[1]ROSTERS!B339)</f>
        <v/>
      </c>
      <c r="C339" t="str">
        <f>IF([1]ROSTERS!C339="","",[1]ROSTERS!C339)</f>
        <v/>
      </c>
      <c r="D339" s="8" t="str">
        <f>IF([1]ROSTERS!D339="","",[1]ROSTERS!D339)</f>
        <v/>
      </c>
      <c r="E339" t="str">
        <f>IF([1]ROSTERS!E339="","",[1]ROSTERS!E339)</f>
        <v/>
      </c>
      <c r="F339" t="str">
        <f>IF([1]ROSTERS!F339="","",[1]ROSTERS!F339)</f>
        <v/>
      </c>
      <c r="G339" t="str">
        <f>IF([1]ROSTERS!G339="","",[1]ROSTERS!G339)</f>
        <v/>
      </c>
      <c r="H339" t="str">
        <f>IF([1]ROSTERS!H339="","",[1]ROSTERS!H339)</f>
        <v/>
      </c>
      <c r="I339" s="8" t="str">
        <f>IF([1]ROSTERS!I339="","",[1]ROSTERS!I339)</f>
        <v/>
      </c>
      <c r="J339" t="str">
        <f>IF([1]ROSTERS!J339="","",[1]ROSTERS!J339)</f>
        <v/>
      </c>
      <c r="K339" t="str">
        <f>IF([1]ROSTERS!K339="","",[1]ROSTERS!K339)</f>
        <v/>
      </c>
      <c r="L339" t="str">
        <f>IF([1]ROSTERS!L339="","",[1]ROSTERS!L339)</f>
        <v/>
      </c>
    </row>
    <row r="340" spans="1:12" x14ac:dyDescent="0.25">
      <c r="A340" s="3" t="str">
        <f>IF(B340="","",COUNTIF($H$3:H340,H340))</f>
        <v/>
      </c>
      <c r="B340" t="str">
        <f>IF([1]ROSTERS!B340="","",[1]ROSTERS!B340)</f>
        <v/>
      </c>
      <c r="C340" t="str">
        <f>IF([1]ROSTERS!C340="","",[1]ROSTERS!C340)</f>
        <v/>
      </c>
      <c r="D340" s="8" t="str">
        <f>IF([1]ROSTERS!D340="","",[1]ROSTERS!D340)</f>
        <v/>
      </c>
      <c r="E340" t="str">
        <f>IF([1]ROSTERS!E340="","",[1]ROSTERS!E340)</f>
        <v/>
      </c>
      <c r="F340" t="str">
        <f>IF([1]ROSTERS!F340="","",[1]ROSTERS!F340)</f>
        <v/>
      </c>
      <c r="G340" t="str">
        <f>IF([1]ROSTERS!G340="","",[1]ROSTERS!G340)</f>
        <v/>
      </c>
      <c r="H340" t="str">
        <f>IF([1]ROSTERS!H340="","",[1]ROSTERS!H340)</f>
        <v/>
      </c>
      <c r="I340" s="8" t="str">
        <f>IF([1]ROSTERS!I340="","",[1]ROSTERS!I340)</f>
        <v/>
      </c>
      <c r="J340" t="str">
        <f>IF([1]ROSTERS!J340="","",[1]ROSTERS!J340)</f>
        <v/>
      </c>
      <c r="K340" t="str">
        <f>IF([1]ROSTERS!K340="","",[1]ROSTERS!K340)</f>
        <v/>
      </c>
      <c r="L340" t="str">
        <f>IF([1]ROSTERS!L340="","",[1]ROSTERS!L340)</f>
        <v/>
      </c>
    </row>
    <row r="341" spans="1:12" x14ac:dyDescent="0.25">
      <c r="A341" s="3" t="str">
        <f>IF(B341="","",COUNTIF($H$3:H341,H341))</f>
        <v/>
      </c>
      <c r="B341" t="str">
        <f>IF([1]ROSTERS!B341="","",[1]ROSTERS!B341)</f>
        <v/>
      </c>
      <c r="C341" t="str">
        <f>IF([1]ROSTERS!C341="","",[1]ROSTERS!C341)</f>
        <v/>
      </c>
      <c r="D341" s="8" t="str">
        <f>IF([1]ROSTERS!D341="","",[1]ROSTERS!D341)</f>
        <v/>
      </c>
      <c r="E341" t="str">
        <f>IF([1]ROSTERS!E341="","",[1]ROSTERS!E341)</f>
        <v/>
      </c>
      <c r="F341" t="str">
        <f>IF([1]ROSTERS!F341="","",[1]ROSTERS!F341)</f>
        <v/>
      </c>
      <c r="G341" t="str">
        <f>IF([1]ROSTERS!G341="","",[1]ROSTERS!G341)</f>
        <v/>
      </c>
      <c r="H341" t="str">
        <f>IF([1]ROSTERS!H341="","",[1]ROSTERS!H341)</f>
        <v/>
      </c>
      <c r="I341" s="8" t="str">
        <f>IF([1]ROSTERS!I341="","",[1]ROSTERS!I341)</f>
        <v/>
      </c>
      <c r="J341" t="str">
        <f>IF([1]ROSTERS!J341="","",[1]ROSTERS!J341)</f>
        <v/>
      </c>
      <c r="K341" t="str">
        <f>IF([1]ROSTERS!K341="","",[1]ROSTERS!K341)</f>
        <v/>
      </c>
      <c r="L341" t="str">
        <f>IF([1]ROSTERS!L341="","",[1]ROSTERS!L341)</f>
        <v/>
      </c>
    </row>
    <row r="342" spans="1:12" x14ac:dyDescent="0.25">
      <c r="A342" s="3" t="str">
        <f>IF(B342="","",COUNTIF($H$3:H342,H342))</f>
        <v/>
      </c>
      <c r="B342" t="str">
        <f>IF([1]ROSTERS!B342="","",[1]ROSTERS!B342)</f>
        <v/>
      </c>
      <c r="C342" t="str">
        <f>IF([1]ROSTERS!C342="","",[1]ROSTERS!C342)</f>
        <v/>
      </c>
      <c r="D342" s="8" t="str">
        <f>IF([1]ROSTERS!D342="","",[1]ROSTERS!D342)</f>
        <v/>
      </c>
      <c r="E342" t="str">
        <f>IF([1]ROSTERS!E342="","",[1]ROSTERS!E342)</f>
        <v/>
      </c>
      <c r="F342" t="str">
        <f>IF([1]ROSTERS!F342="","",[1]ROSTERS!F342)</f>
        <v/>
      </c>
      <c r="G342" t="str">
        <f>IF([1]ROSTERS!G342="","",[1]ROSTERS!G342)</f>
        <v/>
      </c>
      <c r="H342" t="str">
        <f>IF([1]ROSTERS!H342="","",[1]ROSTERS!H342)</f>
        <v/>
      </c>
      <c r="I342" s="8" t="str">
        <f>IF([1]ROSTERS!I342="","",[1]ROSTERS!I342)</f>
        <v/>
      </c>
      <c r="J342" t="str">
        <f>IF([1]ROSTERS!J342="","",[1]ROSTERS!J342)</f>
        <v/>
      </c>
      <c r="K342" t="str">
        <f>IF([1]ROSTERS!K342="","",[1]ROSTERS!K342)</f>
        <v/>
      </c>
      <c r="L342" t="str">
        <f>IF([1]ROSTERS!L342="","",[1]ROSTERS!L342)</f>
        <v/>
      </c>
    </row>
    <row r="343" spans="1:12" x14ac:dyDescent="0.25">
      <c r="A343" s="3" t="str">
        <f>IF(B343="","",COUNTIF($H$3:H343,H343))</f>
        <v/>
      </c>
      <c r="B343" t="str">
        <f>IF([1]ROSTERS!B343="","",[1]ROSTERS!B343)</f>
        <v/>
      </c>
      <c r="C343" t="str">
        <f>IF([1]ROSTERS!C343="","",[1]ROSTERS!C343)</f>
        <v/>
      </c>
      <c r="D343" s="8" t="str">
        <f>IF([1]ROSTERS!D343="","",[1]ROSTERS!D343)</f>
        <v/>
      </c>
      <c r="E343" t="str">
        <f>IF([1]ROSTERS!E343="","",[1]ROSTERS!E343)</f>
        <v/>
      </c>
      <c r="F343" t="str">
        <f>IF([1]ROSTERS!F343="","",[1]ROSTERS!F343)</f>
        <v/>
      </c>
      <c r="G343" t="str">
        <f>IF([1]ROSTERS!G343="","",[1]ROSTERS!G343)</f>
        <v/>
      </c>
      <c r="H343" t="str">
        <f>IF([1]ROSTERS!H343="","",[1]ROSTERS!H343)</f>
        <v/>
      </c>
      <c r="I343" s="8" t="str">
        <f>IF([1]ROSTERS!I343="","",[1]ROSTERS!I343)</f>
        <v/>
      </c>
      <c r="J343" t="str">
        <f>IF([1]ROSTERS!J343="","",[1]ROSTERS!J343)</f>
        <v/>
      </c>
      <c r="K343" t="str">
        <f>IF([1]ROSTERS!K343="","",[1]ROSTERS!K343)</f>
        <v/>
      </c>
      <c r="L343" t="str">
        <f>IF([1]ROSTERS!L343="","",[1]ROSTERS!L343)</f>
        <v/>
      </c>
    </row>
    <row r="344" spans="1:12" x14ac:dyDescent="0.25">
      <c r="A344" s="3" t="str">
        <f>IF(B344="","",COUNTIF($H$3:H344,H344))</f>
        <v/>
      </c>
      <c r="B344" t="str">
        <f>IF([1]ROSTERS!B344="","",[1]ROSTERS!B344)</f>
        <v/>
      </c>
      <c r="C344" t="str">
        <f>IF([1]ROSTERS!C344="","",[1]ROSTERS!C344)</f>
        <v/>
      </c>
      <c r="D344" s="8" t="str">
        <f>IF([1]ROSTERS!D344="","",[1]ROSTERS!D344)</f>
        <v/>
      </c>
      <c r="E344" t="str">
        <f>IF([1]ROSTERS!E344="","",[1]ROSTERS!E344)</f>
        <v/>
      </c>
      <c r="F344" t="str">
        <f>IF([1]ROSTERS!F344="","",[1]ROSTERS!F344)</f>
        <v/>
      </c>
      <c r="G344" t="str">
        <f>IF([1]ROSTERS!G344="","",[1]ROSTERS!G344)</f>
        <v/>
      </c>
      <c r="H344" t="str">
        <f>IF([1]ROSTERS!H344="","",[1]ROSTERS!H344)</f>
        <v/>
      </c>
      <c r="I344" s="8" t="str">
        <f>IF([1]ROSTERS!I344="","",[1]ROSTERS!I344)</f>
        <v/>
      </c>
      <c r="J344" t="str">
        <f>IF([1]ROSTERS!J344="","",[1]ROSTERS!J344)</f>
        <v/>
      </c>
      <c r="K344" t="str">
        <f>IF([1]ROSTERS!K344="","",[1]ROSTERS!K344)</f>
        <v/>
      </c>
      <c r="L344" t="str">
        <f>IF([1]ROSTERS!L344="","",[1]ROSTERS!L344)</f>
        <v/>
      </c>
    </row>
    <row r="345" spans="1:12" x14ac:dyDescent="0.25">
      <c r="A345" s="3" t="str">
        <f>IF(B345="","",COUNTIF($H$3:H345,H345))</f>
        <v/>
      </c>
      <c r="B345" t="str">
        <f>IF([1]ROSTERS!B345="","",[1]ROSTERS!B345)</f>
        <v/>
      </c>
      <c r="C345" t="str">
        <f>IF([1]ROSTERS!C345="","",[1]ROSTERS!C345)</f>
        <v/>
      </c>
      <c r="D345" s="8" t="str">
        <f>IF([1]ROSTERS!D345="","",[1]ROSTERS!D345)</f>
        <v/>
      </c>
      <c r="E345" t="str">
        <f>IF([1]ROSTERS!E345="","",[1]ROSTERS!E345)</f>
        <v/>
      </c>
      <c r="F345" t="str">
        <f>IF([1]ROSTERS!F345="","",[1]ROSTERS!F345)</f>
        <v/>
      </c>
      <c r="G345" t="str">
        <f>IF([1]ROSTERS!G345="","",[1]ROSTERS!G345)</f>
        <v/>
      </c>
      <c r="H345" t="str">
        <f>IF([1]ROSTERS!H345="","",[1]ROSTERS!H345)</f>
        <v/>
      </c>
      <c r="I345" s="8" t="str">
        <f>IF([1]ROSTERS!I345="","",[1]ROSTERS!I345)</f>
        <v/>
      </c>
      <c r="J345" t="str">
        <f>IF([1]ROSTERS!J345="","",[1]ROSTERS!J345)</f>
        <v/>
      </c>
      <c r="K345" t="str">
        <f>IF([1]ROSTERS!K345="","",[1]ROSTERS!K345)</f>
        <v/>
      </c>
      <c r="L345" t="str">
        <f>IF([1]ROSTERS!L345="","",[1]ROSTERS!L345)</f>
        <v/>
      </c>
    </row>
    <row r="346" spans="1:12" x14ac:dyDescent="0.25">
      <c r="A346" s="3" t="str">
        <f>IF(B346="","",COUNTIF($H$3:H346,H346))</f>
        <v/>
      </c>
      <c r="B346" t="str">
        <f>IF([1]ROSTERS!B346="","",[1]ROSTERS!B346)</f>
        <v/>
      </c>
      <c r="C346" t="str">
        <f>IF([1]ROSTERS!C346="","",[1]ROSTERS!C346)</f>
        <v/>
      </c>
      <c r="D346" s="8" t="str">
        <f>IF([1]ROSTERS!D346="","",[1]ROSTERS!D346)</f>
        <v/>
      </c>
      <c r="E346" t="str">
        <f>IF([1]ROSTERS!E346="","",[1]ROSTERS!E346)</f>
        <v/>
      </c>
      <c r="F346" t="str">
        <f>IF([1]ROSTERS!F346="","",[1]ROSTERS!F346)</f>
        <v/>
      </c>
      <c r="G346" t="str">
        <f>IF([1]ROSTERS!G346="","",[1]ROSTERS!G346)</f>
        <v/>
      </c>
      <c r="H346" t="str">
        <f>IF([1]ROSTERS!H346="","",[1]ROSTERS!H346)</f>
        <v/>
      </c>
      <c r="I346" s="8" t="str">
        <f>IF([1]ROSTERS!I346="","",[1]ROSTERS!I346)</f>
        <v/>
      </c>
      <c r="J346" t="str">
        <f>IF([1]ROSTERS!J346="","",[1]ROSTERS!J346)</f>
        <v/>
      </c>
      <c r="K346" t="str">
        <f>IF([1]ROSTERS!K346="","",[1]ROSTERS!K346)</f>
        <v/>
      </c>
      <c r="L346" t="str">
        <f>IF([1]ROSTERS!L346="","",[1]ROSTERS!L346)</f>
        <v/>
      </c>
    </row>
    <row r="347" spans="1:12" x14ac:dyDescent="0.25">
      <c r="A347" s="3" t="str">
        <f>IF(B347="","",COUNTIF($H$3:H347,H347))</f>
        <v/>
      </c>
      <c r="B347" t="str">
        <f>IF([1]ROSTERS!B347="","",[1]ROSTERS!B347)</f>
        <v/>
      </c>
      <c r="C347" t="str">
        <f>IF([1]ROSTERS!C347="","",[1]ROSTERS!C347)</f>
        <v/>
      </c>
      <c r="D347" s="8" t="str">
        <f>IF([1]ROSTERS!D347="","",[1]ROSTERS!D347)</f>
        <v/>
      </c>
      <c r="E347" t="str">
        <f>IF([1]ROSTERS!E347="","",[1]ROSTERS!E347)</f>
        <v/>
      </c>
      <c r="F347" t="str">
        <f>IF([1]ROSTERS!F347="","",[1]ROSTERS!F347)</f>
        <v/>
      </c>
      <c r="G347" t="str">
        <f>IF([1]ROSTERS!G347="","",[1]ROSTERS!G347)</f>
        <v/>
      </c>
      <c r="H347" t="str">
        <f>IF([1]ROSTERS!H347="","",[1]ROSTERS!H347)</f>
        <v/>
      </c>
      <c r="I347" s="8" t="str">
        <f>IF([1]ROSTERS!I347="","",[1]ROSTERS!I347)</f>
        <v/>
      </c>
      <c r="J347" t="str">
        <f>IF([1]ROSTERS!J347="","",[1]ROSTERS!J347)</f>
        <v/>
      </c>
      <c r="K347" t="str">
        <f>IF([1]ROSTERS!K347="","",[1]ROSTERS!K347)</f>
        <v/>
      </c>
      <c r="L347" t="str">
        <f>IF([1]ROSTERS!L347="","",[1]ROSTERS!L347)</f>
        <v/>
      </c>
    </row>
    <row r="348" spans="1:12" x14ac:dyDescent="0.25">
      <c r="A348" s="3" t="str">
        <f>IF(B348="","",COUNTIF($H$3:H348,H348))</f>
        <v/>
      </c>
      <c r="B348" t="str">
        <f>IF([1]ROSTERS!B348="","",[1]ROSTERS!B348)</f>
        <v/>
      </c>
      <c r="C348" t="str">
        <f>IF([1]ROSTERS!C348="","",[1]ROSTERS!C348)</f>
        <v/>
      </c>
      <c r="D348" s="8" t="str">
        <f>IF([1]ROSTERS!D348="","",[1]ROSTERS!D348)</f>
        <v/>
      </c>
      <c r="E348" t="str">
        <f>IF([1]ROSTERS!E348="","",[1]ROSTERS!E348)</f>
        <v/>
      </c>
      <c r="F348" t="str">
        <f>IF([1]ROSTERS!F348="","",[1]ROSTERS!F348)</f>
        <v/>
      </c>
      <c r="G348" t="str">
        <f>IF([1]ROSTERS!G348="","",[1]ROSTERS!G348)</f>
        <v/>
      </c>
      <c r="H348" t="str">
        <f>IF([1]ROSTERS!H348="","",[1]ROSTERS!H348)</f>
        <v/>
      </c>
      <c r="I348" s="8" t="str">
        <f>IF([1]ROSTERS!I348="","",[1]ROSTERS!I348)</f>
        <v/>
      </c>
      <c r="J348" t="str">
        <f>IF([1]ROSTERS!J348="","",[1]ROSTERS!J348)</f>
        <v/>
      </c>
      <c r="K348" t="str">
        <f>IF([1]ROSTERS!K348="","",[1]ROSTERS!K348)</f>
        <v/>
      </c>
      <c r="L348" t="str">
        <f>IF([1]ROSTERS!L348="","",[1]ROSTERS!L348)</f>
        <v/>
      </c>
    </row>
    <row r="349" spans="1:12" x14ac:dyDescent="0.25">
      <c r="A349" s="3" t="str">
        <f>IF(B349="","",COUNTIF($H$3:H349,H349))</f>
        <v/>
      </c>
      <c r="B349" t="str">
        <f>IF([1]ROSTERS!B349="","",[1]ROSTERS!B349)</f>
        <v/>
      </c>
      <c r="C349" t="str">
        <f>IF([1]ROSTERS!C349="","",[1]ROSTERS!C349)</f>
        <v/>
      </c>
      <c r="D349" s="8" t="str">
        <f>IF([1]ROSTERS!D349="","",[1]ROSTERS!D349)</f>
        <v/>
      </c>
      <c r="E349" t="str">
        <f>IF([1]ROSTERS!E349="","",[1]ROSTERS!E349)</f>
        <v/>
      </c>
      <c r="F349" t="str">
        <f>IF([1]ROSTERS!F349="","",[1]ROSTERS!F349)</f>
        <v/>
      </c>
      <c r="G349" t="str">
        <f>IF([1]ROSTERS!G349="","",[1]ROSTERS!G349)</f>
        <v/>
      </c>
      <c r="H349" t="str">
        <f>IF([1]ROSTERS!H349="","",[1]ROSTERS!H349)</f>
        <v/>
      </c>
      <c r="I349" s="8" t="str">
        <f>IF([1]ROSTERS!I349="","",[1]ROSTERS!I349)</f>
        <v/>
      </c>
      <c r="J349" t="str">
        <f>IF([1]ROSTERS!J349="","",[1]ROSTERS!J349)</f>
        <v/>
      </c>
      <c r="K349" t="str">
        <f>IF([1]ROSTERS!K349="","",[1]ROSTERS!K349)</f>
        <v/>
      </c>
      <c r="L349" t="str">
        <f>IF([1]ROSTERS!L349="","",[1]ROSTERS!L349)</f>
        <v/>
      </c>
    </row>
    <row r="350" spans="1:12" x14ac:dyDescent="0.25">
      <c r="A350" s="3" t="str">
        <f>IF(B350="","",COUNTIF($H$3:H350,H350))</f>
        <v/>
      </c>
      <c r="B350" t="str">
        <f>IF([1]ROSTERS!B350="","",[1]ROSTERS!B350)</f>
        <v/>
      </c>
      <c r="C350" t="str">
        <f>IF([1]ROSTERS!C350="","",[1]ROSTERS!C350)</f>
        <v/>
      </c>
      <c r="D350" s="8" t="str">
        <f>IF([1]ROSTERS!D350="","",[1]ROSTERS!D350)</f>
        <v/>
      </c>
      <c r="E350" t="str">
        <f>IF([1]ROSTERS!E350="","",[1]ROSTERS!E350)</f>
        <v/>
      </c>
      <c r="F350" t="str">
        <f>IF([1]ROSTERS!F350="","",[1]ROSTERS!F350)</f>
        <v/>
      </c>
      <c r="G350" t="str">
        <f>IF([1]ROSTERS!G350="","",[1]ROSTERS!G350)</f>
        <v/>
      </c>
      <c r="H350" t="str">
        <f>IF([1]ROSTERS!H350="","",[1]ROSTERS!H350)</f>
        <v/>
      </c>
      <c r="I350" s="8" t="str">
        <f>IF([1]ROSTERS!I350="","",[1]ROSTERS!I350)</f>
        <v/>
      </c>
      <c r="J350" t="str">
        <f>IF([1]ROSTERS!J350="","",[1]ROSTERS!J350)</f>
        <v/>
      </c>
      <c r="K350" t="str">
        <f>IF([1]ROSTERS!K350="","",[1]ROSTERS!K350)</f>
        <v/>
      </c>
      <c r="L350" t="str">
        <f>IF([1]ROSTERS!L350="","",[1]ROSTERS!L350)</f>
        <v/>
      </c>
    </row>
    <row r="351" spans="1:12" x14ac:dyDescent="0.25">
      <c r="A351" s="3" t="str">
        <f>IF(B351="","",COUNTIF($H$3:H351,H351))</f>
        <v/>
      </c>
      <c r="B351" t="str">
        <f>IF([1]ROSTERS!B351="","",[1]ROSTERS!B351)</f>
        <v/>
      </c>
      <c r="C351" t="str">
        <f>IF([1]ROSTERS!C351="","",[1]ROSTERS!C351)</f>
        <v/>
      </c>
      <c r="D351" s="8" t="str">
        <f>IF([1]ROSTERS!D351="","",[1]ROSTERS!D351)</f>
        <v/>
      </c>
      <c r="E351" t="str">
        <f>IF([1]ROSTERS!E351="","",[1]ROSTERS!E351)</f>
        <v/>
      </c>
      <c r="F351" t="str">
        <f>IF([1]ROSTERS!F351="","",[1]ROSTERS!F351)</f>
        <v/>
      </c>
      <c r="G351" t="str">
        <f>IF([1]ROSTERS!G351="","",[1]ROSTERS!G351)</f>
        <v/>
      </c>
      <c r="H351" t="str">
        <f>IF([1]ROSTERS!H351="","",[1]ROSTERS!H351)</f>
        <v/>
      </c>
      <c r="I351" s="8" t="str">
        <f>IF([1]ROSTERS!I351="","",[1]ROSTERS!I351)</f>
        <v/>
      </c>
      <c r="J351" t="str">
        <f>IF([1]ROSTERS!J351="","",[1]ROSTERS!J351)</f>
        <v/>
      </c>
      <c r="K351" t="str">
        <f>IF([1]ROSTERS!K351="","",[1]ROSTERS!K351)</f>
        <v/>
      </c>
      <c r="L351" t="str">
        <f>IF([1]ROSTERS!L351="","",[1]ROSTERS!L351)</f>
        <v/>
      </c>
    </row>
    <row r="352" spans="1:12" x14ac:dyDescent="0.25">
      <c r="A352" s="3" t="str">
        <f>IF(B352="","",COUNTIF($H$3:H352,H352))</f>
        <v/>
      </c>
      <c r="B352" t="str">
        <f>IF([1]ROSTERS!B352="","",[1]ROSTERS!B352)</f>
        <v/>
      </c>
      <c r="C352" t="str">
        <f>IF([1]ROSTERS!C352="","",[1]ROSTERS!C352)</f>
        <v/>
      </c>
      <c r="D352" s="8" t="str">
        <f>IF([1]ROSTERS!D352="","",[1]ROSTERS!D352)</f>
        <v/>
      </c>
      <c r="E352" t="str">
        <f>IF([1]ROSTERS!E352="","",[1]ROSTERS!E352)</f>
        <v/>
      </c>
      <c r="F352" t="str">
        <f>IF([1]ROSTERS!F352="","",[1]ROSTERS!F352)</f>
        <v/>
      </c>
      <c r="G352" t="str">
        <f>IF([1]ROSTERS!G352="","",[1]ROSTERS!G352)</f>
        <v/>
      </c>
      <c r="H352" t="str">
        <f>IF([1]ROSTERS!H352="","",[1]ROSTERS!H352)</f>
        <v/>
      </c>
      <c r="I352" s="8" t="str">
        <f>IF([1]ROSTERS!I352="","",[1]ROSTERS!I352)</f>
        <v/>
      </c>
      <c r="J352" t="str">
        <f>IF([1]ROSTERS!J352="","",[1]ROSTERS!J352)</f>
        <v/>
      </c>
      <c r="K352" t="str">
        <f>IF([1]ROSTERS!K352="","",[1]ROSTERS!K352)</f>
        <v/>
      </c>
      <c r="L352" t="str">
        <f>IF([1]ROSTERS!L352="","",[1]ROSTERS!L352)</f>
        <v/>
      </c>
    </row>
    <row r="353" spans="1:12" x14ac:dyDescent="0.25">
      <c r="A353" s="3" t="str">
        <f>IF(B353="","",COUNTIF($H$3:H353,H353))</f>
        <v/>
      </c>
      <c r="B353" t="str">
        <f>IF([1]ROSTERS!B353="","",[1]ROSTERS!B353)</f>
        <v/>
      </c>
      <c r="C353" t="str">
        <f>IF([1]ROSTERS!C353="","",[1]ROSTERS!C353)</f>
        <v/>
      </c>
      <c r="D353" s="8" t="str">
        <f>IF([1]ROSTERS!D353="","",[1]ROSTERS!D353)</f>
        <v/>
      </c>
      <c r="E353" t="str">
        <f>IF([1]ROSTERS!E353="","",[1]ROSTERS!E353)</f>
        <v/>
      </c>
      <c r="F353" t="str">
        <f>IF([1]ROSTERS!F353="","",[1]ROSTERS!F353)</f>
        <v/>
      </c>
      <c r="G353" t="str">
        <f>IF([1]ROSTERS!G353="","",[1]ROSTERS!G353)</f>
        <v/>
      </c>
      <c r="H353" t="str">
        <f>IF([1]ROSTERS!H353="","",[1]ROSTERS!H353)</f>
        <v/>
      </c>
      <c r="I353" s="8" t="str">
        <f>IF([1]ROSTERS!I353="","",[1]ROSTERS!I353)</f>
        <v/>
      </c>
      <c r="J353" t="str">
        <f>IF([1]ROSTERS!J353="","",[1]ROSTERS!J353)</f>
        <v/>
      </c>
      <c r="K353" t="str">
        <f>IF([1]ROSTERS!K353="","",[1]ROSTERS!K353)</f>
        <v/>
      </c>
      <c r="L353" t="str">
        <f>IF([1]ROSTERS!L353="","",[1]ROSTERS!L353)</f>
        <v/>
      </c>
    </row>
    <row r="354" spans="1:12" x14ac:dyDescent="0.25">
      <c r="A354" s="3" t="str">
        <f>IF(B354="","",COUNTIF($H$3:H354,H354))</f>
        <v/>
      </c>
      <c r="B354" t="str">
        <f>IF([1]ROSTERS!B354="","",[1]ROSTERS!B354)</f>
        <v/>
      </c>
      <c r="C354" t="str">
        <f>IF([1]ROSTERS!C354="","",[1]ROSTERS!C354)</f>
        <v/>
      </c>
      <c r="D354" s="8" t="str">
        <f>IF([1]ROSTERS!D354="","",[1]ROSTERS!D354)</f>
        <v/>
      </c>
      <c r="E354" t="str">
        <f>IF([1]ROSTERS!E354="","",[1]ROSTERS!E354)</f>
        <v/>
      </c>
      <c r="F354" t="str">
        <f>IF([1]ROSTERS!F354="","",[1]ROSTERS!F354)</f>
        <v/>
      </c>
      <c r="G354" t="str">
        <f>IF([1]ROSTERS!G354="","",[1]ROSTERS!G354)</f>
        <v/>
      </c>
      <c r="H354" t="str">
        <f>IF([1]ROSTERS!H354="","",[1]ROSTERS!H354)</f>
        <v/>
      </c>
      <c r="I354" s="8" t="str">
        <f>IF([1]ROSTERS!I354="","",[1]ROSTERS!I354)</f>
        <v/>
      </c>
      <c r="J354" t="str">
        <f>IF([1]ROSTERS!J354="","",[1]ROSTERS!J354)</f>
        <v/>
      </c>
      <c r="K354" t="str">
        <f>IF([1]ROSTERS!K354="","",[1]ROSTERS!K354)</f>
        <v/>
      </c>
      <c r="L354" t="str">
        <f>IF([1]ROSTERS!L354="","",[1]ROSTERS!L354)</f>
        <v/>
      </c>
    </row>
    <row r="355" spans="1:12" x14ac:dyDescent="0.25">
      <c r="A355" s="3" t="str">
        <f>IF(B355="","",COUNTIF($H$3:H355,H355))</f>
        <v/>
      </c>
      <c r="B355" t="str">
        <f>IF([1]ROSTERS!B355="","",[1]ROSTERS!B355)</f>
        <v/>
      </c>
      <c r="C355" t="str">
        <f>IF([1]ROSTERS!C355="","",[1]ROSTERS!C355)</f>
        <v/>
      </c>
      <c r="D355" s="8" t="str">
        <f>IF([1]ROSTERS!D355="","",[1]ROSTERS!D355)</f>
        <v/>
      </c>
      <c r="E355" t="str">
        <f>IF([1]ROSTERS!E355="","",[1]ROSTERS!E355)</f>
        <v/>
      </c>
      <c r="F355" t="str">
        <f>IF([1]ROSTERS!F355="","",[1]ROSTERS!F355)</f>
        <v/>
      </c>
      <c r="G355" t="str">
        <f>IF([1]ROSTERS!G355="","",[1]ROSTERS!G355)</f>
        <v/>
      </c>
      <c r="H355" t="str">
        <f>IF([1]ROSTERS!H355="","",[1]ROSTERS!H355)</f>
        <v/>
      </c>
      <c r="I355" s="8" t="str">
        <f>IF([1]ROSTERS!I355="","",[1]ROSTERS!I355)</f>
        <v/>
      </c>
      <c r="J355" t="str">
        <f>IF([1]ROSTERS!J355="","",[1]ROSTERS!J355)</f>
        <v/>
      </c>
      <c r="K355" t="str">
        <f>IF([1]ROSTERS!K355="","",[1]ROSTERS!K355)</f>
        <v/>
      </c>
      <c r="L355" t="str">
        <f>IF([1]ROSTERS!L355="","",[1]ROSTERS!L355)</f>
        <v/>
      </c>
    </row>
    <row r="356" spans="1:12" x14ac:dyDescent="0.25">
      <c r="A356" s="3" t="str">
        <f>IF(B356="","",COUNTIF($H$3:H356,H356))</f>
        <v/>
      </c>
      <c r="B356" t="str">
        <f>IF([1]ROSTERS!B356="","",[1]ROSTERS!B356)</f>
        <v/>
      </c>
      <c r="C356" t="str">
        <f>IF([1]ROSTERS!C356="","",[1]ROSTERS!C356)</f>
        <v/>
      </c>
      <c r="D356" s="8" t="str">
        <f>IF([1]ROSTERS!D356="","",[1]ROSTERS!D356)</f>
        <v/>
      </c>
      <c r="E356" t="str">
        <f>IF([1]ROSTERS!E356="","",[1]ROSTERS!E356)</f>
        <v/>
      </c>
      <c r="F356" t="str">
        <f>IF([1]ROSTERS!F356="","",[1]ROSTERS!F356)</f>
        <v/>
      </c>
      <c r="G356" t="str">
        <f>IF([1]ROSTERS!G356="","",[1]ROSTERS!G356)</f>
        <v/>
      </c>
      <c r="H356" t="str">
        <f>IF([1]ROSTERS!H356="","",[1]ROSTERS!H356)</f>
        <v/>
      </c>
      <c r="I356" s="8" t="str">
        <f>IF([1]ROSTERS!I356="","",[1]ROSTERS!I356)</f>
        <v/>
      </c>
      <c r="J356" t="str">
        <f>IF([1]ROSTERS!J356="","",[1]ROSTERS!J356)</f>
        <v/>
      </c>
      <c r="K356" t="str">
        <f>IF([1]ROSTERS!K356="","",[1]ROSTERS!K356)</f>
        <v/>
      </c>
      <c r="L356" t="str">
        <f>IF([1]ROSTERS!L356="","",[1]ROSTERS!L356)</f>
        <v/>
      </c>
    </row>
    <row r="357" spans="1:12" x14ac:dyDescent="0.25">
      <c r="A357" s="3" t="str">
        <f>IF(B357="","",COUNTIF($H$3:H357,H357))</f>
        <v/>
      </c>
      <c r="B357" t="str">
        <f>IF([1]ROSTERS!B357="","",[1]ROSTERS!B357)</f>
        <v/>
      </c>
      <c r="C357" t="str">
        <f>IF([1]ROSTERS!C357="","",[1]ROSTERS!C357)</f>
        <v/>
      </c>
      <c r="D357" s="8" t="str">
        <f>IF([1]ROSTERS!D357="","",[1]ROSTERS!D357)</f>
        <v/>
      </c>
      <c r="E357" t="str">
        <f>IF([1]ROSTERS!E357="","",[1]ROSTERS!E357)</f>
        <v/>
      </c>
      <c r="F357" t="str">
        <f>IF([1]ROSTERS!F357="","",[1]ROSTERS!F357)</f>
        <v/>
      </c>
      <c r="G357" t="str">
        <f>IF([1]ROSTERS!G357="","",[1]ROSTERS!G357)</f>
        <v/>
      </c>
      <c r="H357" t="str">
        <f>IF([1]ROSTERS!H357="","",[1]ROSTERS!H357)</f>
        <v/>
      </c>
      <c r="I357" s="8" t="str">
        <f>IF([1]ROSTERS!I357="","",[1]ROSTERS!I357)</f>
        <v/>
      </c>
      <c r="J357" t="str">
        <f>IF([1]ROSTERS!J357="","",[1]ROSTERS!J357)</f>
        <v/>
      </c>
      <c r="K357" t="str">
        <f>IF([1]ROSTERS!K357="","",[1]ROSTERS!K357)</f>
        <v/>
      </c>
      <c r="L357" t="str">
        <f>IF([1]ROSTERS!L357="","",[1]ROSTERS!L357)</f>
        <v/>
      </c>
    </row>
    <row r="358" spans="1:12" x14ac:dyDescent="0.25">
      <c r="A358" s="3" t="str">
        <f>IF(B358="","",COUNTIF($H$3:H358,H358))</f>
        <v/>
      </c>
      <c r="B358" t="str">
        <f>IF([1]ROSTERS!B358="","",[1]ROSTERS!B358)</f>
        <v/>
      </c>
      <c r="C358" t="str">
        <f>IF([1]ROSTERS!C358="","",[1]ROSTERS!C358)</f>
        <v/>
      </c>
      <c r="D358" s="8" t="str">
        <f>IF([1]ROSTERS!D358="","",[1]ROSTERS!D358)</f>
        <v/>
      </c>
      <c r="E358" t="str">
        <f>IF([1]ROSTERS!E358="","",[1]ROSTERS!E358)</f>
        <v/>
      </c>
      <c r="F358" t="str">
        <f>IF([1]ROSTERS!F358="","",[1]ROSTERS!F358)</f>
        <v/>
      </c>
      <c r="G358" t="str">
        <f>IF([1]ROSTERS!G358="","",[1]ROSTERS!G358)</f>
        <v/>
      </c>
      <c r="H358" t="str">
        <f>IF([1]ROSTERS!H358="","",[1]ROSTERS!H358)</f>
        <v/>
      </c>
      <c r="I358" s="8" t="str">
        <f>IF([1]ROSTERS!I358="","",[1]ROSTERS!I358)</f>
        <v/>
      </c>
      <c r="J358" t="str">
        <f>IF([1]ROSTERS!J358="","",[1]ROSTERS!J358)</f>
        <v/>
      </c>
      <c r="K358" t="str">
        <f>IF([1]ROSTERS!K358="","",[1]ROSTERS!K358)</f>
        <v/>
      </c>
      <c r="L358" t="str">
        <f>IF([1]ROSTERS!L358="","",[1]ROSTERS!L358)</f>
        <v/>
      </c>
    </row>
    <row r="359" spans="1:12" x14ac:dyDescent="0.25">
      <c r="A359" s="3" t="str">
        <f>IF(B359="","",COUNTIF($H$3:H359,H359))</f>
        <v/>
      </c>
      <c r="B359" t="str">
        <f>IF([1]ROSTERS!B359="","",[1]ROSTERS!B359)</f>
        <v/>
      </c>
      <c r="C359" t="str">
        <f>IF([1]ROSTERS!C359="","",[1]ROSTERS!C359)</f>
        <v/>
      </c>
      <c r="D359" s="8" t="str">
        <f>IF([1]ROSTERS!D359="","",[1]ROSTERS!D359)</f>
        <v/>
      </c>
      <c r="E359" t="str">
        <f>IF([1]ROSTERS!E359="","",[1]ROSTERS!E359)</f>
        <v/>
      </c>
      <c r="F359" t="str">
        <f>IF([1]ROSTERS!F359="","",[1]ROSTERS!F359)</f>
        <v/>
      </c>
      <c r="G359" t="str">
        <f>IF([1]ROSTERS!G359="","",[1]ROSTERS!G359)</f>
        <v/>
      </c>
      <c r="H359" t="str">
        <f>IF([1]ROSTERS!H359="","",[1]ROSTERS!H359)</f>
        <v/>
      </c>
      <c r="I359" s="8" t="str">
        <f>IF([1]ROSTERS!I359="","",[1]ROSTERS!I359)</f>
        <v/>
      </c>
      <c r="J359" t="str">
        <f>IF([1]ROSTERS!J359="","",[1]ROSTERS!J359)</f>
        <v/>
      </c>
      <c r="K359" t="str">
        <f>IF([1]ROSTERS!K359="","",[1]ROSTERS!K359)</f>
        <v/>
      </c>
      <c r="L359" t="str">
        <f>IF([1]ROSTERS!L359="","",[1]ROSTERS!L359)</f>
        <v/>
      </c>
    </row>
    <row r="360" spans="1:12" x14ac:dyDescent="0.25">
      <c r="A360" s="3" t="str">
        <f>IF(B360="","",COUNTIF($H$3:H360,H360))</f>
        <v/>
      </c>
      <c r="B360" t="str">
        <f>IF([1]ROSTERS!B360="","",[1]ROSTERS!B360)</f>
        <v/>
      </c>
      <c r="C360" t="str">
        <f>IF([1]ROSTERS!C360="","",[1]ROSTERS!C360)</f>
        <v/>
      </c>
      <c r="D360" s="8" t="str">
        <f>IF([1]ROSTERS!D360="","",[1]ROSTERS!D360)</f>
        <v/>
      </c>
      <c r="E360" t="str">
        <f>IF([1]ROSTERS!E360="","",[1]ROSTERS!E360)</f>
        <v/>
      </c>
      <c r="F360" t="str">
        <f>IF([1]ROSTERS!F360="","",[1]ROSTERS!F360)</f>
        <v/>
      </c>
      <c r="G360" t="str">
        <f>IF([1]ROSTERS!G360="","",[1]ROSTERS!G360)</f>
        <v/>
      </c>
      <c r="H360" t="str">
        <f>IF([1]ROSTERS!H360="","",[1]ROSTERS!H360)</f>
        <v/>
      </c>
      <c r="I360" s="8" t="str">
        <f>IF([1]ROSTERS!I360="","",[1]ROSTERS!I360)</f>
        <v/>
      </c>
      <c r="J360" t="str">
        <f>IF([1]ROSTERS!J360="","",[1]ROSTERS!J360)</f>
        <v/>
      </c>
      <c r="K360" t="str">
        <f>IF([1]ROSTERS!K360="","",[1]ROSTERS!K360)</f>
        <v/>
      </c>
      <c r="L360" t="str">
        <f>IF([1]ROSTERS!L360="","",[1]ROSTERS!L360)</f>
        <v/>
      </c>
    </row>
    <row r="361" spans="1:12" x14ac:dyDescent="0.25">
      <c r="A361" s="3" t="str">
        <f>IF(B361="","",COUNTIF($H$3:H361,H361))</f>
        <v/>
      </c>
      <c r="B361" t="str">
        <f>IF([1]ROSTERS!B361="","",[1]ROSTERS!B361)</f>
        <v/>
      </c>
      <c r="C361" t="str">
        <f>IF([1]ROSTERS!C361="","",[1]ROSTERS!C361)</f>
        <v/>
      </c>
      <c r="D361" s="8" t="str">
        <f>IF([1]ROSTERS!D361="","",[1]ROSTERS!D361)</f>
        <v/>
      </c>
      <c r="E361" t="str">
        <f>IF([1]ROSTERS!E361="","",[1]ROSTERS!E361)</f>
        <v/>
      </c>
      <c r="F361" t="str">
        <f>IF([1]ROSTERS!F361="","",[1]ROSTERS!F361)</f>
        <v/>
      </c>
      <c r="G361" t="str">
        <f>IF([1]ROSTERS!G361="","",[1]ROSTERS!G361)</f>
        <v/>
      </c>
      <c r="H361" t="str">
        <f>IF([1]ROSTERS!H361="","",[1]ROSTERS!H361)</f>
        <v/>
      </c>
      <c r="I361" s="8" t="str">
        <f>IF([1]ROSTERS!I361="","",[1]ROSTERS!I361)</f>
        <v/>
      </c>
      <c r="J361" t="str">
        <f>IF([1]ROSTERS!J361="","",[1]ROSTERS!J361)</f>
        <v/>
      </c>
      <c r="K361" t="str">
        <f>IF([1]ROSTERS!K361="","",[1]ROSTERS!K361)</f>
        <v/>
      </c>
      <c r="L361" t="str">
        <f>IF([1]ROSTERS!L361="","",[1]ROSTERS!L361)</f>
        <v/>
      </c>
    </row>
    <row r="362" spans="1:12" x14ac:dyDescent="0.25">
      <c r="A362" s="3" t="str">
        <f>IF(B362="","",COUNTIF($H$3:H362,H362))</f>
        <v/>
      </c>
      <c r="B362" t="str">
        <f>IF([1]ROSTERS!B362="","",[1]ROSTERS!B362)</f>
        <v/>
      </c>
      <c r="C362" t="str">
        <f>IF([1]ROSTERS!C362="","",[1]ROSTERS!C362)</f>
        <v/>
      </c>
      <c r="D362" s="8" t="str">
        <f>IF([1]ROSTERS!D362="","",[1]ROSTERS!D362)</f>
        <v/>
      </c>
      <c r="E362" t="str">
        <f>IF([1]ROSTERS!E362="","",[1]ROSTERS!E362)</f>
        <v/>
      </c>
      <c r="F362" t="str">
        <f>IF([1]ROSTERS!F362="","",[1]ROSTERS!F362)</f>
        <v/>
      </c>
      <c r="G362" t="str">
        <f>IF([1]ROSTERS!G362="","",[1]ROSTERS!G362)</f>
        <v/>
      </c>
      <c r="H362" t="str">
        <f>IF([1]ROSTERS!H362="","",[1]ROSTERS!H362)</f>
        <v/>
      </c>
      <c r="I362" s="8" t="str">
        <f>IF([1]ROSTERS!I362="","",[1]ROSTERS!I362)</f>
        <v/>
      </c>
      <c r="J362" t="str">
        <f>IF([1]ROSTERS!J362="","",[1]ROSTERS!J362)</f>
        <v/>
      </c>
      <c r="K362" t="str">
        <f>IF([1]ROSTERS!K362="","",[1]ROSTERS!K362)</f>
        <v/>
      </c>
      <c r="L362" t="str">
        <f>IF([1]ROSTERS!L362="","",[1]ROSTERS!L362)</f>
        <v/>
      </c>
    </row>
    <row r="363" spans="1:12" x14ac:dyDescent="0.25">
      <c r="A363" s="3" t="str">
        <f>IF(B363="","",COUNTIF($H$3:H363,H363))</f>
        <v/>
      </c>
      <c r="B363" t="str">
        <f>IF([1]ROSTERS!B363="","",[1]ROSTERS!B363)</f>
        <v/>
      </c>
      <c r="C363" t="str">
        <f>IF([1]ROSTERS!C363="","",[1]ROSTERS!C363)</f>
        <v/>
      </c>
      <c r="D363" s="8" t="str">
        <f>IF([1]ROSTERS!D363="","",[1]ROSTERS!D363)</f>
        <v/>
      </c>
      <c r="E363" t="str">
        <f>IF([1]ROSTERS!E363="","",[1]ROSTERS!E363)</f>
        <v/>
      </c>
      <c r="F363" t="str">
        <f>IF([1]ROSTERS!F363="","",[1]ROSTERS!F363)</f>
        <v/>
      </c>
      <c r="G363" t="str">
        <f>IF([1]ROSTERS!G363="","",[1]ROSTERS!G363)</f>
        <v/>
      </c>
      <c r="H363" t="str">
        <f>IF([1]ROSTERS!H363="","",[1]ROSTERS!H363)</f>
        <v/>
      </c>
      <c r="I363" s="8" t="str">
        <f>IF([1]ROSTERS!I363="","",[1]ROSTERS!I363)</f>
        <v/>
      </c>
      <c r="J363" t="str">
        <f>IF([1]ROSTERS!J363="","",[1]ROSTERS!J363)</f>
        <v/>
      </c>
      <c r="K363" t="str">
        <f>IF([1]ROSTERS!K363="","",[1]ROSTERS!K363)</f>
        <v/>
      </c>
      <c r="L363" t="str">
        <f>IF([1]ROSTERS!L363="","",[1]ROSTERS!L363)</f>
        <v/>
      </c>
    </row>
    <row r="364" spans="1:12" x14ac:dyDescent="0.25">
      <c r="A364" s="3" t="str">
        <f>IF(B364="","",COUNTIF($H$3:H364,H364))</f>
        <v/>
      </c>
      <c r="B364" t="str">
        <f>IF([1]ROSTERS!B364="","",[1]ROSTERS!B364)</f>
        <v/>
      </c>
      <c r="C364" t="str">
        <f>IF([1]ROSTERS!C364="","",[1]ROSTERS!C364)</f>
        <v/>
      </c>
      <c r="D364" s="8" t="str">
        <f>IF([1]ROSTERS!D364="","",[1]ROSTERS!D364)</f>
        <v/>
      </c>
      <c r="E364" t="str">
        <f>IF([1]ROSTERS!E364="","",[1]ROSTERS!E364)</f>
        <v/>
      </c>
      <c r="F364" t="str">
        <f>IF([1]ROSTERS!F364="","",[1]ROSTERS!F364)</f>
        <v/>
      </c>
      <c r="G364" t="str">
        <f>IF([1]ROSTERS!G364="","",[1]ROSTERS!G364)</f>
        <v/>
      </c>
      <c r="H364" t="str">
        <f>IF([1]ROSTERS!H364="","",[1]ROSTERS!H364)</f>
        <v/>
      </c>
      <c r="I364" s="8" t="str">
        <f>IF([1]ROSTERS!I364="","",[1]ROSTERS!I364)</f>
        <v/>
      </c>
      <c r="J364" t="str">
        <f>IF([1]ROSTERS!J364="","",[1]ROSTERS!J364)</f>
        <v/>
      </c>
      <c r="K364" t="str">
        <f>IF([1]ROSTERS!K364="","",[1]ROSTERS!K364)</f>
        <v/>
      </c>
      <c r="L364" t="str">
        <f>IF([1]ROSTERS!L364="","",[1]ROSTERS!L364)</f>
        <v/>
      </c>
    </row>
    <row r="365" spans="1:12" x14ac:dyDescent="0.25">
      <c r="A365" s="3" t="str">
        <f>IF(B365="","",COUNTIF($H$3:H365,H365))</f>
        <v/>
      </c>
      <c r="B365" t="str">
        <f>IF([1]ROSTERS!B365="","",[1]ROSTERS!B365)</f>
        <v/>
      </c>
      <c r="C365" t="str">
        <f>IF([1]ROSTERS!C365="","",[1]ROSTERS!C365)</f>
        <v/>
      </c>
      <c r="D365" s="8" t="str">
        <f>IF([1]ROSTERS!D365="","",[1]ROSTERS!D365)</f>
        <v/>
      </c>
      <c r="E365" t="str">
        <f>IF([1]ROSTERS!E365="","",[1]ROSTERS!E365)</f>
        <v/>
      </c>
      <c r="F365" t="str">
        <f>IF([1]ROSTERS!F365="","",[1]ROSTERS!F365)</f>
        <v/>
      </c>
      <c r="G365" t="str">
        <f>IF([1]ROSTERS!G365="","",[1]ROSTERS!G365)</f>
        <v/>
      </c>
      <c r="H365" t="str">
        <f>IF([1]ROSTERS!H365="","",[1]ROSTERS!H365)</f>
        <v/>
      </c>
      <c r="I365" s="8" t="str">
        <f>IF([1]ROSTERS!I365="","",[1]ROSTERS!I365)</f>
        <v/>
      </c>
      <c r="J365" t="str">
        <f>IF([1]ROSTERS!J365="","",[1]ROSTERS!J365)</f>
        <v/>
      </c>
      <c r="K365" t="str">
        <f>IF([1]ROSTERS!K365="","",[1]ROSTERS!K365)</f>
        <v/>
      </c>
      <c r="L365" t="str">
        <f>IF([1]ROSTERS!L365="","",[1]ROSTERS!L365)</f>
        <v/>
      </c>
    </row>
    <row r="366" spans="1:12" x14ac:dyDescent="0.25">
      <c r="A366" s="3" t="str">
        <f>IF(B366="","",COUNTIF($H$3:H366,H366))</f>
        <v/>
      </c>
      <c r="B366" t="str">
        <f>IF([1]ROSTERS!B366="","",[1]ROSTERS!B366)</f>
        <v/>
      </c>
      <c r="C366" t="str">
        <f>IF([1]ROSTERS!C366="","",[1]ROSTERS!C366)</f>
        <v/>
      </c>
      <c r="D366" s="8" t="str">
        <f>IF([1]ROSTERS!D366="","",[1]ROSTERS!D366)</f>
        <v/>
      </c>
      <c r="E366" t="str">
        <f>IF([1]ROSTERS!E366="","",[1]ROSTERS!E366)</f>
        <v/>
      </c>
      <c r="F366" t="str">
        <f>IF([1]ROSTERS!F366="","",[1]ROSTERS!F366)</f>
        <v/>
      </c>
      <c r="G366" t="str">
        <f>IF([1]ROSTERS!G366="","",[1]ROSTERS!G366)</f>
        <v/>
      </c>
      <c r="H366" t="str">
        <f>IF([1]ROSTERS!H366="","",[1]ROSTERS!H366)</f>
        <v/>
      </c>
      <c r="I366" s="8" t="str">
        <f>IF([1]ROSTERS!I366="","",[1]ROSTERS!I366)</f>
        <v/>
      </c>
      <c r="J366" t="str">
        <f>IF([1]ROSTERS!J366="","",[1]ROSTERS!J366)</f>
        <v/>
      </c>
      <c r="K366" t="str">
        <f>IF([1]ROSTERS!K366="","",[1]ROSTERS!K366)</f>
        <v/>
      </c>
      <c r="L366" t="str">
        <f>IF([1]ROSTERS!L366="","",[1]ROSTERS!L366)</f>
        <v/>
      </c>
    </row>
    <row r="367" spans="1:12" x14ac:dyDescent="0.25">
      <c r="A367" s="3" t="str">
        <f>IF(B367="","",COUNTIF($H$3:H367,H367))</f>
        <v/>
      </c>
      <c r="B367" t="str">
        <f>IF([1]ROSTERS!B367="","",[1]ROSTERS!B367)</f>
        <v/>
      </c>
      <c r="C367" t="str">
        <f>IF([1]ROSTERS!C367="","",[1]ROSTERS!C367)</f>
        <v/>
      </c>
      <c r="D367" s="8" t="str">
        <f>IF([1]ROSTERS!D367="","",[1]ROSTERS!D367)</f>
        <v/>
      </c>
      <c r="E367" t="str">
        <f>IF([1]ROSTERS!E367="","",[1]ROSTERS!E367)</f>
        <v/>
      </c>
      <c r="F367" t="str">
        <f>IF([1]ROSTERS!F367="","",[1]ROSTERS!F367)</f>
        <v/>
      </c>
      <c r="G367" t="str">
        <f>IF([1]ROSTERS!G367="","",[1]ROSTERS!G367)</f>
        <v/>
      </c>
      <c r="H367" t="str">
        <f>IF([1]ROSTERS!H367="","",[1]ROSTERS!H367)</f>
        <v/>
      </c>
      <c r="I367" s="8" t="str">
        <f>IF([1]ROSTERS!I367="","",[1]ROSTERS!I367)</f>
        <v/>
      </c>
      <c r="J367" t="str">
        <f>IF([1]ROSTERS!J367="","",[1]ROSTERS!J367)</f>
        <v/>
      </c>
      <c r="K367" t="str">
        <f>IF([1]ROSTERS!K367="","",[1]ROSTERS!K367)</f>
        <v/>
      </c>
      <c r="L367" t="str">
        <f>IF([1]ROSTERS!L367="","",[1]ROSTERS!L367)</f>
        <v/>
      </c>
    </row>
    <row r="368" spans="1:12" x14ac:dyDescent="0.25">
      <c r="A368" s="3" t="str">
        <f>IF(B368="","",COUNTIF($H$3:H368,H368))</f>
        <v/>
      </c>
      <c r="B368" t="str">
        <f>IF([1]ROSTERS!B368="","",[1]ROSTERS!B368)</f>
        <v/>
      </c>
      <c r="C368" t="str">
        <f>IF([1]ROSTERS!C368="","",[1]ROSTERS!C368)</f>
        <v/>
      </c>
      <c r="D368" s="8" t="str">
        <f>IF([1]ROSTERS!D368="","",[1]ROSTERS!D368)</f>
        <v/>
      </c>
      <c r="E368" t="str">
        <f>IF([1]ROSTERS!E368="","",[1]ROSTERS!E368)</f>
        <v/>
      </c>
      <c r="F368" t="str">
        <f>IF([1]ROSTERS!F368="","",[1]ROSTERS!F368)</f>
        <v/>
      </c>
      <c r="G368" t="str">
        <f>IF([1]ROSTERS!G368="","",[1]ROSTERS!G368)</f>
        <v/>
      </c>
      <c r="H368" t="str">
        <f>IF([1]ROSTERS!H368="","",[1]ROSTERS!H368)</f>
        <v/>
      </c>
      <c r="I368" s="8" t="str">
        <f>IF([1]ROSTERS!I368="","",[1]ROSTERS!I368)</f>
        <v/>
      </c>
      <c r="J368" t="str">
        <f>IF([1]ROSTERS!J368="","",[1]ROSTERS!J368)</f>
        <v/>
      </c>
      <c r="K368" t="str">
        <f>IF([1]ROSTERS!K368="","",[1]ROSTERS!K368)</f>
        <v/>
      </c>
      <c r="L368" t="str">
        <f>IF([1]ROSTERS!L368="","",[1]ROSTERS!L368)</f>
        <v/>
      </c>
    </row>
    <row r="369" spans="1:12" x14ac:dyDescent="0.25">
      <c r="A369" s="3" t="str">
        <f>IF(B369="","",COUNTIF($H$3:H369,H369))</f>
        <v/>
      </c>
      <c r="B369" t="str">
        <f>IF([1]ROSTERS!B369="","",[1]ROSTERS!B369)</f>
        <v/>
      </c>
      <c r="C369" t="str">
        <f>IF([1]ROSTERS!C369="","",[1]ROSTERS!C369)</f>
        <v/>
      </c>
      <c r="D369" s="8" t="str">
        <f>IF([1]ROSTERS!D369="","",[1]ROSTERS!D369)</f>
        <v/>
      </c>
      <c r="E369" t="str">
        <f>IF([1]ROSTERS!E369="","",[1]ROSTERS!E369)</f>
        <v/>
      </c>
      <c r="F369" t="str">
        <f>IF([1]ROSTERS!F369="","",[1]ROSTERS!F369)</f>
        <v/>
      </c>
      <c r="G369" t="str">
        <f>IF([1]ROSTERS!G369="","",[1]ROSTERS!G369)</f>
        <v/>
      </c>
      <c r="H369" t="str">
        <f>IF([1]ROSTERS!H369="","",[1]ROSTERS!H369)</f>
        <v/>
      </c>
      <c r="I369" s="8" t="str">
        <f>IF([1]ROSTERS!I369="","",[1]ROSTERS!I369)</f>
        <v/>
      </c>
      <c r="J369" t="str">
        <f>IF([1]ROSTERS!J369="","",[1]ROSTERS!J369)</f>
        <v/>
      </c>
      <c r="K369" t="str">
        <f>IF([1]ROSTERS!K369="","",[1]ROSTERS!K369)</f>
        <v/>
      </c>
      <c r="L369" t="str">
        <f>IF([1]ROSTERS!L369="","",[1]ROSTERS!L369)</f>
        <v/>
      </c>
    </row>
    <row r="370" spans="1:12" x14ac:dyDescent="0.25">
      <c r="A370" s="3" t="str">
        <f>IF(B370="","",COUNTIF($H$3:H370,H370))</f>
        <v/>
      </c>
      <c r="B370" t="str">
        <f>IF([1]ROSTERS!B370="","",[1]ROSTERS!B370)</f>
        <v/>
      </c>
      <c r="C370" t="str">
        <f>IF([1]ROSTERS!C370="","",[1]ROSTERS!C370)</f>
        <v/>
      </c>
      <c r="D370" s="8" t="str">
        <f>IF([1]ROSTERS!D370="","",[1]ROSTERS!D370)</f>
        <v/>
      </c>
      <c r="E370" t="str">
        <f>IF([1]ROSTERS!E370="","",[1]ROSTERS!E370)</f>
        <v/>
      </c>
      <c r="F370" t="str">
        <f>IF([1]ROSTERS!F370="","",[1]ROSTERS!F370)</f>
        <v/>
      </c>
      <c r="G370" t="str">
        <f>IF([1]ROSTERS!G370="","",[1]ROSTERS!G370)</f>
        <v/>
      </c>
      <c r="H370" t="str">
        <f>IF([1]ROSTERS!H370="","",[1]ROSTERS!H370)</f>
        <v/>
      </c>
      <c r="I370" s="8" t="str">
        <f>IF([1]ROSTERS!I370="","",[1]ROSTERS!I370)</f>
        <v/>
      </c>
      <c r="J370" t="str">
        <f>IF([1]ROSTERS!J370="","",[1]ROSTERS!J370)</f>
        <v/>
      </c>
      <c r="K370" t="str">
        <f>IF([1]ROSTERS!K370="","",[1]ROSTERS!K370)</f>
        <v/>
      </c>
      <c r="L370" t="str">
        <f>IF([1]ROSTERS!L370="","",[1]ROSTERS!L370)</f>
        <v/>
      </c>
    </row>
    <row r="371" spans="1:12" x14ac:dyDescent="0.25">
      <c r="A371" s="3" t="str">
        <f>IF(B371="","",COUNTIF($H$3:H371,H371))</f>
        <v/>
      </c>
      <c r="B371" t="str">
        <f>IF([1]ROSTERS!B371="","",[1]ROSTERS!B371)</f>
        <v/>
      </c>
      <c r="C371" t="str">
        <f>IF([1]ROSTERS!C371="","",[1]ROSTERS!C371)</f>
        <v/>
      </c>
      <c r="D371" s="8" t="str">
        <f>IF([1]ROSTERS!D371="","",[1]ROSTERS!D371)</f>
        <v/>
      </c>
      <c r="E371" t="str">
        <f>IF([1]ROSTERS!E371="","",[1]ROSTERS!E371)</f>
        <v/>
      </c>
      <c r="F371" t="str">
        <f>IF([1]ROSTERS!F371="","",[1]ROSTERS!F371)</f>
        <v/>
      </c>
      <c r="G371" t="str">
        <f>IF([1]ROSTERS!G371="","",[1]ROSTERS!G371)</f>
        <v/>
      </c>
      <c r="H371" t="str">
        <f>IF([1]ROSTERS!H371="","",[1]ROSTERS!H371)</f>
        <v/>
      </c>
      <c r="I371" s="8" t="str">
        <f>IF([1]ROSTERS!I371="","",[1]ROSTERS!I371)</f>
        <v/>
      </c>
      <c r="J371" t="str">
        <f>IF([1]ROSTERS!J371="","",[1]ROSTERS!J371)</f>
        <v/>
      </c>
      <c r="K371" t="str">
        <f>IF([1]ROSTERS!K371="","",[1]ROSTERS!K371)</f>
        <v/>
      </c>
      <c r="L371" t="str">
        <f>IF([1]ROSTERS!L371="","",[1]ROSTERS!L371)</f>
        <v/>
      </c>
    </row>
    <row r="372" spans="1:12" x14ac:dyDescent="0.25">
      <c r="A372" s="3" t="str">
        <f>IF(B372="","",COUNTIF($H$3:H372,H372))</f>
        <v/>
      </c>
      <c r="B372" t="str">
        <f>IF([1]ROSTERS!B372="","",[1]ROSTERS!B372)</f>
        <v/>
      </c>
      <c r="C372" t="str">
        <f>IF([1]ROSTERS!C372="","",[1]ROSTERS!C372)</f>
        <v/>
      </c>
      <c r="D372" s="8" t="str">
        <f>IF([1]ROSTERS!D372="","",[1]ROSTERS!D372)</f>
        <v/>
      </c>
      <c r="E372" t="str">
        <f>IF([1]ROSTERS!E372="","",[1]ROSTERS!E372)</f>
        <v/>
      </c>
      <c r="F372" t="str">
        <f>IF([1]ROSTERS!F372="","",[1]ROSTERS!F372)</f>
        <v/>
      </c>
      <c r="G372" t="str">
        <f>IF([1]ROSTERS!G372="","",[1]ROSTERS!G372)</f>
        <v/>
      </c>
      <c r="H372" t="str">
        <f>IF([1]ROSTERS!H372="","",[1]ROSTERS!H372)</f>
        <v/>
      </c>
      <c r="I372" s="8" t="str">
        <f>IF([1]ROSTERS!I372="","",[1]ROSTERS!I372)</f>
        <v/>
      </c>
      <c r="J372" t="str">
        <f>IF([1]ROSTERS!J372="","",[1]ROSTERS!J372)</f>
        <v/>
      </c>
      <c r="K372" t="str">
        <f>IF([1]ROSTERS!K372="","",[1]ROSTERS!K372)</f>
        <v/>
      </c>
      <c r="L372" t="str">
        <f>IF([1]ROSTERS!L372="","",[1]ROSTERS!L372)</f>
        <v/>
      </c>
    </row>
    <row r="373" spans="1:12" x14ac:dyDescent="0.25">
      <c r="A373" s="3" t="str">
        <f>IF(B373="","",COUNTIF($H$3:H373,H373))</f>
        <v/>
      </c>
      <c r="B373" t="str">
        <f>IF([1]ROSTERS!B373="","",[1]ROSTERS!B373)</f>
        <v/>
      </c>
      <c r="C373" t="str">
        <f>IF([1]ROSTERS!C373="","",[1]ROSTERS!C373)</f>
        <v/>
      </c>
      <c r="D373" s="8" t="str">
        <f>IF([1]ROSTERS!D373="","",[1]ROSTERS!D373)</f>
        <v/>
      </c>
      <c r="E373" t="str">
        <f>IF([1]ROSTERS!E373="","",[1]ROSTERS!E373)</f>
        <v/>
      </c>
      <c r="F373" t="str">
        <f>IF([1]ROSTERS!F373="","",[1]ROSTERS!F373)</f>
        <v/>
      </c>
      <c r="G373" t="str">
        <f>IF([1]ROSTERS!G373="","",[1]ROSTERS!G373)</f>
        <v/>
      </c>
      <c r="H373" t="str">
        <f>IF([1]ROSTERS!H373="","",[1]ROSTERS!H373)</f>
        <v/>
      </c>
      <c r="I373" s="8" t="str">
        <f>IF([1]ROSTERS!I373="","",[1]ROSTERS!I373)</f>
        <v/>
      </c>
      <c r="J373" t="str">
        <f>IF([1]ROSTERS!J373="","",[1]ROSTERS!J373)</f>
        <v/>
      </c>
      <c r="K373" t="str">
        <f>IF([1]ROSTERS!K373="","",[1]ROSTERS!K373)</f>
        <v/>
      </c>
      <c r="L373" t="str">
        <f>IF([1]ROSTERS!L373="","",[1]ROSTERS!L373)</f>
        <v/>
      </c>
    </row>
    <row r="374" spans="1:12" x14ac:dyDescent="0.25">
      <c r="A374" s="3" t="str">
        <f>IF(B374="","",COUNTIF($H$3:H374,H374))</f>
        <v/>
      </c>
      <c r="B374" t="str">
        <f>IF([1]ROSTERS!B374="","",[1]ROSTERS!B374)</f>
        <v/>
      </c>
      <c r="C374" t="str">
        <f>IF([1]ROSTERS!C374="","",[1]ROSTERS!C374)</f>
        <v/>
      </c>
      <c r="D374" s="8" t="str">
        <f>IF([1]ROSTERS!D374="","",[1]ROSTERS!D374)</f>
        <v/>
      </c>
      <c r="E374" t="str">
        <f>IF([1]ROSTERS!E374="","",[1]ROSTERS!E374)</f>
        <v/>
      </c>
      <c r="F374" t="str">
        <f>IF([1]ROSTERS!F374="","",[1]ROSTERS!F374)</f>
        <v/>
      </c>
      <c r="G374" t="str">
        <f>IF([1]ROSTERS!G374="","",[1]ROSTERS!G374)</f>
        <v/>
      </c>
      <c r="H374" t="str">
        <f>IF([1]ROSTERS!H374="","",[1]ROSTERS!H374)</f>
        <v/>
      </c>
      <c r="I374" s="8" t="str">
        <f>IF([1]ROSTERS!I374="","",[1]ROSTERS!I374)</f>
        <v/>
      </c>
      <c r="J374" t="str">
        <f>IF([1]ROSTERS!J374="","",[1]ROSTERS!J374)</f>
        <v/>
      </c>
      <c r="K374" t="str">
        <f>IF([1]ROSTERS!K374="","",[1]ROSTERS!K374)</f>
        <v/>
      </c>
      <c r="L374" t="str">
        <f>IF([1]ROSTERS!L374="","",[1]ROSTERS!L374)</f>
        <v/>
      </c>
    </row>
    <row r="375" spans="1:12" x14ac:dyDescent="0.25">
      <c r="A375" s="3" t="str">
        <f>IF(B375="","",COUNTIF($H$3:H375,H375))</f>
        <v/>
      </c>
      <c r="B375" t="str">
        <f>IF([1]ROSTERS!B375="","",[1]ROSTERS!B375)</f>
        <v/>
      </c>
      <c r="C375" t="str">
        <f>IF([1]ROSTERS!C375="","",[1]ROSTERS!C375)</f>
        <v/>
      </c>
      <c r="D375" s="8" t="str">
        <f>IF([1]ROSTERS!D375="","",[1]ROSTERS!D375)</f>
        <v/>
      </c>
      <c r="E375" t="str">
        <f>IF([1]ROSTERS!E375="","",[1]ROSTERS!E375)</f>
        <v/>
      </c>
      <c r="F375" t="str">
        <f>IF([1]ROSTERS!F375="","",[1]ROSTERS!F375)</f>
        <v/>
      </c>
      <c r="G375" t="str">
        <f>IF([1]ROSTERS!G375="","",[1]ROSTERS!G375)</f>
        <v/>
      </c>
      <c r="H375" t="str">
        <f>IF([1]ROSTERS!H375="","",[1]ROSTERS!H375)</f>
        <v/>
      </c>
      <c r="I375" s="8" t="str">
        <f>IF([1]ROSTERS!I375="","",[1]ROSTERS!I375)</f>
        <v/>
      </c>
      <c r="J375" t="str">
        <f>IF([1]ROSTERS!J375="","",[1]ROSTERS!J375)</f>
        <v/>
      </c>
      <c r="K375" t="str">
        <f>IF([1]ROSTERS!K375="","",[1]ROSTERS!K375)</f>
        <v/>
      </c>
      <c r="L375" t="str">
        <f>IF([1]ROSTERS!L375="","",[1]ROSTERS!L375)</f>
        <v/>
      </c>
    </row>
    <row r="376" spans="1:12" x14ac:dyDescent="0.25">
      <c r="A376" s="3" t="str">
        <f>IF(B376="","",COUNTIF($H$3:H376,H376))</f>
        <v/>
      </c>
      <c r="B376" t="str">
        <f>IF([1]ROSTERS!B376="","",[1]ROSTERS!B376)</f>
        <v/>
      </c>
      <c r="C376" t="str">
        <f>IF([1]ROSTERS!C376="","",[1]ROSTERS!C376)</f>
        <v/>
      </c>
      <c r="D376" s="8" t="str">
        <f>IF([1]ROSTERS!D376="","",[1]ROSTERS!D376)</f>
        <v/>
      </c>
      <c r="E376" t="str">
        <f>IF([1]ROSTERS!E376="","",[1]ROSTERS!E376)</f>
        <v/>
      </c>
      <c r="F376" t="str">
        <f>IF([1]ROSTERS!F376="","",[1]ROSTERS!F376)</f>
        <v/>
      </c>
      <c r="G376" t="str">
        <f>IF([1]ROSTERS!G376="","",[1]ROSTERS!G376)</f>
        <v/>
      </c>
      <c r="H376" t="str">
        <f>IF([1]ROSTERS!H376="","",[1]ROSTERS!H376)</f>
        <v/>
      </c>
      <c r="I376" s="8" t="str">
        <f>IF([1]ROSTERS!I376="","",[1]ROSTERS!I376)</f>
        <v/>
      </c>
      <c r="J376" t="str">
        <f>IF([1]ROSTERS!J376="","",[1]ROSTERS!J376)</f>
        <v/>
      </c>
      <c r="K376" t="str">
        <f>IF([1]ROSTERS!K376="","",[1]ROSTERS!K376)</f>
        <v/>
      </c>
      <c r="L376" t="str">
        <f>IF([1]ROSTERS!L376="","",[1]ROSTERS!L376)</f>
        <v/>
      </c>
    </row>
    <row r="377" spans="1:12" x14ac:dyDescent="0.25">
      <c r="A377" s="3" t="str">
        <f>IF(B377="","",COUNTIF($H$3:H377,H377))</f>
        <v/>
      </c>
      <c r="B377" t="str">
        <f>IF([1]ROSTERS!B377="","",[1]ROSTERS!B377)</f>
        <v/>
      </c>
      <c r="C377" t="str">
        <f>IF([1]ROSTERS!C377="","",[1]ROSTERS!C377)</f>
        <v/>
      </c>
      <c r="D377" s="8" t="str">
        <f>IF([1]ROSTERS!D377="","",[1]ROSTERS!D377)</f>
        <v/>
      </c>
      <c r="E377" t="str">
        <f>IF([1]ROSTERS!E377="","",[1]ROSTERS!E377)</f>
        <v/>
      </c>
      <c r="F377" t="str">
        <f>IF([1]ROSTERS!F377="","",[1]ROSTERS!F377)</f>
        <v/>
      </c>
      <c r="G377" t="str">
        <f>IF([1]ROSTERS!G377="","",[1]ROSTERS!G377)</f>
        <v/>
      </c>
      <c r="H377" t="str">
        <f>IF([1]ROSTERS!H377="","",[1]ROSTERS!H377)</f>
        <v/>
      </c>
      <c r="I377" s="8" t="str">
        <f>IF([1]ROSTERS!I377="","",[1]ROSTERS!I377)</f>
        <v/>
      </c>
      <c r="J377" t="str">
        <f>IF([1]ROSTERS!J377="","",[1]ROSTERS!J377)</f>
        <v/>
      </c>
      <c r="K377" t="str">
        <f>IF([1]ROSTERS!K377="","",[1]ROSTERS!K377)</f>
        <v/>
      </c>
      <c r="L377" t="str">
        <f>IF([1]ROSTERS!L377="","",[1]ROSTERS!L377)</f>
        <v/>
      </c>
    </row>
    <row r="378" spans="1:12" x14ac:dyDescent="0.25">
      <c r="A378" s="3" t="str">
        <f>IF(B378="","",COUNTIF($H$3:H378,H378))</f>
        <v/>
      </c>
      <c r="B378" t="str">
        <f>IF([1]ROSTERS!B378="","",[1]ROSTERS!B378)</f>
        <v/>
      </c>
      <c r="C378" t="str">
        <f>IF([1]ROSTERS!C378="","",[1]ROSTERS!C378)</f>
        <v/>
      </c>
      <c r="D378" s="8" t="str">
        <f>IF([1]ROSTERS!D378="","",[1]ROSTERS!D378)</f>
        <v/>
      </c>
      <c r="E378" t="str">
        <f>IF([1]ROSTERS!E378="","",[1]ROSTERS!E378)</f>
        <v/>
      </c>
      <c r="F378" t="str">
        <f>IF([1]ROSTERS!F378="","",[1]ROSTERS!F378)</f>
        <v/>
      </c>
      <c r="G378" t="str">
        <f>IF([1]ROSTERS!G378="","",[1]ROSTERS!G378)</f>
        <v/>
      </c>
      <c r="H378" t="str">
        <f>IF([1]ROSTERS!H378="","",[1]ROSTERS!H378)</f>
        <v/>
      </c>
      <c r="I378" s="8" t="str">
        <f>IF([1]ROSTERS!I378="","",[1]ROSTERS!I378)</f>
        <v/>
      </c>
      <c r="J378" t="str">
        <f>IF([1]ROSTERS!J378="","",[1]ROSTERS!J378)</f>
        <v/>
      </c>
      <c r="K378" t="str">
        <f>IF([1]ROSTERS!K378="","",[1]ROSTERS!K378)</f>
        <v/>
      </c>
      <c r="L378" t="str">
        <f>IF([1]ROSTERS!L378="","",[1]ROSTERS!L378)</f>
        <v/>
      </c>
    </row>
    <row r="379" spans="1:12" x14ac:dyDescent="0.25">
      <c r="A379" s="3" t="str">
        <f>IF(B379="","",COUNTIF($H$3:H379,H379))</f>
        <v/>
      </c>
      <c r="B379" t="str">
        <f>IF([1]ROSTERS!B379="","",[1]ROSTERS!B379)</f>
        <v/>
      </c>
      <c r="C379" t="str">
        <f>IF([1]ROSTERS!C379="","",[1]ROSTERS!C379)</f>
        <v/>
      </c>
      <c r="D379" s="8" t="str">
        <f>IF([1]ROSTERS!D379="","",[1]ROSTERS!D379)</f>
        <v/>
      </c>
      <c r="E379" t="str">
        <f>IF([1]ROSTERS!E379="","",[1]ROSTERS!E379)</f>
        <v/>
      </c>
      <c r="F379" t="str">
        <f>IF([1]ROSTERS!F379="","",[1]ROSTERS!F379)</f>
        <v/>
      </c>
      <c r="G379" t="str">
        <f>IF([1]ROSTERS!G379="","",[1]ROSTERS!G379)</f>
        <v/>
      </c>
      <c r="H379" t="str">
        <f>IF([1]ROSTERS!H379="","",[1]ROSTERS!H379)</f>
        <v/>
      </c>
      <c r="I379" s="8" t="str">
        <f>IF([1]ROSTERS!I379="","",[1]ROSTERS!I379)</f>
        <v/>
      </c>
      <c r="J379" t="str">
        <f>IF([1]ROSTERS!J379="","",[1]ROSTERS!J379)</f>
        <v/>
      </c>
      <c r="K379" t="str">
        <f>IF([1]ROSTERS!K379="","",[1]ROSTERS!K379)</f>
        <v/>
      </c>
      <c r="L379" t="str">
        <f>IF([1]ROSTERS!L379="","",[1]ROSTERS!L379)</f>
        <v/>
      </c>
    </row>
    <row r="380" spans="1:12" x14ac:dyDescent="0.25">
      <c r="A380" s="3" t="str">
        <f>IF(B380="","",COUNTIF($H$3:H380,H380))</f>
        <v/>
      </c>
      <c r="B380" t="str">
        <f>IF([1]ROSTERS!B380="","",[1]ROSTERS!B380)</f>
        <v/>
      </c>
      <c r="C380" t="str">
        <f>IF([1]ROSTERS!C380="","",[1]ROSTERS!C380)</f>
        <v/>
      </c>
      <c r="D380" s="8" t="str">
        <f>IF([1]ROSTERS!D380="","",[1]ROSTERS!D380)</f>
        <v/>
      </c>
      <c r="E380" t="str">
        <f>IF([1]ROSTERS!E380="","",[1]ROSTERS!E380)</f>
        <v/>
      </c>
      <c r="F380" t="str">
        <f>IF([1]ROSTERS!F380="","",[1]ROSTERS!F380)</f>
        <v/>
      </c>
      <c r="G380" t="str">
        <f>IF([1]ROSTERS!G380="","",[1]ROSTERS!G380)</f>
        <v/>
      </c>
      <c r="H380" t="str">
        <f>IF([1]ROSTERS!H380="","",[1]ROSTERS!H380)</f>
        <v/>
      </c>
      <c r="I380" s="8" t="str">
        <f>IF([1]ROSTERS!I380="","",[1]ROSTERS!I380)</f>
        <v/>
      </c>
      <c r="J380" t="str">
        <f>IF([1]ROSTERS!J380="","",[1]ROSTERS!J380)</f>
        <v/>
      </c>
      <c r="K380" t="str">
        <f>IF([1]ROSTERS!K380="","",[1]ROSTERS!K380)</f>
        <v/>
      </c>
      <c r="L380" t="str">
        <f>IF([1]ROSTERS!L380="","",[1]ROSTERS!L380)</f>
        <v/>
      </c>
    </row>
    <row r="381" spans="1:12" x14ac:dyDescent="0.25">
      <c r="A381" s="3" t="str">
        <f>IF(B381="","",COUNTIF($H$3:H381,H381))</f>
        <v/>
      </c>
      <c r="B381" t="str">
        <f>IF([1]ROSTERS!B381="","",[1]ROSTERS!B381)</f>
        <v/>
      </c>
      <c r="C381" t="str">
        <f>IF([1]ROSTERS!C381="","",[1]ROSTERS!C381)</f>
        <v/>
      </c>
      <c r="D381" s="8" t="str">
        <f>IF([1]ROSTERS!D381="","",[1]ROSTERS!D381)</f>
        <v/>
      </c>
      <c r="E381" t="str">
        <f>IF([1]ROSTERS!E381="","",[1]ROSTERS!E381)</f>
        <v/>
      </c>
      <c r="F381" t="str">
        <f>IF([1]ROSTERS!F381="","",[1]ROSTERS!F381)</f>
        <v/>
      </c>
      <c r="G381" t="str">
        <f>IF([1]ROSTERS!G381="","",[1]ROSTERS!G381)</f>
        <v/>
      </c>
      <c r="H381" t="str">
        <f>IF([1]ROSTERS!H381="","",[1]ROSTERS!H381)</f>
        <v/>
      </c>
      <c r="I381" s="8" t="str">
        <f>IF([1]ROSTERS!I381="","",[1]ROSTERS!I381)</f>
        <v/>
      </c>
      <c r="J381" t="str">
        <f>IF([1]ROSTERS!J381="","",[1]ROSTERS!J381)</f>
        <v/>
      </c>
      <c r="K381" t="str">
        <f>IF([1]ROSTERS!K381="","",[1]ROSTERS!K381)</f>
        <v/>
      </c>
      <c r="L381" t="str">
        <f>IF([1]ROSTERS!L381="","",[1]ROSTERS!L381)</f>
        <v/>
      </c>
    </row>
    <row r="382" spans="1:12" x14ac:dyDescent="0.25">
      <c r="A382" s="3" t="str">
        <f>IF(B382="","",COUNTIF($H$3:H382,H382))</f>
        <v/>
      </c>
      <c r="B382" t="str">
        <f>IF([1]ROSTERS!B382="","",[1]ROSTERS!B382)</f>
        <v/>
      </c>
      <c r="C382" t="str">
        <f>IF([1]ROSTERS!C382="","",[1]ROSTERS!C382)</f>
        <v/>
      </c>
      <c r="D382" s="8" t="str">
        <f>IF([1]ROSTERS!D382="","",[1]ROSTERS!D382)</f>
        <v/>
      </c>
      <c r="E382" t="str">
        <f>IF([1]ROSTERS!E382="","",[1]ROSTERS!E382)</f>
        <v/>
      </c>
      <c r="F382" t="str">
        <f>IF([1]ROSTERS!F382="","",[1]ROSTERS!F382)</f>
        <v/>
      </c>
      <c r="G382" t="str">
        <f>IF([1]ROSTERS!G382="","",[1]ROSTERS!G382)</f>
        <v/>
      </c>
      <c r="H382" t="str">
        <f>IF([1]ROSTERS!H382="","",[1]ROSTERS!H382)</f>
        <v/>
      </c>
      <c r="I382" s="8" t="str">
        <f>IF([1]ROSTERS!I382="","",[1]ROSTERS!I382)</f>
        <v/>
      </c>
      <c r="J382" t="str">
        <f>IF([1]ROSTERS!J382="","",[1]ROSTERS!J382)</f>
        <v/>
      </c>
      <c r="K382" t="str">
        <f>IF([1]ROSTERS!K382="","",[1]ROSTERS!K382)</f>
        <v/>
      </c>
      <c r="L382" t="str">
        <f>IF([1]ROSTERS!L382="","",[1]ROSTERS!L382)</f>
        <v/>
      </c>
    </row>
    <row r="383" spans="1:12" x14ac:dyDescent="0.25">
      <c r="A383" s="3" t="str">
        <f>IF(B383="","",COUNTIF($H$3:H383,H383))</f>
        <v/>
      </c>
      <c r="B383" t="str">
        <f>IF([1]ROSTERS!B383="","",[1]ROSTERS!B383)</f>
        <v/>
      </c>
      <c r="C383" t="str">
        <f>IF([1]ROSTERS!C383="","",[1]ROSTERS!C383)</f>
        <v/>
      </c>
      <c r="D383" s="8" t="str">
        <f>IF([1]ROSTERS!D383="","",[1]ROSTERS!D383)</f>
        <v/>
      </c>
      <c r="E383" t="str">
        <f>IF([1]ROSTERS!E383="","",[1]ROSTERS!E383)</f>
        <v/>
      </c>
      <c r="F383" t="str">
        <f>IF([1]ROSTERS!F383="","",[1]ROSTERS!F383)</f>
        <v/>
      </c>
      <c r="G383" t="str">
        <f>IF([1]ROSTERS!G383="","",[1]ROSTERS!G383)</f>
        <v/>
      </c>
      <c r="H383" t="str">
        <f>IF([1]ROSTERS!H383="","",[1]ROSTERS!H383)</f>
        <v/>
      </c>
      <c r="I383" s="8" t="str">
        <f>IF([1]ROSTERS!I383="","",[1]ROSTERS!I383)</f>
        <v/>
      </c>
      <c r="J383" t="str">
        <f>IF([1]ROSTERS!J383="","",[1]ROSTERS!J383)</f>
        <v/>
      </c>
      <c r="K383" t="str">
        <f>IF([1]ROSTERS!K383="","",[1]ROSTERS!K383)</f>
        <v/>
      </c>
      <c r="L383" t="str">
        <f>IF([1]ROSTERS!L383="","",[1]ROSTERS!L383)</f>
        <v/>
      </c>
    </row>
    <row r="384" spans="1:12" x14ac:dyDescent="0.25">
      <c r="A384" s="3" t="str">
        <f>IF(B384="","",COUNTIF($H$3:H384,H384))</f>
        <v/>
      </c>
      <c r="B384" t="str">
        <f>IF([1]ROSTERS!B384="","",[1]ROSTERS!B384)</f>
        <v/>
      </c>
      <c r="C384" t="str">
        <f>IF([1]ROSTERS!C384="","",[1]ROSTERS!C384)</f>
        <v/>
      </c>
      <c r="D384" s="8" t="str">
        <f>IF([1]ROSTERS!D384="","",[1]ROSTERS!D384)</f>
        <v/>
      </c>
      <c r="E384" t="str">
        <f>IF([1]ROSTERS!E384="","",[1]ROSTERS!E384)</f>
        <v/>
      </c>
      <c r="F384" t="str">
        <f>IF([1]ROSTERS!F384="","",[1]ROSTERS!F384)</f>
        <v/>
      </c>
      <c r="G384" t="str">
        <f>IF([1]ROSTERS!G384="","",[1]ROSTERS!G384)</f>
        <v/>
      </c>
      <c r="H384" t="str">
        <f>IF([1]ROSTERS!H384="","",[1]ROSTERS!H384)</f>
        <v/>
      </c>
      <c r="I384" s="8" t="str">
        <f>IF([1]ROSTERS!I384="","",[1]ROSTERS!I384)</f>
        <v/>
      </c>
      <c r="J384" t="str">
        <f>IF([1]ROSTERS!J384="","",[1]ROSTERS!J384)</f>
        <v/>
      </c>
      <c r="K384" t="str">
        <f>IF([1]ROSTERS!K384="","",[1]ROSTERS!K384)</f>
        <v/>
      </c>
      <c r="L384" t="str">
        <f>IF([1]ROSTERS!L384="","",[1]ROSTERS!L384)</f>
        <v/>
      </c>
    </row>
    <row r="385" spans="1:12" x14ac:dyDescent="0.25">
      <c r="A385" s="3" t="str">
        <f>IF(B385="","",COUNTIF($H$3:H385,H385))</f>
        <v/>
      </c>
      <c r="B385" t="str">
        <f>IF([1]ROSTERS!B385="","",[1]ROSTERS!B385)</f>
        <v/>
      </c>
      <c r="C385" t="str">
        <f>IF([1]ROSTERS!C385="","",[1]ROSTERS!C385)</f>
        <v/>
      </c>
      <c r="D385" s="8" t="str">
        <f>IF([1]ROSTERS!D385="","",[1]ROSTERS!D385)</f>
        <v/>
      </c>
      <c r="E385" t="str">
        <f>IF([1]ROSTERS!E385="","",[1]ROSTERS!E385)</f>
        <v/>
      </c>
      <c r="F385" t="str">
        <f>IF([1]ROSTERS!F385="","",[1]ROSTERS!F385)</f>
        <v/>
      </c>
      <c r="G385" t="str">
        <f>IF([1]ROSTERS!G385="","",[1]ROSTERS!G385)</f>
        <v/>
      </c>
      <c r="H385" t="str">
        <f>IF([1]ROSTERS!H385="","",[1]ROSTERS!H385)</f>
        <v/>
      </c>
      <c r="I385" s="8" t="str">
        <f>IF([1]ROSTERS!I385="","",[1]ROSTERS!I385)</f>
        <v/>
      </c>
      <c r="J385" t="str">
        <f>IF([1]ROSTERS!J385="","",[1]ROSTERS!J385)</f>
        <v/>
      </c>
      <c r="K385" t="str">
        <f>IF([1]ROSTERS!K385="","",[1]ROSTERS!K385)</f>
        <v/>
      </c>
      <c r="L385" t="str">
        <f>IF([1]ROSTERS!L385="","",[1]ROSTERS!L385)</f>
        <v/>
      </c>
    </row>
    <row r="386" spans="1:12" x14ac:dyDescent="0.25">
      <c r="A386" s="3" t="str">
        <f>IF(B386="","",COUNTIF($H$3:H386,H386))</f>
        <v/>
      </c>
      <c r="B386" t="str">
        <f>IF([1]ROSTERS!B386="","",[1]ROSTERS!B386)</f>
        <v/>
      </c>
      <c r="C386" t="str">
        <f>IF([1]ROSTERS!C386="","",[1]ROSTERS!C386)</f>
        <v/>
      </c>
      <c r="D386" s="8" t="str">
        <f>IF([1]ROSTERS!D386="","",[1]ROSTERS!D386)</f>
        <v/>
      </c>
      <c r="E386" t="str">
        <f>IF([1]ROSTERS!E386="","",[1]ROSTERS!E386)</f>
        <v/>
      </c>
      <c r="F386" t="str">
        <f>IF([1]ROSTERS!F386="","",[1]ROSTERS!F386)</f>
        <v/>
      </c>
      <c r="G386" t="str">
        <f>IF([1]ROSTERS!G386="","",[1]ROSTERS!G386)</f>
        <v/>
      </c>
      <c r="H386" t="str">
        <f>IF([1]ROSTERS!H386="","",[1]ROSTERS!H386)</f>
        <v/>
      </c>
      <c r="I386" s="8" t="str">
        <f>IF([1]ROSTERS!I386="","",[1]ROSTERS!I386)</f>
        <v/>
      </c>
      <c r="J386" t="str">
        <f>IF([1]ROSTERS!J386="","",[1]ROSTERS!J386)</f>
        <v/>
      </c>
      <c r="K386" t="str">
        <f>IF([1]ROSTERS!K386="","",[1]ROSTERS!K386)</f>
        <v/>
      </c>
      <c r="L386" t="str">
        <f>IF([1]ROSTERS!L386="","",[1]ROSTERS!L386)</f>
        <v/>
      </c>
    </row>
    <row r="387" spans="1:12" x14ac:dyDescent="0.25">
      <c r="A387" s="3" t="str">
        <f>IF(B387="","",COUNTIF($H$3:H387,H387))</f>
        <v/>
      </c>
      <c r="B387" t="str">
        <f>IF([1]ROSTERS!B387="","",[1]ROSTERS!B387)</f>
        <v/>
      </c>
      <c r="C387" t="str">
        <f>IF([1]ROSTERS!C387="","",[1]ROSTERS!C387)</f>
        <v/>
      </c>
      <c r="D387" s="8" t="str">
        <f>IF([1]ROSTERS!D387="","",[1]ROSTERS!D387)</f>
        <v/>
      </c>
      <c r="E387" t="str">
        <f>IF([1]ROSTERS!E387="","",[1]ROSTERS!E387)</f>
        <v/>
      </c>
      <c r="F387" t="str">
        <f>IF([1]ROSTERS!F387="","",[1]ROSTERS!F387)</f>
        <v/>
      </c>
      <c r="G387" t="str">
        <f>IF([1]ROSTERS!G387="","",[1]ROSTERS!G387)</f>
        <v/>
      </c>
      <c r="H387" t="str">
        <f>IF([1]ROSTERS!H387="","",[1]ROSTERS!H387)</f>
        <v/>
      </c>
      <c r="I387" s="8" t="str">
        <f>IF([1]ROSTERS!I387="","",[1]ROSTERS!I387)</f>
        <v/>
      </c>
      <c r="J387" t="str">
        <f>IF([1]ROSTERS!J387="","",[1]ROSTERS!J387)</f>
        <v/>
      </c>
      <c r="K387" t="str">
        <f>IF([1]ROSTERS!K387="","",[1]ROSTERS!K387)</f>
        <v/>
      </c>
      <c r="L387" t="str">
        <f>IF([1]ROSTERS!L387="","",[1]ROSTERS!L387)</f>
        <v/>
      </c>
    </row>
    <row r="388" spans="1:12" x14ac:dyDescent="0.25">
      <c r="A388" s="3" t="str">
        <f>IF(B388="","",COUNTIF($H$3:H388,H388))</f>
        <v/>
      </c>
      <c r="B388" t="str">
        <f>IF([1]ROSTERS!B388="","",[1]ROSTERS!B388)</f>
        <v/>
      </c>
      <c r="C388" t="str">
        <f>IF([1]ROSTERS!C388="","",[1]ROSTERS!C388)</f>
        <v/>
      </c>
      <c r="D388" s="8" t="str">
        <f>IF([1]ROSTERS!D388="","",[1]ROSTERS!D388)</f>
        <v/>
      </c>
      <c r="E388" t="str">
        <f>IF([1]ROSTERS!E388="","",[1]ROSTERS!E388)</f>
        <v/>
      </c>
      <c r="F388" t="str">
        <f>IF([1]ROSTERS!F388="","",[1]ROSTERS!F388)</f>
        <v/>
      </c>
      <c r="G388" t="str">
        <f>IF([1]ROSTERS!G388="","",[1]ROSTERS!G388)</f>
        <v/>
      </c>
      <c r="H388" t="str">
        <f>IF([1]ROSTERS!H388="","",[1]ROSTERS!H388)</f>
        <v/>
      </c>
      <c r="I388" s="8" t="str">
        <f>IF([1]ROSTERS!I388="","",[1]ROSTERS!I388)</f>
        <v/>
      </c>
      <c r="J388" t="str">
        <f>IF([1]ROSTERS!J388="","",[1]ROSTERS!J388)</f>
        <v/>
      </c>
      <c r="K388" t="str">
        <f>IF([1]ROSTERS!K388="","",[1]ROSTERS!K388)</f>
        <v/>
      </c>
      <c r="L388" t="str">
        <f>IF([1]ROSTERS!L388="","",[1]ROSTERS!L388)</f>
        <v/>
      </c>
    </row>
    <row r="389" spans="1:12" x14ac:dyDescent="0.25">
      <c r="A389" s="3" t="str">
        <f>IF(B389="","",COUNTIF($H$3:H389,H389))</f>
        <v/>
      </c>
      <c r="B389" t="str">
        <f>IF([1]ROSTERS!B389="","",[1]ROSTERS!B389)</f>
        <v/>
      </c>
      <c r="C389" t="str">
        <f>IF([1]ROSTERS!C389="","",[1]ROSTERS!C389)</f>
        <v/>
      </c>
      <c r="D389" s="8" t="str">
        <f>IF([1]ROSTERS!D389="","",[1]ROSTERS!D389)</f>
        <v/>
      </c>
      <c r="E389" t="str">
        <f>IF([1]ROSTERS!E389="","",[1]ROSTERS!E389)</f>
        <v/>
      </c>
      <c r="F389" t="str">
        <f>IF([1]ROSTERS!F389="","",[1]ROSTERS!F389)</f>
        <v/>
      </c>
      <c r="G389" t="str">
        <f>IF([1]ROSTERS!G389="","",[1]ROSTERS!G389)</f>
        <v/>
      </c>
      <c r="H389" t="str">
        <f>IF([1]ROSTERS!H389="","",[1]ROSTERS!H389)</f>
        <v/>
      </c>
      <c r="I389" s="8" t="str">
        <f>IF([1]ROSTERS!I389="","",[1]ROSTERS!I389)</f>
        <v/>
      </c>
      <c r="J389" t="str">
        <f>IF([1]ROSTERS!J389="","",[1]ROSTERS!J389)</f>
        <v/>
      </c>
      <c r="K389" t="str">
        <f>IF([1]ROSTERS!K389="","",[1]ROSTERS!K389)</f>
        <v/>
      </c>
      <c r="L389" t="str">
        <f>IF([1]ROSTERS!L389="","",[1]ROSTERS!L389)</f>
        <v/>
      </c>
    </row>
    <row r="390" spans="1:12" x14ac:dyDescent="0.25">
      <c r="A390" s="3" t="str">
        <f>IF(B390="","",COUNTIF($H$3:H390,H390))</f>
        <v/>
      </c>
      <c r="B390" t="str">
        <f>IF([1]ROSTERS!B390="","",[1]ROSTERS!B390)</f>
        <v/>
      </c>
      <c r="C390" t="str">
        <f>IF([1]ROSTERS!C390="","",[1]ROSTERS!C390)</f>
        <v/>
      </c>
      <c r="D390" s="8" t="str">
        <f>IF([1]ROSTERS!D390="","",[1]ROSTERS!D390)</f>
        <v/>
      </c>
      <c r="E390" t="str">
        <f>IF([1]ROSTERS!E390="","",[1]ROSTERS!E390)</f>
        <v/>
      </c>
      <c r="F390" t="str">
        <f>IF([1]ROSTERS!F390="","",[1]ROSTERS!F390)</f>
        <v/>
      </c>
      <c r="G390" t="str">
        <f>IF([1]ROSTERS!G390="","",[1]ROSTERS!G390)</f>
        <v/>
      </c>
      <c r="H390" t="str">
        <f>IF([1]ROSTERS!H390="","",[1]ROSTERS!H390)</f>
        <v/>
      </c>
      <c r="I390" s="8" t="str">
        <f>IF([1]ROSTERS!I390="","",[1]ROSTERS!I390)</f>
        <v/>
      </c>
      <c r="J390" t="str">
        <f>IF([1]ROSTERS!J390="","",[1]ROSTERS!J390)</f>
        <v/>
      </c>
      <c r="K390" t="str">
        <f>IF([1]ROSTERS!K390="","",[1]ROSTERS!K390)</f>
        <v/>
      </c>
      <c r="L390" t="str">
        <f>IF([1]ROSTERS!L390="","",[1]ROSTERS!L390)</f>
        <v/>
      </c>
    </row>
    <row r="391" spans="1:12" x14ac:dyDescent="0.25">
      <c r="A391" s="3" t="str">
        <f>IF(B391="","",COUNTIF($H$3:H391,H391))</f>
        <v/>
      </c>
      <c r="B391" t="str">
        <f>IF([1]ROSTERS!B391="","",[1]ROSTERS!B391)</f>
        <v/>
      </c>
      <c r="C391" t="str">
        <f>IF([1]ROSTERS!C391="","",[1]ROSTERS!C391)</f>
        <v/>
      </c>
      <c r="D391" s="8" t="str">
        <f>IF([1]ROSTERS!D391="","",[1]ROSTERS!D391)</f>
        <v/>
      </c>
      <c r="E391" t="str">
        <f>IF([1]ROSTERS!E391="","",[1]ROSTERS!E391)</f>
        <v/>
      </c>
      <c r="F391" t="str">
        <f>IF([1]ROSTERS!F391="","",[1]ROSTERS!F391)</f>
        <v/>
      </c>
      <c r="G391" t="str">
        <f>IF([1]ROSTERS!G391="","",[1]ROSTERS!G391)</f>
        <v/>
      </c>
      <c r="H391" t="str">
        <f>IF([1]ROSTERS!H391="","",[1]ROSTERS!H391)</f>
        <v/>
      </c>
      <c r="I391" s="8" t="str">
        <f>IF([1]ROSTERS!I391="","",[1]ROSTERS!I391)</f>
        <v/>
      </c>
      <c r="J391" t="str">
        <f>IF([1]ROSTERS!J391="","",[1]ROSTERS!J391)</f>
        <v/>
      </c>
      <c r="K391" t="str">
        <f>IF([1]ROSTERS!K391="","",[1]ROSTERS!K391)</f>
        <v/>
      </c>
      <c r="L391" t="str">
        <f>IF([1]ROSTERS!L391="","",[1]ROSTERS!L391)</f>
        <v/>
      </c>
    </row>
    <row r="392" spans="1:12" x14ac:dyDescent="0.25">
      <c r="A392" s="3" t="str">
        <f>IF(B392="","",COUNTIF($H$3:H392,H392))</f>
        <v/>
      </c>
      <c r="B392" t="str">
        <f>IF([1]ROSTERS!B392="","",[1]ROSTERS!B392)</f>
        <v/>
      </c>
      <c r="C392" t="str">
        <f>IF([1]ROSTERS!C392="","",[1]ROSTERS!C392)</f>
        <v/>
      </c>
      <c r="D392" s="8" t="str">
        <f>IF([1]ROSTERS!D392="","",[1]ROSTERS!D392)</f>
        <v/>
      </c>
      <c r="E392" t="str">
        <f>IF([1]ROSTERS!E392="","",[1]ROSTERS!E392)</f>
        <v/>
      </c>
      <c r="F392" t="str">
        <f>IF([1]ROSTERS!F392="","",[1]ROSTERS!F392)</f>
        <v/>
      </c>
      <c r="G392" t="str">
        <f>IF([1]ROSTERS!G392="","",[1]ROSTERS!G392)</f>
        <v/>
      </c>
      <c r="H392" t="str">
        <f>IF([1]ROSTERS!H392="","",[1]ROSTERS!H392)</f>
        <v/>
      </c>
      <c r="I392" s="8" t="str">
        <f>IF([1]ROSTERS!I392="","",[1]ROSTERS!I392)</f>
        <v/>
      </c>
      <c r="J392" t="str">
        <f>IF([1]ROSTERS!J392="","",[1]ROSTERS!J392)</f>
        <v/>
      </c>
      <c r="K392" t="str">
        <f>IF([1]ROSTERS!K392="","",[1]ROSTERS!K392)</f>
        <v/>
      </c>
      <c r="L392" t="str">
        <f>IF([1]ROSTERS!L392="","",[1]ROSTERS!L392)</f>
        <v/>
      </c>
    </row>
    <row r="393" spans="1:12" x14ac:dyDescent="0.25">
      <c r="A393" s="3" t="str">
        <f>IF(B393="","",COUNTIF($H$3:H393,H393))</f>
        <v/>
      </c>
      <c r="B393" t="str">
        <f>IF([1]ROSTERS!B393="","",[1]ROSTERS!B393)</f>
        <v/>
      </c>
      <c r="C393" t="str">
        <f>IF([1]ROSTERS!C393="","",[1]ROSTERS!C393)</f>
        <v/>
      </c>
      <c r="D393" s="8" t="str">
        <f>IF([1]ROSTERS!D393="","",[1]ROSTERS!D393)</f>
        <v/>
      </c>
      <c r="E393" t="str">
        <f>IF([1]ROSTERS!E393="","",[1]ROSTERS!E393)</f>
        <v/>
      </c>
      <c r="F393" t="str">
        <f>IF([1]ROSTERS!F393="","",[1]ROSTERS!F393)</f>
        <v/>
      </c>
      <c r="G393" t="str">
        <f>IF([1]ROSTERS!G393="","",[1]ROSTERS!G393)</f>
        <v/>
      </c>
      <c r="H393" t="str">
        <f>IF([1]ROSTERS!H393="","",[1]ROSTERS!H393)</f>
        <v/>
      </c>
      <c r="I393" s="8" t="str">
        <f>IF([1]ROSTERS!I393="","",[1]ROSTERS!I393)</f>
        <v/>
      </c>
      <c r="J393" t="str">
        <f>IF([1]ROSTERS!J393="","",[1]ROSTERS!J393)</f>
        <v/>
      </c>
      <c r="K393" t="str">
        <f>IF([1]ROSTERS!K393="","",[1]ROSTERS!K393)</f>
        <v/>
      </c>
      <c r="L393" t="str">
        <f>IF([1]ROSTERS!L393="","",[1]ROSTERS!L393)</f>
        <v/>
      </c>
    </row>
    <row r="394" spans="1:12" x14ac:dyDescent="0.25">
      <c r="A394" s="3" t="str">
        <f>IF(B394="","",COUNTIF($H$3:H394,H394))</f>
        <v/>
      </c>
      <c r="B394" t="str">
        <f>IF([1]ROSTERS!B394="","",[1]ROSTERS!B394)</f>
        <v/>
      </c>
      <c r="C394" t="str">
        <f>IF([1]ROSTERS!C394="","",[1]ROSTERS!C394)</f>
        <v/>
      </c>
      <c r="D394" s="8" t="str">
        <f>IF([1]ROSTERS!D394="","",[1]ROSTERS!D394)</f>
        <v/>
      </c>
      <c r="E394" t="str">
        <f>IF([1]ROSTERS!E394="","",[1]ROSTERS!E394)</f>
        <v/>
      </c>
      <c r="F394" t="str">
        <f>IF([1]ROSTERS!F394="","",[1]ROSTERS!F394)</f>
        <v/>
      </c>
      <c r="G394" t="str">
        <f>IF([1]ROSTERS!G394="","",[1]ROSTERS!G394)</f>
        <v/>
      </c>
      <c r="H394" t="str">
        <f>IF([1]ROSTERS!H394="","",[1]ROSTERS!H394)</f>
        <v/>
      </c>
      <c r="I394" s="8" t="str">
        <f>IF([1]ROSTERS!I394="","",[1]ROSTERS!I394)</f>
        <v/>
      </c>
      <c r="J394" t="str">
        <f>IF([1]ROSTERS!J394="","",[1]ROSTERS!J394)</f>
        <v/>
      </c>
      <c r="K394" t="str">
        <f>IF([1]ROSTERS!K394="","",[1]ROSTERS!K394)</f>
        <v/>
      </c>
      <c r="L394" t="str">
        <f>IF([1]ROSTERS!L394="","",[1]ROSTERS!L394)</f>
        <v/>
      </c>
    </row>
    <row r="395" spans="1:12" x14ac:dyDescent="0.25">
      <c r="A395" s="3" t="str">
        <f>IF(B395="","",COUNTIF($H$3:H395,H395))</f>
        <v/>
      </c>
      <c r="B395" t="str">
        <f>IF([1]ROSTERS!B395="","",[1]ROSTERS!B395)</f>
        <v/>
      </c>
      <c r="C395" t="str">
        <f>IF([1]ROSTERS!C395="","",[1]ROSTERS!C395)</f>
        <v/>
      </c>
      <c r="D395" s="8" t="str">
        <f>IF([1]ROSTERS!D395="","",[1]ROSTERS!D395)</f>
        <v/>
      </c>
      <c r="E395" t="str">
        <f>IF([1]ROSTERS!E395="","",[1]ROSTERS!E395)</f>
        <v/>
      </c>
      <c r="F395" t="str">
        <f>IF([1]ROSTERS!F395="","",[1]ROSTERS!F395)</f>
        <v/>
      </c>
      <c r="G395" t="str">
        <f>IF([1]ROSTERS!G395="","",[1]ROSTERS!G395)</f>
        <v/>
      </c>
      <c r="H395" t="str">
        <f>IF([1]ROSTERS!H395="","",[1]ROSTERS!H395)</f>
        <v/>
      </c>
      <c r="I395" s="8" t="str">
        <f>IF([1]ROSTERS!I395="","",[1]ROSTERS!I395)</f>
        <v/>
      </c>
      <c r="J395" t="str">
        <f>IF([1]ROSTERS!J395="","",[1]ROSTERS!J395)</f>
        <v/>
      </c>
      <c r="K395" t="str">
        <f>IF([1]ROSTERS!K395="","",[1]ROSTERS!K395)</f>
        <v/>
      </c>
      <c r="L395" t="str">
        <f>IF([1]ROSTERS!L395="","",[1]ROSTERS!L395)</f>
        <v/>
      </c>
    </row>
    <row r="396" spans="1:12" x14ac:dyDescent="0.25">
      <c r="A396" s="3" t="str">
        <f>IF(B396="","",COUNTIF($H$3:H396,H396))</f>
        <v/>
      </c>
      <c r="B396" t="str">
        <f>IF([1]ROSTERS!B396="","",[1]ROSTERS!B396)</f>
        <v/>
      </c>
      <c r="C396" t="str">
        <f>IF([1]ROSTERS!C396="","",[1]ROSTERS!C396)</f>
        <v/>
      </c>
      <c r="D396" s="8" t="str">
        <f>IF([1]ROSTERS!D396="","",[1]ROSTERS!D396)</f>
        <v/>
      </c>
      <c r="E396" t="str">
        <f>IF([1]ROSTERS!E396="","",[1]ROSTERS!E396)</f>
        <v/>
      </c>
      <c r="F396" t="str">
        <f>IF([1]ROSTERS!F396="","",[1]ROSTERS!F396)</f>
        <v/>
      </c>
      <c r="G396" t="str">
        <f>IF([1]ROSTERS!G396="","",[1]ROSTERS!G396)</f>
        <v/>
      </c>
      <c r="H396" t="str">
        <f>IF([1]ROSTERS!H396="","",[1]ROSTERS!H396)</f>
        <v/>
      </c>
      <c r="I396" s="8" t="str">
        <f>IF([1]ROSTERS!I396="","",[1]ROSTERS!I396)</f>
        <v/>
      </c>
      <c r="J396" t="str">
        <f>IF([1]ROSTERS!J396="","",[1]ROSTERS!J396)</f>
        <v/>
      </c>
      <c r="K396" t="str">
        <f>IF([1]ROSTERS!K396="","",[1]ROSTERS!K396)</f>
        <v/>
      </c>
      <c r="L396" t="str">
        <f>IF([1]ROSTERS!L396="","",[1]ROSTERS!L396)</f>
        <v/>
      </c>
    </row>
    <row r="397" spans="1:12" x14ac:dyDescent="0.25">
      <c r="A397" s="3" t="str">
        <f>IF(B397="","",COUNTIF($H$3:H397,H397))</f>
        <v/>
      </c>
      <c r="B397" t="str">
        <f>IF([1]ROSTERS!B397="","",[1]ROSTERS!B397)</f>
        <v/>
      </c>
      <c r="C397" t="str">
        <f>IF([1]ROSTERS!C397="","",[1]ROSTERS!C397)</f>
        <v/>
      </c>
      <c r="D397" s="8" t="str">
        <f>IF([1]ROSTERS!D397="","",[1]ROSTERS!D397)</f>
        <v/>
      </c>
      <c r="E397" t="str">
        <f>IF([1]ROSTERS!E397="","",[1]ROSTERS!E397)</f>
        <v/>
      </c>
      <c r="F397" t="str">
        <f>IF([1]ROSTERS!F397="","",[1]ROSTERS!F397)</f>
        <v/>
      </c>
      <c r="G397" t="str">
        <f>IF([1]ROSTERS!G397="","",[1]ROSTERS!G397)</f>
        <v/>
      </c>
      <c r="H397" t="str">
        <f>IF([1]ROSTERS!H397="","",[1]ROSTERS!H397)</f>
        <v/>
      </c>
      <c r="I397" s="8" t="str">
        <f>IF([1]ROSTERS!I397="","",[1]ROSTERS!I397)</f>
        <v/>
      </c>
      <c r="J397" t="str">
        <f>IF([1]ROSTERS!J397="","",[1]ROSTERS!J397)</f>
        <v/>
      </c>
      <c r="K397" t="str">
        <f>IF([1]ROSTERS!K397="","",[1]ROSTERS!K397)</f>
        <v/>
      </c>
      <c r="L397" t="str">
        <f>IF([1]ROSTERS!L397="","",[1]ROSTERS!L397)</f>
        <v/>
      </c>
    </row>
    <row r="398" spans="1:12" x14ac:dyDescent="0.25">
      <c r="A398" s="3" t="str">
        <f>IF(B398="","",COUNTIF($H$3:H398,H398))</f>
        <v/>
      </c>
      <c r="B398" t="str">
        <f>IF([1]ROSTERS!B398="","",[1]ROSTERS!B398)</f>
        <v/>
      </c>
      <c r="C398" t="str">
        <f>IF([1]ROSTERS!C398="","",[1]ROSTERS!C398)</f>
        <v/>
      </c>
      <c r="D398" s="8" t="str">
        <f>IF([1]ROSTERS!D398="","",[1]ROSTERS!D398)</f>
        <v/>
      </c>
      <c r="E398" t="str">
        <f>IF([1]ROSTERS!E398="","",[1]ROSTERS!E398)</f>
        <v/>
      </c>
      <c r="F398" t="str">
        <f>IF([1]ROSTERS!F398="","",[1]ROSTERS!F398)</f>
        <v/>
      </c>
      <c r="G398" t="str">
        <f>IF([1]ROSTERS!G398="","",[1]ROSTERS!G398)</f>
        <v/>
      </c>
      <c r="H398" t="str">
        <f>IF([1]ROSTERS!H398="","",[1]ROSTERS!H398)</f>
        <v/>
      </c>
      <c r="I398" s="8" t="str">
        <f>IF([1]ROSTERS!I398="","",[1]ROSTERS!I398)</f>
        <v/>
      </c>
      <c r="J398" t="str">
        <f>IF([1]ROSTERS!J398="","",[1]ROSTERS!J398)</f>
        <v/>
      </c>
      <c r="K398" t="str">
        <f>IF([1]ROSTERS!K398="","",[1]ROSTERS!K398)</f>
        <v/>
      </c>
      <c r="L398" t="str">
        <f>IF([1]ROSTERS!L398="","",[1]ROSTERS!L398)</f>
        <v/>
      </c>
    </row>
    <row r="399" spans="1:12" x14ac:dyDescent="0.25">
      <c r="A399" s="3" t="str">
        <f>IF(B399="","",COUNTIF($H$3:H399,H399))</f>
        <v/>
      </c>
      <c r="B399" t="str">
        <f>IF([1]ROSTERS!B399="","",[1]ROSTERS!B399)</f>
        <v/>
      </c>
      <c r="C399" t="str">
        <f>IF([1]ROSTERS!C399="","",[1]ROSTERS!C399)</f>
        <v/>
      </c>
      <c r="D399" s="8" t="str">
        <f>IF([1]ROSTERS!D399="","",[1]ROSTERS!D399)</f>
        <v/>
      </c>
      <c r="E399" t="str">
        <f>IF([1]ROSTERS!E399="","",[1]ROSTERS!E399)</f>
        <v/>
      </c>
      <c r="F399" t="str">
        <f>IF([1]ROSTERS!F399="","",[1]ROSTERS!F399)</f>
        <v/>
      </c>
      <c r="G399" t="str">
        <f>IF([1]ROSTERS!G399="","",[1]ROSTERS!G399)</f>
        <v/>
      </c>
      <c r="H399" t="str">
        <f>IF([1]ROSTERS!H399="","",[1]ROSTERS!H399)</f>
        <v/>
      </c>
      <c r="I399" s="8" t="str">
        <f>IF([1]ROSTERS!I399="","",[1]ROSTERS!I399)</f>
        <v/>
      </c>
      <c r="J399" t="str">
        <f>IF([1]ROSTERS!J399="","",[1]ROSTERS!J399)</f>
        <v/>
      </c>
      <c r="K399" t="str">
        <f>IF([1]ROSTERS!K399="","",[1]ROSTERS!K399)</f>
        <v/>
      </c>
      <c r="L399" t="str">
        <f>IF([1]ROSTERS!L399="","",[1]ROSTERS!L399)</f>
        <v/>
      </c>
    </row>
    <row r="400" spans="1:12" x14ac:dyDescent="0.25">
      <c r="A400" s="3" t="str">
        <f>IF(B400="","",COUNTIF($H$3:H400,H400))</f>
        <v/>
      </c>
      <c r="B400" t="str">
        <f>IF([1]ROSTERS!B400="","",[1]ROSTERS!B400)</f>
        <v/>
      </c>
      <c r="C400" t="str">
        <f>IF([1]ROSTERS!C400="","",[1]ROSTERS!C400)</f>
        <v/>
      </c>
      <c r="D400" s="8" t="str">
        <f>IF([1]ROSTERS!D400="","",[1]ROSTERS!D400)</f>
        <v/>
      </c>
      <c r="E400" t="str">
        <f>IF([1]ROSTERS!E400="","",[1]ROSTERS!E400)</f>
        <v/>
      </c>
      <c r="F400" t="str">
        <f>IF([1]ROSTERS!F400="","",[1]ROSTERS!F400)</f>
        <v/>
      </c>
      <c r="G400" t="str">
        <f>IF([1]ROSTERS!G400="","",[1]ROSTERS!G400)</f>
        <v/>
      </c>
      <c r="H400" t="str">
        <f>IF([1]ROSTERS!H400="","",[1]ROSTERS!H400)</f>
        <v/>
      </c>
      <c r="I400" s="8" t="str">
        <f>IF([1]ROSTERS!I400="","",[1]ROSTERS!I400)</f>
        <v/>
      </c>
      <c r="J400" t="str">
        <f>IF([1]ROSTERS!J400="","",[1]ROSTERS!J400)</f>
        <v/>
      </c>
      <c r="K400" t="str">
        <f>IF([1]ROSTERS!K400="","",[1]ROSTERS!K400)</f>
        <v/>
      </c>
      <c r="L400" t="str">
        <f>IF([1]ROSTERS!L400="","",[1]ROSTERS!L400)</f>
        <v/>
      </c>
    </row>
    <row r="401" spans="1:12" x14ac:dyDescent="0.25">
      <c r="A401" s="3" t="str">
        <f>IF(B401="","",COUNTIF($H$3:H401,H401))</f>
        <v/>
      </c>
      <c r="B401" t="str">
        <f>IF([1]ROSTERS!B401="","",[1]ROSTERS!B401)</f>
        <v/>
      </c>
      <c r="C401" t="str">
        <f>IF([1]ROSTERS!C401="","",[1]ROSTERS!C401)</f>
        <v/>
      </c>
      <c r="D401" s="8" t="str">
        <f>IF([1]ROSTERS!D401="","",[1]ROSTERS!D401)</f>
        <v/>
      </c>
      <c r="E401" t="str">
        <f>IF([1]ROSTERS!E401="","",[1]ROSTERS!E401)</f>
        <v/>
      </c>
      <c r="F401" t="str">
        <f>IF([1]ROSTERS!F401="","",[1]ROSTERS!F401)</f>
        <v/>
      </c>
      <c r="G401" t="str">
        <f>IF([1]ROSTERS!G401="","",[1]ROSTERS!G401)</f>
        <v/>
      </c>
      <c r="H401" t="str">
        <f>IF([1]ROSTERS!H401="","",[1]ROSTERS!H401)</f>
        <v/>
      </c>
      <c r="I401" s="8" t="str">
        <f>IF([1]ROSTERS!I401="","",[1]ROSTERS!I401)</f>
        <v/>
      </c>
      <c r="J401" t="str">
        <f>IF([1]ROSTERS!J401="","",[1]ROSTERS!J401)</f>
        <v/>
      </c>
      <c r="K401" t="str">
        <f>IF([1]ROSTERS!K401="","",[1]ROSTERS!K401)</f>
        <v/>
      </c>
      <c r="L401" t="str">
        <f>IF([1]ROSTERS!L401="","",[1]ROSTERS!L401)</f>
        <v/>
      </c>
    </row>
    <row r="402" spans="1:12" x14ac:dyDescent="0.25">
      <c r="A402" s="3" t="str">
        <f>IF(B402="","",COUNTIF($H$3:H402,H402))</f>
        <v/>
      </c>
      <c r="B402" t="str">
        <f>IF([1]ROSTERS!B402="","",[1]ROSTERS!B402)</f>
        <v/>
      </c>
      <c r="C402" t="str">
        <f>IF([1]ROSTERS!C402="","",[1]ROSTERS!C402)</f>
        <v/>
      </c>
      <c r="D402" s="8" t="str">
        <f>IF([1]ROSTERS!D402="","",[1]ROSTERS!D402)</f>
        <v/>
      </c>
      <c r="E402" t="str">
        <f>IF([1]ROSTERS!E402="","",[1]ROSTERS!E402)</f>
        <v/>
      </c>
      <c r="F402" t="str">
        <f>IF([1]ROSTERS!F402="","",[1]ROSTERS!F402)</f>
        <v/>
      </c>
      <c r="G402" t="str">
        <f>IF([1]ROSTERS!G402="","",[1]ROSTERS!G402)</f>
        <v/>
      </c>
      <c r="H402" t="str">
        <f>IF([1]ROSTERS!H402="","",[1]ROSTERS!H402)</f>
        <v/>
      </c>
      <c r="I402" s="8" t="str">
        <f>IF([1]ROSTERS!I402="","",[1]ROSTERS!I402)</f>
        <v/>
      </c>
      <c r="J402" t="str">
        <f>IF([1]ROSTERS!J402="","",[1]ROSTERS!J402)</f>
        <v/>
      </c>
      <c r="K402" t="str">
        <f>IF([1]ROSTERS!K402="","",[1]ROSTERS!K402)</f>
        <v/>
      </c>
      <c r="L402" t="str">
        <f>IF([1]ROSTERS!L402="","",[1]ROSTERS!L402)</f>
        <v/>
      </c>
    </row>
    <row r="403" spans="1:12" x14ac:dyDescent="0.25">
      <c r="A403" s="3" t="str">
        <f>IF(B403="","",COUNTIF($H$3:H403,H403))</f>
        <v/>
      </c>
      <c r="B403" t="str">
        <f>IF([1]ROSTERS!B403="","",[1]ROSTERS!B403)</f>
        <v/>
      </c>
      <c r="C403" t="str">
        <f>IF([1]ROSTERS!C403="","",[1]ROSTERS!C403)</f>
        <v/>
      </c>
      <c r="D403" s="8" t="str">
        <f>IF([1]ROSTERS!D403="","",[1]ROSTERS!D403)</f>
        <v/>
      </c>
      <c r="E403" t="str">
        <f>IF([1]ROSTERS!E403="","",[1]ROSTERS!E403)</f>
        <v/>
      </c>
      <c r="F403" t="str">
        <f>IF([1]ROSTERS!F403="","",[1]ROSTERS!F403)</f>
        <v/>
      </c>
      <c r="G403" t="str">
        <f>IF([1]ROSTERS!G403="","",[1]ROSTERS!G403)</f>
        <v/>
      </c>
      <c r="H403" t="str">
        <f>IF([1]ROSTERS!H403="","",[1]ROSTERS!H403)</f>
        <v/>
      </c>
      <c r="I403" s="8" t="str">
        <f>IF([1]ROSTERS!I403="","",[1]ROSTERS!I403)</f>
        <v/>
      </c>
      <c r="J403" t="str">
        <f>IF([1]ROSTERS!J403="","",[1]ROSTERS!J403)</f>
        <v/>
      </c>
      <c r="K403" t="str">
        <f>IF([1]ROSTERS!K403="","",[1]ROSTERS!K403)</f>
        <v/>
      </c>
      <c r="L403" t="str">
        <f>IF([1]ROSTERS!L403="","",[1]ROSTERS!L403)</f>
        <v/>
      </c>
    </row>
    <row r="404" spans="1:12" x14ac:dyDescent="0.25">
      <c r="A404" s="3" t="str">
        <f>IF(B404="","",COUNTIF($H$3:H404,H404))</f>
        <v/>
      </c>
      <c r="B404" t="str">
        <f>IF([1]ROSTERS!B404="","",[1]ROSTERS!B404)</f>
        <v/>
      </c>
      <c r="C404" t="str">
        <f>IF([1]ROSTERS!C404="","",[1]ROSTERS!C404)</f>
        <v/>
      </c>
      <c r="D404" s="8" t="str">
        <f>IF([1]ROSTERS!D404="","",[1]ROSTERS!D404)</f>
        <v/>
      </c>
      <c r="E404" t="str">
        <f>IF([1]ROSTERS!E404="","",[1]ROSTERS!E404)</f>
        <v/>
      </c>
      <c r="F404" t="str">
        <f>IF([1]ROSTERS!F404="","",[1]ROSTERS!F404)</f>
        <v/>
      </c>
      <c r="G404" t="str">
        <f>IF([1]ROSTERS!G404="","",[1]ROSTERS!G404)</f>
        <v/>
      </c>
      <c r="H404" t="str">
        <f>IF([1]ROSTERS!H404="","",[1]ROSTERS!H404)</f>
        <v/>
      </c>
      <c r="I404" s="8" t="str">
        <f>IF([1]ROSTERS!I404="","",[1]ROSTERS!I404)</f>
        <v/>
      </c>
      <c r="J404" t="str">
        <f>IF([1]ROSTERS!J404="","",[1]ROSTERS!J404)</f>
        <v/>
      </c>
      <c r="K404" t="str">
        <f>IF([1]ROSTERS!K404="","",[1]ROSTERS!K404)</f>
        <v/>
      </c>
      <c r="L404" t="str">
        <f>IF([1]ROSTERS!L404="","",[1]ROSTERS!L404)</f>
        <v/>
      </c>
    </row>
    <row r="405" spans="1:12" x14ac:dyDescent="0.25">
      <c r="A405" s="3" t="str">
        <f>IF(B405="","",COUNTIF($H$3:H405,H405))</f>
        <v/>
      </c>
      <c r="B405" t="str">
        <f>IF([1]ROSTERS!B405="","",[1]ROSTERS!B405)</f>
        <v/>
      </c>
      <c r="C405" t="str">
        <f>IF([1]ROSTERS!C405="","",[1]ROSTERS!C405)</f>
        <v/>
      </c>
      <c r="D405" s="8" t="str">
        <f>IF([1]ROSTERS!D405="","",[1]ROSTERS!D405)</f>
        <v/>
      </c>
      <c r="E405" t="str">
        <f>IF([1]ROSTERS!E405="","",[1]ROSTERS!E405)</f>
        <v/>
      </c>
      <c r="F405" t="str">
        <f>IF([1]ROSTERS!F405="","",[1]ROSTERS!F405)</f>
        <v/>
      </c>
      <c r="G405" t="str">
        <f>IF([1]ROSTERS!G405="","",[1]ROSTERS!G405)</f>
        <v/>
      </c>
      <c r="H405" t="str">
        <f>IF([1]ROSTERS!H405="","",[1]ROSTERS!H405)</f>
        <v/>
      </c>
      <c r="I405" s="8" t="str">
        <f>IF([1]ROSTERS!I405="","",[1]ROSTERS!I405)</f>
        <v/>
      </c>
      <c r="J405" t="str">
        <f>IF([1]ROSTERS!J405="","",[1]ROSTERS!J405)</f>
        <v/>
      </c>
      <c r="K405" t="str">
        <f>IF([1]ROSTERS!K405="","",[1]ROSTERS!K405)</f>
        <v/>
      </c>
      <c r="L405" t="str">
        <f>IF([1]ROSTERS!L405="","",[1]ROSTERS!L405)</f>
        <v/>
      </c>
    </row>
    <row r="406" spans="1:12" x14ac:dyDescent="0.25">
      <c r="A406" s="3" t="str">
        <f>IF(B406="","",COUNTIF($H$3:H406,H406))</f>
        <v/>
      </c>
      <c r="B406" t="str">
        <f>IF([1]ROSTERS!B406="","",[1]ROSTERS!B406)</f>
        <v/>
      </c>
      <c r="C406" t="str">
        <f>IF([1]ROSTERS!C406="","",[1]ROSTERS!C406)</f>
        <v/>
      </c>
      <c r="D406" s="8" t="str">
        <f>IF([1]ROSTERS!D406="","",[1]ROSTERS!D406)</f>
        <v/>
      </c>
      <c r="E406" t="str">
        <f>IF([1]ROSTERS!E406="","",[1]ROSTERS!E406)</f>
        <v/>
      </c>
      <c r="F406" t="str">
        <f>IF([1]ROSTERS!F406="","",[1]ROSTERS!F406)</f>
        <v/>
      </c>
      <c r="G406" t="str">
        <f>IF([1]ROSTERS!G406="","",[1]ROSTERS!G406)</f>
        <v/>
      </c>
      <c r="H406" t="str">
        <f>IF([1]ROSTERS!H406="","",[1]ROSTERS!H406)</f>
        <v/>
      </c>
      <c r="I406" s="8" t="str">
        <f>IF([1]ROSTERS!I406="","",[1]ROSTERS!I406)</f>
        <v/>
      </c>
      <c r="J406" t="str">
        <f>IF([1]ROSTERS!J406="","",[1]ROSTERS!J406)</f>
        <v/>
      </c>
      <c r="K406" t="str">
        <f>IF([1]ROSTERS!K406="","",[1]ROSTERS!K406)</f>
        <v/>
      </c>
      <c r="L406" t="str">
        <f>IF([1]ROSTERS!L406="","",[1]ROSTERS!L406)</f>
        <v/>
      </c>
    </row>
    <row r="407" spans="1:12" x14ac:dyDescent="0.25">
      <c r="A407" s="3" t="str">
        <f>IF(B407="","",COUNTIF($H$3:H407,H407))</f>
        <v/>
      </c>
      <c r="B407" t="str">
        <f>IF([1]ROSTERS!B407="","",[1]ROSTERS!B407)</f>
        <v/>
      </c>
      <c r="C407" t="str">
        <f>IF([1]ROSTERS!C407="","",[1]ROSTERS!C407)</f>
        <v/>
      </c>
      <c r="D407" s="8" t="str">
        <f>IF([1]ROSTERS!D407="","",[1]ROSTERS!D407)</f>
        <v/>
      </c>
      <c r="E407" t="str">
        <f>IF([1]ROSTERS!E407="","",[1]ROSTERS!E407)</f>
        <v/>
      </c>
      <c r="F407" t="str">
        <f>IF([1]ROSTERS!F407="","",[1]ROSTERS!F407)</f>
        <v/>
      </c>
      <c r="G407" t="str">
        <f>IF([1]ROSTERS!G407="","",[1]ROSTERS!G407)</f>
        <v/>
      </c>
      <c r="H407" t="str">
        <f>IF([1]ROSTERS!H407="","",[1]ROSTERS!H407)</f>
        <v/>
      </c>
      <c r="I407" s="8" t="str">
        <f>IF([1]ROSTERS!I407="","",[1]ROSTERS!I407)</f>
        <v/>
      </c>
      <c r="J407" t="str">
        <f>IF([1]ROSTERS!J407="","",[1]ROSTERS!J407)</f>
        <v/>
      </c>
      <c r="K407" t="str">
        <f>IF([1]ROSTERS!K407="","",[1]ROSTERS!K407)</f>
        <v/>
      </c>
      <c r="L407" t="str">
        <f>IF([1]ROSTERS!L407="","",[1]ROSTERS!L407)</f>
        <v/>
      </c>
    </row>
    <row r="408" spans="1:12" x14ac:dyDescent="0.25">
      <c r="A408" s="3" t="str">
        <f>IF(B408="","",COUNTIF($H$3:H408,H408))</f>
        <v/>
      </c>
      <c r="B408" t="str">
        <f>IF([1]ROSTERS!B408="","",[1]ROSTERS!B408)</f>
        <v/>
      </c>
      <c r="C408" t="str">
        <f>IF([1]ROSTERS!C408="","",[1]ROSTERS!C408)</f>
        <v/>
      </c>
      <c r="D408" s="8" t="str">
        <f>IF([1]ROSTERS!D408="","",[1]ROSTERS!D408)</f>
        <v/>
      </c>
      <c r="E408" t="str">
        <f>IF([1]ROSTERS!E408="","",[1]ROSTERS!E408)</f>
        <v/>
      </c>
      <c r="F408" t="str">
        <f>IF([1]ROSTERS!F408="","",[1]ROSTERS!F408)</f>
        <v/>
      </c>
      <c r="G408" t="str">
        <f>IF([1]ROSTERS!G408="","",[1]ROSTERS!G408)</f>
        <v/>
      </c>
      <c r="H408" t="str">
        <f>IF([1]ROSTERS!H408="","",[1]ROSTERS!H408)</f>
        <v/>
      </c>
      <c r="I408" s="8" t="str">
        <f>IF([1]ROSTERS!I408="","",[1]ROSTERS!I408)</f>
        <v/>
      </c>
      <c r="J408" t="str">
        <f>IF([1]ROSTERS!J408="","",[1]ROSTERS!J408)</f>
        <v/>
      </c>
      <c r="K408" t="str">
        <f>IF([1]ROSTERS!K408="","",[1]ROSTERS!K408)</f>
        <v/>
      </c>
      <c r="L408" t="str">
        <f>IF([1]ROSTERS!L408="","",[1]ROSTERS!L408)</f>
        <v/>
      </c>
    </row>
    <row r="409" spans="1:12" x14ac:dyDescent="0.25">
      <c r="A409" s="3" t="str">
        <f>IF(B409="","",COUNTIF($H$3:H409,H409))</f>
        <v/>
      </c>
      <c r="B409" t="str">
        <f>IF([1]ROSTERS!B409="","",[1]ROSTERS!B409)</f>
        <v/>
      </c>
      <c r="C409" t="str">
        <f>IF([1]ROSTERS!C409="","",[1]ROSTERS!C409)</f>
        <v/>
      </c>
      <c r="D409" s="8" t="str">
        <f>IF([1]ROSTERS!D409="","",[1]ROSTERS!D409)</f>
        <v/>
      </c>
      <c r="E409" t="str">
        <f>IF([1]ROSTERS!E409="","",[1]ROSTERS!E409)</f>
        <v/>
      </c>
      <c r="F409" t="str">
        <f>IF([1]ROSTERS!F409="","",[1]ROSTERS!F409)</f>
        <v/>
      </c>
      <c r="G409" t="str">
        <f>IF([1]ROSTERS!G409="","",[1]ROSTERS!G409)</f>
        <v/>
      </c>
      <c r="H409" t="str">
        <f>IF([1]ROSTERS!H409="","",[1]ROSTERS!H409)</f>
        <v/>
      </c>
      <c r="I409" s="8" t="str">
        <f>IF([1]ROSTERS!I409="","",[1]ROSTERS!I409)</f>
        <v/>
      </c>
      <c r="J409" t="str">
        <f>IF([1]ROSTERS!J409="","",[1]ROSTERS!J409)</f>
        <v/>
      </c>
      <c r="K409" t="str">
        <f>IF([1]ROSTERS!K409="","",[1]ROSTERS!K409)</f>
        <v/>
      </c>
      <c r="L409" t="str">
        <f>IF([1]ROSTERS!L409="","",[1]ROSTERS!L409)</f>
        <v/>
      </c>
    </row>
    <row r="410" spans="1:12" x14ac:dyDescent="0.25">
      <c r="A410" s="3" t="str">
        <f>IF(B410="","",COUNTIF($H$3:H410,H410))</f>
        <v/>
      </c>
      <c r="B410" t="str">
        <f>IF([1]ROSTERS!B410="","",[1]ROSTERS!B410)</f>
        <v/>
      </c>
      <c r="C410" t="str">
        <f>IF([1]ROSTERS!C410="","",[1]ROSTERS!C410)</f>
        <v/>
      </c>
      <c r="D410" s="8" t="str">
        <f>IF([1]ROSTERS!D410="","",[1]ROSTERS!D410)</f>
        <v/>
      </c>
      <c r="E410" t="str">
        <f>IF([1]ROSTERS!E410="","",[1]ROSTERS!E410)</f>
        <v/>
      </c>
      <c r="F410" t="str">
        <f>IF([1]ROSTERS!F410="","",[1]ROSTERS!F410)</f>
        <v/>
      </c>
      <c r="G410" t="str">
        <f>IF([1]ROSTERS!G410="","",[1]ROSTERS!G410)</f>
        <v/>
      </c>
      <c r="H410" t="str">
        <f>IF([1]ROSTERS!H410="","",[1]ROSTERS!H410)</f>
        <v/>
      </c>
      <c r="I410" s="8" t="str">
        <f>IF([1]ROSTERS!I410="","",[1]ROSTERS!I410)</f>
        <v/>
      </c>
      <c r="J410" t="str">
        <f>IF([1]ROSTERS!J410="","",[1]ROSTERS!J410)</f>
        <v/>
      </c>
      <c r="K410" t="str">
        <f>IF([1]ROSTERS!K410="","",[1]ROSTERS!K410)</f>
        <v/>
      </c>
      <c r="L410" t="str">
        <f>IF([1]ROSTERS!L410="","",[1]ROSTERS!L410)</f>
        <v/>
      </c>
    </row>
    <row r="411" spans="1:12" x14ac:dyDescent="0.25">
      <c r="A411" s="3" t="str">
        <f>IF(B411="","",COUNTIF($H$3:H411,H411))</f>
        <v/>
      </c>
      <c r="B411" t="str">
        <f>IF([1]ROSTERS!B411="","",[1]ROSTERS!B411)</f>
        <v/>
      </c>
      <c r="C411" t="str">
        <f>IF([1]ROSTERS!C411="","",[1]ROSTERS!C411)</f>
        <v/>
      </c>
      <c r="D411" s="8" t="str">
        <f>IF([1]ROSTERS!D411="","",[1]ROSTERS!D411)</f>
        <v/>
      </c>
      <c r="E411" t="str">
        <f>IF([1]ROSTERS!E411="","",[1]ROSTERS!E411)</f>
        <v/>
      </c>
      <c r="F411" t="str">
        <f>IF([1]ROSTERS!F411="","",[1]ROSTERS!F411)</f>
        <v/>
      </c>
      <c r="G411" t="str">
        <f>IF([1]ROSTERS!G411="","",[1]ROSTERS!G411)</f>
        <v/>
      </c>
      <c r="H411" t="str">
        <f>IF([1]ROSTERS!H411="","",[1]ROSTERS!H411)</f>
        <v/>
      </c>
      <c r="I411" s="8" t="str">
        <f>IF([1]ROSTERS!I411="","",[1]ROSTERS!I411)</f>
        <v/>
      </c>
      <c r="J411" t="str">
        <f>IF([1]ROSTERS!J411="","",[1]ROSTERS!J411)</f>
        <v/>
      </c>
      <c r="K411" t="str">
        <f>IF([1]ROSTERS!K411="","",[1]ROSTERS!K411)</f>
        <v/>
      </c>
      <c r="L411" t="str">
        <f>IF([1]ROSTERS!L411="","",[1]ROSTERS!L411)</f>
        <v/>
      </c>
    </row>
    <row r="412" spans="1:12" x14ac:dyDescent="0.25">
      <c r="A412" s="3" t="str">
        <f>IF(B412="","",COUNTIF($H$3:H412,H412))</f>
        <v/>
      </c>
      <c r="B412" t="str">
        <f>IF([1]ROSTERS!B412="","",[1]ROSTERS!B412)</f>
        <v/>
      </c>
      <c r="C412" t="str">
        <f>IF([1]ROSTERS!C412="","",[1]ROSTERS!C412)</f>
        <v/>
      </c>
      <c r="D412" s="8" t="str">
        <f>IF([1]ROSTERS!D412="","",[1]ROSTERS!D412)</f>
        <v/>
      </c>
      <c r="E412" t="str">
        <f>IF([1]ROSTERS!E412="","",[1]ROSTERS!E412)</f>
        <v/>
      </c>
      <c r="F412" t="str">
        <f>IF([1]ROSTERS!F412="","",[1]ROSTERS!F412)</f>
        <v/>
      </c>
      <c r="G412" t="str">
        <f>IF([1]ROSTERS!G412="","",[1]ROSTERS!G412)</f>
        <v/>
      </c>
      <c r="H412" t="str">
        <f>IF([1]ROSTERS!H412="","",[1]ROSTERS!H412)</f>
        <v/>
      </c>
      <c r="I412" s="8" t="str">
        <f>IF([1]ROSTERS!I412="","",[1]ROSTERS!I412)</f>
        <v/>
      </c>
      <c r="J412" t="str">
        <f>IF([1]ROSTERS!J412="","",[1]ROSTERS!J412)</f>
        <v/>
      </c>
      <c r="K412" t="str">
        <f>IF([1]ROSTERS!K412="","",[1]ROSTERS!K412)</f>
        <v/>
      </c>
      <c r="L412" t="str">
        <f>IF([1]ROSTERS!L412="","",[1]ROSTERS!L412)</f>
        <v/>
      </c>
    </row>
    <row r="413" spans="1:12" x14ac:dyDescent="0.25">
      <c r="A413" s="3" t="str">
        <f>IF(B413="","",COUNTIF($H$3:H413,H413))</f>
        <v/>
      </c>
      <c r="B413" t="str">
        <f>IF([1]ROSTERS!B413="","",[1]ROSTERS!B413)</f>
        <v/>
      </c>
      <c r="C413" t="str">
        <f>IF([1]ROSTERS!C413="","",[1]ROSTERS!C413)</f>
        <v/>
      </c>
      <c r="D413" s="8" t="str">
        <f>IF([1]ROSTERS!D413="","",[1]ROSTERS!D413)</f>
        <v/>
      </c>
      <c r="E413" t="str">
        <f>IF([1]ROSTERS!E413="","",[1]ROSTERS!E413)</f>
        <v/>
      </c>
      <c r="F413" t="str">
        <f>IF([1]ROSTERS!F413="","",[1]ROSTERS!F413)</f>
        <v/>
      </c>
      <c r="G413" t="str">
        <f>IF([1]ROSTERS!G413="","",[1]ROSTERS!G413)</f>
        <v/>
      </c>
      <c r="H413" t="str">
        <f>IF([1]ROSTERS!H413="","",[1]ROSTERS!H413)</f>
        <v/>
      </c>
      <c r="I413" s="8" t="str">
        <f>IF([1]ROSTERS!I413="","",[1]ROSTERS!I413)</f>
        <v/>
      </c>
      <c r="J413" t="str">
        <f>IF([1]ROSTERS!J413="","",[1]ROSTERS!J413)</f>
        <v/>
      </c>
      <c r="K413" t="str">
        <f>IF([1]ROSTERS!K413="","",[1]ROSTERS!K413)</f>
        <v/>
      </c>
      <c r="L413" t="str">
        <f>IF([1]ROSTERS!L413="","",[1]ROSTERS!L413)</f>
        <v/>
      </c>
    </row>
    <row r="414" spans="1:12" x14ac:dyDescent="0.25">
      <c r="A414" s="3" t="str">
        <f>IF(B414="","",COUNTIF($H$3:H414,H414))</f>
        <v/>
      </c>
      <c r="B414" t="str">
        <f>IF([1]ROSTERS!B414="","",[1]ROSTERS!B414)</f>
        <v/>
      </c>
      <c r="C414" t="str">
        <f>IF([1]ROSTERS!C414="","",[1]ROSTERS!C414)</f>
        <v/>
      </c>
      <c r="D414" s="8" t="str">
        <f>IF([1]ROSTERS!D414="","",[1]ROSTERS!D414)</f>
        <v/>
      </c>
      <c r="E414" t="str">
        <f>IF([1]ROSTERS!E414="","",[1]ROSTERS!E414)</f>
        <v/>
      </c>
      <c r="F414" t="str">
        <f>IF([1]ROSTERS!F414="","",[1]ROSTERS!F414)</f>
        <v/>
      </c>
      <c r="G414" t="str">
        <f>IF([1]ROSTERS!G414="","",[1]ROSTERS!G414)</f>
        <v/>
      </c>
      <c r="H414" t="str">
        <f>IF([1]ROSTERS!H414="","",[1]ROSTERS!H414)</f>
        <v/>
      </c>
      <c r="I414" s="8" t="str">
        <f>IF([1]ROSTERS!I414="","",[1]ROSTERS!I414)</f>
        <v/>
      </c>
      <c r="J414" t="str">
        <f>IF([1]ROSTERS!J414="","",[1]ROSTERS!J414)</f>
        <v/>
      </c>
      <c r="K414" t="str">
        <f>IF([1]ROSTERS!K414="","",[1]ROSTERS!K414)</f>
        <v/>
      </c>
      <c r="L414" t="str">
        <f>IF([1]ROSTERS!L414="","",[1]ROSTERS!L414)</f>
        <v/>
      </c>
    </row>
    <row r="415" spans="1:12" x14ac:dyDescent="0.25">
      <c r="A415" s="3" t="str">
        <f>IF(B415="","",COUNTIF($H$3:H415,H415))</f>
        <v/>
      </c>
      <c r="B415" t="str">
        <f>IF([1]ROSTERS!B415="","",[1]ROSTERS!B415)</f>
        <v/>
      </c>
      <c r="C415" t="str">
        <f>IF([1]ROSTERS!C415="","",[1]ROSTERS!C415)</f>
        <v/>
      </c>
      <c r="D415" s="8" t="str">
        <f>IF([1]ROSTERS!D415="","",[1]ROSTERS!D415)</f>
        <v/>
      </c>
      <c r="E415" t="str">
        <f>IF([1]ROSTERS!E415="","",[1]ROSTERS!E415)</f>
        <v/>
      </c>
      <c r="F415" t="str">
        <f>IF([1]ROSTERS!F415="","",[1]ROSTERS!F415)</f>
        <v/>
      </c>
      <c r="G415" t="str">
        <f>IF([1]ROSTERS!G415="","",[1]ROSTERS!G415)</f>
        <v/>
      </c>
      <c r="H415" t="str">
        <f>IF([1]ROSTERS!H415="","",[1]ROSTERS!H415)</f>
        <v/>
      </c>
      <c r="I415" s="8" t="str">
        <f>IF([1]ROSTERS!I415="","",[1]ROSTERS!I415)</f>
        <v/>
      </c>
      <c r="J415" t="str">
        <f>IF([1]ROSTERS!J415="","",[1]ROSTERS!J415)</f>
        <v/>
      </c>
      <c r="K415" t="str">
        <f>IF([1]ROSTERS!K415="","",[1]ROSTERS!K415)</f>
        <v/>
      </c>
      <c r="L415" t="str">
        <f>IF([1]ROSTERS!L415="","",[1]ROSTERS!L415)</f>
        <v/>
      </c>
    </row>
    <row r="416" spans="1:12" x14ac:dyDescent="0.25">
      <c r="A416" s="3" t="str">
        <f>IF(B416="","",COUNTIF($H$3:H416,H416))</f>
        <v/>
      </c>
      <c r="B416" t="str">
        <f>IF([1]ROSTERS!B416="","",[1]ROSTERS!B416)</f>
        <v/>
      </c>
      <c r="C416" t="str">
        <f>IF([1]ROSTERS!C416="","",[1]ROSTERS!C416)</f>
        <v/>
      </c>
      <c r="D416" s="8" t="str">
        <f>IF([1]ROSTERS!D416="","",[1]ROSTERS!D416)</f>
        <v/>
      </c>
      <c r="E416" t="str">
        <f>IF([1]ROSTERS!E416="","",[1]ROSTERS!E416)</f>
        <v/>
      </c>
      <c r="F416" t="str">
        <f>IF([1]ROSTERS!F416="","",[1]ROSTERS!F416)</f>
        <v/>
      </c>
      <c r="G416" t="str">
        <f>IF([1]ROSTERS!G416="","",[1]ROSTERS!G416)</f>
        <v/>
      </c>
      <c r="H416" t="str">
        <f>IF([1]ROSTERS!H416="","",[1]ROSTERS!H416)</f>
        <v/>
      </c>
      <c r="I416" s="8" t="str">
        <f>IF([1]ROSTERS!I416="","",[1]ROSTERS!I416)</f>
        <v/>
      </c>
      <c r="J416" t="str">
        <f>IF([1]ROSTERS!J416="","",[1]ROSTERS!J416)</f>
        <v/>
      </c>
      <c r="K416" t="str">
        <f>IF([1]ROSTERS!K416="","",[1]ROSTERS!K416)</f>
        <v/>
      </c>
      <c r="L416" t="str">
        <f>IF([1]ROSTERS!L416="","",[1]ROSTERS!L416)</f>
        <v/>
      </c>
    </row>
    <row r="417" spans="1:12" x14ac:dyDescent="0.25">
      <c r="A417" s="3" t="str">
        <f>IF(B417="","",COUNTIF($H$3:H417,H417))</f>
        <v/>
      </c>
      <c r="B417" t="str">
        <f>IF([1]ROSTERS!B417="","",[1]ROSTERS!B417)</f>
        <v/>
      </c>
      <c r="C417" t="str">
        <f>IF([1]ROSTERS!C417="","",[1]ROSTERS!C417)</f>
        <v/>
      </c>
      <c r="D417" s="8" t="str">
        <f>IF([1]ROSTERS!D417="","",[1]ROSTERS!D417)</f>
        <v/>
      </c>
      <c r="E417" t="str">
        <f>IF([1]ROSTERS!E417="","",[1]ROSTERS!E417)</f>
        <v/>
      </c>
      <c r="F417" t="str">
        <f>IF([1]ROSTERS!F417="","",[1]ROSTERS!F417)</f>
        <v/>
      </c>
      <c r="G417" t="str">
        <f>IF([1]ROSTERS!G417="","",[1]ROSTERS!G417)</f>
        <v/>
      </c>
      <c r="H417" t="str">
        <f>IF([1]ROSTERS!H417="","",[1]ROSTERS!H417)</f>
        <v/>
      </c>
      <c r="I417" s="8" t="str">
        <f>IF([1]ROSTERS!I417="","",[1]ROSTERS!I417)</f>
        <v/>
      </c>
      <c r="J417" t="str">
        <f>IF([1]ROSTERS!J417="","",[1]ROSTERS!J417)</f>
        <v/>
      </c>
      <c r="K417" t="str">
        <f>IF([1]ROSTERS!K417="","",[1]ROSTERS!K417)</f>
        <v/>
      </c>
      <c r="L417" t="str">
        <f>IF([1]ROSTERS!L417="","",[1]ROSTERS!L417)</f>
        <v/>
      </c>
    </row>
    <row r="418" spans="1:12" x14ac:dyDescent="0.25">
      <c r="A418" s="3" t="str">
        <f>IF(B418="","",COUNTIF($H$3:H418,H418))</f>
        <v/>
      </c>
      <c r="B418" t="str">
        <f>IF([1]ROSTERS!B418="","",[1]ROSTERS!B418)</f>
        <v/>
      </c>
      <c r="C418" t="str">
        <f>IF([1]ROSTERS!C418="","",[1]ROSTERS!C418)</f>
        <v/>
      </c>
      <c r="D418" s="8" t="str">
        <f>IF([1]ROSTERS!D418="","",[1]ROSTERS!D418)</f>
        <v/>
      </c>
      <c r="E418" t="str">
        <f>IF([1]ROSTERS!E418="","",[1]ROSTERS!E418)</f>
        <v/>
      </c>
      <c r="F418" t="str">
        <f>IF([1]ROSTERS!F418="","",[1]ROSTERS!F418)</f>
        <v/>
      </c>
      <c r="G418" t="str">
        <f>IF([1]ROSTERS!G418="","",[1]ROSTERS!G418)</f>
        <v/>
      </c>
      <c r="H418" t="str">
        <f>IF([1]ROSTERS!H418="","",[1]ROSTERS!H418)</f>
        <v/>
      </c>
      <c r="I418" s="8" t="str">
        <f>IF([1]ROSTERS!I418="","",[1]ROSTERS!I418)</f>
        <v/>
      </c>
      <c r="J418" t="str">
        <f>IF([1]ROSTERS!J418="","",[1]ROSTERS!J418)</f>
        <v/>
      </c>
      <c r="K418" t="str">
        <f>IF([1]ROSTERS!K418="","",[1]ROSTERS!K418)</f>
        <v/>
      </c>
      <c r="L418" t="str">
        <f>IF([1]ROSTERS!L418="","",[1]ROSTERS!L418)</f>
        <v/>
      </c>
    </row>
    <row r="419" spans="1:12" x14ac:dyDescent="0.25">
      <c r="A419" s="3" t="str">
        <f>IF(B419="","",COUNTIF($H$3:H419,H419))</f>
        <v/>
      </c>
      <c r="B419" t="str">
        <f>IF([1]ROSTERS!B419="","",[1]ROSTERS!B419)</f>
        <v/>
      </c>
      <c r="C419" t="str">
        <f>IF([1]ROSTERS!C419="","",[1]ROSTERS!C419)</f>
        <v/>
      </c>
      <c r="D419" s="8" t="str">
        <f>IF([1]ROSTERS!D419="","",[1]ROSTERS!D419)</f>
        <v/>
      </c>
      <c r="E419" t="str">
        <f>IF([1]ROSTERS!E419="","",[1]ROSTERS!E419)</f>
        <v/>
      </c>
      <c r="F419" t="str">
        <f>IF([1]ROSTERS!F419="","",[1]ROSTERS!F419)</f>
        <v/>
      </c>
      <c r="G419" t="str">
        <f>IF([1]ROSTERS!G419="","",[1]ROSTERS!G419)</f>
        <v/>
      </c>
      <c r="H419" t="str">
        <f>IF([1]ROSTERS!H419="","",[1]ROSTERS!H419)</f>
        <v/>
      </c>
      <c r="I419" s="8" t="str">
        <f>IF([1]ROSTERS!I419="","",[1]ROSTERS!I419)</f>
        <v/>
      </c>
      <c r="J419" t="str">
        <f>IF([1]ROSTERS!J419="","",[1]ROSTERS!J419)</f>
        <v/>
      </c>
      <c r="K419" t="str">
        <f>IF([1]ROSTERS!K419="","",[1]ROSTERS!K419)</f>
        <v/>
      </c>
      <c r="L419" t="str">
        <f>IF([1]ROSTERS!L419="","",[1]ROSTERS!L419)</f>
        <v/>
      </c>
    </row>
    <row r="420" spans="1:12" x14ac:dyDescent="0.25">
      <c r="A420" s="3" t="str">
        <f>IF(B420="","",COUNTIF($H$3:H420,H420))</f>
        <v/>
      </c>
      <c r="B420" t="str">
        <f>IF([1]ROSTERS!B420="","",[1]ROSTERS!B420)</f>
        <v/>
      </c>
      <c r="C420" t="str">
        <f>IF([1]ROSTERS!C420="","",[1]ROSTERS!C420)</f>
        <v/>
      </c>
      <c r="D420" s="8" t="str">
        <f>IF([1]ROSTERS!D420="","",[1]ROSTERS!D420)</f>
        <v/>
      </c>
      <c r="E420" t="str">
        <f>IF([1]ROSTERS!E420="","",[1]ROSTERS!E420)</f>
        <v/>
      </c>
      <c r="F420" t="str">
        <f>IF([1]ROSTERS!F420="","",[1]ROSTERS!F420)</f>
        <v/>
      </c>
      <c r="G420" t="str">
        <f>IF([1]ROSTERS!G420="","",[1]ROSTERS!G420)</f>
        <v/>
      </c>
      <c r="H420" t="str">
        <f>IF([1]ROSTERS!H420="","",[1]ROSTERS!H420)</f>
        <v/>
      </c>
      <c r="I420" s="8" t="str">
        <f>IF([1]ROSTERS!I420="","",[1]ROSTERS!I420)</f>
        <v/>
      </c>
      <c r="J420" t="str">
        <f>IF([1]ROSTERS!J420="","",[1]ROSTERS!J420)</f>
        <v/>
      </c>
      <c r="K420" t="str">
        <f>IF([1]ROSTERS!K420="","",[1]ROSTERS!K420)</f>
        <v/>
      </c>
      <c r="L420" t="str">
        <f>IF([1]ROSTERS!L420="","",[1]ROSTERS!L420)</f>
        <v/>
      </c>
    </row>
    <row r="421" spans="1:12" x14ac:dyDescent="0.25">
      <c r="A421" s="3" t="str">
        <f>IF(B421="","",COUNTIF($H$3:H421,H421))</f>
        <v/>
      </c>
      <c r="B421" t="str">
        <f>IF([1]ROSTERS!B421="","",[1]ROSTERS!B421)</f>
        <v/>
      </c>
      <c r="C421" t="str">
        <f>IF([1]ROSTERS!C421="","",[1]ROSTERS!C421)</f>
        <v/>
      </c>
      <c r="D421" s="8" t="str">
        <f>IF([1]ROSTERS!D421="","",[1]ROSTERS!D421)</f>
        <v/>
      </c>
      <c r="E421" t="str">
        <f>IF([1]ROSTERS!E421="","",[1]ROSTERS!E421)</f>
        <v/>
      </c>
      <c r="F421" t="str">
        <f>IF([1]ROSTERS!F421="","",[1]ROSTERS!F421)</f>
        <v/>
      </c>
      <c r="G421" t="str">
        <f>IF([1]ROSTERS!G421="","",[1]ROSTERS!G421)</f>
        <v/>
      </c>
      <c r="H421" t="str">
        <f>IF([1]ROSTERS!H421="","",[1]ROSTERS!H421)</f>
        <v/>
      </c>
      <c r="I421" s="8" t="str">
        <f>IF([1]ROSTERS!I421="","",[1]ROSTERS!I421)</f>
        <v/>
      </c>
      <c r="J421" t="str">
        <f>IF([1]ROSTERS!J421="","",[1]ROSTERS!J421)</f>
        <v/>
      </c>
      <c r="K421" t="str">
        <f>IF([1]ROSTERS!K421="","",[1]ROSTERS!K421)</f>
        <v/>
      </c>
      <c r="L421" t="str">
        <f>IF([1]ROSTERS!L421="","",[1]ROSTERS!L421)</f>
        <v/>
      </c>
    </row>
    <row r="422" spans="1:12" x14ac:dyDescent="0.25">
      <c r="A422" s="3" t="str">
        <f>IF(B422="","",COUNTIF($H$3:H422,H422))</f>
        <v/>
      </c>
      <c r="B422" t="str">
        <f>IF([1]ROSTERS!B422="","",[1]ROSTERS!B422)</f>
        <v/>
      </c>
      <c r="C422" t="str">
        <f>IF([1]ROSTERS!C422="","",[1]ROSTERS!C422)</f>
        <v/>
      </c>
      <c r="D422" s="8" t="str">
        <f>IF([1]ROSTERS!D422="","",[1]ROSTERS!D422)</f>
        <v/>
      </c>
      <c r="E422" t="str">
        <f>IF([1]ROSTERS!E422="","",[1]ROSTERS!E422)</f>
        <v/>
      </c>
      <c r="F422" t="str">
        <f>IF([1]ROSTERS!F422="","",[1]ROSTERS!F422)</f>
        <v/>
      </c>
      <c r="G422" t="str">
        <f>IF([1]ROSTERS!G422="","",[1]ROSTERS!G422)</f>
        <v/>
      </c>
      <c r="H422" t="str">
        <f>IF([1]ROSTERS!H422="","",[1]ROSTERS!H422)</f>
        <v/>
      </c>
      <c r="I422" s="8" t="str">
        <f>IF([1]ROSTERS!I422="","",[1]ROSTERS!I422)</f>
        <v/>
      </c>
      <c r="J422" t="str">
        <f>IF([1]ROSTERS!J422="","",[1]ROSTERS!J422)</f>
        <v/>
      </c>
      <c r="K422" t="str">
        <f>IF([1]ROSTERS!K422="","",[1]ROSTERS!K422)</f>
        <v/>
      </c>
      <c r="L422" t="str">
        <f>IF([1]ROSTERS!L422="","",[1]ROSTERS!L422)</f>
        <v/>
      </c>
    </row>
    <row r="423" spans="1:12" x14ac:dyDescent="0.25">
      <c r="A423" s="3" t="str">
        <f>IF(B423="","",COUNTIF($H$3:H423,H423))</f>
        <v/>
      </c>
      <c r="B423" t="str">
        <f>IF([1]ROSTERS!B423="","",[1]ROSTERS!B423)</f>
        <v/>
      </c>
      <c r="C423" t="str">
        <f>IF([1]ROSTERS!C423="","",[1]ROSTERS!C423)</f>
        <v/>
      </c>
      <c r="D423" s="8" t="str">
        <f>IF([1]ROSTERS!D423="","",[1]ROSTERS!D423)</f>
        <v/>
      </c>
      <c r="E423" t="str">
        <f>IF([1]ROSTERS!E423="","",[1]ROSTERS!E423)</f>
        <v/>
      </c>
      <c r="F423" t="str">
        <f>IF([1]ROSTERS!F423="","",[1]ROSTERS!F423)</f>
        <v/>
      </c>
      <c r="G423" t="str">
        <f>IF([1]ROSTERS!G423="","",[1]ROSTERS!G423)</f>
        <v/>
      </c>
      <c r="H423" t="str">
        <f>IF([1]ROSTERS!H423="","",[1]ROSTERS!H423)</f>
        <v/>
      </c>
      <c r="I423" s="8" t="str">
        <f>IF([1]ROSTERS!I423="","",[1]ROSTERS!I423)</f>
        <v/>
      </c>
      <c r="J423" t="str">
        <f>IF([1]ROSTERS!J423="","",[1]ROSTERS!J423)</f>
        <v/>
      </c>
      <c r="K423" t="str">
        <f>IF([1]ROSTERS!K423="","",[1]ROSTERS!K423)</f>
        <v/>
      </c>
      <c r="L423" t="str">
        <f>IF([1]ROSTERS!L423="","",[1]ROSTERS!L423)</f>
        <v/>
      </c>
    </row>
    <row r="424" spans="1:12" x14ac:dyDescent="0.25">
      <c r="A424" s="3" t="str">
        <f>IF(B424="","",COUNTIF($H$3:H424,H424))</f>
        <v/>
      </c>
      <c r="B424" t="str">
        <f>IF([1]ROSTERS!B424="","",[1]ROSTERS!B424)</f>
        <v/>
      </c>
      <c r="C424" t="str">
        <f>IF([1]ROSTERS!C424="","",[1]ROSTERS!C424)</f>
        <v/>
      </c>
      <c r="D424" s="8" t="str">
        <f>IF([1]ROSTERS!D424="","",[1]ROSTERS!D424)</f>
        <v/>
      </c>
      <c r="E424" t="str">
        <f>IF([1]ROSTERS!E424="","",[1]ROSTERS!E424)</f>
        <v/>
      </c>
      <c r="F424" t="str">
        <f>IF([1]ROSTERS!F424="","",[1]ROSTERS!F424)</f>
        <v/>
      </c>
      <c r="G424" t="str">
        <f>IF([1]ROSTERS!G424="","",[1]ROSTERS!G424)</f>
        <v/>
      </c>
      <c r="H424" t="str">
        <f>IF([1]ROSTERS!H424="","",[1]ROSTERS!H424)</f>
        <v/>
      </c>
      <c r="I424" s="8" t="str">
        <f>IF([1]ROSTERS!I424="","",[1]ROSTERS!I424)</f>
        <v/>
      </c>
      <c r="J424" t="str">
        <f>IF([1]ROSTERS!J424="","",[1]ROSTERS!J424)</f>
        <v/>
      </c>
      <c r="K424" t="str">
        <f>IF([1]ROSTERS!K424="","",[1]ROSTERS!K424)</f>
        <v/>
      </c>
      <c r="L424" t="str">
        <f>IF([1]ROSTERS!L424="","",[1]ROSTERS!L424)</f>
        <v/>
      </c>
    </row>
    <row r="425" spans="1:12" x14ac:dyDescent="0.25">
      <c r="A425" s="3" t="str">
        <f>IF(B425="","",COUNTIF($H$3:H425,H425))</f>
        <v/>
      </c>
      <c r="B425" t="str">
        <f>IF([1]ROSTERS!B425="","",[1]ROSTERS!B425)</f>
        <v/>
      </c>
      <c r="C425" t="str">
        <f>IF([1]ROSTERS!C425="","",[1]ROSTERS!C425)</f>
        <v/>
      </c>
      <c r="D425" s="8" t="str">
        <f>IF([1]ROSTERS!D425="","",[1]ROSTERS!D425)</f>
        <v/>
      </c>
      <c r="E425" t="str">
        <f>IF([1]ROSTERS!E425="","",[1]ROSTERS!E425)</f>
        <v/>
      </c>
      <c r="F425" t="str">
        <f>IF([1]ROSTERS!F425="","",[1]ROSTERS!F425)</f>
        <v/>
      </c>
      <c r="G425" t="str">
        <f>IF([1]ROSTERS!G425="","",[1]ROSTERS!G425)</f>
        <v/>
      </c>
      <c r="H425" t="str">
        <f>IF([1]ROSTERS!H425="","",[1]ROSTERS!H425)</f>
        <v/>
      </c>
      <c r="I425" s="8" t="str">
        <f>IF([1]ROSTERS!I425="","",[1]ROSTERS!I425)</f>
        <v/>
      </c>
      <c r="J425" t="str">
        <f>IF([1]ROSTERS!J425="","",[1]ROSTERS!J425)</f>
        <v/>
      </c>
      <c r="K425" t="str">
        <f>IF([1]ROSTERS!K425="","",[1]ROSTERS!K425)</f>
        <v/>
      </c>
      <c r="L425" t="str">
        <f>IF([1]ROSTERS!L425="","",[1]ROSTERS!L425)</f>
        <v/>
      </c>
    </row>
    <row r="426" spans="1:12" x14ac:dyDescent="0.25">
      <c r="A426" s="3" t="str">
        <f>IF(B426="","",COUNTIF($H$3:H426,H426))</f>
        <v/>
      </c>
      <c r="B426" t="str">
        <f>IF([1]ROSTERS!B426="","",[1]ROSTERS!B426)</f>
        <v/>
      </c>
      <c r="C426" t="str">
        <f>IF([1]ROSTERS!C426="","",[1]ROSTERS!C426)</f>
        <v/>
      </c>
      <c r="D426" s="8" t="str">
        <f>IF([1]ROSTERS!D426="","",[1]ROSTERS!D426)</f>
        <v/>
      </c>
      <c r="E426" t="str">
        <f>IF([1]ROSTERS!E426="","",[1]ROSTERS!E426)</f>
        <v/>
      </c>
      <c r="F426" t="str">
        <f>IF([1]ROSTERS!F426="","",[1]ROSTERS!F426)</f>
        <v/>
      </c>
      <c r="G426" t="str">
        <f>IF([1]ROSTERS!G426="","",[1]ROSTERS!G426)</f>
        <v/>
      </c>
      <c r="H426" t="str">
        <f>IF([1]ROSTERS!H426="","",[1]ROSTERS!H426)</f>
        <v/>
      </c>
      <c r="I426" s="8" t="str">
        <f>IF([1]ROSTERS!I426="","",[1]ROSTERS!I426)</f>
        <v/>
      </c>
      <c r="J426" t="str">
        <f>IF([1]ROSTERS!J426="","",[1]ROSTERS!J426)</f>
        <v/>
      </c>
      <c r="K426" t="str">
        <f>IF([1]ROSTERS!K426="","",[1]ROSTERS!K426)</f>
        <v/>
      </c>
      <c r="L426" t="str">
        <f>IF([1]ROSTERS!L426="","",[1]ROSTERS!L426)</f>
        <v/>
      </c>
    </row>
    <row r="427" spans="1:12" x14ac:dyDescent="0.25">
      <c r="A427" s="3" t="str">
        <f>IF(B427="","",COUNTIF($H$3:H427,H427))</f>
        <v/>
      </c>
      <c r="B427" t="str">
        <f>IF([1]ROSTERS!B427="","",[1]ROSTERS!B427)</f>
        <v/>
      </c>
      <c r="C427" t="str">
        <f>IF([1]ROSTERS!C427="","",[1]ROSTERS!C427)</f>
        <v/>
      </c>
      <c r="D427" s="8" t="str">
        <f>IF([1]ROSTERS!D427="","",[1]ROSTERS!D427)</f>
        <v/>
      </c>
      <c r="E427" t="str">
        <f>IF([1]ROSTERS!E427="","",[1]ROSTERS!E427)</f>
        <v/>
      </c>
      <c r="F427" t="str">
        <f>IF([1]ROSTERS!F427="","",[1]ROSTERS!F427)</f>
        <v/>
      </c>
      <c r="G427" t="str">
        <f>IF([1]ROSTERS!G427="","",[1]ROSTERS!G427)</f>
        <v/>
      </c>
      <c r="H427" t="str">
        <f>IF([1]ROSTERS!H427="","",[1]ROSTERS!H427)</f>
        <v/>
      </c>
      <c r="I427" s="8" t="str">
        <f>IF([1]ROSTERS!I427="","",[1]ROSTERS!I427)</f>
        <v/>
      </c>
      <c r="J427" t="str">
        <f>IF([1]ROSTERS!J427="","",[1]ROSTERS!J427)</f>
        <v/>
      </c>
      <c r="K427" t="str">
        <f>IF([1]ROSTERS!K427="","",[1]ROSTERS!K427)</f>
        <v/>
      </c>
      <c r="L427" t="str">
        <f>IF([1]ROSTERS!L427="","",[1]ROSTERS!L427)</f>
        <v/>
      </c>
    </row>
    <row r="428" spans="1:12" x14ac:dyDescent="0.25">
      <c r="A428" s="3" t="str">
        <f>IF(B428="","",COUNTIF($H$3:H428,H428))</f>
        <v/>
      </c>
      <c r="B428" t="str">
        <f>IF([1]ROSTERS!B428="","",[1]ROSTERS!B428)</f>
        <v/>
      </c>
      <c r="C428" t="str">
        <f>IF([1]ROSTERS!C428="","",[1]ROSTERS!C428)</f>
        <v/>
      </c>
      <c r="D428" s="8" t="str">
        <f>IF([1]ROSTERS!D428="","",[1]ROSTERS!D428)</f>
        <v/>
      </c>
      <c r="E428" t="str">
        <f>IF([1]ROSTERS!E428="","",[1]ROSTERS!E428)</f>
        <v/>
      </c>
      <c r="F428" t="str">
        <f>IF([1]ROSTERS!F428="","",[1]ROSTERS!F428)</f>
        <v/>
      </c>
      <c r="G428" t="str">
        <f>IF([1]ROSTERS!G428="","",[1]ROSTERS!G428)</f>
        <v/>
      </c>
      <c r="H428" t="str">
        <f>IF([1]ROSTERS!H428="","",[1]ROSTERS!H428)</f>
        <v/>
      </c>
      <c r="I428" s="8" t="str">
        <f>IF([1]ROSTERS!I428="","",[1]ROSTERS!I428)</f>
        <v/>
      </c>
      <c r="J428" t="str">
        <f>IF([1]ROSTERS!J428="","",[1]ROSTERS!J428)</f>
        <v/>
      </c>
      <c r="K428" t="str">
        <f>IF([1]ROSTERS!K428="","",[1]ROSTERS!K428)</f>
        <v/>
      </c>
      <c r="L428" t="str">
        <f>IF([1]ROSTERS!L428="","",[1]ROSTERS!L428)</f>
        <v/>
      </c>
    </row>
    <row r="429" spans="1:12" x14ac:dyDescent="0.25">
      <c r="A429" s="3" t="str">
        <f>IF(B429="","",COUNTIF($H$3:H429,H429))</f>
        <v/>
      </c>
      <c r="B429" t="str">
        <f>IF([1]ROSTERS!B429="","",[1]ROSTERS!B429)</f>
        <v/>
      </c>
      <c r="C429" t="str">
        <f>IF([1]ROSTERS!C429="","",[1]ROSTERS!C429)</f>
        <v/>
      </c>
      <c r="D429" s="8" t="str">
        <f>IF([1]ROSTERS!D429="","",[1]ROSTERS!D429)</f>
        <v/>
      </c>
      <c r="E429" t="str">
        <f>IF([1]ROSTERS!E429="","",[1]ROSTERS!E429)</f>
        <v/>
      </c>
      <c r="F429" t="str">
        <f>IF([1]ROSTERS!F429="","",[1]ROSTERS!F429)</f>
        <v/>
      </c>
      <c r="G429" t="str">
        <f>IF([1]ROSTERS!G429="","",[1]ROSTERS!G429)</f>
        <v/>
      </c>
      <c r="H429" t="str">
        <f>IF([1]ROSTERS!H429="","",[1]ROSTERS!H429)</f>
        <v/>
      </c>
      <c r="I429" s="8" t="str">
        <f>IF([1]ROSTERS!I429="","",[1]ROSTERS!I429)</f>
        <v/>
      </c>
      <c r="J429" t="str">
        <f>IF([1]ROSTERS!J429="","",[1]ROSTERS!J429)</f>
        <v/>
      </c>
      <c r="K429" t="str">
        <f>IF([1]ROSTERS!K429="","",[1]ROSTERS!K429)</f>
        <v/>
      </c>
      <c r="L429" t="str">
        <f>IF([1]ROSTERS!L429="","",[1]ROSTERS!L429)</f>
        <v/>
      </c>
    </row>
    <row r="430" spans="1:12" x14ac:dyDescent="0.25">
      <c r="A430" s="3" t="str">
        <f>IF(B430="","",COUNTIF($H$3:H430,H430))</f>
        <v/>
      </c>
      <c r="B430" t="str">
        <f>IF([1]ROSTERS!B430="","",[1]ROSTERS!B430)</f>
        <v/>
      </c>
      <c r="C430" t="str">
        <f>IF([1]ROSTERS!C430="","",[1]ROSTERS!C430)</f>
        <v/>
      </c>
      <c r="D430" s="8" t="str">
        <f>IF([1]ROSTERS!D430="","",[1]ROSTERS!D430)</f>
        <v/>
      </c>
      <c r="E430" t="str">
        <f>IF([1]ROSTERS!E430="","",[1]ROSTERS!E430)</f>
        <v/>
      </c>
      <c r="F430" t="str">
        <f>IF([1]ROSTERS!F430="","",[1]ROSTERS!F430)</f>
        <v/>
      </c>
      <c r="G430" t="str">
        <f>IF([1]ROSTERS!G430="","",[1]ROSTERS!G430)</f>
        <v/>
      </c>
      <c r="H430" t="str">
        <f>IF([1]ROSTERS!H430="","",[1]ROSTERS!H430)</f>
        <v/>
      </c>
      <c r="I430" s="8" t="str">
        <f>IF([1]ROSTERS!I430="","",[1]ROSTERS!I430)</f>
        <v/>
      </c>
      <c r="J430" t="str">
        <f>IF([1]ROSTERS!J430="","",[1]ROSTERS!J430)</f>
        <v/>
      </c>
      <c r="K430" t="str">
        <f>IF([1]ROSTERS!K430="","",[1]ROSTERS!K430)</f>
        <v/>
      </c>
      <c r="L430" t="str">
        <f>IF([1]ROSTERS!L430="","",[1]ROSTERS!L430)</f>
        <v/>
      </c>
    </row>
    <row r="431" spans="1:12" x14ac:dyDescent="0.25">
      <c r="A431" s="3" t="str">
        <f>IF(B431="","",COUNTIF($H$3:H431,H431))</f>
        <v/>
      </c>
      <c r="B431" t="str">
        <f>IF([1]ROSTERS!B431="","",[1]ROSTERS!B431)</f>
        <v/>
      </c>
      <c r="C431" t="str">
        <f>IF([1]ROSTERS!C431="","",[1]ROSTERS!C431)</f>
        <v/>
      </c>
      <c r="D431" s="8" t="str">
        <f>IF([1]ROSTERS!D431="","",[1]ROSTERS!D431)</f>
        <v/>
      </c>
      <c r="E431" t="str">
        <f>IF([1]ROSTERS!E431="","",[1]ROSTERS!E431)</f>
        <v/>
      </c>
      <c r="F431" t="str">
        <f>IF([1]ROSTERS!F431="","",[1]ROSTERS!F431)</f>
        <v/>
      </c>
      <c r="G431" t="str">
        <f>IF([1]ROSTERS!G431="","",[1]ROSTERS!G431)</f>
        <v/>
      </c>
      <c r="H431" t="str">
        <f>IF([1]ROSTERS!H431="","",[1]ROSTERS!H431)</f>
        <v/>
      </c>
      <c r="I431" s="8" t="str">
        <f>IF([1]ROSTERS!I431="","",[1]ROSTERS!I431)</f>
        <v/>
      </c>
      <c r="J431" t="str">
        <f>IF([1]ROSTERS!J431="","",[1]ROSTERS!J431)</f>
        <v/>
      </c>
      <c r="K431" t="str">
        <f>IF([1]ROSTERS!K431="","",[1]ROSTERS!K431)</f>
        <v/>
      </c>
      <c r="L431" t="str">
        <f>IF([1]ROSTERS!L431="","",[1]ROSTERS!L431)</f>
        <v/>
      </c>
    </row>
    <row r="432" spans="1:12" x14ac:dyDescent="0.25">
      <c r="A432" s="3" t="str">
        <f>IF(B432="","",COUNTIF($H$3:H432,H432))</f>
        <v/>
      </c>
      <c r="B432" t="str">
        <f>IF([1]ROSTERS!B432="","",[1]ROSTERS!B432)</f>
        <v/>
      </c>
      <c r="C432" t="str">
        <f>IF([1]ROSTERS!C432="","",[1]ROSTERS!C432)</f>
        <v/>
      </c>
      <c r="D432" s="8" t="str">
        <f>IF([1]ROSTERS!D432="","",[1]ROSTERS!D432)</f>
        <v/>
      </c>
      <c r="E432" t="str">
        <f>IF([1]ROSTERS!E432="","",[1]ROSTERS!E432)</f>
        <v/>
      </c>
      <c r="F432" t="str">
        <f>IF([1]ROSTERS!F432="","",[1]ROSTERS!F432)</f>
        <v/>
      </c>
      <c r="G432" t="str">
        <f>IF([1]ROSTERS!G432="","",[1]ROSTERS!G432)</f>
        <v/>
      </c>
      <c r="H432" t="str">
        <f>IF([1]ROSTERS!H432="","",[1]ROSTERS!H432)</f>
        <v/>
      </c>
      <c r="I432" s="8" t="str">
        <f>IF([1]ROSTERS!I432="","",[1]ROSTERS!I432)</f>
        <v/>
      </c>
      <c r="J432" t="str">
        <f>IF([1]ROSTERS!J432="","",[1]ROSTERS!J432)</f>
        <v/>
      </c>
      <c r="K432" t="str">
        <f>IF([1]ROSTERS!K432="","",[1]ROSTERS!K432)</f>
        <v/>
      </c>
      <c r="L432" t="str">
        <f>IF([1]ROSTERS!L432="","",[1]ROSTERS!L432)</f>
        <v/>
      </c>
    </row>
    <row r="433" spans="1:12" x14ac:dyDescent="0.25">
      <c r="A433" s="3" t="str">
        <f>IF(B433="","",COUNTIF($H$3:H433,H433))</f>
        <v/>
      </c>
      <c r="B433" t="str">
        <f>IF([1]ROSTERS!B433="","",[1]ROSTERS!B433)</f>
        <v/>
      </c>
      <c r="C433" t="str">
        <f>IF([1]ROSTERS!C433="","",[1]ROSTERS!C433)</f>
        <v/>
      </c>
      <c r="D433" s="8" t="str">
        <f>IF([1]ROSTERS!D433="","",[1]ROSTERS!D433)</f>
        <v/>
      </c>
      <c r="E433" t="str">
        <f>IF([1]ROSTERS!E433="","",[1]ROSTERS!E433)</f>
        <v/>
      </c>
      <c r="F433" t="str">
        <f>IF([1]ROSTERS!F433="","",[1]ROSTERS!F433)</f>
        <v/>
      </c>
      <c r="G433" t="str">
        <f>IF([1]ROSTERS!G433="","",[1]ROSTERS!G433)</f>
        <v/>
      </c>
      <c r="H433" t="str">
        <f>IF([1]ROSTERS!H433="","",[1]ROSTERS!H433)</f>
        <v/>
      </c>
      <c r="I433" s="8" t="str">
        <f>IF([1]ROSTERS!I433="","",[1]ROSTERS!I433)</f>
        <v/>
      </c>
      <c r="J433" t="str">
        <f>IF([1]ROSTERS!J433="","",[1]ROSTERS!J433)</f>
        <v/>
      </c>
      <c r="K433" t="str">
        <f>IF([1]ROSTERS!K433="","",[1]ROSTERS!K433)</f>
        <v/>
      </c>
      <c r="L433" t="str">
        <f>IF([1]ROSTERS!L433="","",[1]ROSTERS!L433)</f>
        <v/>
      </c>
    </row>
    <row r="434" spans="1:12" x14ac:dyDescent="0.25">
      <c r="A434" s="3" t="str">
        <f>IF(B434="","",COUNTIF($H$3:H434,H434))</f>
        <v/>
      </c>
      <c r="B434" t="str">
        <f>IF([1]ROSTERS!B434="","",[1]ROSTERS!B434)</f>
        <v/>
      </c>
      <c r="C434" t="str">
        <f>IF([1]ROSTERS!C434="","",[1]ROSTERS!C434)</f>
        <v/>
      </c>
      <c r="D434" s="8" t="str">
        <f>IF([1]ROSTERS!D434="","",[1]ROSTERS!D434)</f>
        <v/>
      </c>
      <c r="E434" t="str">
        <f>IF([1]ROSTERS!E434="","",[1]ROSTERS!E434)</f>
        <v/>
      </c>
      <c r="F434" t="str">
        <f>IF([1]ROSTERS!F434="","",[1]ROSTERS!F434)</f>
        <v/>
      </c>
      <c r="G434" t="str">
        <f>IF([1]ROSTERS!G434="","",[1]ROSTERS!G434)</f>
        <v/>
      </c>
      <c r="H434" t="str">
        <f>IF([1]ROSTERS!H434="","",[1]ROSTERS!H434)</f>
        <v/>
      </c>
      <c r="I434" s="8" t="str">
        <f>IF([1]ROSTERS!I434="","",[1]ROSTERS!I434)</f>
        <v/>
      </c>
      <c r="J434" t="str">
        <f>IF([1]ROSTERS!J434="","",[1]ROSTERS!J434)</f>
        <v/>
      </c>
      <c r="K434" t="str">
        <f>IF([1]ROSTERS!K434="","",[1]ROSTERS!K434)</f>
        <v/>
      </c>
      <c r="L434" t="str">
        <f>IF([1]ROSTERS!L434="","",[1]ROSTERS!L434)</f>
        <v/>
      </c>
    </row>
    <row r="435" spans="1:12" x14ac:dyDescent="0.25">
      <c r="A435" s="3" t="str">
        <f>IF(B435="","",COUNTIF($H$3:H435,H435))</f>
        <v/>
      </c>
      <c r="B435" t="str">
        <f>IF([1]ROSTERS!B435="","",[1]ROSTERS!B435)</f>
        <v/>
      </c>
      <c r="C435" t="str">
        <f>IF([1]ROSTERS!C435="","",[1]ROSTERS!C435)</f>
        <v/>
      </c>
      <c r="D435" s="8" t="str">
        <f>IF([1]ROSTERS!D435="","",[1]ROSTERS!D435)</f>
        <v/>
      </c>
      <c r="E435" t="str">
        <f>IF([1]ROSTERS!E435="","",[1]ROSTERS!E435)</f>
        <v/>
      </c>
      <c r="F435" t="str">
        <f>IF([1]ROSTERS!F435="","",[1]ROSTERS!F435)</f>
        <v/>
      </c>
      <c r="G435" t="str">
        <f>IF([1]ROSTERS!G435="","",[1]ROSTERS!G435)</f>
        <v/>
      </c>
      <c r="H435" t="str">
        <f>IF([1]ROSTERS!H435="","",[1]ROSTERS!H435)</f>
        <v/>
      </c>
      <c r="I435" s="8" t="str">
        <f>IF([1]ROSTERS!I435="","",[1]ROSTERS!I435)</f>
        <v/>
      </c>
      <c r="J435" t="str">
        <f>IF([1]ROSTERS!J435="","",[1]ROSTERS!J435)</f>
        <v/>
      </c>
      <c r="K435" t="str">
        <f>IF([1]ROSTERS!K435="","",[1]ROSTERS!K435)</f>
        <v/>
      </c>
      <c r="L435" t="str">
        <f>IF([1]ROSTERS!L435="","",[1]ROSTERS!L435)</f>
        <v/>
      </c>
    </row>
    <row r="436" spans="1:12" x14ac:dyDescent="0.25">
      <c r="A436" s="3" t="str">
        <f>IF(B436="","",COUNTIF($H$3:H436,H436))</f>
        <v/>
      </c>
      <c r="B436" t="str">
        <f>IF([1]ROSTERS!B436="","",[1]ROSTERS!B436)</f>
        <v/>
      </c>
      <c r="C436" t="str">
        <f>IF([1]ROSTERS!C436="","",[1]ROSTERS!C436)</f>
        <v/>
      </c>
      <c r="D436" s="8" t="str">
        <f>IF([1]ROSTERS!D436="","",[1]ROSTERS!D436)</f>
        <v/>
      </c>
      <c r="E436" t="str">
        <f>IF([1]ROSTERS!E436="","",[1]ROSTERS!E436)</f>
        <v/>
      </c>
      <c r="F436" t="str">
        <f>IF([1]ROSTERS!F436="","",[1]ROSTERS!F436)</f>
        <v/>
      </c>
      <c r="G436" t="str">
        <f>IF([1]ROSTERS!G436="","",[1]ROSTERS!G436)</f>
        <v/>
      </c>
      <c r="H436" t="str">
        <f>IF([1]ROSTERS!H436="","",[1]ROSTERS!H436)</f>
        <v/>
      </c>
      <c r="I436" s="8" t="str">
        <f>IF([1]ROSTERS!I436="","",[1]ROSTERS!I436)</f>
        <v/>
      </c>
      <c r="J436" t="str">
        <f>IF([1]ROSTERS!J436="","",[1]ROSTERS!J436)</f>
        <v/>
      </c>
      <c r="K436" t="str">
        <f>IF([1]ROSTERS!K436="","",[1]ROSTERS!K436)</f>
        <v/>
      </c>
      <c r="L436" t="str">
        <f>IF([1]ROSTERS!L436="","",[1]ROSTERS!L436)</f>
        <v/>
      </c>
    </row>
    <row r="437" spans="1:12" x14ac:dyDescent="0.25">
      <c r="A437" s="3" t="str">
        <f>IF(B437="","",COUNTIF($H$3:H437,H437))</f>
        <v/>
      </c>
      <c r="B437" t="str">
        <f>IF([1]ROSTERS!B437="","",[1]ROSTERS!B437)</f>
        <v/>
      </c>
      <c r="C437" t="str">
        <f>IF([1]ROSTERS!C437="","",[1]ROSTERS!C437)</f>
        <v/>
      </c>
      <c r="D437" s="8" t="str">
        <f>IF([1]ROSTERS!D437="","",[1]ROSTERS!D437)</f>
        <v/>
      </c>
      <c r="E437" t="str">
        <f>IF([1]ROSTERS!E437="","",[1]ROSTERS!E437)</f>
        <v/>
      </c>
      <c r="F437" t="str">
        <f>IF([1]ROSTERS!F437="","",[1]ROSTERS!F437)</f>
        <v/>
      </c>
      <c r="G437" t="str">
        <f>IF([1]ROSTERS!G437="","",[1]ROSTERS!G437)</f>
        <v/>
      </c>
      <c r="H437" t="str">
        <f>IF([1]ROSTERS!H437="","",[1]ROSTERS!H437)</f>
        <v/>
      </c>
      <c r="I437" s="8" t="str">
        <f>IF([1]ROSTERS!I437="","",[1]ROSTERS!I437)</f>
        <v/>
      </c>
      <c r="J437" t="str">
        <f>IF([1]ROSTERS!J437="","",[1]ROSTERS!J437)</f>
        <v/>
      </c>
      <c r="K437" t="str">
        <f>IF([1]ROSTERS!K437="","",[1]ROSTERS!K437)</f>
        <v/>
      </c>
      <c r="L437" t="str">
        <f>IF([1]ROSTERS!L437="","",[1]ROSTERS!L437)</f>
        <v/>
      </c>
    </row>
    <row r="438" spans="1:12" x14ac:dyDescent="0.25">
      <c r="A438" s="3" t="str">
        <f>IF(B438="","",COUNTIF($H$3:H438,H438))</f>
        <v/>
      </c>
      <c r="B438" t="str">
        <f>IF([1]ROSTERS!B438="","",[1]ROSTERS!B438)</f>
        <v/>
      </c>
      <c r="C438" t="str">
        <f>IF([1]ROSTERS!C438="","",[1]ROSTERS!C438)</f>
        <v/>
      </c>
      <c r="D438" s="8" t="str">
        <f>IF([1]ROSTERS!D438="","",[1]ROSTERS!D438)</f>
        <v/>
      </c>
      <c r="E438" t="str">
        <f>IF([1]ROSTERS!E438="","",[1]ROSTERS!E438)</f>
        <v/>
      </c>
      <c r="F438" t="str">
        <f>IF([1]ROSTERS!F438="","",[1]ROSTERS!F438)</f>
        <v/>
      </c>
      <c r="G438" t="str">
        <f>IF([1]ROSTERS!G438="","",[1]ROSTERS!G438)</f>
        <v/>
      </c>
      <c r="H438" t="str">
        <f>IF([1]ROSTERS!H438="","",[1]ROSTERS!H438)</f>
        <v/>
      </c>
      <c r="I438" s="8" t="str">
        <f>IF([1]ROSTERS!I438="","",[1]ROSTERS!I438)</f>
        <v/>
      </c>
      <c r="J438" t="str">
        <f>IF([1]ROSTERS!J438="","",[1]ROSTERS!J438)</f>
        <v/>
      </c>
      <c r="K438" t="str">
        <f>IF([1]ROSTERS!K438="","",[1]ROSTERS!K438)</f>
        <v/>
      </c>
      <c r="L438" t="str">
        <f>IF([1]ROSTERS!L438="","",[1]ROSTERS!L438)</f>
        <v/>
      </c>
    </row>
    <row r="439" spans="1:12" x14ac:dyDescent="0.25">
      <c r="A439" s="3" t="str">
        <f>IF(B439="","",COUNTIF($H$3:H439,H439))</f>
        <v/>
      </c>
      <c r="B439" t="str">
        <f>IF([1]ROSTERS!B439="","",[1]ROSTERS!B439)</f>
        <v/>
      </c>
      <c r="C439" t="str">
        <f>IF([1]ROSTERS!C439="","",[1]ROSTERS!C439)</f>
        <v/>
      </c>
      <c r="D439" s="8" t="str">
        <f>IF([1]ROSTERS!D439="","",[1]ROSTERS!D439)</f>
        <v/>
      </c>
      <c r="E439" t="str">
        <f>IF([1]ROSTERS!E439="","",[1]ROSTERS!E439)</f>
        <v/>
      </c>
      <c r="F439" t="str">
        <f>IF([1]ROSTERS!F439="","",[1]ROSTERS!F439)</f>
        <v/>
      </c>
      <c r="G439" t="str">
        <f>IF([1]ROSTERS!G439="","",[1]ROSTERS!G439)</f>
        <v/>
      </c>
      <c r="H439" t="str">
        <f>IF([1]ROSTERS!H439="","",[1]ROSTERS!H439)</f>
        <v/>
      </c>
      <c r="I439" s="8" t="str">
        <f>IF([1]ROSTERS!I439="","",[1]ROSTERS!I439)</f>
        <v/>
      </c>
      <c r="J439" t="str">
        <f>IF([1]ROSTERS!J439="","",[1]ROSTERS!J439)</f>
        <v/>
      </c>
      <c r="K439" t="str">
        <f>IF([1]ROSTERS!K439="","",[1]ROSTERS!K439)</f>
        <v/>
      </c>
      <c r="L439" t="str">
        <f>IF([1]ROSTERS!L439="","",[1]ROSTERS!L439)</f>
        <v/>
      </c>
    </row>
    <row r="440" spans="1:12" x14ac:dyDescent="0.25">
      <c r="A440" s="3" t="str">
        <f>IF(B440="","",COUNTIF($H$3:H440,H440))</f>
        <v/>
      </c>
      <c r="B440" t="str">
        <f>IF([1]ROSTERS!B440="","",[1]ROSTERS!B440)</f>
        <v/>
      </c>
      <c r="C440" t="str">
        <f>IF([1]ROSTERS!C440="","",[1]ROSTERS!C440)</f>
        <v/>
      </c>
      <c r="D440" s="8" t="str">
        <f>IF([1]ROSTERS!D440="","",[1]ROSTERS!D440)</f>
        <v/>
      </c>
      <c r="E440" t="str">
        <f>IF([1]ROSTERS!E440="","",[1]ROSTERS!E440)</f>
        <v/>
      </c>
      <c r="F440" t="str">
        <f>IF([1]ROSTERS!F440="","",[1]ROSTERS!F440)</f>
        <v/>
      </c>
      <c r="G440" t="str">
        <f>IF([1]ROSTERS!G440="","",[1]ROSTERS!G440)</f>
        <v/>
      </c>
      <c r="H440" t="str">
        <f>IF([1]ROSTERS!H440="","",[1]ROSTERS!H440)</f>
        <v/>
      </c>
      <c r="I440" s="8" t="str">
        <f>IF([1]ROSTERS!I440="","",[1]ROSTERS!I440)</f>
        <v/>
      </c>
      <c r="J440" t="str">
        <f>IF([1]ROSTERS!J440="","",[1]ROSTERS!J440)</f>
        <v/>
      </c>
      <c r="K440" t="str">
        <f>IF([1]ROSTERS!K440="","",[1]ROSTERS!K440)</f>
        <v/>
      </c>
      <c r="L440" t="str">
        <f>IF([1]ROSTERS!L440="","",[1]ROSTERS!L440)</f>
        <v/>
      </c>
    </row>
    <row r="441" spans="1:12" x14ac:dyDescent="0.25">
      <c r="A441" s="3" t="str">
        <f>IF(B441="","",COUNTIF($H$3:H441,H441))</f>
        <v/>
      </c>
      <c r="B441" t="str">
        <f>IF([1]ROSTERS!B441="","",[1]ROSTERS!B441)</f>
        <v/>
      </c>
      <c r="C441" t="str">
        <f>IF([1]ROSTERS!C441="","",[1]ROSTERS!C441)</f>
        <v/>
      </c>
      <c r="D441" s="8" t="str">
        <f>IF([1]ROSTERS!D441="","",[1]ROSTERS!D441)</f>
        <v/>
      </c>
      <c r="E441" t="str">
        <f>IF([1]ROSTERS!E441="","",[1]ROSTERS!E441)</f>
        <v/>
      </c>
      <c r="F441" t="str">
        <f>IF([1]ROSTERS!F441="","",[1]ROSTERS!F441)</f>
        <v/>
      </c>
      <c r="G441" t="str">
        <f>IF([1]ROSTERS!G441="","",[1]ROSTERS!G441)</f>
        <v/>
      </c>
      <c r="H441" t="str">
        <f>IF([1]ROSTERS!H441="","",[1]ROSTERS!H441)</f>
        <v/>
      </c>
      <c r="I441" s="8" t="str">
        <f>IF([1]ROSTERS!I441="","",[1]ROSTERS!I441)</f>
        <v/>
      </c>
      <c r="J441" t="str">
        <f>IF([1]ROSTERS!J441="","",[1]ROSTERS!J441)</f>
        <v/>
      </c>
      <c r="K441" t="str">
        <f>IF([1]ROSTERS!K441="","",[1]ROSTERS!K441)</f>
        <v/>
      </c>
      <c r="L441" t="str">
        <f>IF([1]ROSTERS!L441="","",[1]ROSTERS!L441)</f>
        <v/>
      </c>
    </row>
    <row r="442" spans="1:12" x14ac:dyDescent="0.25">
      <c r="A442" s="3" t="str">
        <f>IF(B442="","",COUNTIF($H$3:H442,H442))</f>
        <v/>
      </c>
      <c r="B442" t="str">
        <f>IF([1]ROSTERS!B442="","",[1]ROSTERS!B442)</f>
        <v/>
      </c>
      <c r="C442" t="str">
        <f>IF([1]ROSTERS!C442="","",[1]ROSTERS!C442)</f>
        <v/>
      </c>
      <c r="D442" s="8" t="str">
        <f>IF([1]ROSTERS!D442="","",[1]ROSTERS!D442)</f>
        <v/>
      </c>
      <c r="E442" t="str">
        <f>IF([1]ROSTERS!E442="","",[1]ROSTERS!E442)</f>
        <v/>
      </c>
      <c r="F442" t="str">
        <f>IF([1]ROSTERS!F442="","",[1]ROSTERS!F442)</f>
        <v/>
      </c>
      <c r="G442" t="str">
        <f>IF([1]ROSTERS!G442="","",[1]ROSTERS!G442)</f>
        <v/>
      </c>
      <c r="H442" t="str">
        <f>IF([1]ROSTERS!H442="","",[1]ROSTERS!H442)</f>
        <v/>
      </c>
      <c r="I442" s="8" t="str">
        <f>IF([1]ROSTERS!I442="","",[1]ROSTERS!I442)</f>
        <v/>
      </c>
      <c r="J442" t="str">
        <f>IF([1]ROSTERS!J442="","",[1]ROSTERS!J442)</f>
        <v/>
      </c>
      <c r="K442" t="str">
        <f>IF([1]ROSTERS!K442="","",[1]ROSTERS!K442)</f>
        <v/>
      </c>
      <c r="L442" t="str">
        <f>IF([1]ROSTERS!L442="","",[1]ROSTERS!L442)</f>
        <v/>
      </c>
    </row>
    <row r="443" spans="1:12" x14ac:dyDescent="0.25">
      <c r="A443" s="3" t="str">
        <f>IF(B443="","",COUNTIF($H$3:H443,H443))</f>
        <v/>
      </c>
      <c r="B443" t="str">
        <f>IF([1]ROSTERS!B443="","",[1]ROSTERS!B443)</f>
        <v/>
      </c>
      <c r="C443" t="str">
        <f>IF([1]ROSTERS!C443="","",[1]ROSTERS!C443)</f>
        <v/>
      </c>
      <c r="D443" s="8" t="str">
        <f>IF([1]ROSTERS!D443="","",[1]ROSTERS!D443)</f>
        <v/>
      </c>
      <c r="E443" t="str">
        <f>IF([1]ROSTERS!E443="","",[1]ROSTERS!E443)</f>
        <v/>
      </c>
      <c r="F443" t="str">
        <f>IF([1]ROSTERS!F443="","",[1]ROSTERS!F443)</f>
        <v/>
      </c>
      <c r="G443" t="str">
        <f>IF([1]ROSTERS!G443="","",[1]ROSTERS!G443)</f>
        <v/>
      </c>
      <c r="H443" t="str">
        <f>IF([1]ROSTERS!H443="","",[1]ROSTERS!H443)</f>
        <v/>
      </c>
      <c r="I443" s="8" t="str">
        <f>IF([1]ROSTERS!I443="","",[1]ROSTERS!I443)</f>
        <v/>
      </c>
      <c r="J443" t="str">
        <f>IF([1]ROSTERS!J443="","",[1]ROSTERS!J443)</f>
        <v/>
      </c>
      <c r="K443" t="str">
        <f>IF([1]ROSTERS!K443="","",[1]ROSTERS!K443)</f>
        <v/>
      </c>
      <c r="L443" t="str">
        <f>IF([1]ROSTERS!L443="","",[1]ROSTERS!L443)</f>
        <v/>
      </c>
    </row>
    <row r="444" spans="1:12" x14ac:dyDescent="0.25">
      <c r="A444" s="3" t="str">
        <f>IF(B444="","",COUNTIF($H$3:H444,H444))</f>
        <v/>
      </c>
      <c r="B444" t="str">
        <f>IF([1]ROSTERS!B444="","",[1]ROSTERS!B444)</f>
        <v/>
      </c>
      <c r="C444" t="str">
        <f>IF([1]ROSTERS!C444="","",[1]ROSTERS!C444)</f>
        <v/>
      </c>
      <c r="D444" s="8" t="str">
        <f>IF([1]ROSTERS!D444="","",[1]ROSTERS!D444)</f>
        <v/>
      </c>
      <c r="E444" t="str">
        <f>IF([1]ROSTERS!E444="","",[1]ROSTERS!E444)</f>
        <v/>
      </c>
      <c r="F444" t="str">
        <f>IF([1]ROSTERS!F444="","",[1]ROSTERS!F444)</f>
        <v/>
      </c>
      <c r="G444" t="str">
        <f>IF([1]ROSTERS!G444="","",[1]ROSTERS!G444)</f>
        <v/>
      </c>
      <c r="H444" t="str">
        <f>IF([1]ROSTERS!H444="","",[1]ROSTERS!H444)</f>
        <v/>
      </c>
      <c r="I444" s="8" t="str">
        <f>IF([1]ROSTERS!I444="","",[1]ROSTERS!I444)</f>
        <v/>
      </c>
      <c r="J444" t="str">
        <f>IF([1]ROSTERS!J444="","",[1]ROSTERS!J444)</f>
        <v/>
      </c>
      <c r="K444" t="str">
        <f>IF([1]ROSTERS!K444="","",[1]ROSTERS!K444)</f>
        <v/>
      </c>
      <c r="L444" t="str">
        <f>IF([1]ROSTERS!L444="","",[1]ROSTERS!L444)</f>
        <v/>
      </c>
    </row>
    <row r="445" spans="1:12" x14ac:dyDescent="0.25">
      <c r="A445" s="3" t="str">
        <f>IF(B445="","",COUNTIF($H$3:H445,H445))</f>
        <v/>
      </c>
      <c r="B445" t="str">
        <f>IF([1]ROSTERS!B445="","",[1]ROSTERS!B445)</f>
        <v/>
      </c>
      <c r="C445" t="str">
        <f>IF([1]ROSTERS!C445="","",[1]ROSTERS!C445)</f>
        <v/>
      </c>
      <c r="D445" s="8" t="str">
        <f>IF([1]ROSTERS!D445="","",[1]ROSTERS!D445)</f>
        <v/>
      </c>
      <c r="E445" t="str">
        <f>IF([1]ROSTERS!E445="","",[1]ROSTERS!E445)</f>
        <v/>
      </c>
      <c r="F445" t="str">
        <f>IF([1]ROSTERS!F445="","",[1]ROSTERS!F445)</f>
        <v/>
      </c>
      <c r="G445" t="str">
        <f>IF([1]ROSTERS!G445="","",[1]ROSTERS!G445)</f>
        <v/>
      </c>
      <c r="H445" t="str">
        <f>IF([1]ROSTERS!H445="","",[1]ROSTERS!H445)</f>
        <v/>
      </c>
      <c r="I445" s="8" t="str">
        <f>IF([1]ROSTERS!I445="","",[1]ROSTERS!I445)</f>
        <v/>
      </c>
      <c r="J445" t="str">
        <f>IF([1]ROSTERS!J445="","",[1]ROSTERS!J445)</f>
        <v/>
      </c>
      <c r="K445" t="str">
        <f>IF([1]ROSTERS!K445="","",[1]ROSTERS!K445)</f>
        <v/>
      </c>
      <c r="L445" t="str">
        <f>IF([1]ROSTERS!L445="","",[1]ROSTERS!L445)</f>
        <v/>
      </c>
    </row>
    <row r="446" spans="1:12" x14ac:dyDescent="0.25">
      <c r="A446" s="3" t="str">
        <f>IF(B446="","",COUNTIF($H$3:H446,H446))</f>
        <v/>
      </c>
      <c r="B446" t="str">
        <f>IF([1]ROSTERS!B446="","",[1]ROSTERS!B446)</f>
        <v/>
      </c>
      <c r="C446" t="str">
        <f>IF([1]ROSTERS!C446="","",[1]ROSTERS!C446)</f>
        <v/>
      </c>
      <c r="D446" s="8" t="str">
        <f>IF([1]ROSTERS!D446="","",[1]ROSTERS!D446)</f>
        <v/>
      </c>
      <c r="E446" t="str">
        <f>IF([1]ROSTERS!E446="","",[1]ROSTERS!E446)</f>
        <v/>
      </c>
      <c r="F446" t="str">
        <f>IF([1]ROSTERS!F446="","",[1]ROSTERS!F446)</f>
        <v/>
      </c>
      <c r="G446" t="str">
        <f>IF([1]ROSTERS!G446="","",[1]ROSTERS!G446)</f>
        <v/>
      </c>
      <c r="H446" t="str">
        <f>IF([1]ROSTERS!H446="","",[1]ROSTERS!H446)</f>
        <v/>
      </c>
      <c r="I446" s="8" t="str">
        <f>IF([1]ROSTERS!I446="","",[1]ROSTERS!I446)</f>
        <v/>
      </c>
      <c r="J446" t="str">
        <f>IF([1]ROSTERS!J446="","",[1]ROSTERS!J446)</f>
        <v/>
      </c>
      <c r="K446" t="str">
        <f>IF([1]ROSTERS!K446="","",[1]ROSTERS!K446)</f>
        <v/>
      </c>
      <c r="L446" t="str">
        <f>IF([1]ROSTERS!L446="","",[1]ROSTERS!L446)</f>
        <v/>
      </c>
    </row>
    <row r="447" spans="1:12" x14ac:dyDescent="0.25">
      <c r="A447" s="3" t="str">
        <f>IF(B447="","",COUNTIF($H$3:H447,H447))</f>
        <v/>
      </c>
      <c r="B447" t="str">
        <f>IF([1]ROSTERS!B447="","",[1]ROSTERS!B447)</f>
        <v/>
      </c>
      <c r="C447" t="str">
        <f>IF([1]ROSTERS!C447="","",[1]ROSTERS!C447)</f>
        <v/>
      </c>
      <c r="D447" s="8" t="str">
        <f>IF([1]ROSTERS!D447="","",[1]ROSTERS!D447)</f>
        <v/>
      </c>
      <c r="E447" t="str">
        <f>IF([1]ROSTERS!E447="","",[1]ROSTERS!E447)</f>
        <v/>
      </c>
      <c r="F447" t="str">
        <f>IF([1]ROSTERS!F447="","",[1]ROSTERS!F447)</f>
        <v/>
      </c>
      <c r="G447" t="str">
        <f>IF([1]ROSTERS!G447="","",[1]ROSTERS!G447)</f>
        <v/>
      </c>
      <c r="H447" t="str">
        <f>IF([1]ROSTERS!H447="","",[1]ROSTERS!H447)</f>
        <v/>
      </c>
      <c r="I447" s="8" t="str">
        <f>IF([1]ROSTERS!I447="","",[1]ROSTERS!I447)</f>
        <v/>
      </c>
      <c r="J447" t="str">
        <f>IF([1]ROSTERS!J447="","",[1]ROSTERS!J447)</f>
        <v/>
      </c>
      <c r="K447" t="str">
        <f>IF([1]ROSTERS!K447="","",[1]ROSTERS!K447)</f>
        <v/>
      </c>
      <c r="L447" t="str">
        <f>IF([1]ROSTERS!L447="","",[1]ROSTERS!L447)</f>
        <v/>
      </c>
    </row>
    <row r="448" spans="1:12" x14ac:dyDescent="0.25">
      <c r="A448" s="3" t="str">
        <f>IF(B448="","",COUNTIF($H$3:H448,H448))</f>
        <v/>
      </c>
      <c r="B448" t="str">
        <f>IF([1]ROSTERS!B448="","",[1]ROSTERS!B448)</f>
        <v/>
      </c>
      <c r="C448" t="str">
        <f>IF([1]ROSTERS!C448="","",[1]ROSTERS!C448)</f>
        <v/>
      </c>
      <c r="D448" s="8" t="str">
        <f>IF([1]ROSTERS!D448="","",[1]ROSTERS!D448)</f>
        <v/>
      </c>
      <c r="E448" t="str">
        <f>IF([1]ROSTERS!E448="","",[1]ROSTERS!E448)</f>
        <v/>
      </c>
      <c r="F448" t="str">
        <f>IF([1]ROSTERS!F448="","",[1]ROSTERS!F448)</f>
        <v/>
      </c>
      <c r="G448" t="str">
        <f>IF([1]ROSTERS!G448="","",[1]ROSTERS!G448)</f>
        <v/>
      </c>
      <c r="H448" t="str">
        <f>IF([1]ROSTERS!H448="","",[1]ROSTERS!H448)</f>
        <v/>
      </c>
      <c r="I448" s="8" t="str">
        <f>IF([1]ROSTERS!I448="","",[1]ROSTERS!I448)</f>
        <v/>
      </c>
      <c r="J448" t="str">
        <f>IF([1]ROSTERS!J448="","",[1]ROSTERS!J448)</f>
        <v/>
      </c>
      <c r="K448" t="str">
        <f>IF([1]ROSTERS!K448="","",[1]ROSTERS!K448)</f>
        <v/>
      </c>
      <c r="L448" t="str">
        <f>IF([1]ROSTERS!L448="","",[1]ROSTERS!L448)</f>
        <v/>
      </c>
    </row>
    <row r="449" spans="1:12" x14ac:dyDescent="0.25">
      <c r="A449" s="3" t="str">
        <f>IF(B449="","",COUNTIF($H$3:H449,H449))</f>
        <v/>
      </c>
      <c r="B449" t="str">
        <f>IF([1]ROSTERS!B449="","",[1]ROSTERS!B449)</f>
        <v/>
      </c>
      <c r="C449" t="str">
        <f>IF([1]ROSTERS!C449="","",[1]ROSTERS!C449)</f>
        <v/>
      </c>
      <c r="D449" s="8" t="str">
        <f>IF([1]ROSTERS!D449="","",[1]ROSTERS!D449)</f>
        <v/>
      </c>
      <c r="E449" t="str">
        <f>IF([1]ROSTERS!E449="","",[1]ROSTERS!E449)</f>
        <v/>
      </c>
      <c r="F449" t="str">
        <f>IF([1]ROSTERS!F449="","",[1]ROSTERS!F449)</f>
        <v/>
      </c>
      <c r="G449" t="str">
        <f>IF([1]ROSTERS!G449="","",[1]ROSTERS!G449)</f>
        <v/>
      </c>
      <c r="H449" t="str">
        <f>IF([1]ROSTERS!H449="","",[1]ROSTERS!H449)</f>
        <v/>
      </c>
      <c r="I449" s="8" t="str">
        <f>IF([1]ROSTERS!I449="","",[1]ROSTERS!I449)</f>
        <v/>
      </c>
      <c r="J449" t="str">
        <f>IF([1]ROSTERS!J449="","",[1]ROSTERS!J449)</f>
        <v/>
      </c>
      <c r="K449" t="str">
        <f>IF([1]ROSTERS!K449="","",[1]ROSTERS!K449)</f>
        <v/>
      </c>
      <c r="L449" t="str">
        <f>IF([1]ROSTERS!L449="","",[1]ROSTERS!L449)</f>
        <v/>
      </c>
    </row>
    <row r="450" spans="1:12" x14ac:dyDescent="0.25">
      <c r="A450" s="3" t="str">
        <f>IF(B450="","",COUNTIF($H$3:H450,H450))</f>
        <v/>
      </c>
      <c r="B450" t="str">
        <f>IF([1]ROSTERS!B450="","",[1]ROSTERS!B450)</f>
        <v/>
      </c>
      <c r="C450" t="str">
        <f>IF([1]ROSTERS!C450="","",[1]ROSTERS!C450)</f>
        <v/>
      </c>
      <c r="D450" s="8" t="str">
        <f>IF([1]ROSTERS!D450="","",[1]ROSTERS!D450)</f>
        <v/>
      </c>
      <c r="E450" t="str">
        <f>IF([1]ROSTERS!E450="","",[1]ROSTERS!E450)</f>
        <v/>
      </c>
      <c r="F450" t="str">
        <f>IF([1]ROSTERS!F450="","",[1]ROSTERS!F450)</f>
        <v/>
      </c>
      <c r="G450" t="str">
        <f>IF([1]ROSTERS!G450="","",[1]ROSTERS!G450)</f>
        <v/>
      </c>
      <c r="H450" t="str">
        <f>IF([1]ROSTERS!H450="","",[1]ROSTERS!H450)</f>
        <v/>
      </c>
      <c r="I450" s="8" t="str">
        <f>IF([1]ROSTERS!I450="","",[1]ROSTERS!I450)</f>
        <v/>
      </c>
      <c r="J450" t="str">
        <f>IF([1]ROSTERS!J450="","",[1]ROSTERS!J450)</f>
        <v/>
      </c>
      <c r="K450" t="str">
        <f>IF([1]ROSTERS!K450="","",[1]ROSTERS!K450)</f>
        <v/>
      </c>
      <c r="L450" t="str">
        <f>IF([1]ROSTERS!L450="","",[1]ROSTERS!L450)</f>
        <v/>
      </c>
    </row>
    <row r="451" spans="1:12" x14ac:dyDescent="0.25">
      <c r="A451" s="3" t="str">
        <f>IF(B451="","",COUNTIF($H$3:H451,H451))</f>
        <v/>
      </c>
      <c r="B451" t="str">
        <f>IF([1]ROSTERS!B451="","",[1]ROSTERS!B451)</f>
        <v/>
      </c>
      <c r="C451" t="str">
        <f>IF([1]ROSTERS!C451="","",[1]ROSTERS!C451)</f>
        <v/>
      </c>
      <c r="D451" s="8" t="str">
        <f>IF([1]ROSTERS!D451="","",[1]ROSTERS!D451)</f>
        <v/>
      </c>
      <c r="E451" t="str">
        <f>IF([1]ROSTERS!E451="","",[1]ROSTERS!E451)</f>
        <v/>
      </c>
      <c r="F451" t="str">
        <f>IF([1]ROSTERS!F451="","",[1]ROSTERS!F451)</f>
        <v/>
      </c>
      <c r="G451" t="str">
        <f>IF([1]ROSTERS!G451="","",[1]ROSTERS!G451)</f>
        <v/>
      </c>
      <c r="H451" t="str">
        <f>IF([1]ROSTERS!H451="","",[1]ROSTERS!H451)</f>
        <v/>
      </c>
      <c r="I451" s="8" t="str">
        <f>IF([1]ROSTERS!I451="","",[1]ROSTERS!I451)</f>
        <v/>
      </c>
      <c r="J451" t="str">
        <f>IF([1]ROSTERS!J451="","",[1]ROSTERS!J451)</f>
        <v/>
      </c>
      <c r="K451" t="str">
        <f>IF([1]ROSTERS!K451="","",[1]ROSTERS!K451)</f>
        <v/>
      </c>
      <c r="L451" t="str">
        <f>IF([1]ROSTERS!L451="","",[1]ROSTERS!L451)</f>
        <v/>
      </c>
    </row>
    <row r="452" spans="1:12" x14ac:dyDescent="0.25">
      <c r="A452" s="3" t="str">
        <f>IF(B452="","",COUNTIF($H$3:H452,H452))</f>
        <v/>
      </c>
      <c r="B452" t="str">
        <f>IF([1]ROSTERS!B452="","",[1]ROSTERS!B452)</f>
        <v/>
      </c>
      <c r="C452" t="str">
        <f>IF([1]ROSTERS!C452="","",[1]ROSTERS!C452)</f>
        <v/>
      </c>
      <c r="D452" s="8" t="str">
        <f>IF([1]ROSTERS!D452="","",[1]ROSTERS!D452)</f>
        <v/>
      </c>
      <c r="E452" t="str">
        <f>IF([1]ROSTERS!E452="","",[1]ROSTERS!E452)</f>
        <v/>
      </c>
      <c r="F452" t="str">
        <f>IF([1]ROSTERS!F452="","",[1]ROSTERS!F452)</f>
        <v/>
      </c>
      <c r="G452" t="str">
        <f>IF([1]ROSTERS!G452="","",[1]ROSTERS!G452)</f>
        <v/>
      </c>
      <c r="H452" t="str">
        <f>IF([1]ROSTERS!H452="","",[1]ROSTERS!H452)</f>
        <v/>
      </c>
      <c r="I452" s="8" t="str">
        <f>IF([1]ROSTERS!I452="","",[1]ROSTERS!I452)</f>
        <v/>
      </c>
      <c r="J452" t="str">
        <f>IF([1]ROSTERS!J452="","",[1]ROSTERS!J452)</f>
        <v/>
      </c>
      <c r="K452" t="str">
        <f>IF([1]ROSTERS!K452="","",[1]ROSTERS!K452)</f>
        <v/>
      </c>
      <c r="L452" t="str">
        <f>IF([1]ROSTERS!L452="","",[1]ROSTERS!L452)</f>
        <v/>
      </c>
    </row>
    <row r="453" spans="1:12" x14ac:dyDescent="0.25">
      <c r="A453" s="3" t="str">
        <f>IF(B453="","",COUNTIF($H$3:H453,H453))</f>
        <v/>
      </c>
      <c r="B453" t="str">
        <f>IF([1]ROSTERS!B453="","",[1]ROSTERS!B453)</f>
        <v/>
      </c>
      <c r="C453" t="str">
        <f>IF([1]ROSTERS!C453="","",[1]ROSTERS!C453)</f>
        <v/>
      </c>
      <c r="D453" s="8" t="str">
        <f>IF([1]ROSTERS!D453="","",[1]ROSTERS!D453)</f>
        <v/>
      </c>
      <c r="E453" t="str">
        <f>IF([1]ROSTERS!E453="","",[1]ROSTERS!E453)</f>
        <v/>
      </c>
      <c r="F453" t="str">
        <f>IF([1]ROSTERS!F453="","",[1]ROSTERS!F453)</f>
        <v/>
      </c>
      <c r="G453" t="str">
        <f>IF([1]ROSTERS!G453="","",[1]ROSTERS!G453)</f>
        <v/>
      </c>
      <c r="H453" t="str">
        <f>IF([1]ROSTERS!H453="","",[1]ROSTERS!H453)</f>
        <v/>
      </c>
      <c r="I453" s="8" t="str">
        <f>IF([1]ROSTERS!I453="","",[1]ROSTERS!I453)</f>
        <v/>
      </c>
      <c r="J453" t="str">
        <f>IF([1]ROSTERS!J453="","",[1]ROSTERS!J453)</f>
        <v/>
      </c>
      <c r="K453" t="str">
        <f>IF([1]ROSTERS!K453="","",[1]ROSTERS!K453)</f>
        <v/>
      </c>
      <c r="L453" t="str">
        <f>IF([1]ROSTERS!L453="","",[1]ROSTERS!L453)</f>
        <v/>
      </c>
    </row>
    <row r="454" spans="1:12" x14ac:dyDescent="0.25">
      <c r="A454" s="3" t="str">
        <f>IF(B454="","",COUNTIF($H$3:H454,H454))</f>
        <v/>
      </c>
      <c r="B454" t="str">
        <f>IF([1]ROSTERS!B454="","",[1]ROSTERS!B454)</f>
        <v/>
      </c>
      <c r="C454" t="str">
        <f>IF([1]ROSTERS!C454="","",[1]ROSTERS!C454)</f>
        <v/>
      </c>
      <c r="D454" s="8" t="str">
        <f>IF([1]ROSTERS!D454="","",[1]ROSTERS!D454)</f>
        <v/>
      </c>
      <c r="E454" t="str">
        <f>IF([1]ROSTERS!E454="","",[1]ROSTERS!E454)</f>
        <v/>
      </c>
      <c r="F454" t="str">
        <f>IF([1]ROSTERS!F454="","",[1]ROSTERS!F454)</f>
        <v/>
      </c>
      <c r="G454" t="str">
        <f>IF([1]ROSTERS!G454="","",[1]ROSTERS!G454)</f>
        <v/>
      </c>
      <c r="H454" t="str">
        <f>IF([1]ROSTERS!H454="","",[1]ROSTERS!H454)</f>
        <v/>
      </c>
      <c r="I454" s="8" t="str">
        <f>IF([1]ROSTERS!I454="","",[1]ROSTERS!I454)</f>
        <v/>
      </c>
      <c r="J454" t="str">
        <f>IF([1]ROSTERS!J454="","",[1]ROSTERS!J454)</f>
        <v/>
      </c>
      <c r="K454" t="str">
        <f>IF([1]ROSTERS!K454="","",[1]ROSTERS!K454)</f>
        <v/>
      </c>
      <c r="L454" t="str">
        <f>IF([1]ROSTERS!L454="","",[1]ROSTERS!L454)</f>
        <v/>
      </c>
    </row>
    <row r="455" spans="1:12" x14ac:dyDescent="0.25">
      <c r="A455" s="3" t="str">
        <f>IF(B455="","",COUNTIF($H$3:H455,H455))</f>
        <v/>
      </c>
      <c r="B455" t="str">
        <f>IF([1]ROSTERS!B455="","",[1]ROSTERS!B455)</f>
        <v/>
      </c>
      <c r="C455" t="str">
        <f>IF([1]ROSTERS!C455="","",[1]ROSTERS!C455)</f>
        <v/>
      </c>
      <c r="D455" s="8" t="str">
        <f>IF([1]ROSTERS!D455="","",[1]ROSTERS!D455)</f>
        <v/>
      </c>
      <c r="E455" t="str">
        <f>IF([1]ROSTERS!E455="","",[1]ROSTERS!E455)</f>
        <v/>
      </c>
      <c r="F455" t="str">
        <f>IF([1]ROSTERS!F455="","",[1]ROSTERS!F455)</f>
        <v/>
      </c>
      <c r="G455" t="str">
        <f>IF([1]ROSTERS!G455="","",[1]ROSTERS!G455)</f>
        <v/>
      </c>
      <c r="H455" t="str">
        <f>IF([1]ROSTERS!H455="","",[1]ROSTERS!H455)</f>
        <v/>
      </c>
      <c r="I455" s="8" t="str">
        <f>IF([1]ROSTERS!I455="","",[1]ROSTERS!I455)</f>
        <v/>
      </c>
      <c r="J455" t="str">
        <f>IF([1]ROSTERS!J455="","",[1]ROSTERS!J455)</f>
        <v/>
      </c>
      <c r="K455" t="str">
        <f>IF([1]ROSTERS!K455="","",[1]ROSTERS!K455)</f>
        <v/>
      </c>
      <c r="L455" t="str">
        <f>IF([1]ROSTERS!L455="","",[1]ROSTERS!L455)</f>
        <v/>
      </c>
    </row>
    <row r="456" spans="1:12" x14ac:dyDescent="0.25">
      <c r="A456" s="3" t="str">
        <f>IF(B456="","",COUNTIF($H$3:H456,H456))</f>
        <v/>
      </c>
      <c r="B456" t="str">
        <f>IF([1]ROSTERS!B456="","",[1]ROSTERS!B456)</f>
        <v/>
      </c>
      <c r="C456" t="str">
        <f>IF([1]ROSTERS!C456="","",[1]ROSTERS!C456)</f>
        <v/>
      </c>
      <c r="D456" s="8" t="str">
        <f>IF([1]ROSTERS!D456="","",[1]ROSTERS!D456)</f>
        <v/>
      </c>
      <c r="E456" t="str">
        <f>IF([1]ROSTERS!E456="","",[1]ROSTERS!E456)</f>
        <v/>
      </c>
      <c r="F456" t="str">
        <f>IF([1]ROSTERS!F456="","",[1]ROSTERS!F456)</f>
        <v/>
      </c>
      <c r="G456" t="str">
        <f>IF([1]ROSTERS!G456="","",[1]ROSTERS!G456)</f>
        <v/>
      </c>
      <c r="H456" t="str">
        <f>IF([1]ROSTERS!H456="","",[1]ROSTERS!H456)</f>
        <v/>
      </c>
      <c r="I456" s="8" t="str">
        <f>IF([1]ROSTERS!I456="","",[1]ROSTERS!I456)</f>
        <v/>
      </c>
      <c r="J456" t="str">
        <f>IF([1]ROSTERS!J456="","",[1]ROSTERS!J456)</f>
        <v/>
      </c>
      <c r="K456" t="str">
        <f>IF([1]ROSTERS!K456="","",[1]ROSTERS!K456)</f>
        <v/>
      </c>
      <c r="L456" t="str">
        <f>IF([1]ROSTERS!L456="","",[1]ROSTERS!L456)</f>
        <v/>
      </c>
    </row>
    <row r="457" spans="1:12" x14ac:dyDescent="0.25">
      <c r="A457" s="3" t="str">
        <f>IF(B457="","",COUNTIF($H$3:H457,H457))</f>
        <v/>
      </c>
      <c r="B457" t="str">
        <f>IF([1]ROSTERS!B457="","",[1]ROSTERS!B457)</f>
        <v/>
      </c>
      <c r="C457" t="str">
        <f>IF([1]ROSTERS!C457="","",[1]ROSTERS!C457)</f>
        <v/>
      </c>
      <c r="D457" s="8" t="str">
        <f>IF([1]ROSTERS!D457="","",[1]ROSTERS!D457)</f>
        <v/>
      </c>
      <c r="E457" t="str">
        <f>IF([1]ROSTERS!E457="","",[1]ROSTERS!E457)</f>
        <v/>
      </c>
      <c r="F457" t="str">
        <f>IF([1]ROSTERS!F457="","",[1]ROSTERS!F457)</f>
        <v/>
      </c>
      <c r="G457" t="str">
        <f>IF([1]ROSTERS!G457="","",[1]ROSTERS!G457)</f>
        <v/>
      </c>
      <c r="H457" t="str">
        <f>IF([1]ROSTERS!H457="","",[1]ROSTERS!H457)</f>
        <v/>
      </c>
      <c r="I457" s="8" t="str">
        <f>IF([1]ROSTERS!I457="","",[1]ROSTERS!I457)</f>
        <v/>
      </c>
      <c r="J457" t="str">
        <f>IF([1]ROSTERS!J457="","",[1]ROSTERS!J457)</f>
        <v/>
      </c>
      <c r="K457" t="str">
        <f>IF([1]ROSTERS!K457="","",[1]ROSTERS!K457)</f>
        <v/>
      </c>
      <c r="L457" t="str">
        <f>IF([1]ROSTERS!L457="","",[1]ROSTERS!L457)</f>
        <v/>
      </c>
    </row>
    <row r="458" spans="1:12" x14ac:dyDescent="0.25">
      <c r="A458" s="3" t="str">
        <f>IF(B458="","",COUNTIF($H$3:H458,H458))</f>
        <v/>
      </c>
      <c r="B458" t="str">
        <f>IF([1]ROSTERS!B458="","",[1]ROSTERS!B458)</f>
        <v/>
      </c>
      <c r="C458" t="str">
        <f>IF([1]ROSTERS!C458="","",[1]ROSTERS!C458)</f>
        <v/>
      </c>
      <c r="D458" s="8" t="str">
        <f>IF([1]ROSTERS!D458="","",[1]ROSTERS!D458)</f>
        <v/>
      </c>
      <c r="E458" t="str">
        <f>IF([1]ROSTERS!E458="","",[1]ROSTERS!E458)</f>
        <v/>
      </c>
      <c r="F458" t="str">
        <f>IF([1]ROSTERS!F458="","",[1]ROSTERS!F458)</f>
        <v/>
      </c>
      <c r="G458" t="str">
        <f>IF([1]ROSTERS!G458="","",[1]ROSTERS!G458)</f>
        <v/>
      </c>
      <c r="H458" t="str">
        <f>IF([1]ROSTERS!H458="","",[1]ROSTERS!H458)</f>
        <v/>
      </c>
      <c r="I458" s="8" t="str">
        <f>IF([1]ROSTERS!I458="","",[1]ROSTERS!I458)</f>
        <v/>
      </c>
      <c r="J458" t="str">
        <f>IF([1]ROSTERS!J458="","",[1]ROSTERS!J458)</f>
        <v/>
      </c>
      <c r="K458" t="str">
        <f>IF([1]ROSTERS!K458="","",[1]ROSTERS!K458)</f>
        <v/>
      </c>
      <c r="L458" t="str">
        <f>IF([1]ROSTERS!L458="","",[1]ROSTERS!L458)</f>
        <v/>
      </c>
    </row>
    <row r="459" spans="1:12" x14ac:dyDescent="0.25">
      <c r="A459" s="3" t="str">
        <f>IF(B459="","",COUNTIF($H$3:H459,H459))</f>
        <v/>
      </c>
      <c r="B459" t="str">
        <f>IF([1]ROSTERS!B459="","",[1]ROSTERS!B459)</f>
        <v/>
      </c>
      <c r="C459" t="str">
        <f>IF([1]ROSTERS!C459="","",[1]ROSTERS!C459)</f>
        <v/>
      </c>
      <c r="D459" s="8" t="str">
        <f>IF([1]ROSTERS!D459="","",[1]ROSTERS!D459)</f>
        <v/>
      </c>
      <c r="E459" t="str">
        <f>IF([1]ROSTERS!E459="","",[1]ROSTERS!E459)</f>
        <v/>
      </c>
      <c r="F459" t="str">
        <f>IF([1]ROSTERS!F459="","",[1]ROSTERS!F459)</f>
        <v/>
      </c>
      <c r="G459" t="str">
        <f>IF([1]ROSTERS!G459="","",[1]ROSTERS!G459)</f>
        <v/>
      </c>
      <c r="H459" t="str">
        <f>IF([1]ROSTERS!H459="","",[1]ROSTERS!H459)</f>
        <v/>
      </c>
      <c r="I459" s="8" t="str">
        <f>IF([1]ROSTERS!I459="","",[1]ROSTERS!I459)</f>
        <v/>
      </c>
      <c r="J459" t="str">
        <f>IF([1]ROSTERS!J459="","",[1]ROSTERS!J459)</f>
        <v/>
      </c>
      <c r="K459" t="str">
        <f>IF([1]ROSTERS!K459="","",[1]ROSTERS!K459)</f>
        <v/>
      </c>
      <c r="L459" t="str">
        <f>IF([1]ROSTERS!L459="","",[1]ROSTERS!L459)</f>
        <v/>
      </c>
    </row>
    <row r="460" spans="1:12" x14ac:dyDescent="0.25">
      <c r="A460" s="3" t="str">
        <f>IF(B460="","",COUNTIF($H$3:H460,H460))</f>
        <v/>
      </c>
      <c r="B460" t="str">
        <f>IF([1]ROSTERS!B460="","",[1]ROSTERS!B460)</f>
        <v/>
      </c>
      <c r="C460" t="str">
        <f>IF([1]ROSTERS!C460="","",[1]ROSTERS!C460)</f>
        <v/>
      </c>
      <c r="D460" s="8" t="str">
        <f>IF([1]ROSTERS!D460="","",[1]ROSTERS!D460)</f>
        <v/>
      </c>
      <c r="E460" t="str">
        <f>IF([1]ROSTERS!E460="","",[1]ROSTERS!E460)</f>
        <v/>
      </c>
      <c r="F460" t="str">
        <f>IF([1]ROSTERS!F460="","",[1]ROSTERS!F460)</f>
        <v/>
      </c>
      <c r="G460" t="str">
        <f>IF([1]ROSTERS!G460="","",[1]ROSTERS!G460)</f>
        <v/>
      </c>
      <c r="H460" t="str">
        <f>IF([1]ROSTERS!H460="","",[1]ROSTERS!H460)</f>
        <v/>
      </c>
      <c r="I460" s="8" t="str">
        <f>IF([1]ROSTERS!I460="","",[1]ROSTERS!I460)</f>
        <v/>
      </c>
      <c r="J460" t="str">
        <f>IF([1]ROSTERS!J460="","",[1]ROSTERS!J460)</f>
        <v/>
      </c>
      <c r="K460" t="str">
        <f>IF([1]ROSTERS!K460="","",[1]ROSTERS!K460)</f>
        <v/>
      </c>
      <c r="L460" t="str">
        <f>IF([1]ROSTERS!L460="","",[1]ROSTERS!L460)</f>
        <v/>
      </c>
    </row>
    <row r="461" spans="1:12" x14ac:dyDescent="0.25">
      <c r="A461" s="3" t="str">
        <f>IF(B461="","",COUNTIF($H$3:H461,H461))</f>
        <v/>
      </c>
      <c r="B461" t="str">
        <f>IF([1]ROSTERS!B461="","",[1]ROSTERS!B461)</f>
        <v/>
      </c>
      <c r="C461" t="str">
        <f>IF([1]ROSTERS!C461="","",[1]ROSTERS!C461)</f>
        <v/>
      </c>
      <c r="D461" s="8" t="str">
        <f>IF([1]ROSTERS!D461="","",[1]ROSTERS!D461)</f>
        <v/>
      </c>
      <c r="E461" t="str">
        <f>IF([1]ROSTERS!E461="","",[1]ROSTERS!E461)</f>
        <v/>
      </c>
      <c r="F461" t="str">
        <f>IF([1]ROSTERS!F461="","",[1]ROSTERS!F461)</f>
        <v/>
      </c>
      <c r="G461" t="str">
        <f>IF([1]ROSTERS!G461="","",[1]ROSTERS!G461)</f>
        <v/>
      </c>
      <c r="H461" t="str">
        <f>IF([1]ROSTERS!H461="","",[1]ROSTERS!H461)</f>
        <v/>
      </c>
      <c r="I461" s="8" t="str">
        <f>IF([1]ROSTERS!I461="","",[1]ROSTERS!I461)</f>
        <v/>
      </c>
      <c r="J461" t="str">
        <f>IF([1]ROSTERS!J461="","",[1]ROSTERS!J461)</f>
        <v/>
      </c>
      <c r="K461" t="str">
        <f>IF([1]ROSTERS!K461="","",[1]ROSTERS!K461)</f>
        <v/>
      </c>
      <c r="L461" t="str">
        <f>IF([1]ROSTERS!L461="","",[1]ROSTERS!L461)</f>
        <v/>
      </c>
    </row>
    <row r="462" spans="1:12" x14ac:dyDescent="0.25">
      <c r="A462" s="3" t="str">
        <f>IF(B462="","",COUNTIF($H$3:H462,H462))</f>
        <v/>
      </c>
      <c r="B462" t="str">
        <f>IF([1]ROSTERS!B462="","",[1]ROSTERS!B462)</f>
        <v/>
      </c>
      <c r="C462" t="str">
        <f>IF([1]ROSTERS!C462="","",[1]ROSTERS!C462)</f>
        <v/>
      </c>
      <c r="D462" s="8" t="str">
        <f>IF([1]ROSTERS!D462="","",[1]ROSTERS!D462)</f>
        <v/>
      </c>
      <c r="E462" t="str">
        <f>IF([1]ROSTERS!E462="","",[1]ROSTERS!E462)</f>
        <v/>
      </c>
      <c r="F462" t="str">
        <f>IF([1]ROSTERS!F462="","",[1]ROSTERS!F462)</f>
        <v/>
      </c>
      <c r="G462" t="str">
        <f>IF([1]ROSTERS!G462="","",[1]ROSTERS!G462)</f>
        <v/>
      </c>
      <c r="H462" t="str">
        <f>IF([1]ROSTERS!H462="","",[1]ROSTERS!H462)</f>
        <v/>
      </c>
      <c r="I462" s="8" t="str">
        <f>IF([1]ROSTERS!I462="","",[1]ROSTERS!I462)</f>
        <v/>
      </c>
      <c r="J462" t="str">
        <f>IF([1]ROSTERS!J462="","",[1]ROSTERS!J462)</f>
        <v/>
      </c>
      <c r="K462" t="str">
        <f>IF([1]ROSTERS!K462="","",[1]ROSTERS!K462)</f>
        <v/>
      </c>
      <c r="L462" t="str">
        <f>IF([1]ROSTERS!L462="","",[1]ROSTERS!L462)</f>
        <v/>
      </c>
    </row>
    <row r="463" spans="1:12" x14ac:dyDescent="0.25">
      <c r="A463" s="3" t="str">
        <f>IF(B463="","",COUNTIF($H$3:H463,H463))</f>
        <v/>
      </c>
      <c r="B463" t="str">
        <f>IF([1]ROSTERS!B463="","",[1]ROSTERS!B463)</f>
        <v/>
      </c>
      <c r="C463" t="str">
        <f>IF([1]ROSTERS!C463="","",[1]ROSTERS!C463)</f>
        <v/>
      </c>
      <c r="D463" s="8" t="str">
        <f>IF([1]ROSTERS!D463="","",[1]ROSTERS!D463)</f>
        <v/>
      </c>
      <c r="E463" t="str">
        <f>IF([1]ROSTERS!E463="","",[1]ROSTERS!E463)</f>
        <v/>
      </c>
      <c r="F463" t="str">
        <f>IF([1]ROSTERS!F463="","",[1]ROSTERS!F463)</f>
        <v/>
      </c>
      <c r="G463" t="str">
        <f>IF([1]ROSTERS!G463="","",[1]ROSTERS!G463)</f>
        <v/>
      </c>
      <c r="H463" t="str">
        <f>IF([1]ROSTERS!H463="","",[1]ROSTERS!H463)</f>
        <v/>
      </c>
      <c r="I463" s="8" t="str">
        <f>IF([1]ROSTERS!I463="","",[1]ROSTERS!I463)</f>
        <v/>
      </c>
      <c r="J463" t="str">
        <f>IF([1]ROSTERS!J463="","",[1]ROSTERS!J463)</f>
        <v/>
      </c>
      <c r="K463" t="str">
        <f>IF([1]ROSTERS!K463="","",[1]ROSTERS!K463)</f>
        <v/>
      </c>
      <c r="L463" t="str">
        <f>IF([1]ROSTERS!L463="","",[1]ROSTERS!L463)</f>
        <v/>
      </c>
    </row>
    <row r="464" spans="1:12" x14ac:dyDescent="0.25">
      <c r="A464" s="3" t="str">
        <f>IF(B464="","",COUNTIF($H$3:H464,H464))</f>
        <v/>
      </c>
      <c r="B464" t="str">
        <f>IF([1]ROSTERS!B464="","",[1]ROSTERS!B464)</f>
        <v/>
      </c>
      <c r="C464" t="str">
        <f>IF([1]ROSTERS!C464="","",[1]ROSTERS!C464)</f>
        <v/>
      </c>
      <c r="D464" s="8" t="str">
        <f>IF([1]ROSTERS!D464="","",[1]ROSTERS!D464)</f>
        <v/>
      </c>
      <c r="E464" t="str">
        <f>IF([1]ROSTERS!E464="","",[1]ROSTERS!E464)</f>
        <v/>
      </c>
      <c r="F464" t="str">
        <f>IF([1]ROSTERS!F464="","",[1]ROSTERS!F464)</f>
        <v/>
      </c>
      <c r="G464" t="str">
        <f>IF([1]ROSTERS!G464="","",[1]ROSTERS!G464)</f>
        <v/>
      </c>
      <c r="H464" t="str">
        <f>IF([1]ROSTERS!H464="","",[1]ROSTERS!H464)</f>
        <v/>
      </c>
      <c r="I464" s="8" t="str">
        <f>IF([1]ROSTERS!I464="","",[1]ROSTERS!I464)</f>
        <v/>
      </c>
      <c r="J464" t="str">
        <f>IF([1]ROSTERS!J464="","",[1]ROSTERS!J464)</f>
        <v/>
      </c>
      <c r="K464" t="str">
        <f>IF([1]ROSTERS!K464="","",[1]ROSTERS!K464)</f>
        <v/>
      </c>
      <c r="L464" t="str">
        <f>IF([1]ROSTERS!L464="","",[1]ROSTERS!L464)</f>
        <v/>
      </c>
    </row>
    <row r="465" spans="1:12" x14ac:dyDescent="0.25">
      <c r="A465" s="3" t="str">
        <f>IF(B465="","",COUNTIF($H$3:H465,H465))</f>
        <v/>
      </c>
      <c r="B465" t="str">
        <f>IF([1]ROSTERS!B465="","",[1]ROSTERS!B465)</f>
        <v/>
      </c>
      <c r="C465" t="str">
        <f>IF([1]ROSTERS!C465="","",[1]ROSTERS!C465)</f>
        <v/>
      </c>
      <c r="D465" s="8" t="str">
        <f>IF([1]ROSTERS!D465="","",[1]ROSTERS!D465)</f>
        <v/>
      </c>
      <c r="E465" t="str">
        <f>IF([1]ROSTERS!E465="","",[1]ROSTERS!E465)</f>
        <v/>
      </c>
      <c r="F465" t="str">
        <f>IF([1]ROSTERS!F465="","",[1]ROSTERS!F465)</f>
        <v/>
      </c>
      <c r="G465" t="str">
        <f>IF([1]ROSTERS!G465="","",[1]ROSTERS!G465)</f>
        <v/>
      </c>
      <c r="H465" t="str">
        <f>IF([1]ROSTERS!H465="","",[1]ROSTERS!H465)</f>
        <v/>
      </c>
      <c r="I465" s="8" t="str">
        <f>IF([1]ROSTERS!I465="","",[1]ROSTERS!I465)</f>
        <v/>
      </c>
      <c r="J465" t="str">
        <f>IF([1]ROSTERS!J465="","",[1]ROSTERS!J465)</f>
        <v/>
      </c>
      <c r="K465" t="str">
        <f>IF([1]ROSTERS!K465="","",[1]ROSTERS!K465)</f>
        <v/>
      </c>
      <c r="L465" t="str">
        <f>IF([1]ROSTERS!L465="","",[1]ROSTERS!L465)</f>
        <v/>
      </c>
    </row>
    <row r="466" spans="1:12" x14ac:dyDescent="0.25">
      <c r="A466" s="3" t="str">
        <f>IF(B466="","",COUNTIF($H$3:H466,H466))</f>
        <v/>
      </c>
      <c r="B466" t="str">
        <f>IF([1]ROSTERS!B466="","",[1]ROSTERS!B466)</f>
        <v/>
      </c>
      <c r="C466" t="str">
        <f>IF([1]ROSTERS!C466="","",[1]ROSTERS!C466)</f>
        <v/>
      </c>
      <c r="D466" s="8" t="str">
        <f>IF([1]ROSTERS!D466="","",[1]ROSTERS!D466)</f>
        <v/>
      </c>
      <c r="E466" t="str">
        <f>IF([1]ROSTERS!E466="","",[1]ROSTERS!E466)</f>
        <v/>
      </c>
      <c r="F466" t="str">
        <f>IF([1]ROSTERS!F466="","",[1]ROSTERS!F466)</f>
        <v/>
      </c>
      <c r="G466" t="str">
        <f>IF([1]ROSTERS!G466="","",[1]ROSTERS!G466)</f>
        <v/>
      </c>
      <c r="H466" t="str">
        <f>IF([1]ROSTERS!H466="","",[1]ROSTERS!H466)</f>
        <v/>
      </c>
      <c r="I466" s="8" t="str">
        <f>IF([1]ROSTERS!I466="","",[1]ROSTERS!I466)</f>
        <v/>
      </c>
      <c r="J466" t="str">
        <f>IF([1]ROSTERS!J466="","",[1]ROSTERS!J466)</f>
        <v/>
      </c>
      <c r="K466" t="str">
        <f>IF([1]ROSTERS!K466="","",[1]ROSTERS!K466)</f>
        <v/>
      </c>
      <c r="L466" t="str">
        <f>IF([1]ROSTERS!L466="","",[1]ROSTERS!L466)</f>
        <v/>
      </c>
    </row>
    <row r="467" spans="1:12" x14ac:dyDescent="0.25">
      <c r="A467" s="3" t="str">
        <f>IF(B467="","",COUNTIF($H$3:H467,H467))</f>
        <v/>
      </c>
      <c r="B467" t="str">
        <f>IF([1]ROSTERS!B467="","",[1]ROSTERS!B467)</f>
        <v/>
      </c>
      <c r="C467" t="str">
        <f>IF([1]ROSTERS!C467="","",[1]ROSTERS!C467)</f>
        <v/>
      </c>
      <c r="D467" s="8" t="str">
        <f>IF([1]ROSTERS!D467="","",[1]ROSTERS!D467)</f>
        <v/>
      </c>
      <c r="E467" t="str">
        <f>IF([1]ROSTERS!E467="","",[1]ROSTERS!E467)</f>
        <v/>
      </c>
      <c r="F467" t="str">
        <f>IF([1]ROSTERS!F467="","",[1]ROSTERS!F467)</f>
        <v/>
      </c>
      <c r="G467" t="str">
        <f>IF([1]ROSTERS!G467="","",[1]ROSTERS!G467)</f>
        <v/>
      </c>
      <c r="H467" t="str">
        <f>IF([1]ROSTERS!H467="","",[1]ROSTERS!H467)</f>
        <v/>
      </c>
      <c r="I467" s="8" t="str">
        <f>IF([1]ROSTERS!I467="","",[1]ROSTERS!I467)</f>
        <v/>
      </c>
      <c r="J467" t="str">
        <f>IF([1]ROSTERS!J467="","",[1]ROSTERS!J467)</f>
        <v/>
      </c>
      <c r="K467" t="str">
        <f>IF([1]ROSTERS!K467="","",[1]ROSTERS!K467)</f>
        <v/>
      </c>
      <c r="L467" t="str">
        <f>IF([1]ROSTERS!L467="","",[1]ROSTERS!L467)</f>
        <v/>
      </c>
    </row>
    <row r="468" spans="1:12" x14ac:dyDescent="0.25">
      <c r="A468" s="3" t="str">
        <f>IF(B468="","",COUNTIF($H$3:H468,H468))</f>
        <v/>
      </c>
      <c r="B468" t="str">
        <f>IF([1]ROSTERS!B468="","",[1]ROSTERS!B468)</f>
        <v/>
      </c>
      <c r="C468" t="str">
        <f>IF([1]ROSTERS!C468="","",[1]ROSTERS!C468)</f>
        <v/>
      </c>
      <c r="D468" s="8" t="str">
        <f>IF([1]ROSTERS!D468="","",[1]ROSTERS!D468)</f>
        <v/>
      </c>
      <c r="E468" t="str">
        <f>IF([1]ROSTERS!E468="","",[1]ROSTERS!E468)</f>
        <v/>
      </c>
      <c r="F468" t="str">
        <f>IF([1]ROSTERS!F468="","",[1]ROSTERS!F468)</f>
        <v/>
      </c>
      <c r="G468" t="str">
        <f>IF([1]ROSTERS!G468="","",[1]ROSTERS!G468)</f>
        <v/>
      </c>
      <c r="H468" t="str">
        <f>IF([1]ROSTERS!H468="","",[1]ROSTERS!H468)</f>
        <v/>
      </c>
      <c r="I468" s="8" t="str">
        <f>IF([1]ROSTERS!I468="","",[1]ROSTERS!I468)</f>
        <v/>
      </c>
      <c r="J468" t="str">
        <f>IF([1]ROSTERS!J468="","",[1]ROSTERS!J468)</f>
        <v/>
      </c>
      <c r="K468" t="str">
        <f>IF([1]ROSTERS!K468="","",[1]ROSTERS!K468)</f>
        <v/>
      </c>
      <c r="L468" t="str">
        <f>IF([1]ROSTERS!L468="","",[1]ROSTERS!L468)</f>
        <v/>
      </c>
    </row>
    <row r="469" spans="1:12" x14ac:dyDescent="0.25">
      <c r="A469" s="3" t="str">
        <f>IF(B469="","",COUNTIF($H$3:H469,H469))</f>
        <v/>
      </c>
      <c r="B469" t="str">
        <f>IF([1]ROSTERS!B469="","",[1]ROSTERS!B469)</f>
        <v/>
      </c>
      <c r="C469" t="str">
        <f>IF([1]ROSTERS!C469="","",[1]ROSTERS!C469)</f>
        <v/>
      </c>
      <c r="D469" s="8" t="str">
        <f>IF([1]ROSTERS!D469="","",[1]ROSTERS!D469)</f>
        <v/>
      </c>
      <c r="E469" t="str">
        <f>IF([1]ROSTERS!E469="","",[1]ROSTERS!E469)</f>
        <v/>
      </c>
      <c r="F469" t="str">
        <f>IF([1]ROSTERS!F469="","",[1]ROSTERS!F469)</f>
        <v/>
      </c>
      <c r="G469" t="str">
        <f>IF([1]ROSTERS!G469="","",[1]ROSTERS!G469)</f>
        <v/>
      </c>
      <c r="H469" t="str">
        <f>IF([1]ROSTERS!H469="","",[1]ROSTERS!H469)</f>
        <v/>
      </c>
      <c r="I469" s="8" t="str">
        <f>IF([1]ROSTERS!I469="","",[1]ROSTERS!I469)</f>
        <v/>
      </c>
      <c r="J469" t="str">
        <f>IF([1]ROSTERS!J469="","",[1]ROSTERS!J469)</f>
        <v/>
      </c>
      <c r="K469" t="str">
        <f>IF([1]ROSTERS!K469="","",[1]ROSTERS!K469)</f>
        <v/>
      </c>
      <c r="L469" t="str">
        <f>IF([1]ROSTERS!L469="","",[1]ROSTERS!L469)</f>
        <v/>
      </c>
    </row>
    <row r="470" spans="1:12" x14ac:dyDescent="0.25">
      <c r="A470" s="3" t="str">
        <f>IF(B470="","",COUNTIF($H$3:H470,H470))</f>
        <v/>
      </c>
      <c r="B470" t="str">
        <f>IF([1]ROSTERS!B470="","",[1]ROSTERS!B470)</f>
        <v/>
      </c>
      <c r="C470" t="str">
        <f>IF([1]ROSTERS!C470="","",[1]ROSTERS!C470)</f>
        <v/>
      </c>
      <c r="D470" s="8" t="str">
        <f>IF([1]ROSTERS!D470="","",[1]ROSTERS!D470)</f>
        <v/>
      </c>
      <c r="E470" t="str">
        <f>IF([1]ROSTERS!E470="","",[1]ROSTERS!E470)</f>
        <v/>
      </c>
      <c r="F470" t="str">
        <f>IF([1]ROSTERS!F470="","",[1]ROSTERS!F470)</f>
        <v/>
      </c>
      <c r="G470" t="str">
        <f>IF([1]ROSTERS!G470="","",[1]ROSTERS!G470)</f>
        <v/>
      </c>
      <c r="H470" t="str">
        <f>IF([1]ROSTERS!H470="","",[1]ROSTERS!H470)</f>
        <v/>
      </c>
      <c r="I470" s="8" t="str">
        <f>IF([1]ROSTERS!I470="","",[1]ROSTERS!I470)</f>
        <v/>
      </c>
      <c r="J470" t="str">
        <f>IF([1]ROSTERS!J470="","",[1]ROSTERS!J470)</f>
        <v/>
      </c>
      <c r="K470" t="str">
        <f>IF([1]ROSTERS!K470="","",[1]ROSTERS!K470)</f>
        <v/>
      </c>
      <c r="L470" t="str">
        <f>IF([1]ROSTERS!L470="","",[1]ROSTERS!L470)</f>
        <v/>
      </c>
    </row>
    <row r="471" spans="1:12" x14ac:dyDescent="0.25">
      <c r="A471" s="3" t="str">
        <f>IF(B471="","",COUNTIF($H$3:H471,H471))</f>
        <v/>
      </c>
      <c r="B471" t="str">
        <f>IF([1]ROSTERS!B471="","",[1]ROSTERS!B471)</f>
        <v/>
      </c>
      <c r="C471" t="str">
        <f>IF([1]ROSTERS!C471="","",[1]ROSTERS!C471)</f>
        <v/>
      </c>
      <c r="D471" s="8" t="str">
        <f>IF([1]ROSTERS!D471="","",[1]ROSTERS!D471)</f>
        <v/>
      </c>
      <c r="E471" t="str">
        <f>IF([1]ROSTERS!E471="","",[1]ROSTERS!E471)</f>
        <v/>
      </c>
      <c r="F471" t="str">
        <f>IF([1]ROSTERS!F471="","",[1]ROSTERS!F471)</f>
        <v/>
      </c>
      <c r="G471" t="str">
        <f>IF([1]ROSTERS!G471="","",[1]ROSTERS!G471)</f>
        <v/>
      </c>
      <c r="H471" t="str">
        <f>IF([1]ROSTERS!H471="","",[1]ROSTERS!H471)</f>
        <v/>
      </c>
      <c r="I471" s="8" t="str">
        <f>IF([1]ROSTERS!I471="","",[1]ROSTERS!I471)</f>
        <v/>
      </c>
      <c r="J471" t="str">
        <f>IF([1]ROSTERS!J471="","",[1]ROSTERS!J471)</f>
        <v/>
      </c>
      <c r="K471" t="str">
        <f>IF([1]ROSTERS!K471="","",[1]ROSTERS!K471)</f>
        <v/>
      </c>
      <c r="L471" t="str">
        <f>IF([1]ROSTERS!L471="","",[1]ROSTERS!L471)</f>
        <v/>
      </c>
    </row>
    <row r="472" spans="1:12" x14ac:dyDescent="0.25">
      <c r="A472" s="3" t="str">
        <f>IF(B472="","",COUNTIF($H$3:H472,H472))</f>
        <v/>
      </c>
      <c r="B472" t="str">
        <f>IF([1]ROSTERS!B472="","",[1]ROSTERS!B472)</f>
        <v/>
      </c>
      <c r="C472" t="str">
        <f>IF([1]ROSTERS!C472="","",[1]ROSTERS!C472)</f>
        <v/>
      </c>
      <c r="D472" s="8" t="str">
        <f>IF([1]ROSTERS!D472="","",[1]ROSTERS!D472)</f>
        <v/>
      </c>
      <c r="E472" t="str">
        <f>IF([1]ROSTERS!E472="","",[1]ROSTERS!E472)</f>
        <v/>
      </c>
      <c r="F472" t="str">
        <f>IF([1]ROSTERS!F472="","",[1]ROSTERS!F472)</f>
        <v/>
      </c>
      <c r="G472" t="str">
        <f>IF([1]ROSTERS!G472="","",[1]ROSTERS!G472)</f>
        <v/>
      </c>
      <c r="H472" t="str">
        <f>IF([1]ROSTERS!H472="","",[1]ROSTERS!H472)</f>
        <v/>
      </c>
      <c r="I472" s="8" t="str">
        <f>IF([1]ROSTERS!I472="","",[1]ROSTERS!I472)</f>
        <v/>
      </c>
      <c r="J472" t="str">
        <f>IF([1]ROSTERS!J472="","",[1]ROSTERS!J472)</f>
        <v/>
      </c>
      <c r="K472" t="str">
        <f>IF([1]ROSTERS!K472="","",[1]ROSTERS!K472)</f>
        <v/>
      </c>
      <c r="L472" t="str">
        <f>IF([1]ROSTERS!L472="","",[1]ROSTERS!L472)</f>
        <v/>
      </c>
    </row>
    <row r="473" spans="1:12" x14ac:dyDescent="0.25">
      <c r="A473" s="3" t="str">
        <f>IF(B473="","",COUNTIF($H$3:H473,H473))</f>
        <v/>
      </c>
      <c r="B473" t="str">
        <f>IF([1]ROSTERS!B473="","",[1]ROSTERS!B473)</f>
        <v/>
      </c>
      <c r="C473" t="str">
        <f>IF([1]ROSTERS!C473="","",[1]ROSTERS!C473)</f>
        <v/>
      </c>
      <c r="D473" s="8" t="str">
        <f>IF([1]ROSTERS!D473="","",[1]ROSTERS!D473)</f>
        <v/>
      </c>
      <c r="E473" t="str">
        <f>IF([1]ROSTERS!E473="","",[1]ROSTERS!E473)</f>
        <v/>
      </c>
      <c r="F473" t="str">
        <f>IF([1]ROSTERS!F473="","",[1]ROSTERS!F473)</f>
        <v/>
      </c>
      <c r="G473" t="str">
        <f>IF([1]ROSTERS!G473="","",[1]ROSTERS!G473)</f>
        <v/>
      </c>
      <c r="H473" t="str">
        <f>IF([1]ROSTERS!H473="","",[1]ROSTERS!H473)</f>
        <v/>
      </c>
      <c r="I473" s="8" t="str">
        <f>IF([1]ROSTERS!I473="","",[1]ROSTERS!I473)</f>
        <v/>
      </c>
      <c r="J473" t="str">
        <f>IF([1]ROSTERS!J473="","",[1]ROSTERS!J473)</f>
        <v/>
      </c>
      <c r="K473" t="str">
        <f>IF([1]ROSTERS!K473="","",[1]ROSTERS!K473)</f>
        <v/>
      </c>
      <c r="L473" t="str">
        <f>IF([1]ROSTERS!L473="","",[1]ROSTERS!L473)</f>
        <v/>
      </c>
    </row>
    <row r="474" spans="1:12" x14ac:dyDescent="0.25">
      <c r="A474" s="3" t="str">
        <f>IF(B474="","",COUNTIF($H$3:H474,H474))</f>
        <v/>
      </c>
      <c r="B474" t="str">
        <f>IF([1]ROSTERS!B474="","",[1]ROSTERS!B474)</f>
        <v/>
      </c>
      <c r="C474" t="str">
        <f>IF([1]ROSTERS!C474="","",[1]ROSTERS!C474)</f>
        <v/>
      </c>
      <c r="D474" s="8" t="str">
        <f>IF([1]ROSTERS!D474="","",[1]ROSTERS!D474)</f>
        <v/>
      </c>
      <c r="E474" t="str">
        <f>IF([1]ROSTERS!E474="","",[1]ROSTERS!E474)</f>
        <v/>
      </c>
      <c r="F474" t="str">
        <f>IF([1]ROSTERS!F474="","",[1]ROSTERS!F474)</f>
        <v/>
      </c>
      <c r="G474" t="str">
        <f>IF([1]ROSTERS!G474="","",[1]ROSTERS!G474)</f>
        <v/>
      </c>
      <c r="H474" t="str">
        <f>IF([1]ROSTERS!H474="","",[1]ROSTERS!H474)</f>
        <v/>
      </c>
      <c r="I474" s="8" t="str">
        <f>IF([1]ROSTERS!I474="","",[1]ROSTERS!I474)</f>
        <v/>
      </c>
      <c r="J474" t="str">
        <f>IF([1]ROSTERS!J474="","",[1]ROSTERS!J474)</f>
        <v/>
      </c>
      <c r="K474" t="str">
        <f>IF([1]ROSTERS!K474="","",[1]ROSTERS!K474)</f>
        <v/>
      </c>
      <c r="L474" t="str">
        <f>IF([1]ROSTERS!L474="","",[1]ROSTERS!L474)</f>
        <v/>
      </c>
    </row>
    <row r="475" spans="1:12" x14ac:dyDescent="0.25">
      <c r="A475" s="3" t="str">
        <f>IF(B475="","",COUNTIF($H$3:H475,H475))</f>
        <v/>
      </c>
      <c r="B475" t="str">
        <f>IF([1]ROSTERS!B475="","",[1]ROSTERS!B475)</f>
        <v/>
      </c>
      <c r="C475" t="str">
        <f>IF([1]ROSTERS!C475="","",[1]ROSTERS!C475)</f>
        <v/>
      </c>
      <c r="D475" s="8" t="str">
        <f>IF([1]ROSTERS!D475="","",[1]ROSTERS!D475)</f>
        <v/>
      </c>
      <c r="E475" t="str">
        <f>IF([1]ROSTERS!E475="","",[1]ROSTERS!E475)</f>
        <v/>
      </c>
      <c r="F475" t="str">
        <f>IF([1]ROSTERS!F475="","",[1]ROSTERS!F475)</f>
        <v/>
      </c>
      <c r="G475" t="str">
        <f>IF([1]ROSTERS!G475="","",[1]ROSTERS!G475)</f>
        <v/>
      </c>
      <c r="H475" t="str">
        <f>IF([1]ROSTERS!H475="","",[1]ROSTERS!H475)</f>
        <v/>
      </c>
      <c r="I475" s="8" t="str">
        <f>IF([1]ROSTERS!I475="","",[1]ROSTERS!I475)</f>
        <v/>
      </c>
      <c r="J475" t="str">
        <f>IF([1]ROSTERS!J475="","",[1]ROSTERS!J475)</f>
        <v/>
      </c>
      <c r="K475" t="str">
        <f>IF([1]ROSTERS!K475="","",[1]ROSTERS!K475)</f>
        <v/>
      </c>
      <c r="L475" t="str">
        <f>IF([1]ROSTERS!L475="","",[1]ROSTERS!L475)</f>
        <v/>
      </c>
    </row>
    <row r="476" spans="1:12" x14ac:dyDescent="0.25">
      <c r="A476" s="3" t="str">
        <f>IF(B476="","",COUNTIF($H$3:H476,H476))</f>
        <v/>
      </c>
      <c r="B476" t="str">
        <f>IF([1]ROSTERS!B476="","",[1]ROSTERS!B476)</f>
        <v/>
      </c>
      <c r="C476" t="str">
        <f>IF([1]ROSTERS!C476="","",[1]ROSTERS!C476)</f>
        <v/>
      </c>
      <c r="D476" s="8" t="str">
        <f>IF([1]ROSTERS!D476="","",[1]ROSTERS!D476)</f>
        <v/>
      </c>
      <c r="E476" t="str">
        <f>IF([1]ROSTERS!E476="","",[1]ROSTERS!E476)</f>
        <v/>
      </c>
      <c r="F476" t="str">
        <f>IF([1]ROSTERS!F476="","",[1]ROSTERS!F476)</f>
        <v/>
      </c>
      <c r="G476" t="str">
        <f>IF([1]ROSTERS!G476="","",[1]ROSTERS!G476)</f>
        <v/>
      </c>
      <c r="H476" t="str">
        <f>IF([1]ROSTERS!H476="","",[1]ROSTERS!H476)</f>
        <v/>
      </c>
      <c r="I476" s="8" t="str">
        <f>IF([1]ROSTERS!I476="","",[1]ROSTERS!I476)</f>
        <v/>
      </c>
      <c r="J476" t="str">
        <f>IF([1]ROSTERS!J476="","",[1]ROSTERS!J476)</f>
        <v/>
      </c>
      <c r="K476" t="str">
        <f>IF([1]ROSTERS!K476="","",[1]ROSTERS!K476)</f>
        <v/>
      </c>
      <c r="L476" t="str">
        <f>IF([1]ROSTERS!L476="","",[1]ROSTERS!L476)</f>
        <v/>
      </c>
    </row>
    <row r="477" spans="1:12" x14ac:dyDescent="0.25">
      <c r="A477" s="3" t="str">
        <f>IF(B477="","",COUNTIF($H$3:H477,H477))</f>
        <v/>
      </c>
      <c r="B477" t="str">
        <f>IF([1]ROSTERS!B477="","",[1]ROSTERS!B477)</f>
        <v/>
      </c>
      <c r="C477" t="str">
        <f>IF([1]ROSTERS!C477="","",[1]ROSTERS!C477)</f>
        <v/>
      </c>
      <c r="D477" s="8" t="str">
        <f>IF([1]ROSTERS!D477="","",[1]ROSTERS!D477)</f>
        <v/>
      </c>
      <c r="E477" t="str">
        <f>IF([1]ROSTERS!E477="","",[1]ROSTERS!E477)</f>
        <v/>
      </c>
      <c r="F477" t="str">
        <f>IF([1]ROSTERS!F477="","",[1]ROSTERS!F477)</f>
        <v/>
      </c>
      <c r="G477" t="str">
        <f>IF([1]ROSTERS!G477="","",[1]ROSTERS!G477)</f>
        <v/>
      </c>
      <c r="H477" t="str">
        <f>IF([1]ROSTERS!H477="","",[1]ROSTERS!H477)</f>
        <v/>
      </c>
      <c r="I477" s="8" t="str">
        <f>IF([1]ROSTERS!I477="","",[1]ROSTERS!I477)</f>
        <v/>
      </c>
      <c r="J477" t="str">
        <f>IF([1]ROSTERS!J477="","",[1]ROSTERS!J477)</f>
        <v/>
      </c>
      <c r="K477" t="str">
        <f>IF([1]ROSTERS!K477="","",[1]ROSTERS!K477)</f>
        <v/>
      </c>
      <c r="L477" t="str">
        <f>IF([1]ROSTERS!L477="","",[1]ROSTERS!L477)</f>
        <v/>
      </c>
    </row>
    <row r="478" spans="1:12" x14ac:dyDescent="0.25">
      <c r="A478" s="3" t="str">
        <f>IF(B478="","",COUNTIF($H$3:H478,H478))</f>
        <v/>
      </c>
      <c r="B478" t="str">
        <f>IF([1]ROSTERS!B478="","",[1]ROSTERS!B478)</f>
        <v/>
      </c>
      <c r="C478" t="str">
        <f>IF([1]ROSTERS!C478="","",[1]ROSTERS!C478)</f>
        <v/>
      </c>
      <c r="D478" s="8" t="str">
        <f>IF([1]ROSTERS!D478="","",[1]ROSTERS!D478)</f>
        <v/>
      </c>
      <c r="E478" t="str">
        <f>IF([1]ROSTERS!E478="","",[1]ROSTERS!E478)</f>
        <v/>
      </c>
      <c r="F478" t="str">
        <f>IF([1]ROSTERS!F478="","",[1]ROSTERS!F478)</f>
        <v/>
      </c>
      <c r="G478" t="str">
        <f>IF([1]ROSTERS!G478="","",[1]ROSTERS!G478)</f>
        <v/>
      </c>
      <c r="H478" t="str">
        <f>IF([1]ROSTERS!H478="","",[1]ROSTERS!H478)</f>
        <v/>
      </c>
      <c r="I478" s="8" t="str">
        <f>IF([1]ROSTERS!I478="","",[1]ROSTERS!I478)</f>
        <v/>
      </c>
      <c r="J478" t="str">
        <f>IF([1]ROSTERS!J478="","",[1]ROSTERS!J478)</f>
        <v/>
      </c>
      <c r="K478" t="str">
        <f>IF([1]ROSTERS!K478="","",[1]ROSTERS!K478)</f>
        <v/>
      </c>
      <c r="L478" t="str">
        <f>IF([1]ROSTERS!L478="","",[1]ROSTERS!L478)</f>
        <v/>
      </c>
    </row>
    <row r="479" spans="1:12" x14ac:dyDescent="0.25">
      <c r="A479" s="3" t="str">
        <f>IF(B479="","",COUNTIF($H$3:H479,H479))</f>
        <v/>
      </c>
      <c r="B479" t="str">
        <f>IF([1]ROSTERS!B479="","",[1]ROSTERS!B479)</f>
        <v/>
      </c>
      <c r="C479" t="str">
        <f>IF([1]ROSTERS!C479="","",[1]ROSTERS!C479)</f>
        <v/>
      </c>
      <c r="D479" s="8" t="str">
        <f>IF([1]ROSTERS!D479="","",[1]ROSTERS!D479)</f>
        <v/>
      </c>
      <c r="E479" t="str">
        <f>IF([1]ROSTERS!E479="","",[1]ROSTERS!E479)</f>
        <v/>
      </c>
      <c r="F479" t="str">
        <f>IF([1]ROSTERS!F479="","",[1]ROSTERS!F479)</f>
        <v/>
      </c>
      <c r="G479" t="str">
        <f>IF([1]ROSTERS!G479="","",[1]ROSTERS!G479)</f>
        <v/>
      </c>
      <c r="H479" t="str">
        <f>IF([1]ROSTERS!H479="","",[1]ROSTERS!H479)</f>
        <v/>
      </c>
      <c r="I479" s="8" t="str">
        <f>IF([1]ROSTERS!I479="","",[1]ROSTERS!I479)</f>
        <v/>
      </c>
      <c r="J479" t="str">
        <f>IF([1]ROSTERS!J479="","",[1]ROSTERS!J479)</f>
        <v/>
      </c>
      <c r="K479" t="str">
        <f>IF([1]ROSTERS!K479="","",[1]ROSTERS!K479)</f>
        <v/>
      </c>
      <c r="L479" t="str">
        <f>IF([1]ROSTERS!L479="","",[1]ROSTERS!L479)</f>
        <v/>
      </c>
    </row>
    <row r="480" spans="1:12" x14ac:dyDescent="0.25">
      <c r="A480" s="3" t="str">
        <f>IF(B480="","",COUNTIF($H$3:H480,H480))</f>
        <v/>
      </c>
      <c r="B480" t="str">
        <f>IF([1]ROSTERS!B480="","",[1]ROSTERS!B480)</f>
        <v/>
      </c>
      <c r="C480" t="str">
        <f>IF([1]ROSTERS!C480="","",[1]ROSTERS!C480)</f>
        <v/>
      </c>
      <c r="D480" s="8" t="str">
        <f>IF([1]ROSTERS!D480="","",[1]ROSTERS!D480)</f>
        <v/>
      </c>
      <c r="E480" t="str">
        <f>IF([1]ROSTERS!E480="","",[1]ROSTERS!E480)</f>
        <v/>
      </c>
      <c r="F480" t="str">
        <f>IF([1]ROSTERS!F480="","",[1]ROSTERS!F480)</f>
        <v/>
      </c>
      <c r="G480" t="str">
        <f>IF([1]ROSTERS!G480="","",[1]ROSTERS!G480)</f>
        <v/>
      </c>
      <c r="H480" t="str">
        <f>IF([1]ROSTERS!H480="","",[1]ROSTERS!H480)</f>
        <v/>
      </c>
      <c r="I480" s="8" t="str">
        <f>IF([1]ROSTERS!I480="","",[1]ROSTERS!I480)</f>
        <v/>
      </c>
      <c r="J480" t="str">
        <f>IF([1]ROSTERS!J480="","",[1]ROSTERS!J480)</f>
        <v/>
      </c>
      <c r="K480" t="str">
        <f>IF([1]ROSTERS!K480="","",[1]ROSTERS!K480)</f>
        <v/>
      </c>
      <c r="L480" t="str">
        <f>IF([1]ROSTERS!L480="","",[1]ROSTERS!L480)</f>
        <v/>
      </c>
    </row>
    <row r="481" spans="1:12" x14ac:dyDescent="0.25">
      <c r="A481" s="3" t="str">
        <f>IF(B481="","",COUNTIF($H$3:H481,H481))</f>
        <v/>
      </c>
      <c r="B481" t="str">
        <f>IF([1]ROSTERS!B481="","",[1]ROSTERS!B481)</f>
        <v/>
      </c>
      <c r="C481" t="str">
        <f>IF([1]ROSTERS!C481="","",[1]ROSTERS!C481)</f>
        <v/>
      </c>
      <c r="D481" s="8" t="str">
        <f>IF([1]ROSTERS!D481="","",[1]ROSTERS!D481)</f>
        <v/>
      </c>
      <c r="E481" t="str">
        <f>IF([1]ROSTERS!E481="","",[1]ROSTERS!E481)</f>
        <v/>
      </c>
      <c r="F481" t="str">
        <f>IF([1]ROSTERS!F481="","",[1]ROSTERS!F481)</f>
        <v/>
      </c>
      <c r="G481" t="str">
        <f>IF([1]ROSTERS!G481="","",[1]ROSTERS!G481)</f>
        <v/>
      </c>
      <c r="H481" t="str">
        <f>IF([1]ROSTERS!H481="","",[1]ROSTERS!H481)</f>
        <v/>
      </c>
      <c r="I481" s="8" t="str">
        <f>IF([1]ROSTERS!I481="","",[1]ROSTERS!I481)</f>
        <v/>
      </c>
      <c r="J481" t="str">
        <f>IF([1]ROSTERS!J481="","",[1]ROSTERS!J481)</f>
        <v/>
      </c>
      <c r="K481" t="str">
        <f>IF([1]ROSTERS!K481="","",[1]ROSTERS!K481)</f>
        <v/>
      </c>
      <c r="L481" t="str">
        <f>IF([1]ROSTERS!L481="","",[1]ROSTERS!L481)</f>
        <v/>
      </c>
    </row>
    <row r="482" spans="1:12" x14ac:dyDescent="0.25">
      <c r="A482" s="3" t="str">
        <f>IF(B482="","",COUNTIF($H$3:H482,H482))</f>
        <v/>
      </c>
      <c r="B482" t="str">
        <f>IF([1]ROSTERS!B482="","",[1]ROSTERS!B482)</f>
        <v/>
      </c>
      <c r="C482" t="str">
        <f>IF([1]ROSTERS!C482="","",[1]ROSTERS!C482)</f>
        <v/>
      </c>
      <c r="D482" s="8" t="str">
        <f>IF([1]ROSTERS!D482="","",[1]ROSTERS!D482)</f>
        <v/>
      </c>
      <c r="E482" t="str">
        <f>IF([1]ROSTERS!E482="","",[1]ROSTERS!E482)</f>
        <v/>
      </c>
      <c r="F482" t="str">
        <f>IF([1]ROSTERS!F482="","",[1]ROSTERS!F482)</f>
        <v/>
      </c>
      <c r="G482" t="str">
        <f>IF([1]ROSTERS!G482="","",[1]ROSTERS!G482)</f>
        <v/>
      </c>
      <c r="H482" t="str">
        <f>IF([1]ROSTERS!H482="","",[1]ROSTERS!H482)</f>
        <v/>
      </c>
      <c r="I482" s="8" t="str">
        <f>IF([1]ROSTERS!I482="","",[1]ROSTERS!I482)</f>
        <v/>
      </c>
      <c r="J482" t="str">
        <f>IF([1]ROSTERS!J482="","",[1]ROSTERS!J482)</f>
        <v/>
      </c>
      <c r="K482" t="str">
        <f>IF([1]ROSTERS!K482="","",[1]ROSTERS!K482)</f>
        <v/>
      </c>
      <c r="L482" t="str">
        <f>IF([1]ROSTERS!L482="","",[1]ROSTERS!L482)</f>
        <v/>
      </c>
    </row>
    <row r="483" spans="1:12" x14ac:dyDescent="0.25">
      <c r="A483" s="3" t="str">
        <f>IF(B483="","",COUNTIF($H$3:H483,H483))</f>
        <v/>
      </c>
      <c r="B483" t="str">
        <f>IF([1]ROSTERS!B483="","",[1]ROSTERS!B483)</f>
        <v/>
      </c>
      <c r="C483" t="str">
        <f>IF([1]ROSTERS!C483="","",[1]ROSTERS!C483)</f>
        <v/>
      </c>
      <c r="D483" s="8" t="str">
        <f>IF([1]ROSTERS!D483="","",[1]ROSTERS!D483)</f>
        <v/>
      </c>
      <c r="E483" t="str">
        <f>IF([1]ROSTERS!E483="","",[1]ROSTERS!E483)</f>
        <v/>
      </c>
      <c r="F483" t="str">
        <f>IF([1]ROSTERS!F483="","",[1]ROSTERS!F483)</f>
        <v/>
      </c>
      <c r="G483" t="str">
        <f>IF([1]ROSTERS!G483="","",[1]ROSTERS!G483)</f>
        <v/>
      </c>
      <c r="H483" t="str">
        <f>IF([1]ROSTERS!H483="","",[1]ROSTERS!H483)</f>
        <v/>
      </c>
      <c r="I483" s="8" t="str">
        <f>IF([1]ROSTERS!I483="","",[1]ROSTERS!I483)</f>
        <v/>
      </c>
      <c r="J483" t="str">
        <f>IF([1]ROSTERS!J483="","",[1]ROSTERS!J483)</f>
        <v/>
      </c>
      <c r="K483" t="str">
        <f>IF([1]ROSTERS!K483="","",[1]ROSTERS!K483)</f>
        <v/>
      </c>
      <c r="L483" t="str">
        <f>IF([1]ROSTERS!L483="","",[1]ROSTERS!L483)</f>
        <v/>
      </c>
    </row>
    <row r="484" spans="1:12" x14ac:dyDescent="0.25">
      <c r="A484" s="3" t="str">
        <f>IF(B484="","",COUNTIF($H$3:H484,H484))</f>
        <v/>
      </c>
      <c r="B484" t="str">
        <f>IF([1]ROSTERS!B484="","",[1]ROSTERS!B484)</f>
        <v/>
      </c>
      <c r="C484" t="str">
        <f>IF([1]ROSTERS!C484="","",[1]ROSTERS!C484)</f>
        <v/>
      </c>
      <c r="D484" s="8" t="str">
        <f>IF([1]ROSTERS!D484="","",[1]ROSTERS!D484)</f>
        <v/>
      </c>
      <c r="E484" t="str">
        <f>IF([1]ROSTERS!E484="","",[1]ROSTERS!E484)</f>
        <v/>
      </c>
      <c r="F484" t="str">
        <f>IF([1]ROSTERS!F484="","",[1]ROSTERS!F484)</f>
        <v/>
      </c>
      <c r="G484" t="str">
        <f>IF([1]ROSTERS!G484="","",[1]ROSTERS!G484)</f>
        <v/>
      </c>
      <c r="H484" t="str">
        <f>IF([1]ROSTERS!H484="","",[1]ROSTERS!H484)</f>
        <v/>
      </c>
      <c r="I484" s="8" t="str">
        <f>IF([1]ROSTERS!I484="","",[1]ROSTERS!I484)</f>
        <v/>
      </c>
      <c r="J484" t="str">
        <f>IF([1]ROSTERS!J484="","",[1]ROSTERS!J484)</f>
        <v/>
      </c>
      <c r="K484" t="str">
        <f>IF([1]ROSTERS!K484="","",[1]ROSTERS!K484)</f>
        <v/>
      </c>
      <c r="L484" t="str">
        <f>IF([1]ROSTERS!L484="","",[1]ROSTERS!L484)</f>
        <v/>
      </c>
    </row>
    <row r="485" spans="1:12" x14ac:dyDescent="0.25">
      <c r="A485" s="3" t="str">
        <f>IF(B485="","",COUNTIF($H$3:H485,H485))</f>
        <v/>
      </c>
      <c r="B485" t="str">
        <f>IF([1]ROSTERS!B485="","",[1]ROSTERS!B485)</f>
        <v/>
      </c>
      <c r="C485" t="str">
        <f>IF([1]ROSTERS!C485="","",[1]ROSTERS!C485)</f>
        <v/>
      </c>
      <c r="D485" s="8" t="str">
        <f>IF([1]ROSTERS!D485="","",[1]ROSTERS!D485)</f>
        <v/>
      </c>
      <c r="E485" t="str">
        <f>IF([1]ROSTERS!E485="","",[1]ROSTERS!E485)</f>
        <v/>
      </c>
      <c r="F485" t="str">
        <f>IF([1]ROSTERS!F485="","",[1]ROSTERS!F485)</f>
        <v/>
      </c>
      <c r="G485" t="str">
        <f>IF([1]ROSTERS!G485="","",[1]ROSTERS!G485)</f>
        <v/>
      </c>
      <c r="H485" t="str">
        <f>IF([1]ROSTERS!H485="","",[1]ROSTERS!H485)</f>
        <v/>
      </c>
      <c r="I485" s="8" t="str">
        <f>IF([1]ROSTERS!I485="","",[1]ROSTERS!I485)</f>
        <v/>
      </c>
      <c r="J485" t="str">
        <f>IF([1]ROSTERS!J485="","",[1]ROSTERS!J485)</f>
        <v/>
      </c>
      <c r="K485" t="str">
        <f>IF([1]ROSTERS!K485="","",[1]ROSTERS!K485)</f>
        <v/>
      </c>
      <c r="L485" t="str">
        <f>IF([1]ROSTERS!L485="","",[1]ROSTERS!L485)</f>
        <v/>
      </c>
    </row>
    <row r="486" spans="1:12" x14ac:dyDescent="0.25">
      <c r="A486" s="3" t="str">
        <f>IF(B486="","",COUNTIF($H$3:H486,H486))</f>
        <v/>
      </c>
      <c r="B486" t="str">
        <f>IF([1]ROSTERS!B486="","",[1]ROSTERS!B486)</f>
        <v/>
      </c>
      <c r="C486" t="str">
        <f>IF([1]ROSTERS!C486="","",[1]ROSTERS!C486)</f>
        <v/>
      </c>
      <c r="D486" s="8" t="str">
        <f>IF([1]ROSTERS!D486="","",[1]ROSTERS!D486)</f>
        <v/>
      </c>
      <c r="E486" t="str">
        <f>IF([1]ROSTERS!E486="","",[1]ROSTERS!E486)</f>
        <v/>
      </c>
      <c r="F486" t="str">
        <f>IF([1]ROSTERS!F486="","",[1]ROSTERS!F486)</f>
        <v/>
      </c>
      <c r="G486" t="str">
        <f>IF([1]ROSTERS!G486="","",[1]ROSTERS!G486)</f>
        <v/>
      </c>
      <c r="H486" t="str">
        <f>IF([1]ROSTERS!H486="","",[1]ROSTERS!H486)</f>
        <v/>
      </c>
      <c r="I486" s="8" t="str">
        <f>IF([1]ROSTERS!I486="","",[1]ROSTERS!I486)</f>
        <v/>
      </c>
      <c r="J486" t="str">
        <f>IF([1]ROSTERS!J486="","",[1]ROSTERS!J486)</f>
        <v/>
      </c>
      <c r="K486" t="str">
        <f>IF([1]ROSTERS!K486="","",[1]ROSTERS!K486)</f>
        <v/>
      </c>
      <c r="L486" t="str">
        <f>IF([1]ROSTERS!L486="","",[1]ROSTERS!L486)</f>
        <v/>
      </c>
    </row>
    <row r="487" spans="1:12" x14ac:dyDescent="0.25">
      <c r="A487" s="3" t="str">
        <f>IF(B487="","",COUNTIF($H$3:H487,H487))</f>
        <v/>
      </c>
      <c r="B487" t="str">
        <f>IF([1]ROSTERS!B487="","",[1]ROSTERS!B487)</f>
        <v/>
      </c>
      <c r="C487" t="str">
        <f>IF([1]ROSTERS!C487="","",[1]ROSTERS!C487)</f>
        <v/>
      </c>
      <c r="D487" s="8" t="str">
        <f>IF([1]ROSTERS!D487="","",[1]ROSTERS!D487)</f>
        <v/>
      </c>
      <c r="E487" t="str">
        <f>IF([1]ROSTERS!E487="","",[1]ROSTERS!E487)</f>
        <v/>
      </c>
      <c r="F487" t="str">
        <f>IF([1]ROSTERS!F487="","",[1]ROSTERS!F487)</f>
        <v/>
      </c>
      <c r="G487" t="str">
        <f>IF([1]ROSTERS!G487="","",[1]ROSTERS!G487)</f>
        <v/>
      </c>
      <c r="H487" t="str">
        <f>IF([1]ROSTERS!H487="","",[1]ROSTERS!H487)</f>
        <v/>
      </c>
      <c r="I487" s="8" t="str">
        <f>IF([1]ROSTERS!I487="","",[1]ROSTERS!I487)</f>
        <v/>
      </c>
      <c r="J487" t="str">
        <f>IF([1]ROSTERS!J487="","",[1]ROSTERS!J487)</f>
        <v/>
      </c>
      <c r="K487" t="str">
        <f>IF([1]ROSTERS!K487="","",[1]ROSTERS!K487)</f>
        <v/>
      </c>
      <c r="L487" t="str">
        <f>IF([1]ROSTERS!L487="","",[1]ROSTERS!L487)</f>
        <v/>
      </c>
    </row>
    <row r="488" spans="1:12" x14ac:dyDescent="0.25">
      <c r="A488" s="3" t="str">
        <f>IF(B488="","",COUNTIF($H$3:H488,H488))</f>
        <v/>
      </c>
      <c r="B488" t="str">
        <f>IF([1]ROSTERS!B488="","",[1]ROSTERS!B488)</f>
        <v/>
      </c>
      <c r="C488" t="str">
        <f>IF([1]ROSTERS!C488="","",[1]ROSTERS!C488)</f>
        <v/>
      </c>
      <c r="D488" s="8" t="str">
        <f>IF([1]ROSTERS!D488="","",[1]ROSTERS!D488)</f>
        <v/>
      </c>
      <c r="E488" t="str">
        <f>IF([1]ROSTERS!E488="","",[1]ROSTERS!E488)</f>
        <v/>
      </c>
      <c r="F488" t="str">
        <f>IF([1]ROSTERS!F488="","",[1]ROSTERS!F488)</f>
        <v/>
      </c>
      <c r="G488" t="str">
        <f>IF([1]ROSTERS!G488="","",[1]ROSTERS!G488)</f>
        <v/>
      </c>
      <c r="H488" t="str">
        <f>IF([1]ROSTERS!H488="","",[1]ROSTERS!H488)</f>
        <v/>
      </c>
      <c r="I488" s="8" t="str">
        <f>IF([1]ROSTERS!I488="","",[1]ROSTERS!I488)</f>
        <v/>
      </c>
      <c r="J488" t="str">
        <f>IF([1]ROSTERS!J488="","",[1]ROSTERS!J488)</f>
        <v/>
      </c>
      <c r="K488" t="str">
        <f>IF([1]ROSTERS!K488="","",[1]ROSTERS!K488)</f>
        <v/>
      </c>
      <c r="L488" t="str">
        <f>IF([1]ROSTERS!L488="","",[1]ROSTERS!L488)</f>
        <v/>
      </c>
    </row>
    <row r="489" spans="1:12" x14ac:dyDescent="0.25">
      <c r="A489" s="3" t="str">
        <f>IF(B489="","",COUNTIF($H$3:H489,H489))</f>
        <v/>
      </c>
      <c r="B489" t="str">
        <f>IF([1]ROSTERS!B489="","",[1]ROSTERS!B489)</f>
        <v/>
      </c>
      <c r="C489" t="str">
        <f>IF([1]ROSTERS!C489="","",[1]ROSTERS!C489)</f>
        <v/>
      </c>
      <c r="D489" s="8" t="str">
        <f>IF([1]ROSTERS!D489="","",[1]ROSTERS!D489)</f>
        <v/>
      </c>
      <c r="E489" t="str">
        <f>IF([1]ROSTERS!E489="","",[1]ROSTERS!E489)</f>
        <v/>
      </c>
      <c r="F489" t="str">
        <f>IF([1]ROSTERS!F489="","",[1]ROSTERS!F489)</f>
        <v/>
      </c>
      <c r="G489" t="str">
        <f>IF([1]ROSTERS!G489="","",[1]ROSTERS!G489)</f>
        <v/>
      </c>
      <c r="H489" t="str">
        <f>IF([1]ROSTERS!H489="","",[1]ROSTERS!H489)</f>
        <v/>
      </c>
      <c r="I489" s="8" t="str">
        <f>IF([1]ROSTERS!I489="","",[1]ROSTERS!I489)</f>
        <v/>
      </c>
      <c r="J489" t="str">
        <f>IF([1]ROSTERS!J489="","",[1]ROSTERS!J489)</f>
        <v/>
      </c>
      <c r="K489" t="str">
        <f>IF([1]ROSTERS!K489="","",[1]ROSTERS!K489)</f>
        <v/>
      </c>
      <c r="L489" t="str">
        <f>IF([1]ROSTERS!L489="","",[1]ROSTERS!L489)</f>
        <v/>
      </c>
    </row>
    <row r="490" spans="1:12" x14ac:dyDescent="0.25">
      <c r="A490" s="3" t="str">
        <f>IF(B490="","",COUNTIF($H$3:H490,H490))</f>
        <v/>
      </c>
      <c r="B490" t="str">
        <f>IF([1]ROSTERS!B490="","",[1]ROSTERS!B490)</f>
        <v/>
      </c>
      <c r="C490" t="str">
        <f>IF([1]ROSTERS!C490="","",[1]ROSTERS!C490)</f>
        <v/>
      </c>
      <c r="D490" s="8" t="str">
        <f>IF([1]ROSTERS!D490="","",[1]ROSTERS!D490)</f>
        <v/>
      </c>
      <c r="E490" t="str">
        <f>IF([1]ROSTERS!E490="","",[1]ROSTERS!E490)</f>
        <v/>
      </c>
      <c r="F490" t="str">
        <f>IF([1]ROSTERS!F490="","",[1]ROSTERS!F490)</f>
        <v/>
      </c>
      <c r="G490" t="str">
        <f>IF([1]ROSTERS!G490="","",[1]ROSTERS!G490)</f>
        <v/>
      </c>
      <c r="H490" t="str">
        <f>IF([1]ROSTERS!H490="","",[1]ROSTERS!H490)</f>
        <v/>
      </c>
      <c r="I490" s="8" t="str">
        <f>IF([1]ROSTERS!I490="","",[1]ROSTERS!I490)</f>
        <v/>
      </c>
      <c r="J490" t="str">
        <f>IF([1]ROSTERS!J490="","",[1]ROSTERS!J490)</f>
        <v/>
      </c>
      <c r="K490" t="str">
        <f>IF([1]ROSTERS!K490="","",[1]ROSTERS!K490)</f>
        <v/>
      </c>
      <c r="L490" t="str">
        <f>IF([1]ROSTERS!L490="","",[1]ROSTERS!L490)</f>
        <v/>
      </c>
    </row>
    <row r="491" spans="1:12" x14ac:dyDescent="0.25">
      <c r="A491" s="3" t="str">
        <f>IF(B491="","",COUNTIF($H$3:H491,H491))</f>
        <v/>
      </c>
      <c r="B491" t="str">
        <f>IF([1]ROSTERS!B491="","",[1]ROSTERS!B491)</f>
        <v/>
      </c>
      <c r="C491" t="str">
        <f>IF([1]ROSTERS!C491="","",[1]ROSTERS!C491)</f>
        <v/>
      </c>
      <c r="D491" s="8" t="str">
        <f>IF([1]ROSTERS!D491="","",[1]ROSTERS!D491)</f>
        <v/>
      </c>
      <c r="E491" t="str">
        <f>IF([1]ROSTERS!E491="","",[1]ROSTERS!E491)</f>
        <v/>
      </c>
      <c r="F491" t="str">
        <f>IF([1]ROSTERS!F491="","",[1]ROSTERS!F491)</f>
        <v/>
      </c>
      <c r="G491" t="str">
        <f>IF([1]ROSTERS!G491="","",[1]ROSTERS!G491)</f>
        <v/>
      </c>
      <c r="H491" t="str">
        <f>IF([1]ROSTERS!H491="","",[1]ROSTERS!H491)</f>
        <v/>
      </c>
      <c r="I491" s="8" t="str">
        <f>IF([1]ROSTERS!I491="","",[1]ROSTERS!I491)</f>
        <v/>
      </c>
      <c r="J491" t="str">
        <f>IF([1]ROSTERS!J491="","",[1]ROSTERS!J491)</f>
        <v/>
      </c>
      <c r="K491" t="str">
        <f>IF([1]ROSTERS!K491="","",[1]ROSTERS!K491)</f>
        <v/>
      </c>
      <c r="L491" t="str">
        <f>IF([1]ROSTERS!L491="","",[1]ROSTERS!L491)</f>
        <v/>
      </c>
    </row>
    <row r="492" spans="1:12" x14ac:dyDescent="0.25">
      <c r="A492" s="3" t="str">
        <f>IF(B492="","",COUNTIF($H$3:H492,H492))</f>
        <v/>
      </c>
      <c r="B492" t="str">
        <f>IF([1]ROSTERS!B492="","",[1]ROSTERS!B492)</f>
        <v/>
      </c>
      <c r="C492" t="str">
        <f>IF([1]ROSTERS!C492="","",[1]ROSTERS!C492)</f>
        <v/>
      </c>
      <c r="D492" s="8" t="str">
        <f>IF([1]ROSTERS!D492="","",[1]ROSTERS!D492)</f>
        <v/>
      </c>
      <c r="E492" t="str">
        <f>IF([1]ROSTERS!E492="","",[1]ROSTERS!E492)</f>
        <v/>
      </c>
      <c r="F492" t="str">
        <f>IF([1]ROSTERS!F492="","",[1]ROSTERS!F492)</f>
        <v/>
      </c>
      <c r="G492" t="str">
        <f>IF([1]ROSTERS!G492="","",[1]ROSTERS!G492)</f>
        <v/>
      </c>
      <c r="H492" t="str">
        <f>IF([1]ROSTERS!H492="","",[1]ROSTERS!H492)</f>
        <v/>
      </c>
      <c r="I492" s="8" t="str">
        <f>IF([1]ROSTERS!I492="","",[1]ROSTERS!I492)</f>
        <v/>
      </c>
      <c r="J492" t="str">
        <f>IF([1]ROSTERS!J492="","",[1]ROSTERS!J492)</f>
        <v/>
      </c>
      <c r="K492" t="str">
        <f>IF([1]ROSTERS!K492="","",[1]ROSTERS!K492)</f>
        <v/>
      </c>
      <c r="L492" t="str">
        <f>IF([1]ROSTERS!L492="","",[1]ROSTERS!L492)</f>
        <v/>
      </c>
    </row>
    <row r="493" spans="1:12" x14ac:dyDescent="0.25">
      <c r="A493" s="3" t="str">
        <f>IF(B493="","",COUNTIF($H$3:H493,H493))</f>
        <v/>
      </c>
      <c r="B493" t="str">
        <f>IF([1]ROSTERS!B493="","",[1]ROSTERS!B493)</f>
        <v/>
      </c>
      <c r="C493" t="str">
        <f>IF([1]ROSTERS!C493="","",[1]ROSTERS!C493)</f>
        <v/>
      </c>
      <c r="D493" s="8" t="str">
        <f>IF([1]ROSTERS!D493="","",[1]ROSTERS!D493)</f>
        <v/>
      </c>
      <c r="E493" t="str">
        <f>IF([1]ROSTERS!E493="","",[1]ROSTERS!E493)</f>
        <v/>
      </c>
      <c r="F493" t="str">
        <f>IF([1]ROSTERS!F493="","",[1]ROSTERS!F493)</f>
        <v/>
      </c>
      <c r="G493" t="str">
        <f>IF([1]ROSTERS!G493="","",[1]ROSTERS!G493)</f>
        <v/>
      </c>
      <c r="H493" t="str">
        <f>IF([1]ROSTERS!H493="","",[1]ROSTERS!H493)</f>
        <v/>
      </c>
      <c r="I493" s="8" t="str">
        <f>IF([1]ROSTERS!I493="","",[1]ROSTERS!I493)</f>
        <v/>
      </c>
      <c r="J493" t="str">
        <f>IF([1]ROSTERS!J493="","",[1]ROSTERS!J493)</f>
        <v/>
      </c>
      <c r="K493" t="str">
        <f>IF([1]ROSTERS!K493="","",[1]ROSTERS!K493)</f>
        <v/>
      </c>
      <c r="L493" t="str">
        <f>IF([1]ROSTERS!L493="","",[1]ROSTERS!L493)</f>
        <v/>
      </c>
    </row>
    <row r="494" spans="1:12" x14ac:dyDescent="0.25">
      <c r="A494" s="3" t="str">
        <f>IF(B494="","",COUNTIF($H$3:H494,H494))</f>
        <v/>
      </c>
      <c r="B494" t="str">
        <f>IF([1]ROSTERS!B494="","",[1]ROSTERS!B494)</f>
        <v/>
      </c>
      <c r="C494" t="str">
        <f>IF([1]ROSTERS!C494="","",[1]ROSTERS!C494)</f>
        <v/>
      </c>
      <c r="D494" s="8" t="str">
        <f>IF([1]ROSTERS!D494="","",[1]ROSTERS!D494)</f>
        <v/>
      </c>
      <c r="E494" t="str">
        <f>IF([1]ROSTERS!E494="","",[1]ROSTERS!E494)</f>
        <v/>
      </c>
      <c r="F494" t="str">
        <f>IF([1]ROSTERS!F494="","",[1]ROSTERS!F494)</f>
        <v/>
      </c>
      <c r="G494" t="str">
        <f>IF([1]ROSTERS!G494="","",[1]ROSTERS!G494)</f>
        <v/>
      </c>
      <c r="H494" t="str">
        <f>IF([1]ROSTERS!H494="","",[1]ROSTERS!H494)</f>
        <v/>
      </c>
      <c r="I494" s="8" t="str">
        <f>IF([1]ROSTERS!I494="","",[1]ROSTERS!I494)</f>
        <v/>
      </c>
      <c r="J494" t="str">
        <f>IF([1]ROSTERS!J494="","",[1]ROSTERS!J494)</f>
        <v/>
      </c>
      <c r="K494" t="str">
        <f>IF([1]ROSTERS!K494="","",[1]ROSTERS!K494)</f>
        <v/>
      </c>
      <c r="L494" t="str">
        <f>IF([1]ROSTERS!L494="","",[1]ROSTERS!L494)</f>
        <v/>
      </c>
    </row>
    <row r="495" spans="1:12" x14ac:dyDescent="0.25">
      <c r="A495" s="3" t="str">
        <f>IF(B495="","",COUNTIF($H$3:H495,H495))</f>
        <v/>
      </c>
      <c r="B495" t="str">
        <f>IF([1]ROSTERS!B495="","",[1]ROSTERS!B495)</f>
        <v/>
      </c>
      <c r="C495" t="str">
        <f>IF([1]ROSTERS!C495="","",[1]ROSTERS!C495)</f>
        <v/>
      </c>
      <c r="D495" s="8" t="str">
        <f>IF([1]ROSTERS!D495="","",[1]ROSTERS!D495)</f>
        <v/>
      </c>
      <c r="E495" t="str">
        <f>IF([1]ROSTERS!E495="","",[1]ROSTERS!E495)</f>
        <v/>
      </c>
      <c r="F495" t="str">
        <f>IF([1]ROSTERS!F495="","",[1]ROSTERS!F495)</f>
        <v/>
      </c>
      <c r="G495" t="str">
        <f>IF([1]ROSTERS!G495="","",[1]ROSTERS!G495)</f>
        <v/>
      </c>
      <c r="H495" t="str">
        <f>IF([1]ROSTERS!H495="","",[1]ROSTERS!H495)</f>
        <v/>
      </c>
      <c r="I495" s="8" t="str">
        <f>IF([1]ROSTERS!I495="","",[1]ROSTERS!I495)</f>
        <v/>
      </c>
      <c r="J495" t="str">
        <f>IF([1]ROSTERS!J495="","",[1]ROSTERS!J495)</f>
        <v/>
      </c>
      <c r="K495" t="str">
        <f>IF([1]ROSTERS!K495="","",[1]ROSTERS!K495)</f>
        <v/>
      </c>
      <c r="L495" t="str">
        <f>IF([1]ROSTERS!L495="","",[1]ROSTERS!L495)</f>
        <v/>
      </c>
    </row>
    <row r="496" spans="1:12" x14ac:dyDescent="0.25">
      <c r="A496" s="3" t="str">
        <f>IF(B496="","",COUNTIF($H$3:H496,H496))</f>
        <v/>
      </c>
      <c r="B496" t="str">
        <f>IF([1]ROSTERS!B496="","",[1]ROSTERS!B496)</f>
        <v/>
      </c>
      <c r="C496" t="str">
        <f>IF([1]ROSTERS!C496="","",[1]ROSTERS!C496)</f>
        <v/>
      </c>
      <c r="D496" s="8" t="str">
        <f>IF([1]ROSTERS!D496="","",[1]ROSTERS!D496)</f>
        <v/>
      </c>
      <c r="E496" t="str">
        <f>IF([1]ROSTERS!E496="","",[1]ROSTERS!E496)</f>
        <v/>
      </c>
      <c r="F496" t="str">
        <f>IF([1]ROSTERS!F496="","",[1]ROSTERS!F496)</f>
        <v/>
      </c>
      <c r="G496" t="str">
        <f>IF([1]ROSTERS!G496="","",[1]ROSTERS!G496)</f>
        <v/>
      </c>
      <c r="H496" t="str">
        <f>IF([1]ROSTERS!H496="","",[1]ROSTERS!H496)</f>
        <v/>
      </c>
      <c r="I496" s="8" t="str">
        <f>IF([1]ROSTERS!I496="","",[1]ROSTERS!I496)</f>
        <v/>
      </c>
      <c r="J496" t="str">
        <f>IF([1]ROSTERS!J496="","",[1]ROSTERS!J496)</f>
        <v/>
      </c>
      <c r="K496" t="str">
        <f>IF([1]ROSTERS!K496="","",[1]ROSTERS!K496)</f>
        <v/>
      </c>
      <c r="L496" t="str">
        <f>IF([1]ROSTERS!L496="","",[1]ROSTERS!L496)</f>
        <v/>
      </c>
    </row>
    <row r="497" spans="1:12" x14ac:dyDescent="0.25">
      <c r="A497" s="3" t="str">
        <f>IF(B497="","",COUNTIF($H$3:H497,H497))</f>
        <v/>
      </c>
      <c r="B497" t="str">
        <f>IF([1]ROSTERS!B497="","",[1]ROSTERS!B497)</f>
        <v/>
      </c>
      <c r="C497" t="str">
        <f>IF([1]ROSTERS!C497="","",[1]ROSTERS!C497)</f>
        <v/>
      </c>
      <c r="D497" s="8" t="str">
        <f>IF([1]ROSTERS!D497="","",[1]ROSTERS!D497)</f>
        <v/>
      </c>
      <c r="E497" t="str">
        <f>IF([1]ROSTERS!E497="","",[1]ROSTERS!E497)</f>
        <v/>
      </c>
      <c r="F497" t="str">
        <f>IF([1]ROSTERS!F497="","",[1]ROSTERS!F497)</f>
        <v/>
      </c>
      <c r="G497" t="str">
        <f>IF([1]ROSTERS!G497="","",[1]ROSTERS!G497)</f>
        <v/>
      </c>
      <c r="H497" t="str">
        <f>IF([1]ROSTERS!H497="","",[1]ROSTERS!H497)</f>
        <v/>
      </c>
      <c r="I497" s="8" t="str">
        <f>IF([1]ROSTERS!I497="","",[1]ROSTERS!I497)</f>
        <v/>
      </c>
      <c r="J497" t="str">
        <f>IF([1]ROSTERS!J497="","",[1]ROSTERS!J497)</f>
        <v/>
      </c>
      <c r="K497" t="str">
        <f>IF([1]ROSTERS!K497="","",[1]ROSTERS!K497)</f>
        <v/>
      </c>
      <c r="L497" t="str">
        <f>IF([1]ROSTERS!L497="","",[1]ROSTERS!L497)</f>
        <v/>
      </c>
    </row>
    <row r="498" spans="1:12" x14ac:dyDescent="0.25">
      <c r="A498" s="3" t="str">
        <f>IF(B498="","",COUNTIF($H$3:H498,H498))</f>
        <v/>
      </c>
      <c r="B498" t="str">
        <f>IF([1]ROSTERS!B498="","",[1]ROSTERS!B498)</f>
        <v/>
      </c>
      <c r="C498" t="str">
        <f>IF([1]ROSTERS!C498="","",[1]ROSTERS!C498)</f>
        <v/>
      </c>
      <c r="D498" s="8" t="str">
        <f>IF([1]ROSTERS!D498="","",[1]ROSTERS!D498)</f>
        <v/>
      </c>
      <c r="E498" t="str">
        <f>IF([1]ROSTERS!E498="","",[1]ROSTERS!E498)</f>
        <v/>
      </c>
      <c r="F498" t="str">
        <f>IF([1]ROSTERS!F498="","",[1]ROSTERS!F498)</f>
        <v/>
      </c>
      <c r="G498" t="str">
        <f>IF([1]ROSTERS!G498="","",[1]ROSTERS!G498)</f>
        <v/>
      </c>
      <c r="H498" t="str">
        <f>IF([1]ROSTERS!H498="","",[1]ROSTERS!H498)</f>
        <v/>
      </c>
      <c r="I498" s="8" t="str">
        <f>IF([1]ROSTERS!I498="","",[1]ROSTERS!I498)</f>
        <v/>
      </c>
      <c r="J498" t="str">
        <f>IF([1]ROSTERS!J498="","",[1]ROSTERS!J498)</f>
        <v/>
      </c>
      <c r="K498" t="str">
        <f>IF([1]ROSTERS!K498="","",[1]ROSTERS!K498)</f>
        <v/>
      </c>
      <c r="L498" t="str">
        <f>IF([1]ROSTERS!L498="","",[1]ROSTERS!L498)</f>
        <v/>
      </c>
    </row>
    <row r="499" spans="1:12" x14ac:dyDescent="0.25">
      <c r="A499" s="3" t="str">
        <f>IF(B499="","",COUNTIF($H$3:H499,H499))</f>
        <v/>
      </c>
      <c r="B499" t="str">
        <f>IF([1]ROSTERS!B499="","",[1]ROSTERS!B499)</f>
        <v/>
      </c>
      <c r="C499" t="str">
        <f>IF([1]ROSTERS!C499="","",[1]ROSTERS!C499)</f>
        <v/>
      </c>
      <c r="D499" s="8" t="str">
        <f>IF([1]ROSTERS!D499="","",[1]ROSTERS!D499)</f>
        <v/>
      </c>
      <c r="E499" t="str">
        <f>IF([1]ROSTERS!E499="","",[1]ROSTERS!E499)</f>
        <v/>
      </c>
      <c r="F499" t="str">
        <f>IF([1]ROSTERS!F499="","",[1]ROSTERS!F499)</f>
        <v/>
      </c>
      <c r="G499" t="str">
        <f>IF([1]ROSTERS!G499="","",[1]ROSTERS!G499)</f>
        <v/>
      </c>
      <c r="H499" t="str">
        <f>IF([1]ROSTERS!H499="","",[1]ROSTERS!H499)</f>
        <v/>
      </c>
      <c r="I499" s="8" t="str">
        <f>IF([1]ROSTERS!I499="","",[1]ROSTERS!I499)</f>
        <v/>
      </c>
      <c r="J499" t="str">
        <f>IF([1]ROSTERS!J499="","",[1]ROSTERS!J499)</f>
        <v/>
      </c>
      <c r="K499" t="str">
        <f>IF([1]ROSTERS!K499="","",[1]ROSTERS!K499)</f>
        <v/>
      </c>
      <c r="L499" t="str">
        <f>IF([1]ROSTERS!L499="","",[1]ROSTERS!L499)</f>
        <v/>
      </c>
    </row>
    <row r="500" spans="1:12" x14ac:dyDescent="0.25">
      <c r="A500" s="3" t="str">
        <f>IF(B500="","",COUNTIF($H$3:H500,H500))</f>
        <v/>
      </c>
      <c r="B500" t="str">
        <f>IF([1]ROSTERS!B500="","",[1]ROSTERS!B500)</f>
        <v/>
      </c>
      <c r="C500" t="str">
        <f>IF([1]ROSTERS!C500="","",[1]ROSTERS!C500)</f>
        <v/>
      </c>
      <c r="D500" s="8" t="str">
        <f>IF([1]ROSTERS!D500="","",[1]ROSTERS!D500)</f>
        <v/>
      </c>
      <c r="E500" t="str">
        <f>IF([1]ROSTERS!E500="","",[1]ROSTERS!E500)</f>
        <v/>
      </c>
      <c r="F500" t="str">
        <f>IF([1]ROSTERS!F500="","",[1]ROSTERS!F500)</f>
        <v/>
      </c>
      <c r="G500" t="str">
        <f>IF([1]ROSTERS!G500="","",[1]ROSTERS!G500)</f>
        <v/>
      </c>
      <c r="H500" t="str">
        <f>IF([1]ROSTERS!H500="","",[1]ROSTERS!H500)</f>
        <v/>
      </c>
      <c r="I500" s="8" t="str">
        <f>IF([1]ROSTERS!I500="","",[1]ROSTERS!I500)</f>
        <v/>
      </c>
      <c r="J500" t="str">
        <f>IF([1]ROSTERS!J500="","",[1]ROSTERS!J500)</f>
        <v/>
      </c>
      <c r="K500" t="str">
        <f>IF([1]ROSTERS!K500="","",[1]ROSTERS!K500)</f>
        <v/>
      </c>
      <c r="L500" t="str">
        <f>IF([1]ROSTERS!L500="","",[1]ROSTERS!L500)</f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C1508-77F9-468A-A7D9-210900727070}">
  <dimension ref="B2:J1634"/>
  <sheetViews>
    <sheetView topLeftCell="A1006" workbookViewId="0">
      <selection activeCell="F3" sqref="F3"/>
    </sheetView>
  </sheetViews>
  <sheetFormatPr defaultColWidth="8.85546875" defaultRowHeight="15" x14ac:dyDescent="0.25"/>
  <cols>
    <col min="1" max="3" width="8.85546875" style="1"/>
    <col min="4" max="5" width="27.5703125" style="1" bestFit="1" customWidth="1"/>
    <col min="6" max="6" width="8.85546875" style="6"/>
    <col min="7" max="10" width="8.85546875" style="3"/>
    <col min="11" max="16384" width="8.85546875" style="1"/>
  </cols>
  <sheetData>
    <row r="2" spans="2:10" x14ac:dyDescent="0.25">
      <c r="B2" s="5" t="s">
        <v>3</v>
      </c>
      <c r="C2" s="5" t="s">
        <v>51</v>
      </c>
      <c r="D2" s="5" t="s">
        <v>47</v>
      </c>
      <c r="E2" s="5" t="s">
        <v>52</v>
      </c>
      <c r="F2" s="9" t="s">
        <v>53</v>
      </c>
      <c r="G2" s="5" t="s">
        <v>54</v>
      </c>
      <c r="H2" s="5" t="s">
        <v>55</v>
      </c>
      <c r="I2" s="5" t="s">
        <v>56</v>
      </c>
      <c r="J2" s="5" t="s">
        <v>57</v>
      </c>
    </row>
    <row r="3" spans="2:10" x14ac:dyDescent="0.25">
      <c r="B3" s="3" t="str">
        <f>IF([1]SCHEDULE!B3="","",[1]SCHEDULE!B3)</f>
        <v>BER</v>
      </c>
      <c r="C3" s="3">
        <f>IF([1]SCHEDULE!C3="","",[1]SCHEDULE!C3)</f>
        <v>1</v>
      </c>
      <c r="D3" s="1" t="str">
        <f>IF([1]SCHEDULE!D3="","",[1]SCHEDULE!D3)</f>
        <v>ALBA Berlin</v>
      </c>
      <c r="E3" s="1" t="str">
        <f>IF([1]SCHEDULE!E3="","",[1]SCHEDULE!E3)</f>
        <v>FC Bayern Munich</v>
      </c>
      <c r="F3" s="6">
        <f>IF([1]SCHEDULE!F3="","",[1]SCHEDULE!F3)</f>
        <v>45204</v>
      </c>
      <c r="G3" s="11" t="str">
        <f>IF([1]SCHEDULE!G3="","",[1]SCHEDULE!G3)</f>
        <v>A</v>
      </c>
      <c r="H3" s="3" t="str">
        <f>IF([1]SCHEDULE!H3="","",[1]SCHEDULE!H3)</f>
        <v>BAY</v>
      </c>
      <c r="I3" s="3" t="str">
        <f>IF([1]SCHEDULE!I3="","",[1]SCHEDULE!I3)</f>
        <v>1.BER</v>
      </c>
      <c r="J3" s="3" t="str">
        <f>IF([1]SCHEDULE!J3="","",[1]SCHEDULE!J3)</f>
        <v>1.BAY</v>
      </c>
    </row>
    <row r="4" spans="2:10" x14ac:dyDescent="0.25">
      <c r="B4" s="3" t="str">
        <f>IF([1]SCHEDULE!B4="","",[1]SCHEDULE!B4)</f>
        <v>BER</v>
      </c>
      <c r="C4" s="3">
        <f>IF([1]SCHEDULE!C4="","",[1]SCHEDULE!C4)</f>
        <v>2</v>
      </c>
      <c r="D4" s="1" t="str">
        <f>IF([1]SCHEDULE!D4="","",[1]SCHEDULE!D4)</f>
        <v>ALBA Berlin</v>
      </c>
      <c r="E4" s="1" t="str">
        <f>IF([1]SCHEDULE!E4="","",[1]SCHEDULE!E4)</f>
        <v>Baskonia Vitoria-Gasteiz</v>
      </c>
      <c r="F4" s="6">
        <f>IF([1]SCHEDULE!F4="","",[1]SCHEDULE!F4)</f>
        <v>45211</v>
      </c>
      <c r="G4" s="3" t="str">
        <f>IF([1]SCHEDULE!G4="","",[1]SCHEDULE!G4)</f>
        <v>H</v>
      </c>
      <c r="H4" s="3" t="str">
        <f>IF([1]SCHEDULE!H4="","",[1]SCHEDULE!H4)</f>
        <v>BAS</v>
      </c>
      <c r="I4" s="3" t="str">
        <f>IF([1]SCHEDULE!I4="","",[1]SCHEDULE!I4)</f>
        <v>2.BER</v>
      </c>
      <c r="J4" s="3" t="str">
        <f>IF([1]SCHEDULE!J4="","",[1]SCHEDULE!J4)</f>
        <v>2.BAS</v>
      </c>
    </row>
    <row r="5" spans="2:10" x14ac:dyDescent="0.25">
      <c r="B5" s="3" t="str">
        <f>IF([1]SCHEDULE!B5="","",[1]SCHEDULE!B5)</f>
        <v>BER</v>
      </c>
      <c r="C5" s="3">
        <f>IF([1]SCHEDULE!C5="","",[1]SCHEDULE!C5)</f>
        <v>3</v>
      </c>
      <c r="D5" s="1" t="str">
        <f>IF([1]SCHEDULE!D5="","",[1]SCHEDULE!D5)</f>
        <v>ALBA Berlin</v>
      </c>
      <c r="E5" s="1" t="str">
        <f>IF([1]SCHEDULE!E5="","",[1]SCHEDULE!E5)</f>
        <v>Virtus Segafredo Bologna</v>
      </c>
      <c r="F5" s="6">
        <f>IF([1]SCHEDULE!F5="","",[1]SCHEDULE!F5)</f>
        <v>45217</v>
      </c>
      <c r="G5" s="3" t="str">
        <f>IF([1]SCHEDULE!G5="","",[1]SCHEDULE!G5)</f>
        <v>A</v>
      </c>
      <c r="H5" s="3" t="str">
        <f>IF([1]SCHEDULE!H5="","",[1]SCHEDULE!H5)</f>
        <v>VIR</v>
      </c>
      <c r="I5" s="3" t="str">
        <f>IF([1]SCHEDULE!I5="","",[1]SCHEDULE!I5)</f>
        <v>3.BER</v>
      </c>
      <c r="J5" s="3" t="str">
        <f>IF([1]SCHEDULE!J5="","",[1]SCHEDULE!J5)</f>
        <v>3.VIR</v>
      </c>
    </row>
    <row r="6" spans="2:10" x14ac:dyDescent="0.25">
      <c r="B6" s="3" t="str">
        <f>IF([1]SCHEDULE!B6="","",[1]SCHEDULE!B6)</f>
        <v>BER</v>
      </c>
      <c r="C6" s="3">
        <f>IF([1]SCHEDULE!C6="","",[1]SCHEDULE!C6)</f>
        <v>4</v>
      </c>
      <c r="D6" s="1" t="str">
        <f>IF([1]SCHEDULE!D6="","",[1]SCHEDULE!D6)</f>
        <v>ALBA Berlin</v>
      </c>
      <c r="E6" s="1" t="str">
        <f>IF([1]SCHEDULE!E6="","",[1]SCHEDULE!E6)</f>
        <v>AS Monaco</v>
      </c>
      <c r="F6" s="6">
        <f>IF([1]SCHEDULE!F6="","",[1]SCHEDULE!F6)</f>
        <v>45219</v>
      </c>
      <c r="G6" s="3" t="str">
        <f>IF([1]SCHEDULE!G6="","",[1]SCHEDULE!G6)</f>
        <v>A</v>
      </c>
      <c r="H6" s="3" t="str">
        <f>IF([1]SCHEDULE!H6="","",[1]SCHEDULE!H6)</f>
        <v>ASM</v>
      </c>
      <c r="I6" s="3" t="str">
        <f>IF([1]SCHEDULE!I6="","",[1]SCHEDULE!I6)</f>
        <v>4.BER</v>
      </c>
      <c r="J6" s="3" t="str">
        <f>IF([1]SCHEDULE!J6="","",[1]SCHEDULE!J6)</f>
        <v>4.ASM</v>
      </c>
    </row>
    <row r="7" spans="2:10" x14ac:dyDescent="0.25">
      <c r="B7" s="3" t="str">
        <f>IF([1]SCHEDULE!B7="","",[1]SCHEDULE!B7)</f>
        <v>BER</v>
      </c>
      <c r="C7" s="3">
        <f>IF([1]SCHEDULE!C7="","",[1]SCHEDULE!C7)</f>
        <v>5</v>
      </c>
      <c r="D7" s="1" t="str">
        <f>IF([1]SCHEDULE!D7="","",[1]SCHEDULE!D7)</f>
        <v>ALBA Berlin</v>
      </c>
      <c r="E7" s="1" t="str">
        <f>IF([1]SCHEDULE!E7="","",[1]SCHEDULE!E7)</f>
        <v>EA7 Emporio Armani Milan</v>
      </c>
      <c r="F7" s="6">
        <f>IF([1]SCHEDULE!F7="","",[1]SCHEDULE!F7)</f>
        <v>45225</v>
      </c>
      <c r="G7" s="3" t="str">
        <f>IF([1]SCHEDULE!G7="","",[1]SCHEDULE!G7)</f>
        <v>H</v>
      </c>
      <c r="H7" s="3" t="str">
        <f>IF([1]SCHEDULE!H7="","",[1]SCHEDULE!H7)</f>
        <v>MIL</v>
      </c>
      <c r="I7" s="3" t="str">
        <f>IF([1]SCHEDULE!I7="","",[1]SCHEDULE!I7)</f>
        <v>5.BER</v>
      </c>
      <c r="J7" s="3" t="str">
        <f>IF([1]SCHEDULE!J7="","",[1]SCHEDULE!J7)</f>
        <v>5.MIL</v>
      </c>
    </row>
    <row r="8" spans="2:10" x14ac:dyDescent="0.25">
      <c r="B8" s="3" t="str">
        <f>IF([1]SCHEDULE!B8="","",[1]SCHEDULE!B8)</f>
        <v>BER</v>
      </c>
      <c r="C8" s="3">
        <f>IF([1]SCHEDULE!C8="","",[1]SCHEDULE!C8)</f>
        <v>6</v>
      </c>
      <c r="D8" s="1" t="str">
        <f>IF([1]SCHEDULE!D8="","",[1]SCHEDULE!D8)</f>
        <v>ALBA Berlin</v>
      </c>
      <c r="E8" s="1" t="str">
        <f>IF([1]SCHEDULE!E8="","",[1]SCHEDULE!E8)</f>
        <v>Valencia Basket</v>
      </c>
      <c r="F8" s="6">
        <f>IF([1]SCHEDULE!F8="","",[1]SCHEDULE!F8)</f>
        <v>45232</v>
      </c>
      <c r="G8" s="3" t="str">
        <f>IF([1]SCHEDULE!G8="","",[1]SCHEDULE!G8)</f>
        <v>A</v>
      </c>
      <c r="H8" s="3" t="str">
        <f>IF([1]SCHEDULE!H8="","",[1]SCHEDULE!H8)</f>
        <v>VAL</v>
      </c>
      <c r="I8" s="3" t="str">
        <f>IF([1]SCHEDULE!I8="","",[1]SCHEDULE!I8)</f>
        <v>6.BER</v>
      </c>
      <c r="J8" s="3" t="str">
        <f>IF([1]SCHEDULE!J8="","",[1]SCHEDULE!J8)</f>
        <v>6.VAL</v>
      </c>
    </row>
    <row r="9" spans="2:10" x14ac:dyDescent="0.25">
      <c r="B9" s="3" t="str">
        <f>IF([1]SCHEDULE!B9="","",[1]SCHEDULE!B9)</f>
        <v>BER</v>
      </c>
      <c r="C9" s="3">
        <f>IF([1]SCHEDULE!C9="","",[1]SCHEDULE!C9)</f>
        <v>7</v>
      </c>
      <c r="D9" s="1" t="str">
        <f>IF([1]SCHEDULE!D9="","",[1]SCHEDULE!D9)</f>
        <v>ALBA Berlin</v>
      </c>
      <c r="E9" s="1" t="str">
        <f>IF([1]SCHEDULE!E9="","",[1]SCHEDULE!E9)</f>
        <v>Panathinaikos Athens</v>
      </c>
      <c r="F9" s="6">
        <f>IF([1]SCHEDULE!F9="","",[1]SCHEDULE!F9)</f>
        <v>45240</v>
      </c>
      <c r="G9" s="3" t="str">
        <f>IF([1]SCHEDULE!G9="","",[1]SCHEDULE!G9)</f>
        <v>H</v>
      </c>
      <c r="H9" s="3" t="str">
        <f>IF([1]SCHEDULE!H9="","",[1]SCHEDULE!H9)</f>
        <v>PAN</v>
      </c>
      <c r="I9" s="3" t="str">
        <f>IF([1]SCHEDULE!I9="","",[1]SCHEDULE!I9)</f>
        <v>7.BER</v>
      </c>
      <c r="J9" s="3" t="str">
        <f>IF([1]SCHEDULE!J9="","",[1]SCHEDULE!J9)</f>
        <v>7.PAN</v>
      </c>
    </row>
    <row r="10" spans="2:10" x14ac:dyDescent="0.25">
      <c r="B10" s="3" t="str">
        <f>IF([1]SCHEDULE!B10="","",[1]SCHEDULE!B10)</f>
        <v>BER</v>
      </c>
      <c r="C10" s="3">
        <f>IF([1]SCHEDULE!C10="","",[1]SCHEDULE!C10)</f>
        <v>8</v>
      </c>
      <c r="D10" s="1" t="str">
        <f>IF([1]SCHEDULE!D10="","",[1]SCHEDULE!D10)</f>
        <v>ALBA Berlin</v>
      </c>
      <c r="E10" s="1" t="str">
        <f>IF([1]SCHEDULE!E10="","",[1]SCHEDULE!E10)</f>
        <v>LDLC ASVEL Villeurbanne</v>
      </c>
      <c r="F10" s="6">
        <f>IF([1]SCHEDULE!F10="","",[1]SCHEDULE!F10)</f>
        <v>45245</v>
      </c>
      <c r="G10" s="3" t="str">
        <f>IF([1]SCHEDULE!G10="","",[1]SCHEDULE!G10)</f>
        <v>H</v>
      </c>
      <c r="H10" s="3" t="str">
        <f>IF([1]SCHEDULE!H10="","",[1]SCHEDULE!H10)</f>
        <v>ASV</v>
      </c>
      <c r="I10" s="3" t="str">
        <f>IF([1]SCHEDULE!I10="","",[1]SCHEDULE!I10)</f>
        <v>8.BER</v>
      </c>
      <c r="J10" s="3" t="str">
        <f>IF([1]SCHEDULE!J10="","",[1]SCHEDULE!J10)</f>
        <v>8.ASV</v>
      </c>
    </row>
    <row r="11" spans="2:10" x14ac:dyDescent="0.25">
      <c r="B11" s="3" t="str">
        <f>IF([1]SCHEDULE!B11="","",[1]SCHEDULE!B11)</f>
        <v>BER</v>
      </c>
      <c r="C11" s="3">
        <f>IF([1]SCHEDULE!C11="","",[1]SCHEDULE!C11)</f>
        <v>9</v>
      </c>
      <c r="D11" s="1" t="str">
        <f>IF([1]SCHEDULE!D11="","",[1]SCHEDULE!D11)</f>
        <v>ALBA Berlin</v>
      </c>
      <c r="E11" s="1" t="str">
        <f>IF([1]SCHEDULE!E11="","",[1]SCHEDULE!E11)</f>
        <v>Partizan Mozzart Bet Belgrade</v>
      </c>
      <c r="F11" s="6">
        <f>IF([1]SCHEDULE!F11="","",[1]SCHEDULE!F11)</f>
        <v>45247</v>
      </c>
      <c r="G11" s="3" t="str">
        <f>IF([1]SCHEDULE!G11="","",[1]SCHEDULE!G11)</f>
        <v>A</v>
      </c>
      <c r="H11" s="3" t="str">
        <f>IF([1]SCHEDULE!H11="","",[1]SCHEDULE!H11)</f>
        <v>PAR</v>
      </c>
      <c r="I11" s="3" t="str">
        <f>IF([1]SCHEDULE!I11="","",[1]SCHEDULE!I11)</f>
        <v>9.BER</v>
      </c>
      <c r="J11" s="3" t="str">
        <f>IF([1]SCHEDULE!J11="","",[1]SCHEDULE!J11)</f>
        <v>9.PAR</v>
      </c>
    </row>
    <row r="12" spans="2:10" x14ac:dyDescent="0.25">
      <c r="B12" s="3" t="str">
        <f>IF([1]SCHEDULE!B12="","",[1]SCHEDULE!B12)</f>
        <v>BER</v>
      </c>
      <c r="C12" s="3">
        <f>IF([1]SCHEDULE!C12="","",[1]SCHEDULE!C12)</f>
        <v>10</v>
      </c>
      <c r="D12" s="1" t="str">
        <f>IF([1]SCHEDULE!D12="","",[1]SCHEDULE!D12)</f>
        <v>ALBA Berlin</v>
      </c>
      <c r="E12" s="1" t="str">
        <f>IF([1]SCHEDULE!E12="","",[1]SCHEDULE!E12)</f>
        <v>Real Madrid</v>
      </c>
      <c r="F12" s="6">
        <f>IF([1]SCHEDULE!F12="","",[1]SCHEDULE!F12)</f>
        <v>45253</v>
      </c>
      <c r="G12" s="3" t="str">
        <f>IF([1]SCHEDULE!G12="","",[1]SCHEDULE!G12)</f>
        <v>A</v>
      </c>
      <c r="H12" s="3" t="str">
        <f>IF([1]SCHEDULE!H12="","",[1]SCHEDULE!H12)</f>
        <v>RMB</v>
      </c>
      <c r="I12" s="3" t="str">
        <f>IF([1]SCHEDULE!I12="","",[1]SCHEDULE!I12)</f>
        <v>10.BER</v>
      </c>
      <c r="J12" s="3" t="str">
        <f>IF([1]SCHEDULE!J12="","",[1]SCHEDULE!J12)</f>
        <v>10.RMB</v>
      </c>
    </row>
    <row r="13" spans="2:10" x14ac:dyDescent="0.25">
      <c r="B13" s="3" t="str">
        <f>IF([1]SCHEDULE!B13="","",[1]SCHEDULE!B13)</f>
        <v>BER</v>
      </c>
      <c r="C13" s="3">
        <f>IF([1]SCHEDULE!C13="","",[1]SCHEDULE!C13)</f>
        <v>11</v>
      </c>
      <c r="D13" s="1" t="str">
        <f>IF([1]SCHEDULE!D13="","",[1]SCHEDULE!D13)</f>
        <v>ALBA Berlin</v>
      </c>
      <c r="E13" s="1" t="str">
        <f>IF([1]SCHEDULE!E13="","",[1]SCHEDULE!E13)</f>
        <v>Maccabi Playtika Tel Aviv</v>
      </c>
      <c r="F13" s="6">
        <f>IF([1]SCHEDULE!F13="","",[1]SCHEDULE!F13)</f>
        <v>45260</v>
      </c>
      <c r="G13" s="3" t="str">
        <f>IF([1]SCHEDULE!G13="","",[1]SCHEDULE!G13)</f>
        <v>A</v>
      </c>
      <c r="H13" s="3" t="str">
        <f>IF([1]SCHEDULE!H13="","",[1]SCHEDULE!H13)</f>
        <v>MTA</v>
      </c>
      <c r="I13" s="3" t="str">
        <f>IF([1]SCHEDULE!I13="","",[1]SCHEDULE!I13)</f>
        <v>11.BER</v>
      </c>
      <c r="J13" s="3" t="str">
        <f>IF([1]SCHEDULE!J13="","",[1]SCHEDULE!J13)</f>
        <v>11.MTA</v>
      </c>
    </row>
    <row r="14" spans="2:10" x14ac:dyDescent="0.25">
      <c r="B14" s="3" t="str">
        <f>IF([1]SCHEDULE!B14="","",[1]SCHEDULE!B14)</f>
        <v>BER</v>
      </c>
      <c r="C14" s="3">
        <f>IF([1]SCHEDULE!C14="","",[1]SCHEDULE!C14)</f>
        <v>12</v>
      </c>
      <c r="D14" s="1" t="str">
        <f>IF([1]SCHEDULE!D14="","",[1]SCHEDULE!D14)</f>
        <v>ALBA Berlin</v>
      </c>
      <c r="E14" s="1" t="str">
        <f>IF([1]SCHEDULE!E14="","",[1]SCHEDULE!E14)</f>
        <v>Zalgiris Kaunas</v>
      </c>
      <c r="F14" s="6">
        <f>IF([1]SCHEDULE!F14="","",[1]SCHEDULE!F14)</f>
        <v>45265</v>
      </c>
      <c r="G14" s="3" t="str">
        <f>IF([1]SCHEDULE!G14="","",[1]SCHEDULE!G14)</f>
        <v>H</v>
      </c>
      <c r="H14" s="3" t="str">
        <f>IF([1]SCHEDULE!H14="","",[1]SCHEDULE!H14)</f>
        <v>ZAL</v>
      </c>
      <c r="I14" s="3" t="str">
        <f>IF([1]SCHEDULE!I14="","",[1]SCHEDULE!I14)</f>
        <v>12.BER</v>
      </c>
      <c r="J14" s="3" t="str">
        <f>IF([1]SCHEDULE!J14="","",[1]SCHEDULE!J14)</f>
        <v>12.ZAL</v>
      </c>
    </row>
    <row r="15" spans="2:10" x14ac:dyDescent="0.25">
      <c r="B15" s="3" t="str">
        <f>IF([1]SCHEDULE!B15="","",[1]SCHEDULE!B15)</f>
        <v>BER</v>
      </c>
      <c r="C15" s="3">
        <f>IF([1]SCHEDULE!C15="","",[1]SCHEDULE!C15)</f>
        <v>13</v>
      </c>
      <c r="D15" s="1" t="str">
        <f>IF([1]SCHEDULE!D15="","",[1]SCHEDULE!D15)</f>
        <v>ALBA Berlin</v>
      </c>
      <c r="E15" s="1" t="str">
        <f>IF([1]SCHEDULE!E15="","",[1]SCHEDULE!E15)</f>
        <v>Anadolu Efes Istanbul</v>
      </c>
      <c r="F15" s="6">
        <f>IF([1]SCHEDULE!F15="","",[1]SCHEDULE!F15)</f>
        <v>45267</v>
      </c>
      <c r="G15" s="3" t="str">
        <f>IF([1]SCHEDULE!G15="","",[1]SCHEDULE!G15)</f>
        <v>H</v>
      </c>
      <c r="H15" s="3" t="str">
        <f>IF([1]SCHEDULE!H15="","",[1]SCHEDULE!H15)</f>
        <v>EFE</v>
      </c>
      <c r="I15" s="3" t="str">
        <f>IF([1]SCHEDULE!I15="","",[1]SCHEDULE!I15)</f>
        <v>13.BER</v>
      </c>
      <c r="J15" s="3" t="str">
        <f>IF([1]SCHEDULE!J15="","",[1]SCHEDULE!J15)</f>
        <v>13.EFE</v>
      </c>
    </row>
    <row r="16" spans="2:10" x14ac:dyDescent="0.25">
      <c r="B16" s="3" t="str">
        <f>IF([1]SCHEDULE!B16="","",[1]SCHEDULE!B16)</f>
        <v>BER</v>
      </c>
      <c r="C16" s="3">
        <f>IF([1]SCHEDULE!C16="","",[1]SCHEDULE!C16)</f>
        <v>14</v>
      </c>
      <c r="D16" s="1" t="str">
        <f>IF([1]SCHEDULE!D16="","",[1]SCHEDULE!D16)</f>
        <v>ALBA Berlin</v>
      </c>
      <c r="E16" s="1" t="str">
        <f>IF([1]SCHEDULE!E16="","",[1]SCHEDULE!E16)</f>
        <v>Crvena Zvezda Meridianbet Belgrade</v>
      </c>
      <c r="F16" s="6">
        <f>IF([1]SCHEDULE!F16="","",[1]SCHEDULE!F16)</f>
        <v>45275</v>
      </c>
      <c r="G16" s="3" t="str">
        <f>IF([1]SCHEDULE!G16="","",[1]SCHEDULE!G16)</f>
        <v>A</v>
      </c>
      <c r="H16" s="3" t="str">
        <f>IF([1]SCHEDULE!H16="","",[1]SCHEDULE!H16)</f>
        <v>CZB</v>
      </c>
      <c r="I16" s="3" t="str">
        <f>IF([1]SCHEDULE!I16="","",[1]SCHEDULE!I16)</f>
        <v>14.BER</v>
      </c>
      <c r="J16" s="3" t="str">
        <f>IF([1]SCHEDULE!J16="","",[1]SCHEDULE!J16)</f>
        <v>14.CZB</v>
      </c>
    </row>
    <row r="17" spans="2:10" x14ac:dyDescent="0.25">
      <c r="B17" s="3" t="str">
        <f>IF([1]SCHEDULE!B17="","",[1]SCHEDULE!B17)</f>
        <v>BER</v>
      </c>
      <c r="C17" s="3">
        <f>IF([1]SCHEDULE!C17="","",[1]SCHEDULE!C17)</f>
        <v>15</v>
      </c>
      <c r="D17" s="1" t="str">
        <f>IF([1]SCHEDULE!D17="","",[1]SCHEDULE!D17)</f>
        <v>ALBA Berlin</v>
      </c>
      <c r="E17" s="1" t="str">
        <f>IF([1]SCHEDULE!E17="","",[1]SCHEDULE!E17)</f>
        <v>FC Barcelona</v>
      </c>
      <c r="F17" s="6">
        <f>IF([1]SCHEDULE!F17="","",[1]SCHEDULE!F17)</f>
        <v>45279</v>
      </c>
      <c r="G17" s="3" t="str">
        <f>IF([1]SCHEDULE!G17="","",[1]SCHEDULE!G17)</f>
        <v>H</v>
      </c>
      <c r="H17" s="3" t="str">
        <f>IF([1]SCHEDULE!H17="","",[1]SCHEDULE!H17)</f>
        <v>FCB</v>
      </c>
      <c r="I17" s="3" t="str">
        <f>IF([1]SCHEDULE!I17="","",[1]SCHEDULE!I17)</f>
        <v>15.BER</v>
      </c>
      <c r="J17" s="3" t="str">
        <f>IF([1]SCHEDULE!J17="","",[1]SCHEDULE!J17)</f>
        <v>15.FCB</v>
      </c>
    </row>
    <row r="18" spans="2:10" x14ac:dyDescent="0.25">
      <c r="B18" s="3" t="str">
        <f>IF([1]SCHEDULE!B18="","",[1]SCHEDULE!B18)</f>
        <v>BER</v>
      </c>
      <c r="C18" s="3">
        <f>IF([1]SCHEDULE!C18="","",[1]SCHEDULE!C18)</f>
        <v>16</v>
      </c>
      <c r="D18" s="1" t="str">
        <f>IF([1]SCHEDULE!D18="","",[1]SCHEDULE!D18)</f>
        <v>ALBA Berlin</v>
      </c>
      <c r="E18" s="1" t="str">
        <f>IF([1]SCHEDULE!E18="","",[1]SCHEDULE!E18)</f>
        <v>Fenerbahce Beko Istanbul</v>
      </c>
      <c r="F18" s="6">
        <f>IF([1]SCHEDULE!F18="","",[1]SCHEDULE!F18)</f>
        <v>45282</v>
      </c>
      <c r="G18" s="3" t="str">
        <f>IF([1]SCHEDULE!G18="","",[1]SCHEDULE!G18)</f>
        <v>H</v>
      </c>
      <c r="H18" s="3" t="str">
        <f>IF([1]SCHEDULE!H18="","",[1]SCHEDULE!H18)</f>
        <v>FEN</v>
      </c>
      <c r="I18" s="3" t="str">
        <f>IF([1]SCHEDULE!I18="","",[1]SCHEDULE!I18)</f>
        <v>16.BER</v>
      </c>
      <c r="J18" s="3" t="str">
        <f>IF([1]SCHEDULE!J18="","",[1]SCHEDULE!J18)</f>
        <v>16.FEN</v>
      </c>
    </row>
    <row r="19" spans="2:10" x14ac:dyDescent="0.25">
      <c r="B19" s="3" t="str">
        <f>IF([1]SCHEDULE!B19="","",[1]SCHEDULE!B19)</f>
        <v>BER</v>
      </c>
      <c r="C19" s="3">
        <f>IF([1]SCHEDULE!C19="","",[1]SCHEDULE!C19)</f>
        <v>17</v>
      </c>
      <c r="D19" s="1" t="str">
        <f>IF([1]SCHEDULE!D19="","",[1]SCHEDULE!D19)</f>
        <v>ALBA Berlin</v>
      </c>
      <c r="E19" s="1" t="str">
        <f>IF([1]SCHEDULE!E19="","",[1]SCHEDULE!E19)</f>
        <v>Olympiacos Piraeus</v>
      </c>
      <c r="F19" s="6">
        <f>IF([1]SCHEDULE!F19="","",[1]SCHEDULE!F19)</f>
        <v>45289</v>
      </c>
      <c r="G19" s="3" t="str">
        <f>IF([1]SCHEDULE!G19="","",[1]SCHEDULE!G19)</f>
        <v>H</v>
      </c>
      <c r="H19" s="3" t="str">
        <f>IF([1]SCHEDULE!H19="","",[1]SCHEDULE!H19)</f>
        <v>OLY</v>
      </c>
      <c r="I19" s="3" t="str">
        <f>IF([1]SCHEDULE!I19="","",[1]SCHEDULE!I19)</f>
        <v>17.BER</v>
      </c>
      <c r="J19" s="3" t="str">
        <f>IF([1]SCHEDULE!J19="","",[1]SCHEDULE!J19)</f>
        <v>17.OLY</v>
      </c>
    </row>
    <row r="20" spans="2:10" x14ac:dyDescent="0.25">
      <c r="B20" s="3" t="str">
        <f>IF([1]SCHEDULE!B20="","",[1]SCHEDULE!B20)</f>
        <v>BER</v>
      </c>
      <c r="C20" s="3">
        <f>IF([1]SCHEDULE!C20="","",[1]SCHEDULE!C20)</f>
        <v>18</v>
      </c>
      <c r="D20" s="1" t="str">
        <f>IF([1]SCHEDULE!D20="","",[1]SCHEDULE!D20)</f>
        <v>ALBA Berlin</v>
      </c>
      <c r="E20" s="1" t="str">
        <f>IF([1]SCHEDULE!E20="","",[1]SCHEDULE!E20)</f>
        <v>Zalgiris Kaunas</v>
      </c>
      <c r="F20" s="6">
        <f>IF([1]SCHEDULE!F20="","",[1]SCHEDULE!F20)</f>
        <v>45293</v>
      </c>
      <c r="G20" s="3" t="str">
        <f>IF([1]SCHEDULE!G20="","",[1]SCHEDULE!G20)</f>
        <v>A</v>
      </c>
      <c r="H20" s="3" t="str">
        <f>IF([1]SCHEDULE!H20="","",[1]SCHEDULE!H20)</f>
        <v>ZAL</v>
      </c>
      <c r="I20" s="3" t="str">
        <f>IF([1]SCHEDULE!I20="","",[1]SCHEDULE!I20)</f>
        <v>18.BER</v>
      </c>
      <c r="J20" s="3" t="str">
        <f>IF([1]SCHEDULE!J20="","",[1]SCHEDULE!J20)</f>
        <v>18.ZAL</v>
      </c>
    </row>
    <row r="21" spans="2:10" x14ac:dyDescent="0.25">
      <c r="B21" s="3" t="str">
        <f>IF([1]SCHEDULE!B21="","",[1]SCHEDULE!B21)</f>
        <v>BER</v>
      </c>
      <c r="C21" s="3">
        <f>IF([1]SCHEDULE!C21="","",[1]SCHEDULE!C21)</f>
        <v>19</v>
      </c>
      <c r="D21" s="1" t="str">
        <f>IF([1]SCHEDULE!D21="","",[1]SCHEDULE!D21)</f>
        <v>ALBA Berlin</v>
      </c>
      <c r="E21" s="1" t="str">
        <f>IF([1]SCHEDULE!E21="","",[1]SCHEDULE!E21)</f>
        <v>Virtus Segafredo Bologna</v>
      </c>
      <c r="F21" s="6">
        <f>IF([1]SCHEDULE!F21="","",[1]SCHEDULE!F21)</f>
        <v>45296</v>
      </c>
      <c r="G21" s="3" t="str">
        <f>IF([1]SCHEDULE!G21="","",[1]SCHEDULE!G21)</f>
        <v>H</v>
      </c>
      <c r="H21" s="3" t="str">
        <f>IF([1]SCHEDULE!H21="","",[1]SCHEDULE!H21)</f>
        <v>VIR</v>
      </c>
      <c r="I21" s="3" t="str">
        <f>IF([1]SCHEDULE!I21="","",[1]SCHEDULE!I21)</f>
        <v>19.BER</v>
      </c>
      <c r="J21" s="3" t="str">
        <f>IF([1]SCHEDULE!J21="","",[1]SCHEDULE!J21)</f>
        <v>19.VIR</v>
      </c>
    </row>
    <row r="22" spans="2:10" x14ac:dyDescent="0.25">
      <c r="B22" s="3" t="str">
        <f>IF([1]SCHEDULE!B22="","",[1]SCHEDULE!B22)</f>
        <v>BER</v>
      </c>
      <c r="C22" s="3">
        <f>IF([1]SCHEDULE!C22="","",[1]SCHEDULE!C22)</f>
        <v>20</v>
      </c>
      <c r="D22" s="1" t="str">
        <f>IF([1]SCHEDULE!D22="","",[1]SCHEDULE!D22)</f>
        <v>ALBA Berlin</v>
      </c>
      <c r="E22" s="1" t="str">
        <f>IF([1]SCHEDULE!E22="","",[1]SCHEDULE!E22)</f>
        <v>EA7 Emporio Armani Milan</v>
      </c>
      <c r="F22" s="6">
        <f>IF([1]SCHEDULE!F22="","",[1]SCHEDULE!F22)</f>
        <v>45300</v>
      </c>
      <c r="G22" s="3" t="str">
        <f>IF([1]SCHEDULE!G22="","",[1]SCHEDULE!G22)</f>
        <v>A</v>
      </c>
      <c r="H22" s="3" t="str">
        <f>IF([1]SCHEDULE!H22="","",[1]SCHEDULE!H22)</f>
        <v>MIL</v>
      </c>
      <c r="I22" s="3" t="str">
        <f>IF([1]SCHEDULE!I22="","",[1]SCHEDULE!I22)</f>
        <v>20.BER</v>
      </c>
      <c r="J22" s="3" t="str">
        <f>IF([1]SCHEDULE!J22="","",[1]SCHEDULE!J22)</f>
        <v>20.MIL</v>
      </c>
    </row>
    <row r="23" spans="2:10" x14ac:dyDescent="0.25">
      <c r="B23" s="3" t="str">
        <f>IF([1]SCHEDULE!B23="","",[1]SCHEDULE!B23)</f>
        <v>BER</v>
      </c>
      <c r="C23" s="3">
        <f>IF([1]SCHEDULE!C23="","",[1]SCHEDULE!C23)</f>
        <v>21</v>
      </c>
      <c r="D23" s="1" t="str">
        <f>IF([1]SCHEDULE!D23="","",[1]SCHEDULE!D23)</f>
        <v>ALBA Berlin</v>
      </c>
      <c r="E23" s="1" t="str">
        <f>IF([1]SCHEDULE!E23="","",[1]SCHEDULE!E23)</f>
        <v>LDLC ASVEL Villeurbanne</v>
      </c>
      <c r="F23" s="6">
        <f>IF([1]SCHEDULE!F23="","",[1]SCHEDULE!F23)</f>
        <v>45303</v>
      </c>
      <c r="G23" s="3" t="str">
        <f>IF([1]SCHEDULE!G23="","",[1]SCHEDULE!G23)</f>
        <v>A</v>
      </c>
      <c r="H23" s="3" t="str">
        <f>IF([1]SCHEDULE!H23="","",[1]SCHEDULE!H23)</f>
        <v>ASV</v>
      </c>
      <c r="I23" s="3" t="str">
        <f>IF([1]SCHEDULE!I23="","",[1]SCHEDULE!I23)</f>
        <v>21.BER</v>
      </c>
      <c r="J23" s="3" t="str">
        <f>IF([1]SCHEDULE!J23="","",[1]SCHEDULE!J23)</f>
        <v>21.ASV</v>
      </c>
    </row>
    <row r="24" spans="2:10" x14ac:dyDescent="0.25">
      <c r="B24" s="3" t="str">
        <f>IF([1]SCHEDULE!B24="","",[1]SCHEDULE!B24)</f>
        <v>BER</v>
      </c>
      <c r="C24" s="3">
        <f>IF([1]SCHEDULE!C24="","",[1]SCHEDULE!C24)</f>
        <v>22</v>
      </c>
      <c r="D24" s="1" t="str">
        <f>IF([1]SCHEDULE!D24="","",[1]SCHEDULE!D24)</f>
        <v>ALBA Berlin</v>
      </c>
      <c r="E24" s="1" t="str">
        <f>IF([1]SCHEDULE!E24="","",[1]SCHEDULE!E24)</f>
        <v>FC Bayern Munich</v>
      </c>
      <c r="F24" s="6">
        <f>IF([1]SCHEDULE!F24="","",[1]SCHEDULE!F24)</f>
        <v>45309</v>
      </c>
      <c r="G24" s="3" t="str">
        <f>IF([1]SCHEDULE!G24="","",[1]SCHEDULE!G24)</f>
        <v>H</v>
      </c>
      <c r="H24" s="3" t="str">
        <f>IF([1]SCHEDULE!H24="","",[1]SCHEDULE!H24)</f>
        <v>BAY</v>
      </c>
      <c r="I24" s="3" t="str">
        <f>IF([1]SCHEDULE!I24="","",[1]SCHEDULE!I24)</f>
        <v>22.BER</v>
      </c>
      <c r="J24" s="3" t="str">
        <f>IF([1]SCHEDULE!J24="","",[1]SCHEDULE!J24)</f>
        <v>22.BAY</v>
      </c>
    </row>
    <row r="25" spans="2:10" x14ac:dyDescent="0.25">
      <c r="B25" s="3" t="str">
        <f>IF([1]SCHEDULE!B25="","",[1]SCHEDULE!B25)</f>
        <v>BER</v>
      </c>
      <c r="C25" s="3">
        <f>IF([1]SCHEDULE!C25="","",[1]SCHEDULE!C25)</f>
        <v>23</v>
      </c>
      <c r="D25" s="1" t="str">
        <f>IF([1]SCHEDULE!D25="","",[1]SCHEDULE!D25)</f>
        <v>ALBA Berlin</v>
      </c>
      <c r="E25" s="1" t="str">
        <f>IF([1]SCHEDULE!E25="","",[1]SCHEDULE!E25)</f>
        <v>Crvena Zvezda Meridianbet Belgrade</v>
      </c>
      <c r="F25" s="6">
        <f>IF([1]SCHEDULE!F25="","",[1]SCHEDULE!F25)</f>
        <v>45316</v>
      </c>
      <c r="G25" s="3" t="str">
        <f>IF([1]SCHEDULE!G25="","",[1]SCHEDULE!G25)</f>
        <v>H</v>
      </c>
      <c r="H25" s="3" t="str">
        <f>IF([1]SCHEDULE!H25="","",[1]SCHEDULE!H25)</f>
        <v>CZB</v>
      </c>
      <c r="I25" s="3" t="str">
        <f>IF([1]SCHEDULE!I25="","",[1]SCHEDULE!I25)</f>
        <v>23.BER</v>
      </c>
      <c r="J25" s="3" t="str">
        <f>IF([1]SCHEDULE!J25="","",[1]SCHEDULE!J25)</f>
        <v>23.CZB</v>
      </c>
    </row>
    <row r="26" spans="2:10" x14ac:dyDescent="0.25">
      <c r="B26" s="3" t="str">
        <f>IF([1]SCHEDULE!B26="","",[1]SCHEDULE!B26)</f>
        <v>BER</v>
      </c>
      <c r="C26" s="3">
        <f>IF([1]SCHEDULE!C26="","",[1]SCHEDULE!C26)</f>
        <v>24</v>
      </c>
      <c r="D26" s="1" t="str">
        <f>IF([1]SCHEDULE!D26="","",[1]SCHEDULE!D26)</f>
        <v>ALBA Berlin</v>
      </c>
      <c r="E26" s="1" t="str">
        <f>IF([1]SCHEDULE!E26="","",[1]SCHEDULE!E26)</f>
        <v>Olympiacos Piraeus</v>
      </c>
      <c r="F26" s="6">
        <f>IF([1]SCHEDULE!F26="","",[1]SCHEDULE!F26)</f>
        <v>45321</v>
      </c>
      <c r="G26" s="3" t="str">
        <f>IF([1]SCHEDULE!G26="","",[1]SCHEDULE!G26)</f>
        <v>A</v>
      </c>
      <c r="H26" s="3" t="str">
        <f>IF([1]SCHEDULE!H26="","",[1]SCHEDULE!H26)</f>
        <v>OLY</v>
      </c>
      <c r="I26" s="3" t="str">
        <f>IF([1]SCHEDULE!I26="","",[1]SCHEDULE!I26)</f>
        <v>24.BER</v>
      </c>
      <c r="J26" s="3" t="str">
        <f>IF([1]SCHEDULE!J26="","",[1]SCHEDULE!J26)</f>
        <v>24.OLY</v>
      </c>
    </row>
    <row r="27" spans="2:10" x14ac:dyDescent="0.25">
      <c r="B27" s="3" t="str">
        <f>IF([1]SCHEDULE!B27="","",[1]SCHEDULE!B27)</f>
        <v>BER</v>
      </c>
      <c r="C27" s="3">
        <f>IF([1]SCHEDULE!C27="","",[1]SCHEDULE!C27)</f>
        <v>25</v>
      </c>
      <c r="D27" s="1" t="str">
        <f>IF([1]SCHEDULE!D27="","",[1]SCHEDULE!D27)</f>
        <v>ALBA Berlin</v>
      </c>
      <c r="E27" s="1" t="str">
        <f>IF([1]SCHEDULE!E27="","",[1]SCHEDULE!E27)</f>
        <v>Valencia Basket</v>
      </c>
      <c r="F27" s="6">
        <f>IF([1]SCHEDULE!F27="","",[1]SCHEDULE!F27)</f>
        <v>45323</v>
      </c>
      <c r="G27" s="3" t="str">
        <f>IF([1]SCHEDULE!G27="","",[1]SCHEDULE!G27)</f>
        <v>H</v>
      </c>
      <c r="H27" s="3" t="str">
        <f>IF([1]SCHEDULE!H27="","",[1]SCHEDULE!H27)</f>
        <v>VAL</v>
      </c>
      <c r="I27" s="3" t="str">
        <f>IF([1]SCHEDULE!I27="","",[1]SCHEDULE!I27)</f>
        <v>25.BER</v>
      </c>
      <c r="J27" s="3" t="str">
        <f>IF([1]SCHEDULE!J27="","",[1]SCHEDULE!J27)</f>
        <v>25.VAL</v>
      </c>
    </row>
    <row r="28" spans="2:10" x14ac:dyDescent="0.25">
      <c r="B28" s="3" t="str">
        <f>IF([1]SCHEDULE!B28="","",[1]SCHEDULE!B28)</f>
        <v>BER</v>
      </c>
      <c r="C28" s="3">
        <f>IF([1]SCHEDULE!C28="","",[1]SCHEDULE!C28)</f>
        <v>26</v>
      </c>
      <c r="D28" s="1" t="str">
        <f>IF([1]SCHEDULE!D28="","",[1]SCHEDULE!D28)</f>
        <v>ALBA Berlin</v>
      </c>
      <c r="E28" s="1" t="str">
        <f>IF([1]SCHEDULE!E28="","",[1]SCHEDULE!E28)</f>
        <v>FC Barcelona</v>
      </c>
      <c r="F28" s="6">
        <f>IF([1]SCHEDULE!F28="","",[1]SCHEDULE!F28)</f>
        <v>45331</v>
      </c>
      <c r="G28" s="3" t="str">
        <f>IF([1]SCHEDULE!G28="","",[1]SCHEDULE!G28)</f>
        <v>A</v>
      </c>
      <c r="H28" s="3" t="str">
        <f>IF([1]SCHEDULE!H28="","",[1]SCHEDULE!H28)</f>
        <v>FCB</v>
      </c>
      <c r="I28" s="3" t="str">
        <f>IF([1]SCHEDULE!I28="","",[1]SCHEDULE!I28)</f>
        <v>26.BER</v>
      </c>
      <c r="J28" s="3" t="str">
        <f>IF([1]SCHEDULE!J28="","",[1]SCHEDULE!J28)</f>
        <v>26.FCB</v>
      </c>
    </row>
    <row r="29" spans="2:10" x14ac:dyDescent="0.25">
      <c r="B29" s="3" t="str">
        <f>IF([1]SCHEDULE!B29="","",[1]SCHEDULE!B29)</f>
        <v>BER</v>
      </c>
      <c r="C29" s="3">
        <f>IF([1]SCHEDULE!C29="","",[1]SCHEDULE!C29)</f>
        <v>27</v>
      </c>
      <c r="D29" s="1" t="str">
        <f>IF([1]SCHEDULE!D29="","",[1]SCHEDULE!D29)</f>
        <v>ALBA Berlin</v>
      </c>
      <c r="E29" s="1" t="str">
        <f>IF([1]SCHEDULE!E29="","",[1]SCHEDULE!E29)</f>
        <v>Maccabi Playtika Tel Aviv</v>
      </c>
      <c r="F29" s="6">
        <f>IF([1]SCHEDULE!F29="","",[1]SCHEDULE!F29)</f>
        <v>45351</v>
      </c>
      <c r="G29" s="3" t="str">
        <f>IF([1]SCHEDULE!G29="","",[1]SCHEDULE!G29)</f>
        <v>H</v>
      </c>
      <c r="H29" s="3" t="str">
        <f>IF([1]SCHEDULE!H29="","",[1]SCHEDULE!H29)</f>
        <v>MTA</v>
      </c>
      <c r="I29" s="3" t="str">
        <f>IF([1]SCHEDULE!I29="","",[1]SCHEDULE!I29)</f>
        <v>27.BER</v>
      </c>
      <c r="J29" s="3" t="str">
        <f>IF([1]SCHEDULE!J29="","",[1]SCHEDULE!J29)</f>
        <v>27.MTA</v>
      </c>
    </row>
    <row r="30" spans="2:10" x14ac:dyDescent="0.25">
      <c r="B30" s="3" t="str">
        <f>IF([1]SCHEDULE!B30="","",[1]SCHEDULE!B30)</f>
        <v>BER</v>
      </c>
      <c r="C30" s="3">
        <f>IF([1]SCHEDULE!C30="","",[1]SCHEDULE!C30)</f>
        <v>28</v>
      </c>
      <c r="D30" s="1" t="str">
        <f>IF([1]SCHEDULE!D30="","",[1]SCHEDULE!D30)</f>
        <v>ALBA Berlin</v>
      </c>
      <c r="E30" s="1" t="str">
        <f>IF([1]SCHEDULE!E30="","",[1]SCHEDULE!E30)</f>
        <v>Baskonia Vitoria-Gasteiz</v>
      </c>
      <c r="F30" s="6">
        <f>IF([1]SCHEDULE!F30="","",[1]SCHEDULE!F30)</f>
        <v>45359</v>
      </c>
      <c r="G30" s="3" t="str">
        <f>IF([1]SCHEDULE!G30="","",[1]SCHEDULE!G30)</f>
        <v>A</v>
      </c>
      <c r="H30" s="3" t="str">
        <f>IF([1]SCHEDULE!H30="","",[1]SCHEDULE!H30)</f>
        <v>BAS</v>
      </c>
      <c r="I30" s="3" t="str">
        <f>IF([1]SCHEDULE!I30="","",[1]SCHEDULE!I30)</f>
        <v>28.BER</v>
      </c>
      <c r="J30" s="3" t="str">
        <f>IF([1]SCHEDULE!J30="","",[1]SCHEDULE!J30)</f>
        <v>28.BAS</v>
      </c>
    </row>
    <row r="31" spans="2:10" x14ac:dyDescent="0.25">
      <c r="B31" s="3" t="str">
        <f>IF([1]SCHEDULE!B31="","",[1]SCHEDULE!B31)</f>
        <v>BER</v>
      </c>
      <c r="C31" s="3">
        <f>IF([1]SCHEDULE!C31="","",[1]SCHEDULE!C31)</f>
        <v>29</v>
      </c>
      <c r="D31" s="1" t="str">
        <f>IF([1]SCHEDULE!D31="","",[1]SCHEDULE!D31)</f>
        <v>ALBA Berlin</v>
      </c>
      <c r="E31" s="1" t="str">
        <f>IF([1]SCHEDULE!E31="","",[1]SCHEDULE!E31)</f>
        <v>AS Monaco</v>
      </c>
      <c r="F31" s="6">
        <f>IF([1]SCHEDULE!F31="","",[1]SCHEDULE!F31)</f>
        <v>45365</v>
      </c>
      <c r="G31" s="3" t="str">
        <f>IF([1]SCHEDULE!G31="","",[1]SCHEDULE!G31)</f>
        <v>H</v>
      </c>
      <c r="H31" s="3" t="str">
        <f>IF([1]SCHEDULE!H31="","",[1]SCHEDULE!H31)</f>
        <v>ASM</v>
      </c>
      <c r="I31" s="3" t="str">
        <f>IF([1]SCHEDULE!I31="","",[1]SCHEDULE!I31)</f>
        <v>29.BER</v>
      </c>
      <c r="J31" s="3" t="str">
        <f>IF([1]SCHEDULE!J31="","",[1]SCHEDULE!J31)</f>
        <v>29.ASM</v>
      </c>
    </row>
    <row r="32" spans="2:10" x14ac:dyDescent="0.25">
      <c r="B32" s="3" t="str">
        <f>IF([1]SCHEDULE!B32="","",[1]SCHEDULE!B32)</f>
        <v>BER</v>
      </c>
      <c r="C32" s="3">
        <f>IF([1]SCHEDULE!C32="","",[1]SCHEDULE!C32)</f>
        <v>30</v>
      </c>
      <c r="D32" s="1" t="str">
        <f>IF([1]SCHEDULE!D32="","",[1]SCHEDULE!D32)</f>
        <v>ALBA Berlin</v>
      </c>
      <c r="E32" s="1" t="str">
        <f>IF([1]SCHEDULE!E32="","",[1]SCHEDULE!E32)</f>
        <v>Real Madrid</v>
      </c>
      <c r="F32" s="6">
        <f>IF([1]SCHEDULE!F32="","",[1]SCHEDULE!F32)</f>
        <v>45370</v>
      </c>
      <c r="G32" s="3" t="str">
        <f>IF([1]SCHEDULE!G32="","",[1]SCHEDULE!G32)</f>
        <v>H</v>
      </c>
      <c r="H32" s="3" t="str">
        <f>IF([1]SCHEDULE!H32="","",[1]SCHEDULE!H32)</f>
        <v>RMB</v>
      </c>
      <c r="I32" s="3" t="str">
        <f>IF([1]SCHEDULE!I32="","",[1]SCHEDULE!I32)</f>
        <v>30.BER</v>
      </c>
      <c r="J32" s="3" t="str">
        <f>IF([1]SCHEDULE!J32="","",[1]SCHEDULE!J32)</f>
        <v>30.RMB</v>
      </c>
    </row>
    <row r="33" spans="2:10" x14ac:dyDescent="0.25">
      <c r="B33" s="3" t="str">
        <f>IF([1]SCHEDULE!B33="","",[1]SCHEDULE!B33)</f>
        <v>BER</v>
      </c>
      <c r="C33" s="3">
        <f>IF([1]SCHEDULE!C33="","",[1]SCHEDULE!C33)</f>
        <v>31</v>
      </c>
      <c r="D33" s="1" t="str">
        <f>IF([1]SCHEDULE!D33="","",[1]SCHEDULE!D33)</f>
        <v>ALBA Berlin</v>
      </c>
      <c r="E33" s="1" t="str">
        <f>IF([1]SCHEDULE!E33="","",[1]SCHEDULE!E33)</f>
        <v>Anadolu Efes Istanbul</v>
      </c>
      <c r="F33" s="6">
        <f>IF([1]SCHEDULE!F33="","",[1]SCHEDULE!F33)</f>
        <v>45372</v>
      </c>
      <c r="G33" s="3" t="str">
        <f>IF([1]SCHEDULE!G33="","",[1]SCHEDULE!G33)</f>
        <v>A</v>
      </c>
      <c r="H33" s="3" t="str">
        <f>IF([1]SCHEDULE!H33="","",[1]SCHEDULE!H33)</f>
        <v>EFE</v>
      </c>
      <c r="I33" s="3" t="str">
        <f>IF([1]SCHEDULE!I33="","",[1]SCHEDULE!I33)</f>
        <v>31.BER</v>
      </c>
      <c r="J33" s="3" t="str">
        <f>IF([1]SCHEDULE!J33="","",[1]SCHEDULE!J33)</f>
        <v>31.EFE</v>
      </c>
    </row>
    <row r="34" spans="2:10" x14ac:dyDescent="0.25">
      <c r="B34" s="3" t="str">
        <f>IF([1]SCHEDULE!B34="","",[1]SCHEDULE!B34)</f>
        <v>BER</v>
      </c>
      <c r="C34" s="3">
        <f>IF([1]SCHEDULE!C34="","",[1]SCHEDULE!C34)</f>
        <v>32</v>
      </c>
      <c r="D34" s="1" t="str">
        <f>IF([1]SCHEDULE!D34="","",[1]SCHEDULE!D34)</f>
        <v>ALBA Berlin</v>
      </c>
      <c r="E34" s="1" t="str">
        <f>IF([1]SCHEDULE!E34="","",[1]SCHEDULE!E34)</f>
        <v>Fenerbahce Beko Istanbul</v>
      </c>
      <c r="F34" s="6">
        <f>IF([1]SCHEDULE!F34="","",[1]SCHEDULE!F34)</f>
        <v>45380</v>
      </c>
      <c r="G34" s="3" t="str">
        <f>IF([1]SCHEDULE!G34="","",[1]SCHEDULE!G34)</f>
        <v>A</v>
      </c>
      <c r="H34" s="3" t="str">
        <f>IF([1]SCHEDULE!H34="","",[1]SCHEDULE!H34)</f>
        <v>FEN</v>
      </c>
      <c r="I34" s="3" t="str">
        <f>IF([1]SCHEDULE!I34="","",[1]SCHEDULE!I34)</f>
        <v>32.BER</v>
      </c>
      <c r="J34" s="3" t="str">
        <f>IF([1]SCHEDULE!J34="","",[1]SCHEDULE!J34)</f>
        <v>32.FEN</v>
      </c>
    </row>
    <row r="35" spans="2:10" x14ac:dyDescent="0.25">
      <c r="B35" s="3" t="str">
        <f>IF([1]SCHEDULE!B35="","",[1]SCHEDULE!B35)</f>
        <v>BER</v>
      </c>
      <c r="C35" s="3">
        <f>IF([1]SCHEDULE!C35="","",[1]SCHEDULE!C35)</f>
        <v>33</v>
      </c>
      <c r="D35" s="1" t="str">
        <f>IF([1]SCHEDULE!D35="","",[1]SCHEDULE!D35)</f>
        <v>ALBA Berlin</v>
      </c>
      <c r="E35" s="1" t="str">
        <f>IF([1]SCHEDULE!E35="","",[1]SCHEDULE!E35)</f>
        <v>Partizan Mozzart Bet Belgrade</v>
      </c>
      <c r="F35" s="6">
        <f>IF([1]SCHEDULE!F35="","",[1]SCHEDULE!F35)</f>
        <v>45386</v>
      </c>
      <c r="G35" s="3" t="str">
        <f>IF([1]SCHEDULE!G35="","",[1]SCHEDULE!G35)</f>
        <v>H</v>
      </c>
      <c r="H35" s="3" t="str">
        <f>IF([1]SCHEDULE!H35="","",[1]SCHEDULE!H35)</f>
        <v>PAR</v>
      </c>
      <c r="I35" s="3" t="str">
        <f>IF([1]SCHEDULE!I35="","",[1]SCHEDULE!I35)</f>
        <v>33.BER</v>
      </c>
      <c r="J35" s="3" t="str">
        <f>IF([1]SCHEDULE!J35="","",[1]SCHEDULE!J35)</f>
        <v>33.PAR</v>
      </c>
    </row>
    <row r="36" spans="2:10" x14ac:dyDescent="0.25">
      <c r="B36" s="3" t="str">
        <f>IF([1]SCHEDULE!B36="","",[1]SCHEDULE!B36)</f>
        <v>BER</v>
      </c>
      <c r="C36" s="3">
        <f>IF([1]SCHEDULE!C36="","",[1]SCHEDULE!C36)</f>
        <v>34</v>
      </c>
      <c r="D36" s="1" t="str">
        <f>IF([1]SCHEDULE!D36="","",[1]SCHEDULE!D36)</f>
        <v>ALBA Berlin</v>
      </c>
      <c r="E36" s="1" t="str">
        <f>IF([1]SCHEDULE!E36="","",[1]SCHEDULE!E36)</f>
        <v>Panathinaikos Athens</v>
      </c>
      <c r="F36" s="6">
        <f>IF([1]SCHEDULE!F36="","",[1]SCHEDULE!F36)</f>
        <v>45393</v>
      </c>
      <c r="G36" s="3" t="str">
        <f>IF([1]SCHEDULE!G36="","",[1]SCHEDULE!G36)</f>
        <v>A</v>
      </c>
      <c r="H36" s="3" t="str">
        <f>IF([1]SCHEDULE!H36="","",[1]SCHEDULE!H36)</f>
        <v>PAN</v>
      </c>
      <c r="I36" s="3" t="str">
        <f>IF([1]SCHEDULE!I36="","",[1]SCHEDULE!I36)</f>
        <v>34.BER</v>
      </c>
      <c r="J36" s="3" t="str">
        <f>IF([1]SCHEDULE!J36="","",[1]SCHEDULE!J36)</f>
        <v>34.PAN</v>
      </c>
    </row>
    <row r="37" spans="2:10" x14ac:dyDescent="0.25">
      <c r="B37" s="3" t="str">
        <f>IF([1]SCHEDULE!B37="","",[1]SCHEDULE!B37)</f>
        <v>BER</v>
      </c>
      <c r="C37" s="3">
        <f>IF([1]SCHEDULE!C37="","",[1]SCHEDULE!C37)</f>
        <v>35</v>
      </c>
      <c r="D37" s="1" t="str">
        <f>IF([1]SCHEDULE!D37="","",[1]SCHEDULE!D37)</f>
        <v>ALBA Berlin</v>
      </c>
      <c r="E37" s="1" t="str">
        <f>IF([1]SCHEDULE!E37="","",[1]SCHEDULE!E37)</f>
        <v/>
      </c>
      <c r="F37" s="6" t="str">
        <f>IF([1]SCHEDULE!F37="","",[1]SCHEDULE!F37)</f>
        <v/>
      </c>
      <c r="G37" s="3" t="str">
        <f>IF([1]SCHEDULE!G37="","",[1]SCHEDULE!G37)</f>
        <v/>
      </c>
      <c r="H37" s="3" t="str">
        <f>IF([1]SCHEDULE!H37="","",[1]SCHEDULE!H37)</f>
        <v/>
      </c>
      <c r="I37" s="3" t="str">
        <f>IF([1]SCHEDULE!I37="","",[1]SCHEDULE!I37)</f>
        <v/>
      </c>
      <c r="J37" s="3" t="str">
        <f>IF([1]SCHEDULE!J37="","",[1]SCHEDULE!J37)</f>
        <v/>
      </c>
    </row>
    <row r="38" spans="2:10" x14ac:dyDescent="0.25">
      <c r="B38" s="3" t="str">
        <f>IF([1]SCHEDULE!B38="","",[1]SCHEDULE!B38)</f>
        <v>BER</v>
      </c>
      <c r="C38" s="3">
        <f>IF([1]SCHEDULE!C38="","",[1]SCHEDULE!C38)</f>
        <v>36</v>
      </c>
      <c r="D38" s="1" t="str">
        <f>IF([1]SCHEDULE!D38="","",[1]SCHEDULE!D38)</f>
        <v>ALBA Berlin</v>
      </c>
      <c r="E38" s="1" t="str">
        <f>IF([1]SCHEDULE!E38="","",[1]SCHEDULE!E38)</f>
        <v/>
      </c>
      <c r="F38" s="6" t="str">
        <f>IF([1]SCHEDULE!F38="","",[1]SCHEDULE!F38)</f>
        <v/>
      </c>
      <c r="G38" s="3" t="str">
        <f>IF([1]SCHEDULE!G38="","",[1]SCHEDULE!G38)</f>
        <v/>
      </c>
      <c r="H38" s="3" t="str">
        <f>IF([1]SCHEDULE!H38="","",[1]SCHEDULE!H38)</f>
        <v/>
      </c>
      <c r="I38" s="3" t="str">
        <f>IF([1]SCHEDULE!I38="","",[1]SCHEDULE!I38)</f>
        <v/>
      </c>
      <c r="J38" s="3" t="str">
        <f>IF([1]SCHEDULE!J38="","",[1]SCHEDULE!J38)</f>
        <v/>
      </c>
    </row>
    <row r="39" spans="2:10" x14ac:dyDescent="0.25">
      <c r="B39" s="3" t="str">
        <f>IF([1]SCHEDULE!B39="","",[1]SCHEDULE!B39)</f>
        <v>BER</v>
      </c>
      <c r="C39" s="3">
        <f>IF([1]SCHEDULE!C39="","",[1]SCHEDULE!C39)</f>
        <v>37</v>
      </c>
      <c r="D39" s="1" t="str">
        <f>IF([1]SCHEDULE!D39="","",[1]SCHEDULE!D39)</f>
        <v>ALBA Berlin</v>
      </c>
      <c r="E39" s="1" t="str">
        <f>IF([1]SCHEDULE!E39="","",[1]SCHEDULE!E39)</f>
        <v/>
      </c>
      <c r="F39" s="6" t="str">
        <f>IF([1]SCHEDULE!F39="","",[1]SCHEDULE!F39)</f>
        <v/>
      </c>
      <c r="G39" s="3" t="str">
        <f>IF([1]SCHEDULE!G39="","",[1]SCHEDULE!G39)</f>
        <v/>
      </c>
      <c r="H39" s="3" t="str">
        <f>IF([1]SCHEDULE!H39="","",[1]SCHEDULE!H39)</f>
        <v/>
      </c>
      <c r="I39" s="3" t="str">
        <f>IF([1]SCHEDULE!I39="","",[1]SCHEDULE!I39)</f>
        <v/>
      </c>
      <c r="J39" s="3" t="str">
        <f>IF([1]SCHEDULE!J39="","",[1]SCHEDULE!J39)</f>
        <v/>
      </c>
    </row>
    <row r="40" spans="2:10" x14ac:dyDescent="0.25">
      <c r="B40" s="3" t="str">
        <f>IF([1]SCHEDULE!B40="","",[1]SCHEDULE!B40)</f>
        <v>BER</v>
      </c>
      <c r="C40" s="3">
        <f>IF([1]SCHEDULE!C40="","",[1]SCHEDULE!C40)</f>
        <v>38</v>
      </c>
      <c r="D40" s="1" t="str">
        <f>IF([1]SCHEDULE!D40="","",[1]SCHEDULE!D40)</f>
        <v>ALBA Berlin</v>
      </c>
      <c r="E40" s="1" t="str">
        <f>IF([1]SCHEDULE!E40="","",[1]SCHEDULE!E40)</f>
        <v/>
      </c>
      <c r="F40" s="6" t="str">
        <f>IF([1]SCHEDULE!F40="","",[1]SCHEDULE!F40)</f>
        <v/>
      </c>
      <c r="G40" s="3" t="str">
        <f>IF([1]SCHEDULE!G40="","",[1]SCHEDULE!G40)</f>
        <v/>
      </c>
      <c r="H40" s="3" t="str">
        <f>IF([1]SCHEDULE!H40="","",[1]SCHEDULE!H40)</f>
        <v/>
      </c>
      <c r="I40" s="3" t="str">
        <f>IF([1]SCHEDULE!I40="","",[1]SCHEDULE!I40)</f>
        <v/>
      </c>
      <c r="J40" s="3" t="str">
        <f>IF([1]SCHEDULE!J40="","",[1]SCHEDULE!J40)</f>
        <v/>
      </c>
    </row>
    <row r="41" spans="2:10" x14ac:dyDescent="0.25">
      <c r="B41" s="3" t="str">
        <f>IF([1]SCHEDULE!B41="","",[1]SCHEDULE!B41)</f>
        <v>BER</v>
      </c>
      <c r="C41" s="3">
        <f>IF([1]SCHEDULE!C41="","",[1]SCHEDULE!C41)</f>
        <v>39</v>
      </c>
      <c r="D41" s="1" t="str">
        <f>IF([1]SCHEDULE!D41="","",[1]SCHEDULE!D41)</f>
        <v>ALBA Berlin</v>
      </c>
      <c r="E41" s="1" t="str">
        <f>IF([1]SCHEDULE!E41="","",[1]SCHEDULE!E41)</f>
        <v/>
      </c>
      <c r="F41" s="6" t="str">
        <f>IF([1]SCHEDULE!F41="","",[1]SCHEDULE!F41)</f>
        <v/>
      </c>
      <c r="G41" s="3" t="str">
        <f>IF([1]SCHEDULE!G41="","",[1]SCHEDULE!G41)</f>
        <v/>
      </c>
      <c r="H41" s="3" t="str">
        <f>IF([1]SCHEDULE!H41="","",[1]SCHEDULE!H41)</f>
        <v/>
      </c>
      <c r="I41" s="3" t="str">
        <f>IF([1]SCHEDULE!I41="","",[1]SCHEDULE!I41)</f>
        <v/>
      </c>
      <c r="J41" s="3" t="str">
        <f>IF([1]SCHEDULE!J41="","",[1]SCHEDULE!J41)</f>
        <v/>
      </c>
    </row>
    <row r="42" spans="2:10" x14ac:dyDescent="0.25">
      <c r="B42" s="3" t="str">
        <f>IF([1]SCHEDULE!B42="","",[1]SCHEDULE!B42)</f>
        <v>BER</v>
      </c>
      <c r="C42" s="3">
        <f>IF([1]SCHEDULE!C42="","",[1]SCHEDULE!C42)</f>
        <v>40</v>
      </c>
      <c r="D42" s="1" t="str">
        <f>IF([1]SCHEDULE!D42="","",[1]SCHEDULE!D42)</f>
        <v>ALBA Berlin</v>
      </c>
      <c r="E42" s="1" t="str">
        <f>IF([1]SCHEDULE!E42="","",[1]SCHEDULE!E42)</f>
        <v/>
      </c>
      <c r="F42" s="6" t="str">
        <f>IF([1]SCHEDULE!F42="","",[1]SCHEDULE!F42)</f>
        <v/>
      </c>
      <c r="G42" s="3" t="str">
        <f>IF([1]SCHEDULE!G42="","",[1]SCHEDULE!G42)</f>
        <v/>
      </c>
      <c r="H42" s="3" t="str">
        <f>IF([1]SCHEDULE!H42="","",[1]SCHEDULE!H42)</f>
        <v/>
      </c>
      <c r="I42" s="3" t="str">
        <f>IF([1]SCHEDULE!I42="","",[1]SCHEDULE!I42)</f>
        <v/>
      </c>
      <c r="J42" s="3" t="str">
        <f>IF([1]SCHEDULE!J42="","",[1]SCHEDULE!J42)</f>
        <v/>
      </c>
    </row>
    <row r="43" spans="2:10" x14ac:dyDescent="0.25">
      <c r="B43" s="3" t="str">
        <f>IF([1]SCHEDULE!B43="","",[1]SCHEDULE!B43)</f>
        <v>BER</v>
      </c>
      <c r="C43" s="3">
        <f>IF([1]SCHEDULE!C43="","",[1]SCHEDULE!C43)</f>
        <v>41</v>
      </c>
      <c r="D43" s="1" t="str">
        <f>IF([1]SCHEDULE!D43="","",[1]SCHEDULE!D43)</f>
        <v>ALBA Berlin</v>
      </c>
      <c r="E43" s="1" t="str">
        <f>IF([1]SCHEDULE!E43="","",[1]SCHEDULE!E43)</f>
        <v/>
      </c>
      <c r="F43" s="6" t="str">
        <f>IF([1]SCHEDULE!F43="","",[1]SCHEDULE!F43)</f>
        <v/>
      </c>
      <c r="G43" s="3" t="str">
        <f>IF([1]SCHEDULE!G43="","",[1]SCHEDULE!G43)</f>
        <v/>
      </c>
      <c r="H43" s="3" t="str">
        <f>IF([1]SCHEDULE!H43="","",[1]SCHEDULE!H43)</f>
        <v/>
      </c>
      <c r="I43" s="3" t="str">
        <f>IF([1]SCHEDULE!I43="","",[1]SCHEDULE!I43)</f>
        <v/>
      </c>
      <c r="J43" s="3" t="str">
        <f>IF([1]SCHEDULE!J43="","",[1]SCHEDULE!J43)</f>
        <v/>
      </c>
    </row>
    <row r="44" spans="2:10" x14ac:dyDescent="0.25">
      <c r="B44" s="3" t="str">
        <f>IF([1]SCHEDULE!B44="","",[1]SCHEDULE!B44)</f>
        <v>BER</v>
      </c>
      <c r="C44" s="3">
        <f>IF([1]SCHEDULE!C44="","",[1]SCHEDULE!C44)</f>
        <v>42</v>
      </c>
      <c r="D44" s="1" t="str">
        <f>IF([1]SCHEDULE!D44="","",[1]SCHEDULE!D44)</f>
        <v>ALBA Berlin</v>
      </c>
      <c r="E44" s="1" t="str">
        <f>IF([1]SCHEDULE!E44="","",[1]SCHEDULE!E44)</f>
        <v/>
      </c>
      <c r="F44" s="6" t="str">
        <f>IF([1]SCHEDULE!F44="","",[1]SCHEDULE!F44)</f>
        <v/>
      </c>
      <c r="G44" s="3" t="str">
        <f>IF([1]SCHEDULE!G44="","",[1]SCHEDULE!G44)</f>
        <v/>
      </c>
      <c r="H44" s="3" t="str">
        <f>IF([1]SCHEDULE!H44="","",[1]SCHEDULE!H44)</f>
        <v/>
      </c>
      <c r="I44" s="3" t="str">
        <f>IF([1]SCHEDULE!I44="","",[1]SCHEDULE!I44)</f>
        <v/>
      </c>
      <c r="J44" s="3" t="str">
        <f>IF([1]SCHEDULE!J44="","",[1]SCHEDULE!J44)</f>
        <v/>
      </c>
    </row>
    <row r="45" spans="2:10" x14ac:dyDescent="0.25">
      <c r="B45" s="3" t="str">
        <f>IF([1]SCHEDULE!B45="","",[1]SCHEDULE!B45)</f>
        <v>BER</v>
      </c>
      <c r="C45" s="3">
        <f>IF([1]SCHEDULE!C45="","",[1]SCHEDULE!C45)</f>
        <v>43</v>
      </c>
      <c r="D45" s="1" t="str">
        <f>IF([1]SCHEDULE!D45="","",[1]SCHEDULE!D45)</f>
        <v>ALBA Berlin</v>
      </c>
      <c r="E45" s="1" t="str">
        <f>IF([1]SCHEDULE!E45="","",[1]SCHEDULE!E45)</f>
        <v/>
      </c>
      <c r="F45" s="6" t="str">
        <f>IF([1]SCHEDULE!F45="","",[1]SCHEDULE!F45)</f>
        <v/>
      </c>
      <c r="G45" s="3" t="str">
        <f>IF([1]SCHEDULE!G45="","",[1]SCHEDULE!G45)</f>
        <v/>
      </c>
      <c r="H45" s="3" t="str">
        <f>IF([1]SCHEDULE!H45="","",[1]SCHEDULE!H45)</f>
        <v/>
      </c>
      <c r="I45" s="3" t="str">
        <f>IF([1]SCHEDULE!I45="","",[1]SCHEDULE!I45)</f>
        <v/>
      </c>
      <c r="J45" s="3" t="str">
        <f>IF([1]SCHEDULE!J45="","",[1]SCHEDULE!J45)</f>
        <v/>
      </c>
    </row>
    <row r="46" spans="2:10" x14ac:dyDescent="0.25">
      <c r="B46" s="3" t="str">
        <f>IF([1]SCHEDULE!B46="","",[1]SCHEDULE!B46)</f>
        <v>BER</v>
      </c>
      <c r="C46" s="3">
        <f>IF([1]SCHEDULE!C46="","",[1]SCHEDULE!C46)</f>
        <v>44</v>
      </c>
      <c r="D46" s="1" t="str">
        <f>IF([1]SCHEDULE!D46="","",[1]SCHEDULE!D46)</f>
        <v>ALBA Berlin</v>
      </c>
      <c r="E46" s="1" t="str">
        <f>IF([1]SCHEDULE!E46="","",[1]SCHEDULE!E46)</f>
        <v/>
      </c>
      <c r="F46" s="6" t="str">
        <f>IF([1]SCHEDULE!F46="","",[1]SCHEDULE!F46)</f>
        <v/>
      </c>
      <c r="G46" s="3" t="str">
        <f>IF([1]SCHEDULE!G46="","",[1]SCHEDULE!G46)</f>
        <v/>
      </c>
      <c r="H46" s="3" t="str">
        <f>IF([1]SCHEDULE!H46="","",[1]SCHEDULE!H46)</f>
        <v/>
      </c>
      <c r="I46" s="3" t="str">
        <f>IF([1]SCHEDULE!I46="","",[1]SCHEDULE!I46)</f>
        <v/>
      </c>
      <c r="J46" s="3" t="str">
        <f>IF([1]SCHEDULE!J46="","",[1]SCHEDULE!J46)</f>
        <v/>
      </c>
    </row>
    <row r="47" spans="2:10" x14ac:dyDescent="0.25">
      <c r="B47" s="3" t="str">
        <f>IF([1]SCHEDULE!B47="","",[1]SCHEDULE!B47)</f>
        <v>BER</v>
      </c>
      <c r="C47" s="3">
        <f>IF([1]SCHEDULE!C47="","",[1]SCHEDULE!C47)</f>
        <v>45</v>
      </c>
      <c r="D47" s="1" t="str">
        <f>IF([1]SCHEDULE!D47="","",[1]SCHEDULE!D47)</f>
        <v>ALBA Berlin</v>
      </c>
      <c r="E47" s="1" t="str">
        <f>IF([1]SCHEDULE!E47="","",[1]SCHEDULE!E47)</f>
        <v/>
      </c>
      <c r="F47" s="6" t="str">
        <f>IF([1]SCHEDULE!F47="","",[1]SCHEDULE!F47)</f>
        <v/>
      </c>
      <c r="G47" s="3" t="str">
        <f>IF([1]SCHEDULE!G47="","",[1]SCHEDULE!G47)</f>
        <v/>
      </c>
      <c r="H47" s="3" t="str">
        <f>IF([1]SCHEDULE!H47="","",[1]SCHEDULE!H47)</f>
        <v/>
      </c>
      <c r="I47" s="3" t="str">
        <f>IF([1]SCHEDULE!I47="","",[1]SCHEDULE!I47)</f>
        <v/>
      </c>
      <c r="J47" s="3" t="str">
        <f>IF([1]SCHEDULE!J47="","",[1]SCHEDULE!J47)</f>
        <v/>
      </c>
    </row>
    <row r="48" spans="2:10" x14ac:dyDescent="0.25">
      <c r="B48" s="3" t="str">
        <f>IF([1]SCHEDULE!B48="","",[1]SCHEDULE!B48)</f>
        <v>BER</v>
      </c>
      <c r="C48" s="3">
        <f>IF([1]SCHEDULE!C48="","",[1]SCHEDULE!C48)</f>
        <v>46</v>
      </c>
      <c r="D48" s="1" t="str">
        <f>IF([1]SCHEDULE!D48="","",[1]SCHEDULE!D48)</f>
        <v>ALBA Berlin</v>
      </c>
      <c r="E48" s="1" t="str">
        <f>IF([1]SCHEDULE!E48="","",[1]SCHEDULE!E48)</f>
        <v/>
      </c>
      <c r="F48" s="6" t="str">
        <f>IF([1]SCHEDULE!F48="","",[1]SCHEDULE!F48)</f>
        <v/>
      </c>
      <c r="G48" s="3" t="str">
        <f>IF([1]SCHEDULE!G48="","",[1]SCHEDULE!G48)</f>
        <v/>
      </c>
      <c r="H48" s="3" t="str">
        <f>IF([1]SCHEDULE!H48="","",[1]SCHEDULE!H48)</f>
        <v/>
      </c>
      <c r="I48" s="3" t="str">
        <f>IF([1]SCHEDULE!I48="","",[1]SCHEDULE!I48)</f>
        <v/>
      </c>
      <c r="J48" s="3" t="str">
        <f>IF([1]SCHEDULE!J48="","",[1]SCHEDULE!J48)</f>
        <v/>
      </c>
    </row>
    <row r="49" spans="2:10" x14ac:dyDescent="0.25">
      <c r="B49" s="3" t="str">
        <f>IF([1]SCHEDULE!B49="","",[1]SCHEDULE!B49)</f>
        <v>BER</v>
      </c>
      <c r="C49" s="3">
        <f>IF([1]SCHEDULE!C49="","",[1]SCHEDULE!C49)</f>
        <v>47</v>
      </c>
      <c r="D49" s="1" t="str">
        <f>IF([1]SCHEDULE!D49="","",[1]SCHEDULE!D49)</f>
        <v>ALBA Berlin</v>
      </c>
      <c r="E49" s="1" t="str">
        <f>IF([1]SCHEDULE!E49="","",[1]SCHEDULE!E49)</f>
        <v/>
      </c>
      <c r="F49" s="6" t="str">
        <f>IF([1]SCHEDULE!F49="","",[1]SCHEDULE!F49)</f>
        <v/>
      </c>
      <c r="G49" s="3" t="str">
        <f>IF([1]SCHEDULE!G49="","",[1]SCHEDULE!G49)</f>
        <v/>
      </c>
      <c r="H49" s="3" t="str">
        <f>IF([1]SCHEDULE!H49="","",[1]SCHEDULE!H49)</f>
        <v/>
      </c>
      <c r="I49" s="3" t="str">
        <f>IF([1]SCHEDULE!I49="","",[1]SCHEDULE!I49)</f>
        <v/>
      </c>
      <c r="J49" s="3" t="str">
        <f>IF([1]SCHEDULE!J49="","",[1]SCHEDULE!J49)</f>
        <v/>
      </c>
    </row>
    <row r="50" spans="2:10" x14ac:dyDescent="0.25">
      <c r="B50" s="3" t="str">
        <f>IF([1]SCHEDULE!B50="","",[1]SCHEDULE!B50)</f>
        <v>BER</v>
      </c>
      <c r="C50" s="3">
        <f>IF([1]SCHEDULE!C50="","",[1]SCHEDULE!C50)</f>
        <v>48</v>
      </c>
      <c r="D50" s="1" t="str">
        <f>IF([1]SCHEDULE!D50="","",[1]SCHEDULE!D50)</f>
        <v>ALBA Berlin</v>
      </c>
      <c r="E50" s="1" t="str">
        <f>IF([1]SCHEDULE!E50="","",[1]SCHEDULE!E50)</f>
        <v/>
      </c>
      <c r="F50" s="6" t="str">
        <f>IF([1]SCHEDULE!F50="","",[1]SCHEDULE!F50)</f>
        <v/>
      </c>
      <c r="G50" s="3" t="str">
        <f>IF([1]SCHEDULE!G50="","",[1]SCHEDULE!G50)</f>
        <v/>
      </c>
      <c r="H50" s="3" t="str">
        <f>IF([1]SCHEDULE!H50="","",[1]SCHEDULE!H50)</f>
        <v/>
      </c>
      <c r="I50" s="3" t="str">
        <f>IF([1]SCHEDULE!I50="","",[1]SCHEDULE!I50)</f>
        <v/>
      </c>
      <c r="J50" s="3" t="str">
        <f>IF([1]SCHEDULE!J50="","",[1]SCHEDULE!J50)</f>
        <v/>
      </c>
    </row>
    <row r="51" spans="2:10" x14ac:dyDescent="0.25">
      <c r="B51" s="3" t="str">
        <f>IF([1]SCHEDULE!B51="","",[1]SCHEDULE!B51)</f>
        <v>BER</v>
      </c>
      <c r="C51" s="3">
        <f>IF([1]SCHEDULE!C51="","",[1]SCHEDULE!C51)</f>
        <v>49</v>
      </c>
      <c r="D51" s="1" t="str">
        <f>IF([1]SCHEDULE!D51="","",[1]SCHEDULE!D51)</f>
        <v>ALBA Berlin</v>
      </c>
      <c r="E51" s="1" t="str">
        <f>IF([1]SCHEDULE!E51="","",[1]SCHEDULE!E51)</f>
        <v/>
      </c>
      <c r="F51" s="6" t="str">
        <f>IF([1]SCHEDULE!F51="","",[1]SCHEDULE!F51)</f>
        <v/>
      </c>
      <c r="G51" s="3" t="str">
        <f>IF([1]SCHEDULE!G51="","",[1]SCHEDULE!G51)</f>
        <v/>
      </c>
      <c r="H51" s="3" t="str">
        <f>IF([1]SCHEDULE!H51="","",[1]SCHEDULE!H51)</f>
        <v/>
      </c>
      <c r="I51" s="3" t="str">
        <f>IF([1]SCHEDULE!I51="","",[1]SCHEDULE!I51)</f>
        <v/>
      </c>
      <c r="J51" s="3" t="str">
        <f>IF([1]SCHEDULE!J51="","",[1]SCHEDULE!J51)</f>
        <v/>
      </c>
    </row>
    <row r="52" spans="2:10" x14ac:dyDescent="0.25">
      <c r="B52" s="3" t="str">
        <f>IF([1]SCHEDULE!B52="","",[1]SCHEDULE!B52)</f>
        <v>BER</v>
      </c>
      <c r="C52" s="3">
        <f>IF([1]SCHEDULE!C52="","",[1]SCHEDULE!C52)</f>
        <v>50</v>
      </c>
      <c r="D52" s="1" t="str">
        <f>IF([1]SCHEDULE!D52="","",[1]SCHEDULE!D52)</f>
        <v>ALBA Berlin</v>
      </c>
      <c r="E52" s="1" t="str">
        <f>IF([1]SCHEDULE!E52="","",[1]SCHEDULE!E52)</f>
        <v/>
      </c>
      <c r="F52" s="6" t="str">
        <f>IF([1]SCHEDULE!F52="","",[1]SCHEDULE!F52)</f>
        <v/>
      </c>
      <c r="G52" s="3" t="str">
        <f>IF([1]SCHEDULE!G52="","",[1]SCHEDULE!G52)</f>
        <v/>
      </c>
      <c r="H52" s="3" t="str">
        <f>IF([1]SCHEDULE!H52="","",[1]SCHEDULE!H52)</f>
        <v/>
      </c>
      <c r="I52" s="3" t="str">
        <f>IF([1]SCHEDULE!I52="","",[1]SCHEDULE!I52)</f>
        <v/>
      </c>
      <c r="J52" s="3" t="str">
        <f>IF([1]SCHEDULE!J52="","",[1]SCHEDULE!J52)</f>
        <v/>
      </c>
    </row>
    <row r="53" spans="2:10" x14ac:dyDescent="0.25">
      <c r="B53" s="3" t="str">
        <f>IF([1]SCHEDULE!B53="","",[1]SCHEDULE!B53)</f>
        <v>BER</v>
      </c>
      <c r="C53" s="3">
        <f>IF([1]SCHEDULE!C53="","",[1]SCHEDULE!C53)</f>
        <v>51</v>
      </c>
      <c r="D53" s="1" t="str">
        <f>IF([1]SCHEDULE!D53="","",[1]SCHEDULE!D53)</f>
        <v>ALBA Berlin</v>
      </c>
      <c r="E53" s="1" t="str">
        <f>IF([1]SCHEDULE!E53="","",[1]SCHEDULE!E53)</f>
        <v/>
      </c>
      <c r="F53" s="6" t="str">
        <f>IF([1]SCHEDULE!F53="","",[1]SCHEDULE!F53)</f>
        <v/>
      </c>
      <c r="G53" s="3" t="str">
        <f>IF([1]SCHEDULE!G53="","",[1]SCHEDULE!G53)</f>
        <v/>
      </c>
      <c r="H53" s="3" t="str">
        <f>IF([1]SCHEDULE!H53="","",[1]SCHEDULE!H53)</f>
        <v/>
      </c>
      <c r="I53" s="3" t="str">
        <f>IF([1]SCHEDULE!I53="","",[1]SCHEDULE!I53)</f>
        <v/>
      </c>
      <c r="J53" s="3" t="str">
        <f>IF([1]SCHEDULE!J53="","",[1]SCHEDULE!J53)</f>
        <v/>
      </c>
    </row>
    <row r="54" spans="2:10" x14ac:dyDescent="0.25">
      <c r="B54" s="3" t="str">
        <f>IF([1]SCHEDULE!B54="","",[1]SCHEDULE!B54)</f>
        <v>EFE</v>
      </c>
      <c r="C54" s="3">
        <f>IF([1]SCHEDULE!C54="","",[1]SCHEDULE!C54)</f>
        <v>1</v>
      </c>
      <c r="D54" s="1" t="str">
        <f>IF([1]SCHEDULE!D54="","",[1]SCHEDULE!D54)</f>
        <v>Anadolu Efes Istanbul</v>
      </c>
      <c r="E54" s="1" t="str">
        <f>IF([1]SCHEDULE!E54="","",[1]SCHEDULE!E54)</f>
        <v>FC Barcelona</v>
      </c>
      <c r="F54" s="6">
        <f>IF([1]SCHEDULE!F54="","",[1]SCHEDULE!F54)</f>
        <v>45204</v>
      </c>
      <c r="G54" s="11" t="str">
        <f>IF([1]SCHEDULE!G54="","",[1]SCHEDULE!G54)</f>
        <v>A</v>
      </c>
      <c r="H54" s="3" t="str">
        <f>IF([1]SCHEDULE!H54="","",[1]SCHEDULE!H54)</f>
        <v>FCB</v>
      </c>
      <c r="I54" s="3" t="str">
        <f>IF([1]SCHEDULE!I54="","",[1]SCHEDULE!I54)</f>
        <v>1.EFE</v>
      </c>
      <c r="J54" s="3" t="str">
        <f>IF([1]SCHEDULE!J54="","",[1]SCHEDULE!J54)</f>
        <v>1.FCB</v>
      </c>
    </row>
    <row r="55" spans="2:10" x14ac:dyDescent="0.25">
      <c r="B55" s="3" t="str">
        <f>IF([1]SCHEDULE!B55="","",[1]SCHEDULE!B55)</f>
        <v>EFE</v>
      </c>
      <c r="C55" s="3">
        <f>IF([1]SCHEDULE!C55="","",[1]SCHEDULE!C55)</f>
        <v>2</v>
      </c>
      <c r="D55" s="1" t="str">
        <f>IF([1]SCHEDULE!D55="","",[1]SCHEDULE!D55)</f>
        <v>Anadolu Efes Istanbul</v>
      </c>
      <c r="E55" s="1" t="str">
        <f>IF([1]SCHEDULE!E55="","",[1]SCHEDULE!E55)</f>
        <v>Real Madrid</v>
      </c>
      <c r="F55" s="6">
        <f>IF([1]SCHEDULE!F55="","",[1]SCHEDULE!F55)</f>
        <v>45211</v>
      </c>
      <c r="G55" s="3" t="str">
        <f>IF([1]SCHEDULE!G55="","",[1]SCHEDULE!G55)</f>
        <v>H</v>
      </c>
      <c r="H55" s="3" t="str">
        <f>IF([1]SCHEDULE!H55="","",[1]SCHEDULE!H55)</f>
        <v>RMB</v>
      </c>
      <c r="I55" s="3" t="str">
        <f>IF([1]SCHEDULE!I55="","",[1]SCHEDULE!I55)</f>
        <v>2.EFE</v>
      </c>
      <c r="J55" s="3" t="str">
        <f>IF([1]SCHEDULE!J55="","",[1]SCHEDULE!J55)</f>
        <v>2.RMB</v>
      </c>
    </row>
    <row r="56" spans="2:10" x14ac:dyDescent="0.25">
      <c r="B56" s="3" t="str">
        <f>IF([1]SCHEDULE!B56="","",[1]SCHEDULE!B56)</f>
        <v>EFE</v>
      </c>
      <c r="C56" s="3">
        <f>IF([1]SCHEDULE!C56="","",[1]SCHEDULE!C56)</f>
        <v>3</v>
      </c>
      <c r="D56" s="1" t="str">
        <f>IF([1]SCHEDULE!D56="","",[1]SCHEDULE!D56)</f>
        <v>Anadolu Efes Istanbul</v>
      </c>
      <c r="E56" s="1" t="str">
        <f>IF([1]SCHEDULE!E56="","",[1]SCHEDULE!E56)</f>
        <v>LDLC ASVEL Villeurbanne</v>
      </c>
      <c r="F56" s="6">
        <f>IF([1]SCHEDULE!F56="","",[1]SCHEDULE!F56)</f>
        <v>45216</v>
      </c>
      <c r="G56" s="3" t="str">
        <f>IF([1]SCHEDULE!G56="","",[1]SCHEDULE!G56)</f>
        <v>H</v>
      </c>
      <c r="H56" s="3" t="str">
        <f>IF([1]SCHEDULE!H56="","",[1]SCHEDULE!H56)</f>
        <v>ASV</v>
      </c>
      <c r="I56" s="3" t="str">
        <f>IF([1]SCHEDULE!I56="","",[1]SCHEDULE!I56)</f>
        <v>3.EFE</v>
      </c>
      <c r="J56" s="3" t="str">
        <f>IF([1]SCHEDULE!J56="","",[1]SCHEDULE!J56)</f>
        <v>3.ASV</v>
      </c>
    </row>
    <row r="57" spans="2:10" x14ac:dyDescent="0.25">
      <c r="B57" s="3" t="str">
        <f>IF([1]SCHEDULE!B57="","",[1]SCHEDULE!B57)</f>
        <v>EFE</v>
      </c>
      <c r="C57" s="3">
        <f>IF([1]SCHEDULE!C57="","",[1]SCHEDULE!C57)</f>
        <v>4</v>
      </c>
      <c r="D57" s="1" t="str">
        <f>IF([1]SCHEDULE!D57="","",[1]SCHEDULE!D57)</f>
        <v>Anadolu Efes Istanbul</v>
      </c>
      <c r="E57" s="1" t="str">
        <f>IF([1]SCHEDULE!E57="","",[1]SCHEDULE!E57)</f>
        <v>Valencia Basket</v>
      </c>
      <c r="F57" s="6">
        <f>IF([1]SCHEDULE!F57="","",[1]SCHEDULE!F57)</f>
        <v>45219</v>
      </c>
      <c r="G57" s="3" t="str">
        <f>IF([1]SCHEDULE!G57="","",[1]SCHEDULE!G57)</f>
        <v>H</v>
      </c>
      <c r="H57" s="3" t="str">
        <f>IF([1]SCHEDULE!H57="","",[1]SCHEDULE!H57)</f>
        <v>VAL</v>
      </c>
      <c r="I57" s="3" t="str">
        <f>IF([1]SCHEDULE!I57="","",[1]SCHEDULE!I57)</f>
        <v>4.EFE</v>
      </c>
      <c r="J57" s="3" t="str">
        <f>IF([1]SCHEDULE!J57="","",[1]SCHEDULE!J57)</f>
        <v>4.VAL</v>
      </c>
    </row>
    <row r="58" spans="2:10" x14ac:dyDescent="0.25">
      <c r="B58" s="3" t="str">
        <f>IF([1]SCHEDULE!B58="","",[1]SCHEDULE!B58)</f>
        <v>EFE</v>
      </c>
      <c r="C58" s="3">
        <f>IF([1]SCHEDULE!C58="","",[1]SCHEDULE!C58)</f>
        <v>5</v>
      </c>
      <c r="D58" s="1" t="str">
        <f>IF([1]SCHEDULE!D58="","",[1]SCHEDULE!D58)</f>
        <v>Anadolu Efes Istanbul</v>
      </c>
      <c r="E58" s="1" t="str">
        <f>IF([1]SCHEDULE!E58="","",[1]SCHEDULE!E58)</f>
        <v>Olympiacos Piraeus</v>
      </c>
      <c r="F58" s="6">
        <f>IF([1]SCHEDULE!F58="","",[1]SCHEDULE!F58)</f>
        <v>45225</v>
      </c>
      <c r="G58" s="3" t="str">
        <f>IF([1]SCHEDULE!G58="","",[1]SCHEDULE!G58)</f>
        <v>A</v>
      </c>
      <c r="H58" s="3" t="str">
        <f>IF([1]SCHEDULE!H58="","",[1]SCHEDULE!H58)</f>
        <v>OLY</v>
      </c>
      <c r="I58" s="3" t="str">
        <f>IF([1]SCHEDULE!I58="","",[1]SCHEDULE!I58)</f>
        <v>5.EFE</v>
      </c>
      <c r="J58" s="3" t="str">
        <f>IF([1]SCHEDULE!J58="","",[1]SCHEDULE!J58)</f>
        <v>5.OLY</v>
      </c>
    </row>
    <row r="59" spans="2:10" x14ac:dyDescent="0.25">
      <c r="B59" s="3" t="str">
        <f>IF([1]SCHEDULE!B59="","",[1]SCHEDULE!B59)</f>
        <v>EFE</v>
      </c>
      <c r="C59" s="3">
        <f>IF([1]SCHEDULE!C59="","",[1]SCHEDULE!C59)</f>
        <v>6</v>
      </c>
      <c r="D59" s="1" t="str">
        <f>IF([1]SCHEDULE!D59="","",[1]SCHEDULE!D59)</f>
        <v>Anadolu Efes Istanbul</v>
      </c>
      <c r="E59" s="1" t="str">
        <f>IF([1]SCHEDULE!E59="","",[1]SCHEDULE!E59)</f>
        <v>Virtus Segafredo Bologna</v>
      </c>
      <c r="F59" s="6">
        <f>IF([1]SCHEDULE!F59="","",[1]SCHEDULE!F59)</f>
        <v>45233</v>
      </c>
      <c r="G59" s="3" t="str">
        <f>IF([1]SCHEDULE!G59="","",[1]SCHEDULE!G59)</f>
        <v>A</v>
      </c>
      <c r="H59" s="3" t="str">
        <f>IF([1]SCHEDULE!H59="","",[1]SCHEDULE!H59)</f>
        <v>VIR</v>
      </c>
      <c r="I59" s="3" t="str">
        <f>IF([1]SCHEDULE!I59="","",[1]SCHEDULE!I59)</f>
        <v>6.EFE</v>
      </c>
      <c r="J59" s="3" t="str">
        <f>IF([1]SCHEDULE!J59="","",[1]SCHEDULE!J59)</f>
        <v>6.VIR</v>
      </c>
    </row>
    <row r="60" spans="2:10" x14ac:dyDescent="0.25">
      <c r="B60" s="3" t="str">
        <f>IF([1]SCHEDULE!B60="","",[1]SCHEDULE!B60)</f>
        <v>EFE</v>
      </c>
      <c r="C60" s="3">
        <f>IF([1]SCHEDULE!C60="","",[1]SCHEDULE!C60)</f>
        <v>7</v>
      </c>
      <c r="D60" s="1" t="str">
        <f>IF([1]SCHEDULE!D60="","",[1]SCHEDULE!D60)</f>
        <v>Anadolu Efes Istanbul</v>
      </c>
      <c r="E60" s="1" t="str">
        <f>IF([1]SCHEDULE!E60="","",[1]SCHEDULE!E60)</f>
        <v>Zalgiris Kaunas</v>
      </c>
      <c r="F60" s="6">
        <f>IF([1]SCHEDULE!F60="","",[1]SCHEDULE!F60)</f>
        <v>45239</v>
      </c>
      <c r="G60" s="3" t="str">
        <f>IF([1]SCHEDULE!G60="","",[1]SCHEDULE!G60)</f>
        <v>H</v>
      </c>
      <c r="H60" s="3" t="str">
        <f>IF([1]SCHEDULE!H60="","",[1]SCHEDULE!H60)</f>
        <v>ZAL</v>
      </c>
      <c r="I60" s="3" t="str">
        <f>IF([1]SCHEDULE!I60="","",[1]SCHEDULE!I60)</f>
        <v>7.EFE</v>
      </c>
      <c r="J60" s="3" t="str">
        <f>IF([1]SCHEDULE!J60="","",[1]SCHEDULE!J60)</f>
        <v>7.ZAL</v>
      </c>
    </row>
    <row r="61" spans="2:10" x14ac:dyDescent="0.25">
      <c r="B61" s="3" t="str">
        <f>IF([1]SCHEDULE!B61="","",[1]SCHEDULE!B61)</f>
        <v>EFE</v>
      </c>
      <c r="C61" s="3">
        <f>IF([1]SCHEDULE!C61="","",[1]SCHEDULE!C61)</f>
        <v>8</v>
      </c>
      <c r="D61" s="1" t="str">
        <f>IF([1]SCHEDULE!D61="","",[1]SCHEDULE!D61)</f>
        <v>Anadolu Efes Istanbul</v>
      </c>
      <c r="E61" s="1" t="str">
        <f>IF([1]SCHEDULE!E61="","",[1]SCHEDULE!E61)</f>
        <v>AS Monaco</v>
      </c>
      <c r="F61" s="6">
        <f>IF([1]SCHEDULE!F61="","",[1]SCHEDULE!F61)</f>
        <v>45244</v>
      </c>
      <c r="G61" s="3" t="str">
        <f>IF([1]SCHEDULE!G61="","",[1]SCHEDULE!G61)</f>
        <v>A</v>
      </c>
      <c r="H61" s="3" t="str">
        <f>IF([1]SCHEDULE!H61="","",[1]SCHEDULE!H61)</f>
        <v>ASM</v>
      </c>
      <c r="I61" s="3" t="str">
        <f>IF([1]SCHEDULE!I61="","",[1]SCHEDULE!I61)</f>
        <v>8.EFE</v>
      </c>
      <c r="J61" s="3" t="str">
        <f>IF([1]SCHEDULE!J61="","",[1]SCHEDULE!J61)</f>
        <v>8.ASM</v>
      </c>
    </row>
    <row r="62" spans="2:10" x14ac:dyDescent="0.25">
      <c r="B62" s="3" t="str">
        <f>IF([1]SCHEDULE!B62="","",[1]SCHEDULE!B62)</f>
        <v>EFE</v>
      </c>
      <c r="C62" s="3">
        <f>IF([1]SCHEDULE!C62="","",[1]SCHEDULE!C62)</f>
        <v>9</v>
      </c>
      <c r="D62" s="1" t="str">
        <f>IF([1]SCHEDULE!D62="","",[1]SCHEDULE!D62)</f>
        <v>Anadolu Efes Istanbul</v>
      </c>
      <c r="E62" s="1" t="str">
        <f>IF([1]SCHEDULE!E62="","",[1]SCHEDULE!E62)</f>
        <v>EA7 Emporio Armani Milan</v>
      </c>
      <c r="F62" s="6">
        <f>IF([1]SCHEDULE!F62="","",[1]SCHEDULE!F62)</f>
        <v>45246</v>
      </c>
      <c r="G62" s="3" t="str">
        <f>IF([1]SCHEDULE!G62="","",[1]SCHEDULE!G62)</f>
        <v>A</v>
      </c>
      <c r="H62" s="3" t="str">
        <f>IF([1]SCHEDULE!H62="","",[1]SCHEDULE!H62)</f>
        <v>MIL</v>
      </c>
      <c r="I62" s="3" t="str">
        <f>IF([1]SCHEDULE!I62="","",[1]SCHEDULE!I62)</f>
        <v>9.EFE</v>
      </c>
      <c r="J62" s="3" t="str">
        <f>IF([1]SCHEDULE!J62="","",[1]SCHEDULE!J62)</f>
        <v>9.MIL</v>
      </c>
    </row>
    <row r="63" spans="2:10" x14ac:dyDescent="0.25">
      <c r="B63" s="3" t="str">
        <f>IF([1]SCHEDULE!B63="","",[1]SCHEDULE!B63)</f>
        <v>EFE</v>
      </c>
      <c r="C63" s="3">
        <f>IF([1]SCHEDULE!C63="","",[1]SCHEDULE!C63)</f>
        <v>10</v>
      </c>
      <c r="D63" s="1" t="str">
        <f>IF([1]SCHEDULE!D63="","",[1]SCHEDULE!D63)</f>
        <v>Anadolu Efes Istanbul</v>
      </c>
      <c r="E63" s="1" t="str">
        <f>IF([1]SCHEDULE!E63="","",[1]SCHEDULE!E63)</f>
        <v>Partizan Mozzart Bet Belgrade</v>
      </c>
      <c r="F63" s="6">
        <f>IF([1]SCHEDULE!F63="","",[1]SCHEDULE!F63)</f>
        <v>45254</v>
      </c>
      <c r="G63" s="3" t="str">
        <f>IF([1]SCHEDULE!G63="","",[1]SCHEDULE!G63)</f>
        <v>H</v>
      </c>
      <c r="H63" s="3" t="str">
        <f>IF([1]SCHEDULE!H63="","",[1]SCHEDULE!H63)</f>
        <v>PAR</v>
      </c>
      <c r="I63" s="3" t="str">
        <f>IF([1]SCHEDULE!I63="","",[1]SCHEDULE!I63)</f>
        <v>10.EFE</v>
      </c>
      <c r="J63" s="3" t="str">
        <f>IF([1]SCHEDULE!J63="","",[1]SCHEDULE!J63)</f>
        <v>10.PAR</v>
      </c>
    </row>
    <row r="64" spans="2:10" x14ac:dyDescent="0.25">
      <c r="B64" s="3" t="str">
        <f>IF([1]SCHEDULE!B64="","",[1]SCHEDULE!B64)</f>
        <v>EFE</v>
      </c>
      <c r="C64" s="3">
        <f>IF([1]SCHEDULE!C64="","",[1]SCHEDULE!C64)</f>
        <v>11</v>
      </c>
      <c r="D64" s="1" t="str">
        <f>IF([1]SCHEDULE!D64="","",[1]SCHEDULE!D64)</f>
        <v>Anadolu Efes Istanbul</v>
      </c>
      <c r="E64" s="1" t="str">
        <f>IF([1]SCHEDULE!E64="","",[1]SCHEDULE!E64)</f>
        <v>Crvena Zvezda Meridianbet Belgrade</v>
      </c>
      <c r="F64" s="6">
        <f>IF([1]SCHEDULE!F64="","",[1]SCHEDULE!F64)</f>
        <v>45261</v>
      </c>
      <c r="G64" s="3" t="str">
        <f>IF([1]SCHEDULE!G64="","",[1]SCHEDULE!G64)</f>
        <v>A</v>
      </c>
      <c r="H64" s="3" t="str">
        <f>IF([1]SCHEDULE!H64="","",[1]SCHEDULE!H64)</f>
        <v>CZB</v>
      </c>
      <c r="I64" s="3" t="str">
        <f>IF([1]SCHEDULE!I64="","",[1]SCHEDULE!I64)</f>
        <v>11.EFE</v>
      </c>
      <c r="J64" s="3" t="str">
        <f>IF([1]SCHEDULE!J64="","",[1]SCHEDULE!J64)</f>
        <v>11.CZB</v>
      </c>
    </row>
    <row r="65" spans="2:10" x14ac:dyDescent="0.25">
      <c r="B65" s="3" t="str">
        <f>IF([1]SCHEDULE!B65="","",[1]SCHEDULE!B65)</f>
        <v>EFE</v>
      </c>
      <c r="C65" s="3">
        <f>IF([1]SCHEDULE!C65="","",[1]SCHEDULE!C65)</f>
        <v>12</v>
      </c>
      <c r="D65" s="1" t="str">
        <f>IF([1]SCHEDULE!D65="","",[1]SCHEDULE!D65)</f>
        <v>Anadolu Efes Istanbul</v>
      </c>
      <c r="E65" s="1" t="str">
        <f>IF([1]SCHEDULE!E65="","",[1]SCHEDULE!E65)</f>
        <v>Panathinaikos Athens</v>
      </c>
      <c r="F65" s="6">
        <f>IF([1]SCHEDULE!F65="","",[1]SCHEDULE!F65)</f>
        <v>45265</v>
      </c>
      <c r="G65" s="3" t="str">
        <f>IF([1]SCHEDULE!G65="","",[1]SCHEDULE!G65)</f>
        <v>H</v>
      </c>
      <c r="H65" s="3" t="str">
        <f>IF([1]SCHEDULE!H65="","",[1]SCHEDULE!H65)</f>
        <v>PAN</v>
      </c>
      <c r="I65" s="3" t="str">
        <f>IF([1]SCHEDULE!I65="","",[1]SCHEDULE!I65)</f>
        <v>12.EFE</v>
      </c>
      <c r="J65" s="3" t="str">
        <f>IF([1]SCHEDULE!J65="","",[1]SCHEDULE!J65)</f>
        <v>12.PAN</v>
      </c>
    </row>
    <row r="66" spans="2:10" x14ac:dyDescent="0.25">
      <c r="B66" s="3" t="str">
        <f>IF([1]SCHEDULE!B66="","",[1]SCHEDULE!B66)</f>
        <v>EFE</v>
      </c>
      <c r="C66" s="3">
        <f>IF([1]SCHEDULE!C66="","",[1]SCHEDULE!C66)</f>
        <v>13</v>
      </c>
      <c r="D66" s="1" t="str">
        <f>IF([1]SCHEDULE!D66="","",[1]SCHEDULE!D66)</f>
        <v>Anadolu Efes Istanbul</v>
      </c>
      <c r="E66" s="1" t="str">
        <f>IF([1]SCHEDULE!E66="","",[1]SCHEDULE!E66)</f>
        <v>ALBA Berlin</v>
      </c>
      <c r="F66" s="6">
        <f>IF([1]SCHEDULE!F66="","",[1]SCHEDULE!F66)</f>
        <v>45267</v>
      </c>
      <c r="G66" s="3" t="str">
        <f>IF([1]SCHEDULE!G66="","",[1]SCHEDULE!G66)</f>
        <v>A</v>
      </c>
      <c r="H66" s="3" t="str">
        <f>IF([1]SCHEDULE!H66="","",[1]SCHEDULE!H66)</f>
        <v>BER</v>
      </c>
      <c r="I66" s="3" t="str">
        <f>IF([1]SCHEDULE!I66="","",[1]SCHEDULE!I66)</f>
        <v>13.EFE</v>
      </c>
      <c r="J66" s="3" t="str">
        <f>IF([1]SCHEDULE!J66="","",[1]SCHEDULE!J66)</f>
        <v>13.BER</v>
      </c>
    </row>
    <row r="67" spans="2:10" x14ac:dyDescent="0.25">
      <c r="B67" s="3" t="str">
        <f>IF([1]SCHEDULE!B67="","",[1]SCHEDULE!B67)</f>
        <v>EFE</v>
      </c>
      <c r="C67" s="3">
        <f>IF([1]SCHEDULE!C67="","",[1]SCHEDULE!C67)</f>
        <v>14</v>
      </c>
      <c r="D67" s="1" t="str">
        <f>IF([1]SCHEDULE!D67="","",[1]SCHEDULE!D67)</f>
        <v>Anadolu Efes Istanbul</v>
      </c>
      <c r="E67" s="1" t="str">
        <f>IF([1]SCHEDULE!E67="","",[1]SCHEDULE!E67)</f>
        <v>Maccabi Playtika Tel Aviv</v>
      </c>
      <c r="F67" s="6">
        <f>IF([1]SCHEDULE!F67="","",[1]SCHEDULE!F67)</f>
        <v>45274</v>
      </c>
      <c r="G67" s="3" t="str">
        <f>IF([1]SCHEDULE!G67="","",[1]SCHEDULE!G67)</f>
        <v>H</v>
      </c>
      <c r="H67" s="3" t="str">
        <f>IF([1]SCHEDULE!H67="","",[1]SCHEDULE!H67)</f>
        <v>MTA</v>
      </c>
      <c r="I67" s="3" t="str">
        <f>IF([1]SCHEDULE!I67="","",[1]SCHEDULE!I67)</f>
        <v>14.EFE</v>
      </c>
      <c r="J67" s="3" t="str">
        <f>IF([1]SCHEDULE!J67="","",[1]SCHEDULE!J67)</f>
        <v>14.MTA</v>
      </c>
    </row>
    <row r="68" spans="2:10" x14ac:dyDescent="0.25">
      <c r="B68" s="3" t="str">
        <f>IF([1]SCHEDULE!B68="","",[1]SCHEDULE!B68)</f>
        <v>EFE</v>
      </c>
      <c r="C68" s="3">
        <f>IF([1]SCHEDULE!C68="","",[1]SCHEDULE!C68)</f>
        <v>15</v>
      </c>
      <c r="D68" s="1" t="str">
        <f>IF([1]SCHEDULE!D68="","",[1]SCHEDULE!D68)</f>
        <v>Anadolu Efes Istanbul</v>
      </c>
      <c r="E68" s="1" t="str">
        <f>IF([1]SCHEDULE!E68="","",[1]SCHEDULE!E68)</f>
        <v>FC Bayern Munich</v>
      </c>
      <c r="F68" s="6">
        <f>IF([1]SCHEDULE!F68="","",[1]SCHEDULE!F68)</f>
        <v>45280</v>
      </c>
      <c r="G68" s="3" t="str">
        <f>IF([1]SCHEDULE!G68="","",[1]SCHEDULE!G68)</f>
        <v>A</v>
      </c>
      <c r="H68" s="3" t="str">
        <f>IF([1]SCHEDULE!H68="","",[1]SCHEDULE!H68)</f>
        <v>BAY</v>
      </c>
      <c r="I68" s="3" t="str">
        <f>IF([1]SCHEDULE!I68="","",[1]SCHEDULE!I68)</f>
        <v>15.EFE</v>
      </c>
      <c r="J68" s="3" t="str">
        <f>IF([1]SCHEDULE!J68="","",[1]SCHEDULE!J68)</f>
        <v>15.BAY</v>
      </c>
    </row>
    <row r="69" spans="2:10" x14ac:dyDescent="0.25">
      <c r="B69" s="3" t="str">
        <f>IF([1]SCHEDULE!B69="","",[1]SCHEDULE!B69)</f>
        <v>EFE</v>
      </c>
      <c r="C69" s="3">
        <f>IF([1]SCHEDULE!C69="","",[1]SCHEDULE!C69)</f>
        <v>16</v>
      </c>
      <c r="D69" s="1" t="str">
        <f>IF([1]SCHEDULE!D69="","",[1]SCHEDULE!D69)</f>
        <v>Anadolu Efes Istanbul</v>
      </c>
      <c r="E69" s="1" t="str">
        <f>IF([1]SCHEDULE!E69="","",[1]SCHEDULE!E69)</f>
        <v>Baskonia Vitoria-Gasteiz</v>
      </c>
      <c r="F69" s="6">
        <f>IF([1]SCHEDULE!F69="","",[1]SCHEDULE!F69)</f>
        <v>45282</v>
      </c>
      <c r="G69" s="3" t="str">
        <f>IF([1]SCHEDULE!G69="","",[1]SCHEDULE!G69)</f>
        <v>H</v>
      </c>
      <c r="H69" s="3" t="str">
        <f>IF([1]SCHEDULE!H69="","",[1]SCHEDULE!H69)</f>
        <v>BAS</v>
      </c>
      <c r="I69" s="3" t="str">
        <f>IF([1]SCHEDULE!I69="","",[1]SCHEDULE!I69)</f>
        <v>16.EFE</v>
      </c>
      <c r="J69" s="3" t="str">
        <f>IF([1]SCHEDULE!J69="","",[1]SCHEDULE!J69)</f>
        <v>16.BAS</v>
      </c>
    </row>
    <row r="70" spans="2:10" x14ac:dyDescent="0.25">
      <c r="B70" s="3" t="str">
        <f>IF([1]SCHEDULE!B70="","",[1]SCHEDULE!B70)</f>
        <v>EFE</v>
      </c>
      <c r="C70" s="3">
        <f>IF([1]SCHEDULE!C70="","",[1]SCHEDULE!C70)</f>
        <v>17</v>
      </c>
      <c r="D70" s="1" t="str">
        <f>IF([1]SCHEDULE!D70="","",[1]SCHEDULE!D70)</f>
        <v>Anadolu Efes Istanbul</v>
      </c>
      <c r="E70" s="1" t="str">
        <f>IF([1]SCHEDULE!E70="","",[1]SCHEDULE!E70)</f>
        <v>Fenerbahce Beko Istanbul</v>
      </c>
      <c r="F70" s="6">
        <f>IF([1]SCHEDULE!F70="","",[1]SCHEDULE!F70)</f>
        <v>45288</v>
      </c>
      <c r="G70" s="3" t="str">
        <f>IF([1]SCHEDULE!G70="","",[1]SCHEDULE!G70)</f>
        <v>H</v>
      </c>
      <c r="H70" s="3" t="str">
        <f>IF([1]SCHEDULE!H70="","",[1]SCHEDULE!H70)</f>
        <v>FEN</v>
      </c>
      <c r="I70" s="3" t="str">
        <f>IF([1]SCHEDULE!I70="","",[1]SCHEDULE!I70)</f>
        <v>17.EFE</v>
      </c>
      <c r="J70" s="3" t="str">
        <f>IF([1]SCHEDULE!J70="","",[1]SCHEDULE!J70)</f>
        <v>17.FEN</v>
      </c>
    </row>
    <row r="71" spans="2:10" x14ac:dyDescent="0.25">
      <c r="B71" s="3" t="str">
        <f>IF([1]SCHEDULE!B71="","",[1]SCHEDULE!B71)</f>
        <v>EFE</v>
      </c>
      <c r="C71" s="3">
        <f>IF([1]SCHEDULE!C71="","",[1]SCHEDULE!C71)</f>
        <v>18</v>
      </c>
      <c r="D71" s="1" t="str">
        <f>IF([1]SCHEDULE!D71="","",[1]SCHEDULE!D71)</f>
        <v>Anadolu Efes Istanbul</v>
      </c>
      <c r="E71" s="1" t="str">
        <f>IF([1]SCHEDULE!E71="","",[1]SCHEDULE!E71)</f>
        <v>Valencia Basket</v>
      </c>
      <c r="F71" s="6">
        <f>IF([1]SCHEDULE!F71="","",[1]SCHEDULE!F71)</f>
        <v>45294</v>
      </c>
      <c r="G71" s="3" t="str">
        <f>IF([1]SCHEDULE!G71="","",[1]SCHEDULE!G71)</f>
        <v>A</v>
      </c>
      <c r="H71" s="3" t="str">
        <f>IF([1]SCHEDULE!H71="","",[1]SCHEDULE!H71)</f>
        <v>VAL</v>
      </c>
      <c r="I71" s="3" t="str">
        <f>IF([1]SCHEDULE!I71="","",[1]SCHEDULE!I71)</f>
        <v>18.EFE</v>
      </c>
      <c r="J71" s="3" t="str">
        <f>IF([1]SCHEDULE!J71="","",[1]SCHEDULE!J71)</f>
        <v>18.VAL</v>
      </c>
    </row>
    <row r="72" spans="2:10" x14ac:dyDescent="0.25">
      <c r="B72" s="3" t="str">
        <f>IF([1]SCHEDULE!B72="","",[1]SCHEDULE!B72)</f>
        <v>EFE</v>
      </c>
      <c r="C72" s="3">
        <f>IF([1]SCHEDULE!C72="","",[1]SCHEDULE!C72)</f>
        <v>19</v>
      </c>
      <c r="D72" s="1" t="str">
        <f>IF([1]SCHEDULE!D72="","",[1]SCHEDULE!D72)</f>
        <v>Anadolu Efes Istanbul</v>
      </c>
      <c r="E72" s="1" t="str">
        <f>IF([1]SCHEDULE!E72="","",[1]SCHEDULE!E72)</f>
        <v>Real Madrid</v>
      </c>
      <c r="F72" s="6">
        <f>IF([1]SCHEDULE!F72="","",[1]SCHEDULE!F72)</f>
        <v>45296</v>
      </c>
      <c r="G72" s="3" t="str">
        <f>IF([1]SCHEDULE!G72="","",[1]SCHEDULE!G72)</f>
        <v>A</v>
      </c>
      <c r="H72" s="3" t="str">
        <f>IF([1]SCHEDULE!H72="","",[1]SCHEDULE!H72)</f>
        <v>RMB</v>
      </c>
      <c r="I72" s="3" t="str">
        <f>IF([1]SCHEDULE!I72="","",[1]SCHEDULE!I72)</f>
        <v>19.EFE</v>
      </c>
      <c r="J72" s="3" t="str">
        <f>IF([1]SCHEDULE!J72="","",[1]SCHEDULE!J72)</f>
        <v>19.RMB</v>
      </c>
    </row>
    <row r="73" spans="2:10" x14ac:dyDescent="0.25">
      <c r="B73" s="3" t="str">
        <f>IF([1]SCHEDULE!B73="","",[1]SCHEDULE!B73)</f>
        <v>EFE</v>
      </c>
      <c r="C73" s="3">
        <f>IF([1]SCHEDULE!C73="","",[1]SCHEDULE!C73)</f>
        <v>20</v>
      </c>
      <c r="D73" s="1" t="str">
        <f>IF([1]SCHEDULE!D73="","",[1]SCHEDULE!D73)</f>
        <v>Anadolu Efes Istanbul</v>
      </c>
      <c r="E73" s="1" t="str">
        <f>IF([1]SCHEDULE!E73="","",[1]SCHEDULE!E73)</f>
        <v>Panathinaikos Athens</v>
      </c>
      <c r="F73" s="6">
        <f>IF([1]SCHEDULE!F73="","",[1]SCHEDULE!F73)</f>
        <v>45300</v>
      </c>
      <c r="G73" s="3" t="str">
        <f>IF([1]SCHEDULE!G73="","",[1]SCHEDULE!G73)</f>
        <v>A</v>
      </c>
      <c r="H73" s="3" t="str">
        <f>IF([1]SCHEDULE!H73="","",[1]SCHEDULE!H73)</f>
        <v>PAN</v>
      </c>
      <c r="I73" s="3" t="str">
        <f>IF([1]SCHEDULE!I73="","",[1]SCHEDULE!I73)</f>
        <v>20.EFE</v>
      </c>
      <c r="J73" s="3" t="str">
        <f>IF([1]SCHEDULE!J73="","",[1]SCHEDULE!J73)</f>
        <v>20.PAN</v>
      </c>
    </row>
    <row r="74" spans="2:10" x14ac:dyDescent="0.25">
      <c r="B74" s="3" t="str">
        <f>IF([1]SCHEDULE!B74="","",[1]SCHEDULE!B74)</f>
        <v>EFE</v>
      </c>
      <c r="C74" s="3">
        <f>IF([1]SCHEDULE!C74="","",[1]SCHEDULE!C74)</f>
        <v>21</v>
      </c>
      <c r="D74" s="1" t="str">
        <f>IF([1]SCHEDULE!D74="","",[1]SCHEDULE!D74)</f>
        <v>Anadolu Efes Istanbul</v>
      </c>
      <c r="E74" s="1" t="str">
        <f>IF([1]SCHEDULE!E74="","",[1]SCHEDULE!E74)</f>
        <v>Virtus Segafredo Bologna</v>
      </c>
      <c r="F74" s="6">
        <f>IF([1]SCHEDULE!F74="","",[1]SCHEDULE!F74)</f>
        <v>45303</v>
      </c>
      <c r="G74" s="3" t="str">
        <f>IF([1]SCHEDULE!G74="","",[1]SCHEDULE!G74)</f>
        <v>H</v>
      </c>
      <c r="H74" s="3" t="str">
        <f>IF([1]SCHEDULE!H74="","",[1]SCHEDULE!H74)</f>
        <v>VIR</v>
      </c>
      <c r="I74" s="3" t="str">
        <f>IF([1]SCHEDULE!I74="","",[1]SCHEDULE!I74)</f>
        <v>21.EFE</v>
      </c>
      <c r="J74" s="3" t="str">
        <f>IF([1]SCHEDULE!J74="","",[1]SCHEDULE!J74)</f>
        <v>21.VIR</v>
      </c>
    </row>
    <row r="75" spans="2:10" x14ac:dyDescent="0.25">
      <c r="B75" s="3" t="str">
        <f>IF([1]SCHEDULE!B75="","",[1]SCHEDULE!B75)</f>
        <v>EFE</v>
      </c>
      <c r="C75" s="3">
        <f>IF([1]SCHEDULE!C75="","",[1]SCHEDULE!C75)</f>
        <v>22</v>
      </c>
      <c r="D75" s="1" t="str">
        <f>IF([1]SCHEDULE!D75="","",[1]SCHEDULE!D75)</f>
        <v>Anadolu Efes Istanbul</v>
      </c>
      <c r="E75" s="1" t="str">
        <f>IF([1]SCHEDULE!E75="","",[1]SCHEDULE!E75)</f>
        <v>FC Barcelona</v>
      </c>
      <c r="F75" s="6">
        <f>IF([1]SCHEDULE!F75="","",[1]SCHEDULE!F75)</f>
        <v>45309</v>
      </c>
      <c r="G75" s="3" t="str">
        <f>IF([1]SCHEDULE!G75="","",[1]SCHEDULE!G75)</f>
        <v>H</v>
      </c>
      <c r="H75" s="3" t="str">
        <f>IF([1]SCHEDULE!H75="","",[1]SCHEDULE!H75)</f>
        <v>FCB</v>
      </c>
      <c r="I75" s="3" t="str">
        <f>IF([1]SCHEDULE!I75="","",[1]SCHEDULE!I75)</f>
        <v>22.EFE</v>
      </c>
      <c r="J75" s="3" t="str">
        <f>IF([1]SCHEDULE!J75="","",[1]SCHEDULE!J75)</f>
        <v>22.FCB</v>
      </c>
    </row>
    <row r="76" spans="2:10" x14ac:dyDescent="0.25">
      <c r="B76" s="3" t="str">
        <f>IF([1]SCHEDULE!B76="","",[1]SCHEDULE!B76)</f>
        <v>EFE</v>
      </c>
      <c r="C76" s="3">
        <f>IF([1]SCHEDULE!C76="","",[1]SCHEDULE!C76)</f>
        <v>23</v>
      </c>
      <c r="D76" s="1" t="str">
        <f>IF([1]SCHEDULE!D76="","",[1]SCHEDULE!D76)</f>
        <v>Anadolu Efes Istanbul</v>
      </c>
      <c r="E76" s="1" t="str">
        <f>IF([1]SCHEDULE!E76="","",[1]SCHEDULE!E76)</f>
        <v>AS Monaco</v>
      </c>
      <c r="F76" s="6">
        <f>IF([1]SCHEDULE!F76="","",[1]SCHEDULE!F76)</f>
        <v>45317</v>
      </c>
      <c r="G76" s="3" t="str">
        <f>IF([1]SCHEDULE!G76="","",[1]SCHEDULE!G76)</f>
        <v>H</v>
      </c>
      <c r="H76" s="3" t="str">
        <f>IF([1]SCHEDULE!H76="","",[1]SCHEDULE!H76)</f>
        <v>ASM</v>
      </c>
      <c r="I76" s="3" t="str">
        <f>IF([1]SCHEDULE!I76="","",[1]SCHEDULE!I76)</f>
        <v>23.EFE</v>
      </c>
      <c r="J76" s="3" t="str">
        <f>IF([1]SCHEDULE!J76="","",[1]SCHEDULE!J76)</f>
        <v>23.ASM</v>
      </c>
    </row>
    <row r="77" spans="2:10" x14ac:dyDescent="0.25">
      <c r="B77" s="3" t="str">
        <f>IF([1]SCHEDULE!B77="","",[1]SCHEDULE!B77)</f>
        <v>EFE</v>
      </c>
      <c r="C77" s="3">
        <f>IF([1]SCHEDULE!C77="","",[1]SCHEDULE!C77)</f>
        <v>24</v>
      </c>
      <c r="D77" s="1" t="str">
        <f>IF([1]SCHEDULE!D77="","",[1]SCHEDULE!D77)</f>
        <v>Anadolu Efes Istanbul</v>
      </c>
      <c r="E77" s="1" t="str">
        <f>IF([1]SCHEDULE!E77="","",[1]SCHEDULE!E77)</f>
        <v>Zalgiris Kaunas</v>
      </c>
      <c r="F77" s="6">
        <f>IF([1]SCHEDULE!F77="","",[1]SCHEDULE!F77)</f>
        <v>45322</v>
      </c>
      <c r="G77" s="3" t="str">
        <f>IF([1]SCHEDULE!G77="","",[1]SCHEDULE!G77)</f>
        <v>A</v>
      </c>
      <c r="H77" s="3" t="str">
        <f>IF([1]SCHEDULE!H77="","",[1]SCHEDULE!H77)</f>
        <v>ZAL</v>
      </c>
      <c r="I77" s="3" t="str">
        <f>IF([1]SCHEDULE!I77="","",[1]SCHEDULE!I77)</f>
        <v>24.EFE</v>
      </c>
      <c r="J77" s="3" t="str">
        <f>IF([1]SCHEDULE!J77="","",[1]SCHEDULE!J77)</f>
        <v>24.ZAL</v>
      </c>
    </row>
    <row r="78" spans="2:10" x14ac:dyDescent="0.25">
      <c r="B78" s="3" t="str">
        <f>IF([1]SCHEDULE!B78="","",[1]SCHEDULE!B78)</f>
        <v>EFE</v>
      </c>
      <c r="C78" s="3">
        <f>IF([1]SCHEDULE!C78="","",[1]SCHEDULE!C78)</f>
        <v>25</v>
      </c>
      <c r="D78" s="1" t="str">
        <f>IF([1]SCHEDULE!D78="","",[1]SCHEDULE!D78)</f>
        <v>Anadolu Efes Istanbul</v>
      </c>
      <c r="E78" s="1" t="str">
        <f>IF([1]SCHEDULE!E78="","",[1]SCHEDULE!E78)</f>
        <v>EA7 Emporio Armani Milan</v>
      </c>
      <c r="F78" s="6">
        <f>IF([1]SCHEDULE!F78="","",[1]SCHEDULE!F78)</f>
        <v>45324</v>
      </c>
      <c r="G78" s="3" t="str">
        <f>IF([1]SCHEDULE!G78="","",[1]SCHEDULE!G78)</f>
        <v>H</v>
      </c>
      <c r="H78" s="3" t="str">
        <f>IF([1]SCHEDULE!H78="","",[1]SCHEDULE!H78)</f>
        <v>MIL</v>
      </c>
      <c r="I78" s="3" t="str">
        <f>IF([1]SCHEDULE!I78="","",[1]SCHEDULE!I78)</f>
        <v>25.EFE</v>
      </c>
      <c r="J78" s="3" t="str">
        <f>IF([1]SCHEDULE!J78="","",[1]SCHEDULE!J78)</f>
        <v>25.MIL</v>
      </c>
    </row>
    <row r="79" spans="2:10" x14ac:dyDescent="0.25">
      <c r="B79" s="3" t="str">
        <f>IF([1]SCHEDULE!B79="","",[1]SCHEDULE!B79)</f>
        <v>EFE</v>
      </c>
      <c r="C79" s="3">
        <f>IF([1]SCHEDULE!C79="","",[1]SCHEDULE!C79)</f>
        <v>26</v>
      </c>
      <c r="D79" s="1" t="str">
        <f>IF([1]SCHEDULE!D79="","",[1]SCHEDULE!D79)</f>
        <v>Anadolu Efes Istanbul</v>
      </c>
      <c r="E79" s="1" t="str">
        <f>IF([1]SCHEDULE!E79="","",[1]SCHEDULE!E79)</f>
        <v>Maccabi Playtika Tel Aviv</v>
      </c>
      <c r="F79" s="6">
        <f>IF([1]SCHEDULE!F79="","",[1]SCHEDULE!F79)</f>
        <v>45330</v>
      </c>
      <c r="G79" s="3" t="str">
        <f>IF([1]SCHEDULE!G79="","",[1]SCHEDULE!G79)</f>
        <v>A</v>
      </c>
      <c r="H79" s="3" t="str">
        <f>IF([1]SCHEDULE!H79="","",[1]SCHEDULE!H79)</f>
        <v>MTA</v>
      </c>
      <c r="I79" s="3" t="str">
        <f>IF([1]SCHEDULE!I79="","",[1]SCHEDULE!I79)</f>
        <v>26.EFE</v>
      </c>
      <c r="J79" s="3" t="str">
        <f>IF([1]SCHEDULE!J79="","",[1]SCHEDULE!J79)</f>
        <v>26.MTA</v>
      </c>
    </row>
    <row r="80" spans="2:10" x14ac:dyDescent="0.25">
      <c r="B80" s="3" t="str">
        <f>IF([1]SCHEDULE!B80="","",[1]SCHEDULE!B80)</f>
        <v>EFE</v>
      </c>
      <c r="C80" s="3">
        <f>IF([1]SCHEDULE!C80="","",[1]SCHEDULE!C80)</f>
        <v>27</v>
      </c>
      <c r="D80" s="1" t="str">
        <f>IF([1]SCHEDULE!D80="","",[1]SCHEDULE!D80)</f>
        <v>Anadolu Efes Istanbul</v>
      </c>
      <c r="E80" s="1" t="str">
        <f>IF([1]SCHEDULE!E80="","",[1]SCHEDULE!E80)</f>
        <v>Partizan Mozzart Bet Belgrade</v>
      </c>
      <c r="F80" s="6">
        <f>IF([1]SCHEDULE!F80="","",[1]SCHEDULE!F80)</f>
        <v>45351</v>
      </c>
      <c r="G80" s="3" t="str">
        <f>IF([1]SCHEDULE!G80="","",[1]SCHEDULE!G80)</f>
        <v>A</v>
      </c>
      <c r="H80" s="3" t="str">
        <f>IF([1]SCHEDULE!H80="","",[1]SCHEDULE!H80)</f>
        <v>PAR</v>
      </c>
      <c r="I80" s="3" t="str">
        <f>IF([1]SCHEDULE!I80="","",[1]SCHEDULE!I80)</f>
        <v>27.EFE</v>
      </c>
      <c r="J80" s="3" t="str">
        <f>IF([1]SCHEDULE!J80="","",[1]SCHEDULE!J80)</f>
        <v>27.PAR</v>
      </c>
    </row>
    <row r="81" spans="2:10" x14ac:dyDescent="0.25">
      <c r="B81" s="3" t="str">
        <f>IF([1]SCHEDULE!B81="","",[1]SCHEDULE!B81)</f>
        <v>EFE</v>
      </c>
      <c r="C81" s="3">
        <f>IF([1]SCHEDULE!C81="","",[1]SCHEDULE!C81)</f>
        <v>28</v>
      </c>
      <c r="D81" s="1" t="str">
        <f>IF([1]SCHEDULE!D81="","",[1]SCHEDULE!D81)</f>
        <v>Anadolu Efes Istanbul</v>
      </c>
      <c r="E81" s="1" t="str">
        <f>IF([1]SCHEDULE!E81="","",[1]SCHEDULE!E81)</f>
        <v>FC Bayern Munich</v>
      </c>
      <c r="F81" s="6">
        <f>IF([1]SCHEDULE!F81="","",[1]SCHEDULE!F81)</f>
        <v>45358</v>
      </c>
      <c r="G81" s="3" t="str">
        <f>IF([1]SCHEDULE!G81="","",[1]SCHEDULE!G81)</f>
        <v>H</v>
      </c>
      <c r="H81" s="3" t="str">
        <f>IF([1]SCHEDULE!H81="","",[1]SCHEDULE!H81)</f>
        <v>BAY</v>
      </c>
      <c r="I81" s="3" t="str">
        <f>IF([1]SCHEDULE!I81="","",[1]SCHEDULE!I81)</f>
        <v>28.EFE</v>
      </c>
      <c r="J81" s="3" t="str">
        <f>IF([1]SCHEDULE!J81="","",[1]SCHEDULE!J81)</f>
        <v>28.BAY</v>
      </c>
    </row>
    <row r="82" spans="2:10" x14ac:dyDescent="0.25">
      <c r="B82" s="3" t="str">
        <f>IF([1]SCHEDULE!B82="","",[1]SCHEDULE!B82)</f>
        <v>EFE</v>
      </c>
      <c r="C82" s="3">
        <f>IF([1]SCHEDULE!C82="","",[1]SCHEDULE!C82)</f>
        <v>29</v>
      </c>
      <c r="D82" s="1" t="str">
        <f>IF([1]SCHEDULE!D82="","",[1]SCHEDULE!D82)</f>
        <v>Anadolu Efes Istanbul</v>
      </c>
      <c r="E82" s="1" t="str">
        <f>IF([1]SCHEDULE!E82="","",[1]SCHEDULE!E82)</f>
        <v>LDLC ASVEL Villeurbanne</v>
      </c>
      <c r="F82" s="6">
        <f>IF([1]SCHEDULE!F82="","",[1]SCHEDULE!F82)</f>
        <v>45366</v>
      </c>
      <c r="G82" s="3" t="str">
        <f>IF([1]SCHEDULE!G82="","",[1]SCHEDULE!G82)</f>
        <v>A</v>
      </c>
      <c r="H82" s="3" t="str">
        <f>IF([1]SCHEDULE!H82="","",[1]SCHEDULE!H82)</f>
        <v>ASV</v>
      </c>
      <c r="I82" s="3" t="str">
        <f>IF([1]SCHEDULE!I82="","",[1]SCHEDULE!I82)</f>
        <v>29.EFE</v>
      </c>
      <c r="J82" s="3" t="str">
        <f>IF([1]SCHEDULE!J82="","",[1]SCHEDULE!J82)</f>
        <v>29.ASV</v>
      </c>
    </row>
    <row r="83" spans="2:10" x14ac:dyDescent="0.25">
      <c r="B83" s="3" t="str">
        <f>IF([1]SCHEDULE!B83="","",[1]SCHEDULE!B83)</f>
        <v>EFE</v>
      </c>
      <c r="C83" s="3">
        <f>IF([1]SCHEDULE!C83="","",[1]SCHEDULE!C83)</f>
        <v>30</v>
      </c>
      <c r="D83" s="1" t="str">
        <f>IF([1]SCHEDULE!D83="","",[1]SCHEDULE!D83)</f>
        <v>Anadolu Efes Istanbul</v>
      </c>
      <c r="E83" s="1" t="str">
        <f>IF([1]SCHEDULE!E83="","",[1]SCHEDULE!E83)</f>
        <v>Olympiacos Piraeus</v>
      </c>
      <c r="F83" s="6">
        <f>IF([1]SCHEDULE!F83="","",[1]SCHEDULE!F83)</f>
        <v>45370</v>
      </c>
      <c r="G83" s="3" t="str">
        <f>IF([1]SCHEDULE!G83="","",[1]SCHEDULE!G83)</f>
        <v>H</v>
      </c>
      <c r="H83" s="3" t="str">
        <f>IF([1]SCHEDULE!H83="","",[1]SCHEDULE!H83)</f>
        <v>OLY</v>
      </c>
      <c r="I83" s="3" t="str">
        <f>IF([1]SCHEDULE!I83="","",[1]SCHEDULE!I83)</f>
        <v>30.EFE</v>
      </c>
      <c r="J83" s="3" t="str">
        <f>IF([1]SCHEDULE!J83="","",[1]SCHEDULE!J83)</f>
        <v>30.OLY</v>
      </c>
    </row>
    <row r="84" spans="2:10" x14ac:dyDescent="0.25">
      <c r="B84" s="3" t="str">
        <f>IF([1]SCHEDULE!B84="","",[1]SCHEDULE!B84)</f>
        <v>EFE</v>
      </c>
      <c r="C84" s="3">
        <f>IF([1]SCHEDULE!C84="","",[1]SCHEDULE!C84)</f>
        <v>31</v>
      </c>
      <c r="D84" s="1" t="str">
        <f>IF([1]SCHEDULE!D84="","",[1]SCHEDULE!D84)</f>
        <v>Anadolu Efes Istanbul</v>
      </c>
      <c r="E84" s="1" t="str">
        <f>IF([1]SCHEDULE!E84="","",[1]SCHEDULE!E84)</f>
        <v>ALBA Berlin</v>
      </c>
      <c r="F84" s="6">
        <f>IF([1]SCHEDULE!F84="","",[1]SCHEDULE!F84)</f>
        <v>45372</v>
      </c>
      <c r="G84" s="3" t="str">
        <f>IF([1]SCHEDULE!G84="","",[1]SCHEDULE!G84)</f>
        <v>H</v>
      </c>
      <c r="H84" s="3" t="str">
        <f>IF([1]SCHEDULE!H84="","",[1]SCHEDULE!H84)</f>
        <v>BER</v>
      </c>
      <c r="I84" s="3" t="str">
        <f>IF([1]SCHEDULE!I84="","",[1]SCHEDULE!I84)</f>
        <v>31.EFE</v>
      </c>
      <c r="J84" s="3" t="str">
        <f>IF([1]SCHEDULE!J84="","",[1]SCHEDULE!J84)</f>
        <v>31.BER</v>
      </c>
    </row>
    <row r="85" spans="2:10" x14ac:dyDescent="0.25">
      <c r="B85" s="3" t="str">
        <f>IF([1]SCHEDULE!B85="","",[1]SCHEDULE!B85)</f>
        <v>EFE</v>
      </c>
      <c r="C85" s="3">
        <f>IF([1]SCHEDULE!C85="","",[1]SCHEDULE!C85)</f>
        <v>32</v>
      </c>
      <c r="D85" s="1" t="str">
        <f>IF([1]SCHEDULE!D85="","",[1]SCHEDULE!D85)</f>
        <v>Anadolu Efes Istanbul</v>
      </c>
      <c r="E85" s="1" t="str">
        <f>IF([1]SCHEDULE!E85="","",[1]SCHEDULE!E85)</f>
        <v>Baskonia Vitoria-Gasteiz</v>
      </c>
      <c r="F85" s="6">
        <f>IF([1]SCHEDULE!F85="","",[1]SCHEDULE!F85)</f>
        <v>45379</v>
      </c>
      <c r="G85" s="3" t="str">
        <f>IF([1]SCHEDULE!G85="","",[1]SCHEDULE!G85)</f>
        <v>A</v>
      </c>
      <c r="H85" s="3" t="str">
        <f>IF([1]SCHEDULE!H85="","",[1]SCHEDULE!H85)</f>
        <v>BAS</v>
      </c>
      <c r="I85" s="3" t="str">
        <f>IF([1]SCHEDULE!I85="","",[1]SCHEDULE!I85)</f>
        <v>32.EFE</v>
      </c>
      <c r="J85" s="3" t="str">
        <f>IF([1]SCHEDULE!J85="","",[1]SCHEDULE!J85)</f>
        <v>32.BAS</v>
      </c>
    </row>
    <row r="86" spans="2:10" x14ac:dyDescent="0.25">
      <c r="B86" s="3" t="str">
        <f>IF([1]SCHEDULE!B86="","",[1]SCHEDULE!B86)</f>
        <v>EFE</v>
      </c>
      <c r="C86" s="3">
        <f>IF([1]SCHEDULE!C86="","",[1]SCHEDULE!C86)</f>
        <v>33</v>
      </c>
      <c r="D86" s="1" t="str">
        <f>IF([1]SCHEDULE!D86="","",[1]SCHEDULE!D86)</f>
        <v>Anadolu Efes Istanbul</v>
      </c>
      <c r="E86" s="1" t="str">
        <f>IF([1]SCHEDULE!E86="","",[1]SCHEDULE!E86)</f>
        <v>Fenerbahce Beko Istanbul</v>
      </c>
      <c r="F86" s="6">
        <f>IF([1]SCHEDULE!F86="","",[1]SCHEDULE!F86)</f>
        <v>45387</v>
      </c>
      <c r="G86" s="3" t="str">
        <f>IF([1]SCHEDULE!G86="","",[1]SCHEDULE!G86)</f>
        <v>A</v>
      </c>
      <c r="H86" s="3" t="str">
        <f>IF([1]SCHEDULE!H86="","",[1]SCHEDULE!H86)</f>
        <v>FEN</v>
      </c>
      <c r="I86" s="3" t="str">
        <f>IF([1]SCHEDULE!I86="","",[1]SCHEDULE!I86)</f>
        <v>33.EFE</v>
      </c>
      <c r="J86" s="3" t="str">
        <f>IF([1]SCHEDULE!J86="","",[1]SCHEDULE!J86)</f>
        <v>33.FEN</v>
      </c>
    </row>
    <row r="87" spans="2:10" x14ac:dyDescent="0.25">
      <c r="B87" s="3" t="str">
        <f>IF([1]SCHEDULE!B87="","",[1]SCHEDULE!B87)</f>
        <v>EFE</v>
      </c>
      <c r="C87" s="3">
        <f>IF([1]SCHEDULE!C87="","",[1]SCHEDULE!C87)</f>
        <v>34</v>
      </c>
      <c r="D87" s="1" t="str">
        <f>IF([1]SCHEDULE!D87="","",[1]SCHEDULE!D87)</f>
        <v>Anadolu Efes Istanbul</v>
      </c>
      <c r="E87" s="1" t="str">
        <f>IF([1]SCHEDULE!E87="","",[1]SCHEDULE!E87)</f>
        <v>Crvena Zvezda Meridianbet Belgrade</v>
      </c>
      <c r="F87" s="6">
        <f>IF([1]SCHEDULE!F87="","",[1]SCHEDULE!F87)</f>
        <v>45393</v>
      </c>
      <c r="G87" s="3" t="str">
        <f>IF([1]SCHEDULE!G87="","",[1]SCHEDULE!G87)</f>
        <v>H</v>
      </c>
      <c r="H87" s="3" t="str">
        <f>IF([1]SCHEDULE!H87="","",[1]SCHEDULE!H87)</f>
        <v>CZB</v>
      </c>
      <c r="I87" s="3" t="str">
        <f>IF([1]SCHEDULE!I87="","",[1]SCHEDULE!I87)</f>
        <v>34.EFE</v>
      </c>
      <c r="J87" s="3" t="str">
        <f>IF([1]SCHEDULE!J87="","",[1]SCHEDULE!J87)</f>
        <v>34.CZB</v>
      </c>
    </row>
    <row r="88" spans="2:10" x14ac:dyDescent="0.25">
      <c r="B88" s="3" t="str">
        <f>IF([1]SCHEDULE!B88="","",[1]SCHEDULE!B88)</f>
        <v>EFE</v>
      </c>
      <c r="C88" s="3">
        <f>IF([1]SCHEDULE!C88="","",[1]SCHEDULE!C88)</f>
        <v>35</v>
      </c>
      <c r="D88" s="1" t="str">
        <f>IF([1]SCHEDULE!D88="","",[1]SCHEDULE!D88)</f>
        <v>Anadolu Efes Istanbul</v>
      </c>
      <c r="E88" s="1" t="str">
        <f>IF([1]SCHEDULE!E88="","",[1]SCHEDULE!E88)</f>
        <v/>
      </c>
      <c r="F88" s="6" t="str">
        <f>IF([1]SCHEDULE!F88="","",[1]SCHEDULE!F88)</f>
        <v/>
      </c>
      <c r="G88" s="3" t="str">
        <f>IF([1]SCHEDULE!G88="","",[1]SCHEDULE!G88)</f>
        <v/>
      </c>
      <c r="H88" s="3" t="str">
        <f>IF([1]SCHEDULE!H88="","",[1]SCHEDULE!H88)</f>
        <v/>
      </c>
      <c r="I88" s="3" t="str">
        <f>IF([1]SCHEDULE!I88="","",[1]SCHEDULE!I88)</f>
        <v/>
      </c>
      <c r="J88" s="3" t="str">
        <f>IF([1]SCHEDULE!J88="","",[1]SCHEDULE!J88)</f>
        <v/>
      </c>
    </row>
    <row r="89" spans="2:10" x14ac:dyDescent="0.25">
      <c r="B89" s="3" t="str">
        <f>IF([1]SCHEDULE!B89="","",[1]SCHEDULE!B89)</f>
        <v>EFE</v>
      </c>
      <c r="C89" s="3">
        <f>IF([1]SCHEDULE!C89="","",[1]SCHEDULE!C89)</f>
        <v>36</v>
      </c>
      <c r="D89" s="1" t="str">
        <f>IF([1]SCHEDULE!D89="","",[1]SCHEDULE!D89)</f>
        <v>Anadolu Efes Istanbul</v>
      </c>
      <c r="E89" s="1" t="str">
        <f>IF([1]SCHEDULE!E89="","",[1]SCHEDULE!E89)</f>
        <v/>
      </c>
      <c r="F89" s="6" t="str">
        <f>IF([1]SCHEDULE!F89="","",[1]SCHEDULE!F89)</f>
        <v/>
      </c>
      <c r="G89" s="3" t="str">
        <f>IF([1]SCHEDULE!G89="","",[1]SCHEDULE!G89)</f>
        <v/>
      </c>
      <c r="H89" s="3" t="str">
        <f>IF([1]SCHEDULE!H89="","",[1]SCHEDULE!H89)</f>
        <v/>
      </c>
      <c r="I89" s="3" t="str">
        <f>IF([1]SCHEDULE!I89="","",[1]SCHEDULE!I89)</f>
        <v/>
      </c>
      <c r="J89" s="3" t="str">
        <f>IF([1]SCHEDULE!J89="","",[1]SCHEDULE!J89)</f>
        <v/>
      </c>
    </row>
    <row r="90" spans="2:10" x14ac:dyDescent="0.25">
      <c r="B90" s="3" t="str">
        <f>IF([1]SCHEDULE!B90="","",[1]SCHEDULE!B90)</f>
        <v>EFE</v>
      </c>
      <c r="C90" s="3">
        <f>IF([1]SCHEDULE!C90="","",[1]SCHEDULE!C90)</f>
        <v>37</v>
      </c>
      <c r="D90" s="1" t="str">
        <f>IF([1]SCHEDULE!D90="","",[1]SCHEDULE!D90)</f>
        <v>Anadolu Efes Istanbul</v>
      </c>
      <c r="E90" s="1" t="str">
        <f>IF([1]SCHEDULE!E90="","",[1]SCHEDULE!E90)</f>
        <v/>
      </c>
      <c r="F90" s="6" t="str">
        <f>IF([1]SCHEDULE!F90="","",[1]SCHEDULE!F90)</f>
        <v/>
      </c>
      <c r="G90" s="3" t="str">
        <f>IF([1]SCHEDULE!G90="","",[1]SCHEDULE!G90)</f>
        <v/>
      </c>
      <c r="H90" s="3" t="str">
        <f>IF([1]SCHEDULE!H90="","",[1]SCHEDULE!H90)</f>
        <v/>
      </c>
      <c r="I90" s="3" t="str">
        <f>IF([1]SCHEDULE!I90="","",[1]SCHEDULE!I90)</f>
        <v/>
      </c>
      <c r="J90" s="3" t="str">
        <f>IF([1]SCHEDULE!J90="","",[1]SCHEDULE!J90)</f>
        <v/>
      </c>
    </row>
    <row r="91" spans="2:10" x14ac:dyDescent="0.25">
      <c r="B91" s="3" t="str">
        <f>IF([1]SCHEDULE!B91="","",[1]SCHEDULE!B91)</f>
        <v>EFE</v>
      </c>
      <c r="C91" s="3">
        <f>IF([1]SCHEDULE!C91="","",[1]SCHEDULE!C91)</f>
        <v>38</v>
      </c>
      <c r="D91" s="1" t="str">
        <f>IF([1]SCHEDULE!D91="","",[1]SCHEDULE!D91)</f>
        <v>Anadolu Efes Istanbul</v>
      </c>
      <c r="E91" s="1" t="str">
        <f>IF([1]SCHEDULE!E91="","",[1]SCHEDULE!E91)</f>
        <v/>
      </c>
      <c r="F91" s="6" t="str">
        <f>IF([1]SCHEDULE!F91="","",[1]SCHEDULE!F91)</f>
        <v/>
      </c>
      <c r="G91" s="3" t="str">
        <f>IF([1]SCHEDULE!G91="","",[1]SCHEDULE!G91)</f>
        <v/>
      </c>
      <c r="H91" s="3" t="str">
        <f>IF([1]SCHEDULE!H91="","",[1]SCHEDULE!H91)</f>
        <v/>
      </c>
      <c r="I91" s="3" t="str">
        <f>IF([1]SCHEDULE!I91="","",[1]SCHEDULE!I91)</f>
        <v/>
      </c>
      <c r="J91" s="3" t="str">
        <f>IF([1]SCHEDULE!J91="","",[1]SCHEDULE!J91)</f>
        <v/>
      </c>
    </row>
    <row r="92" spans="2:10" x14ac:dyDescent="0.25">
      <c r="B92" s="3" t="str">
        <f>IF([1]SCHEDULE!B92="","",[1]SCHEDULE!B92)</f>
        <v>EFE</v>
      </c>
      <c r="C92" s="3">
        <f>IF([1]SCHEDULE!C92="","",[1]SCHEDULE!C92)</f>
        <v>39</v>
      </c>
      <c r="D92" s="1" t="str">
        <f>IF([1]SCHEDULE!D92="","",[1]SCHEDULE!D92)</f>
        <v>Anadolu Efes Istanbul</v>
      </c>
      <c r="E92" s="1" t="str">
        <f>IF([1]SCHEDULE!E92="","",[1]SCHEDULE!E92)</f>
        <v/>
      </c>
      <c r="F92" s="6" t="str">
        <f>IF([1]SCHEDULE!F92="","",[1]SCHEDULE!F92)</f>
        <v/>
      </c>
      <c r="G92" s="3" t="str">
        <f>IF([1]SCHEDULE!G92="","",[1]SCHEDULE!G92)</f>
        <v/>
      </c>
      <c r="H92" s="3" t="str">
        <f>IF([1]SCHEDULE!H92="","",[1]SCHEDULE!H92)</f>
        <v/>
      </c>
      <c r="I92" s="3" t="str">
        <f>IF([1]SCHEDULE!I92="","",[1]SCHEDULE!I92)</f>
        <v/>
      </c>
      <c r="J92" s="3" t="str">
        <f>IF([1]SCHEDULE!J92="","",[1]SCHEDULE!J92)</f>
        <v/>
      </c>
    </row>
    <row r="93" spans="2:10" x14ac:dyDescent="0.25">
      <c r="B93" s="3" t="str">
        <f>IF([1]SCHEDULE!B93="","",[1]SCHEDULE!B93)</f>
        <v>EFE</v>
      </c>
      <c r="C93" s="3">
        <f>IF([1]SCHEDULE!C93="","",[1]SCHEDULE!C93)</f>
        <v>40</v>
      </c>
      <c r="D93" s="1" t="str">
        <f>IF([1]SCHEDULE!D93="","",[1]SCHEDULE!D93)</f>
        <v>Anadolu Efes Istanbul</v>
      </c>
      <c r="E93" s="1" t="str">
        <f>IF([1]SCHEDULE!E93="","",[1]SCHEDULE!E93)</f>
        <v/>
      </c>
      <c r="F93" s="6" t="str">
        <f>IF([1]SCHEDULE!F93="","",[1]SCHEDULE!F93)</f>
        <v/>
      </c>
      <c r="G93" s="3" t="str">
        <f>IF([1]SCHEDULE!G93="","",[1]SCHEDULE!G93)</f>
        <v/>
      </c>
      <c r="H93" s="3" t="str">
        <f>IF([1]SCHEDULE!H93="","",[1]SCHEDULE!H93)</f>
        <v/>
      </c>
      <c r="I93" s="3" t="str">
        <f>IF([1]SCHEDULE!I93="","",[1]SCHEDULE!I93)</f>
        <v/>
      </c>
      <c r="J93" s="3" t="str">
        <f>IF([1]SCHEDULE!J93="","",[1]SCHEDULE!J93)</f>
        <v/>
      </c>
    </row>
    <row r="94" spans="2:10" x14ac:dyDescent="0.25">
      <c r="B94" s="3" t="str">
        <f>IF([1]SCHEDULE!B94="","",[1]SCHEDULE!B94)</f>
        <v>EFE</v>
      </c>
      <c r="C94" s="3">
        <f>IF([1]SCHEDULE!C94="","",[1]SCHEDULE!C94)</f>
        <v>41</v>
      </c>
      <c r="D94" s="1" t="str">
        <f>IF([1]SCHEDULE!D94="","",[1]SCHEDULE!D94)</f>
        <v>Anadolu Efes Istanbul</v>
      </c>
      <c r="E94" s="1" t="str">
        <f>IF([1]SCHEDULE!E94="","",[1]SCHEDULE!E94)</f>
        <v/>
      </c>
      <c r="F94" s="6" t="str">
        <f>IF([1]SCHEDULE!F94="","",[1]SCHEDULE!F94)</f>
        <v/>
      </c>
      <c r="G94" s="3" t="str">
        <f>IF([1]SCHEDULE!G94="","",[1]SCHEDULE!G94)</f>
        <v/>
      </c>
      <c r="H94" s="3" t="str">
        <f>IF([1]SCHEDULE!H94="","",[1]SCHEDULE!H94)</f>
        <v/>
      </c>
      <c r="I94" s="3" t="str">
        <f>IF([1]SCHEDULE!I94="","",[1]SCHEDULE!I94)</f>
        <v/>
      </c>
      <c r="J94" s="3" t="str">
        <f>IF([1]SCHEDULE!J94="","",[1]SCHEDULE!J94)</f>
        <v/>
      </c>
    </row>
    <row r="95" spans="2:10" x14ac:dyDescent="0.25">
      <c r="B95" s="3" t="str">
        <f>IF([1]SCHEDULE!B95="","",[1]SCHEDULE!B95)</f>
        <v>EFE</v>
      </c>
      <c r="C95" s="3">
        <f>IF([1]SCHEDULE!C95="","",[1]SCHEDULE!C95)</f>
        <v>42</v>
      </c>
      <c r="D95" s="1" t="str">
        <f>IF([1]SCHEDULE!D95="","",[1]SCHEDULE!D95)</f>
        <v>Anadolu Efes Istanbul</v>
      </c>
      <c r="E95" s="1" t="str">
        <f>IF([1]SCHEDULE!E95="","",[1]SCHEDULE!E95)</f>
        <v/>
      </c>
      <c r="F95" s="6" t="str">
        <f>IF([1]SCHEDULE!F95="","",[1]SCHEDULE!F95)</f>
        <v/>
      </c>
      <c r="G95" s="3" t="str">
        <f>IF([1]SCHEDULE!G95="","",[1]SCHEDULE!G95)</f>
        <v/>
      </c>
      <c r="H95" s="3" t="str">
        <f>IF([1]SCHEDULE!H95="","",[1]SCHEDULE!H95)</f>
        <v/>
      </c>
      <c r="I95" s="3" t="str">
        <f>IF([1]SCHEDULE!I95="","",[1]SCHEDULE!I95)</f>
        <v/>
      </c>
      <c r="J95" s="3" t="str">
        <f>IF([1]SCHEDULE!J95="","",[1]SCHEDULE!J95)</f>
        <v/>
      </c>
    </row>
    <row r="96" spans="2:10" x14ac:dyDescent="0.25">
      <c r="B96" s="3" t="str">
        <f>IF([1]SCHEDULE!B96="","",[1]SCHEDULE!B96)</f>
        <v>EFE</v>
      </c>
      <c r="C96" s="3">
        <f>IF([1]SCHEDULE!C96="","",[1]SCHEDULE!C96)</f>
        <v>43</v>
      </c>
      <c r="D96" s="1" t="str">
        <f>IF([1]SCHEDULE!D96="","",[1]SCHEDULE!D96)</f>
        <v>Anadolu Efes Istanbul</v>
      </c>
      <c r="E96" s="1" t="str">
        <f>IF([1]SCHEDULE!E96="","",[1]SCHEDULE!E96)</f>
        <v/>
      </c>
      <c r="F96" s="6" t="str">
        <f>IF([1]SCHEDULE!F96="","",[1]SCHEDULE!F96)</f>
        <v/>
      </c>
      <c r="G96" s="3" t="str">
        <f>IF([1]SCHEDULE!G96="","",[1]SCHEDULE!G96)</f>
        <v/>
      </c>
      <c r="H96" s="3" t="str">
        <f>IF([1]SCHEDULE!H96="","",[1]SCHEDULE!H96)</f>
        <v/>
      </c>
      <c r="I96" s="3" t="str">
        <f>IF([1]SCHEDULE!I96="","",[1]SCHEDULE!I96)</f>
        <v/>
      </c>
      <c r="J96" s="3" t="str">
        <f>IF([1]SCHEDULE!J96="","",[1]SCHEDULE!J96)</f>
        <v/>
      </c>
    </row>
    <row r="97" spans="2:10" x14ac:dyDescent="0.25">
      <c r="B97" s="3" t="str">
        <f>IF([1]SCHEDULE!B97="","",[1]SCHEDULE!B97)</f>
        <v>EFE</v>
      </c>
      <c r="C97" s="3">
        <f>IF([1]SCHEDULE!C97="","",[1]SCHEDULE!C97)</f>
        <v>44</v>
      </c>
      <c r="D97" s="1" t="str">
        <f>IF([1]SCHEDULE!D97="","",[1]SCHEDULE!D97)</f>
        <v>Anadolu Efes Istanbul</v>
      </c>
      <c r="E97" s="1" t="str">
        <f>IF([1]SCHEDULE!E97="","",[1]SCHEDULE!E97)</f>
        <v/>
      </c>
      <c r="F97" s="6" t="str">
        <f>IF([1]SCHEDULE!F97="","",[1]SCHEDULE!F97)</f>
        <v/>
      </c>
      <c r="G97" s="3" t="str">
        <f>IF([1]SCHEDULE!G97="","",[1]SCHEDULE!G97)</f>
        <v/>
      </c>
      <c r="H97" s="3" t="str">
        <f>IF([1]SCHEDULE!H97="","",[1]SCHEDULE!H97)</f>
        <v/>
      </c>
      <c r="I97" s="3" t="str">
        <f>IF([1]SCHEDULE!I97="","",[1]SCHEDULE!I97)</f>
        <v/>
      </c>
      <c r="J97" s="3" t="str">
        <f>IF([1]SCHEDULE!J97="","",[1]SCHEDULE!J97)</f>
        <v/>
      </c>
    </row>
    <row r="98" spans="2:10" x14ac:dyDescent="0.25">
      <c r="B98" s="3" t="str">
        <f>IF([1]SCHEDULE!B98="","",[1]SCHEDULE!B98)</f>
        <v>EFE</v>
      </c>
      <c r="C98" s="3">
        <f>IF([1]SCHEDULE!C98="","",[1]SCHEDULE!C98)</f>
        <v>45</v>
      </c>
      <c r="D98" s="1" t="str">
        <f>IF([1]SCHEDULE!D98="","",[1]SCHEDULE!D98)</f>
        <v>Anadolu Efes Istanbul</v>
      </c>
      <c r="E98" s="1" t="str">
        <f>IF([1]SCHEDULE!E98="","",[1]SCHEDULE!E98)</f>
        <v/>
      </c>
      <c r="F98" s="6" t="str">
        <f>IF([1]SCHEDULE!F98="","",[1]SCHEDULE!F98)</f>
        <v/>
      </c>
      <c r="G98" s="3" t="str">
        <f>IF([1]SCHEDULE!G98="","",[1]SCHEDULE!G98)</f>
        <v/>
      </c>
      <c r="H98" s="3" t="str">
        <f>IF([1]SCHEDULE!H98="","",[1]SCHEDULE!H98)</f>
        <v/>
      </c>
      <c r="I98" s="3" t="str">
        <f>IF([1]SCHEDULE!I98="","",[1]SCHEDULE!I98)</f>
        <v/>
      </c>
      <c r="J98" s="3" t="str">
        <f>IF([1]SCHEDULE!J98="","",[1]SCHEDULE!J98)</f>
        <v/>
      </c>
    </row>
    <row r="99" spans="2:10" x14ac:dyDescent="0.25">
      <c r="B99" s="3" t="str">
        <f>IF([1]SCHEDULE!B99="","",[1]SCHEDULE!B99)</f>
        <v>EFE</v>
      </c>
      <c r="C99" s="3">
        <f>IF([1]SCHEDULE!C99="","",[1]SCHEDULE!C99)</f>
        <v>46</v>
      </c>
      <c r="D99" s="1" t="str">
        <f>IF([1]SCHEDULE!D99="","",[1]SCHEDULE!D99)</f>
        <v>Anadolu Efes Istanbul</v>
      </c>
      <c r="E99" s="1" t="str">
        <f>IF([1]SCHEDULE!E99="","",[1]SCHEDULE!E99)</f>
        <v/>
      </c>
      <c r="F99" s="6" t="str">
        <f>IF([1]SCHEDULE!F99="","",[1]SCHEDULE!F99)</f>
        <v/>
      </c>
      <c r="G99" s="3" t="str">
        <f>IF([1]SCHEDULE!G99="","",[1]SCHEDULE!G99)</f>
        <v/>
      </c>
      <c r="H99" s="3" t="str">
        <f>IF([1]SCHEDULE!H99="","",[1]SCHEDULE!H99)</f>
        <v/>
      </c>
      <c r="I99" s="3" t="str">
        <f>IF([1]SCHEDULE!I99="","",[1]SCHEDULE!I99)</f>
        <v/>
      </c>
      <c r="J99" s="3" t="str">
        <f>IF([1]SCHEDULE!J99="","",[1]SCHEDULE!J99)</f>
        <v/>
      </c>
    </row>
    <row r="100" spans="2:10" x14ac:dyDescent="0.25">
      <c r="B100" s="3" t="str">
        <f>IF([1]SCHEDULE!B100="","",[1]SCHEDULE!B100)</f>
        <v>EFE</v>
      </c>
      <c r="C100" s="3">
        <f>IF([1]SCHEDULE!C100="","",[1]SCHEDULE!C100)</f>
        <v>47</v>
      </c>
      <c r="D100" s="1" t="str">
        <f>IF([1]SCHEDULE!D100="","",[1]SCHEDULE!D100)</f>
        <v>Anadolu Efes Istanbul</v>
      </c>
      <c r="E100" s="1" t="str">
        <f>IF([1]SCHEDULE!E100="","",[1]SCHEDULE!E100)</f>
        <v/>
      </c>
      <c r="F100" s="6" t="str">
        <f>IF([1]SCHEDULE!F100="","",[1]SCHEDULE!F100)</f>
        <v/>
      </c>
      <c r="G100" s="3" t="str">
        <f>IF([1]SCHEDULE!G100="","",[1]SCHEDULE!G100)</f>
        <v/>
      </c>
      <c r="H100" s="3" t="str">
        <f>IF([1]SCHEDULE!H100="","",[1]SCHEDULE!H100)</f>
        <v/>
      </c>
      <c r="I100" s="3" t="str">
        <f>IF([1]SCHEDULE!I100="","",[1]SCHEDULE!I100)</f>
        <v/>
      </c>
      <c r="J100" s="3" t="str">
        <f>IF([1]SCHEDULE!J100="","",[1]SCHEDULE!J100)</f>
        <v/>
      </c>
    </row>
    <row r="101" spans="2:10" x14ac:dyDescent="0.25">
      <c r="B101" s="3" t="str">
        <f>IF([1]SCHEDULE!B101="","",[1]SCHEDULE!B101)</f>
        <v>EFE</v>
      </c>
      <c r="C101" s="3">
        <f>IF([1]SCHEDULE!C101="","",[1]SCHEDULE!C101)</f>
        <v>48</v>
      </c>
      <c r="D101" s="1" t="str">
        <f>IF([1]SCHEDULE!D101="","",[1]SCHEDULE!D101)</f>
        <v>Anadolu Efes Istanbul</v>
      </c>
      <c r="E101" s="1" t="str">
        <f>IF([1]SCHEDULE!E101="","",[1]SCHEDULE!E101)</f>
        <v/>
      </c>
      <c r="F101" s="6" t="str">
        <f>IF([1]SCHEDULE!F101="","",[1]SCHEDULE!F101)</f>
        <v/>
      </c>
      <c r="G101" s="3" t="str">
        <f>IF([1]SCHEDULE!G101="","",[1]SCHEDULE!G101)</f>
        <v/>
      </c>
      <c r="H101" s="3" t="str">
        <f>IF([1]SCHEDULE!H101="","",[1]SCHEDULE!H101)</f>
        <v/>
      </c>
      <c r="I101" s="3" t="str">
        <f>IF([1]SCHEDULE!I101="","",[1]SCHEDULE!I101)</f>
        <v/>
      </c>
      <c r="J101" s="3" t="str">
        <f>IF([1]SCHEDULE!J101="","",[1]SCHEDULE!J101)</f>
        <v/>
      </c>
    </row>
    <row r="102" spans="2:10" x14ac:dyDescent="0.25">
      <c r="B102" s="3" t="str">
        <f>IF([1]SCHEDULE!B102="","",[1]SCHEDULE!B102)</f>
        <v>EFE</v>
      </c>
      <c r="C102" s="3">
        <f>IF([1]SCHEDULE!C102="","",[1]SCHEDULE!C102)</f>
        <v>49</v>
      </c>
      <c r="D102" s="1" t="str">
        <f>IF([1]SCHEDULE!D102="","",[1]SCHEDULE!D102)</f>
        <v>Anadolu Efes Istanbul</v>
      </c>
      <c r="E102" s="1" t="str">
        <f>IF([1]SCHEDULE!E102="","",[1]SCHEDULE!E102)</f>
        <v/>
      </c>
      <c r="F102" s="6" t="str">
        <f>IF([1]SCHEDULE!F102="","",[1]SCHEDULE!F102)</f>
        <v/>
      </c>
      <c r="G102" s="3" t="str">
        <f>IF([1]SCHEDULE!G102="","",[1]SCHEDULE!G102)</f>
        <v/>
      </c>
      <c r="H102" s="3" t="str">
        <f>IF([1]SCHEDULE!H102="","",[1]SCHEDULE!H102)</f>
        <v/>
      </c>
      <c r="I102" s="3" t="str">
        <f>IF([1]SCHEDULE!I102="","",[1]SCHEDULE!I102)</f>
        <v/>
      </c>
      <c r="J102" s="3" t="str">
        <f>IF([1]SCHEDULE!J102="","",[1]SCHEDULE!J102)</f>
        <v/>
      </c>
    </row>
    <row r="103" spans="2:10" x14ac:dyDescent="0.25">
      <c r="B103" s="3" t="str">
        <f>IF([1]SCHEDULE!B103="","",[1]SCHEDULE!B103)</f>
        <v>EFE</v>
      </c>
      <c r="C103" s="3">
        <f>IF([1]SCHEDULE!C103="","",[1]SCHEDULE!C103)</f>
        <v>50</v>
      </c>
      <c r="D103" s="1" t="str">
        <f>IF([1]SCHEDULE!D103="","",[1]SCHEDULE!D103)</f>
        <v>Anadolu Efes Istanbul</v>
      </c>
      <c r="E103" s="1" t="str">
        <f>IF([1]SCHEDULE!E103="","",[1]SCHEDULE!E103)</f>
        <v/>
      </c>
      <c r="F103" s="6" t="str">
        <f>IF([1]SCHEDULE!F103="","",[1]SCHEDULE!F103)</f>
        <v/>
      </c>
      <c r="G103" s="3" t="str">
        <f>IF([1]SCHEDULE!G103="","",[1]SCHEDULE!G103)</f>
        <v/>
      </c>
      <c r="H103" s="3" t="str">
        <f>IF([1]SCHEDULE!H103="","",[1]SCHEDULE!H103)</f>
        <v/>
      </c>
      <c r="I103" s="3" t="str">
        <f>IF([1]SCHEDULE!I103="","",[1]SCHEDULE!I103)</f>
        <v/>
      </c>
      <c r="J103" s="3" t="str">
        <f>IF([1]SCHEDULE!J103="","",[1]SCHEDULE!J103)</f>
        <v/>
      </c>
    </row>
    <row r="104" spans="2:10" x14ac:dyDescent="0.25">
      <c r="B104" s="3" t="str">
        <f>IF([1]SCHEDULE!B104="","",[1]SCHEDULE!B104)</f>
        <v>EFE</v>
      </c>
      <c r="C104" s="3">
        <f>IF([1]SCHEDULE!C104="","",[1]SCHEDULE!C104)</f>
        <v>51</v>
      </c>
      <c r="D104" s="1" t="str">
        <f>IF([1]SCHEDULE!D104="","",[1]SCHEDULE!D104)</f>
        <v>Anadolu Efes Istanbul</v>
      </c>
      <c r="E104" s="1" t="str">
        <f>IF([1]SCHEDULE!E104="","",[1]SCHEDULE!E104)</f>
        <v/>
      </c>
      <c r="F104" s="6" t="str">
        <f>IF([1]SCHEDULE!F104="","",[1]SCHEDULE!F104)</f>
        <v/>
      </c>
      <c r="G104" s="3" t="str">
        <f>IF([1]SCHEDULE!G104="","",[1]SCHEDULE!G104)</f>
        <v/>
      </c>
      <c r="H104" s="3" t="str">
        <f>IF([1]SCHEDULE!H104="","",[1]SCHEDULE!H104)</f>
        <v/>
      </c>
      <c r="I104" s="3" t="str">
        <f>IF([1]SCHEDULE!I104="","",[1]SCHEDULE!I104)</f>
        <v/>
      </c>
      <c r="J104" s="3" t="str">
        <f>IF([1]SCHEDULE!J104="","",[1]SCHEDULE!J104)</f>
        <v/>
      </c>
    </row>
    <row r="105" spans="2:10" x14ac:dyDescent="0.25">
      <c r="B105" s="3" t="str">
        <f>IF([1]SCHEDULE!B105="","",[1]SCHEDULE!B105)</f>
        <v>ASM</v>
      </c>
      <c r="C105" s="3">
        <f>IF([1]SCHEDULE!C105="","",[1]SCHEDULE!C105)</f>
        <v>1</v>
      </c>
      <c r="D105" s="1" t="str">
        <f>IF([1]SCHEDULE!D105="","",[1]SCHEDULE!D105)</f>
        <v>AS Monaco</v>
      </c>
      <c r="E105" s="1" t="str">
        <f>IF([1]SCHEDULE!E105="","",[1]SCHEDULE!E105)</f>
        <v>Valencia Basket</v>
      </c>
      <c r="F105" s="6">
        <f>IF([1]SCHEDULE!F105="","",[1]SCHEDULE!F105)</f>
        <v>45205</v>
      </c>
      <c r="G105" s="3" t="str">
        <f>IF([1]SCHEDULE!G105="","",[1]SCHEDULE!G105)</f>
        <v>A</v>
      </c>
      <c r="H105" s="3" t="str">
        <f>IF([1]SCHEDULE!H105="","",[1]SCHEDULE!H105)</f>
        <v>VAL</v>
      </c>
      <c r="I105" s="3" t="str">
        <f>IF([1]SCHEDULE!I105="","",[1]SCHEDULE!I105)</f>
        <v>1.ASM</v>
      </c>
      <c r="J105" s="3" t="str">
        <f>IF([1]SCHEDULE!J105="","",[1]SCHEDULE!J105)</f>
        <v>1.VAL</v>
      </c>
    </row>
    <row r="106" spans="2:10" x14ac:dyDescent="0.25">
      <c r="B106" s="3" t="str">
        <f>IF([1]SCHEDULE!B106="","",[1]SCHEDULE!B106)</f>
        <v>ASM</v>
      </c>
      <c r="C106" s="3">
        <f>IF([1]SCHEDULE!C106="","",[1]SCHEDULE!C106)</f>
        <v>2</v>
      </c>
      <c r="D106" s="1" t="str">
        <f>IF([1]SCHEDULE!D106="","",[1]SCHEDULE!D106)</f>
        <v>AS Monaco</v>
      </c>
      <c r="E106" s="1" t="str">
        <f>IF([1]SCHEDULE!E106="","",[1]SCHEDULE!E106)</f>
        <v>Virtus Segafredo Bologna</v>
      </c>
      <c r="F106" s="6">
        <f>IF([1]SCHEDULE!F106="","",[1]SCHEDULE!F106)</f>
        <v>45212</v>
      </c>
      <c r="G106" s="3" t="str">
        <f>IF([1]SCHEDULE!G106="","",[1]SCHEDULE!G106)</f>
        <v>H</v>
      </c>
      <c r="H106" s="3" t="str">
        <f>IF([1]SCHEDULE!H106="","",[1]SCHEDULE!H106)</f>
        <v>VIR</v>
      </c>
      <c r="I106" s="3" t="str">
        <f>IF([1]SCHEDULE!I106="","",[1]SCHEDULE!I106)</f>
        <v>2.ASM</v>
      </c>
      <c r="J106" s="3" t="str">
        <f>IF([1]SCHEDULE!J106="","",[1]SCHEDULE!J106)</f>
        <v>2.VIR</v>
      </c>
    </row>
    <row r="107" spans="2:10" x14ac:dyDescent="0.25">
      <c r="B107" s="3" t="str">
        <f>IF([1]SCHEDULE!B107="","",[1]SCHEDULE!B107)</f>
        <v>ASM</v>
      </c>
      <c r="C107" s="3">
        <f>IF([1]SCHEDULE!C107="","",[1]SCHEDULE!C107)</f>
        <v>3</v>
      </c>
      <c r="D107" s="1" t="str">
        <f>IF([1]SCHEDULE!D107="","",[1]SCHEDULE!D107)</f>
        <v>AS Monaco</v>
      </c>
      <c r="E107" s="1" t="str">
        <f>IF([1]SCHEDULE!E107="","",[1]SCHEDULE!E107)</f>
        <v>Crvena Zvezda Meridianbet Belgrade</v>
      </c>
      <c r="F107" s="6">
        <f>IF([1]SCHEDULE!F107="","",[1]SCHEDULE!F107)</f>
        <v>45217</v>
      </c>
      <c r="G107" s="3" t="str">
        <f>IF([1]SCHEDULE!G107="","",[1]SCHEDULE!G107)</f>
        <v>A</v>
      </c>
      <c r="H107" s="3" t="str">
        <f>IF([1]SCHEDULE!H107="","",[1]SCHEDULE!H107)</f>
        <v>CZB</v>
      </c>
      <c r="I107" s="3" t="str">
        <f>IF([1]SCHEDULE!I107="","",[1]SCHEDULE!I107)</f>
        <v>3.ASM</v>
      </c>
      <c r="J107" s="3" t="str">
        <f>IF([1]SCHEDULE!J107="","",[1]SCHEDULE!J107)</f>
        <v>3.CZB</v>
      </c>
    </row>
    <row r="108" spans="2:10" x14ac:dyDescent="0.25">
      <c r="B108" s="3" t="str">
        <f>IF([1]SCHEDULE!B108="","",[1]SCHEDULE!B108)</f>
        <v>ASM</v>
      </c>
      <c r="C108" s="3">
        <f>IF([1]SCHEDULE!C108="","",[1]SCHEDULE!C108)</f>
        <v>4</v>
      </c>
      <c r="D108" s="1" t="str">
        <f>IF([1]SCHEDULE!D108="","",[1]SCHEDULE!D108)</f>
        <v>AS Monaco</v>
      </c>
      <c r="E108" s="1" t="str">
        <f>IF([1]SCHEDULE!E108="","",[1]SCHEDULE!E108)</f>
        <v>ALBA Berlin</v>
      </c>
      <c r="F108" s="6">
        <f>IF([1]SCHEDULE!F108="","",[1]SCHEDULE!F108)</f>
        <v>45219</v>
      </c>
      <c r="G108" s="3" t="str">
        <f>IF([1]SCHEDULE!G108="","",[1]SCHEDULE!G108)</f>
        <v>H</v>
      </c>
      <c r="H108" s="3" t="str">
        <f>IF([1]SCHEDULE!H108="","",[1]SCHEDULE!H108)</f>
        <v>BER</v>
      </c>
      <c r="I108" s="3" t="str">
        <f>IF([1]SCHEDULE!I108="","",[1]SCHEDULE!I108)</f>
        <v>4.ASM</v>
      </c>
      <c r="J108" s="3" t="str">
        <f>IF([1]SCHEDULE!J108="","",[1]SCHEDULE!J108)</f>
        <v>4.BER</v>
      </c>
    </row>
    <row r="109" spans="2:10" x14ac:dyDescent="0.25">
      <c r="B109" s="3" t="str">
        <f>IF([1]SCHEDULE!B109="","",[1]SCHEDULE!B109)</f>
        <v>ASM</v>
      </c>
      <c r="C109" s="3">
        <f>IF([1]SCHEDULE!C109="","",[1]SCHEDULE!C109)</f>
        <v>5</v>
      </c>
      <c r="D109" s="1" t="str">
        <f>IF([1]SCHEDULE!D109="","",[1]SCHEDULE!D109)</f>
        <v>AS Monaco</v>
      </c>
      <c r="E109" s="1" t="str">
        <f>IF([1]SCHEDULE!E109="","",[1]SCHEDULE!E109)</f>
        <v>Maccabi Playtika Tel Aviv</v>
      </c>
      <c r="F109" s="6">
        <f>IF([1]SCHEDULE!F109="","",[1]SCHEDULE!F109)</f>
        <v>45225</v>
      </c>
      <c r="G109" s="3" t="str">
        <f>IF([1]SCHEDULE!G109="","",[1]SCHEDULE!G109)</f>
        <v>H</v>
      </c>
      <c r="H109" s="3" t="str">
        <f>IF([1]SCHEDULE!H109="","",[1]SCHEDULE!H109)</f>
        <v>MTA</v>
      </c>
      <c r="I109" s="3" t="str">
        <f>IF([1]SCHEDULE!I109="","",[1]SCHEDULE!I109)</f>
        <v>5.ASM</v>
      </c>
      <c r="J109" s="3" t="str">
        <f>IF([1]SCHEDULE!J109="","",[1]SCHEDULE!J109)</f>
        <v>5.MTA</v>
      </c>
    </row>
    <row r="110" spans="2:10" x14ac:dyDescent="0.25">
      <c r="B110" s="3" t="str">
        <f>IF([1]SCHEDULE!B110="","",[1]SCHEDULE!B110)</f>
        <v>ASM</v>
      </c>
      <c r="C110" s="3">
        <f>IF([1]SCHEDULE!C110="","",[1]SCHEDULE!C110)</f>
        <v>6</v>
      </c>
      <c r="D110" s="1" t="str">
        <f>IF([1]SCHEDULE!D110="","",[1]SCHEDULE!D110)</f>
        <v>AS Monaco</v>
      </c>
      <c r="E110" s="1" t="str">
        <f>IF([1]SCHEDULE!E110="","",[1]SCHEDULE!E110)</f>
        <v>EA7 Emporio Armani Milan</v>
      </c>
      <c r="F110" s="6">
        <f>IF([1]SCHEDULE!F110="","",[1]SCHEDULE!F110)</f>
        <v>45232</v>
      </c>
      <c r="G110" s="3" t="str">
        <f>IF([1]SCHEDULE!G110="","",[1]SCHEDULE!G110)</f>
        <v>A</v>
      </c>
      <c r="H110" s="3" t="str">
        <f>IF([1]SCHEDULE!H110="","",[1]SCHEDULE!H110)</f>
        <v>MIL</v>
      </c>
      <c r="I110" s="3" t="str">
        <f>IF([1]SCHEDULE!I110="","",[1]SCHEDULE!I110)</f>
        <v>6.ASM</v>
      </c>
      <c r="J110" s="3" t="str">
        <f>IF([1]SCHEDULE!J110="","",[1]SCHEDULE!J110)</f>
        <v>6.MIL</v>
      </c>
    </row>
    <row r="111" spans="2:10" x14ac:dyDescent="0.25">
      <c r="B111" s="3" t="str">
        <f>IF([1]SCHEDULE!B111="","",[1]SCHEDULE!B111)</f>
        <v>ASM</v>
      </c>
      <c r="C111" s="3">
        <f>IF([1]SCHEDULE!C111="","",[1]SCHEDULE!C111)</f>
        <v>7</v>
      </c>
      <c r="D111" s="1" t="str">
        <f>IF([1]SCHEDULE!D111="","",[1]SCHEDULE!D111)</f>
        <v>AS Monaco</v>
      </c>
      <c r="E111" s="1" t="str">
        <f>IF([1]SCHEDULE!E111="","",[1]SCHEDULE!E111)</f>
        <v>LDLC ASVEL Villeurbanne</v>
      </c>
      <c r="F111" s="6">
        <f>IF([1]SCHEDULE!F111="","",[1]SCHEDULE!F111)</f>
        <v>45240</v>
      </c>
      <c r="G111" s="3" t="str">
        <f>IF([1]SCHEDULE!G111="","",[1]SCHEDULE!G111)</f>
        <v>H</v>
      </c>
      <c r="H111" s="3" t="str">
        <f>IF([1]SCHEDULE!H111="","",[1]SCHEDULE!H111)</f>
        <v>ASV</v>
      </c>
      <c r="I111" s="3" t="str">
        <f>IF([1]SCHEDULE!I111="","",[1]SCHEDULE!I111)</f>
        <v>7.ASM</v>
      </c>
      <c r="J111" s="3" t="str">
        <f>IF([1]SCHEDULE!J111="","",[1]SCHEDULE!J111)</f>
        <v>7.ASV</v>
      </c>
    </row>
    <row r="112" spans="2:10" x14ac:dyDescent="0.25">
      <c r="B112" s="3" t="str">
        <f>IF([1]SCHEDULE!B112="","",[1]SCHEDULE!B112)</f>
        <v>ASM</v>
      </c>
      <c r="C112" s="3">
        <f>IF([1]SCHEDULE!C112="","",[1]SCHEDULE!C112)</f>
        <v>8</v>
      </c>
      <c r="D112" s="1" t="str">
        <f>IF([1]SCHEDULE!D112="","",[1]SCHEDULE!D112)</f>
        <v>AS Monaco</v>
      </c>
      <c r="E112" s="1" t="str">
        <f>IF([1]SCHEDULE!E112="","",[1]SCHEDULE!E112)</f>
        <v>Anadolu Efes Istanbul</v>
      </c>
      <c r="F112" s="6">
        <f>IF([1]SCHEDULE!F112="","",[1]SCHEDULE!F112)</f>
        <v>45244</v>
      </c>
      <c r="G112" s="3" t="str">
        <f>IF([1]SCHEDULE!G112="","",[1]SCHEDULE!G112)</f>
        <v>H</v>
      </c>
      <c r="H112" s="3" t="str">
        <f>IF([1]SCHEDULE!H112="","",[1]SCHEDULE!H112)</f>
        <v>EFE</v>
      </c>
      <c r="I112" s="3" t="str">
        <f>IF([1]SCHEDULE!I112="","",[1]SCHEDULE!I112)</f>
        <v>8.ASM</v>
      </c>
      <c r="J112" s="3" t="str">
        <f>IF([1]SCHEDULE!J112="","",[1]SCHEDULE!J112)</f>
        <v>8.EFE</v>
      </c>
    </row>
    <row r="113" spans="2:10" x14ac:dyDescent="0.25">
      <c r="B113" s="3" t="str">
        <f>IF([1]SCHEDULE!B113="","",[1]SCHEDULE!B113)</f>
        <v>ASM</v>
      </c>
      <c r="C113" s="3">
        <f>IF([1]SCHEDULE!C113="","",[1]SCHEDULE!C113)</f>
        <v>9</v>
      </c>
      <c r="D113" s="1" t="str">
        <f>IF([1]SCHEDULE!D113="","",[1]SCHEDULE!D113)</f>
        <v>AS Monaco</v>
      </c>
      <c r="E113" s="1" t="str">
        <f>IF([1]SCHEDULE!E113="","",[1]SCHEDULE!E113)</f>
        <v>Real Madrid</v>
      </c>
      <c r="F113" s="6">
        <f>IF([1]SCHEDULE!F113="","",[1]SCHEDULE!F113)</f>
        <v>45246</v>
      </c>
      <c r="G113" s="3" t="str">
        <f>IF([1]SCHEDULE!G113="","",[1]SCHEDULE!G113)</f>
        <v>A</v>
      </c>
      <c r="H113" s="3" t="str">
        <f>IF([1]SCHEDULE!H113="","",[1]SCHEDULE!H113)</f>
        <v>RMB</v>
      </c>
      <c r="I113" s="3" t="str">
        <f>IF([1]SCHEDULE!I113="","",[1]SCHEDULE!I113)</f>
        <v>9.ASM</v>
      </c>
      <c r="J113" s="3" t="str">
        <f>IF([1]SCHEDULE!J113="","",[1]SCHEDULE!J113)</f>
        <v>9.RMB</v>
      </c>
    </row>
    <row r="114" spans="2:10" x14ac:dyDescent="0.25">
      <c r="B114" s="3" t="str">
        <f>IF([1]SCHEDULE!B114="","",[1]SCHEDULE!B114)</f>
        <v>ASM</v>
      </c>
      <c r="C114" s="3">
        <f>IF([1]SCHEDULE!C114="","",[1]SCHEDULE!C114)</f>
        <v>10</v>
      </c>
      <c r="D114" s="1" t="str">
        <f>IF([1]SCHEDULE!D114="","",[1]SCHEDULE!D114)</f>
        <v>AS Monaco</v>
      </c>
      <c r="E114" s="1" t="str">
        <f>IF([1]SCHEDULE!E114="","",[1]SCHEDULE!E114)</f>
        <v>Baskonia Vitoria-Gasteiz</v>
      </c>
      <c r="F114" s="6">
        <f>IF([1]SCHEDULE!F114="","",[1]SCHEDULE!F114)</f>
        <v>45254</v>
      </c>
      <c r="G114" s="3" t="str">
        <f>IF([1]SCHEDULE!G114="","",[1]SCHEDULE!G114)</f>
        <v>A</v>
      </c>
      <c r="H114" s="3" t="str">
        <f>IF([1]SCHEDULE!H114="","",[1]SCHEDULE!H114)</f>
        <v>BAS</v>
      </c>
      <c r="I114" s="3" t="str">
        <f>IF([1]SCHEDULE!I114="","",[1]SCHEDULE!I114)</f>
        <v>10.ASM</v>
      </c>
      <c r="J114" s="3" t="str">
        <f>IF([1]SCHEDULE!J114="","",[1]SCHEDULE!J114)</f>
        <v>10.BAS</v>
      </c>
    </row>
    <row r="115" spans="2:10" x14ac:dyDescent="0.25">
      <c r="B115" s="3" t="str">
        <f>IF([1]SCHEDULE!B115="","",[1]SCHEDULE!B115)</f>
        <v>ASM</v>
      </c>
      <c r="C115" s="3">
        <f>IF([1]SCHEDULE!C115="","",[1]SCHEDULE!C115)</f>
        <v>11</v>
      </c>
      <c r="D115" s="1" t="str">
        <f>IF([1]SCHEDULE!D115="","",[1]SCHEDULE!D115)</f>
        <v>AS Monaco</v>
      </c>
      <c r="E115" s="1" t="str">
        <f>IF([1]SCHEDULE!E115="","",[1]SCHEDULE!E115)</f>
        <v>Olympiacos Piraeus</v>
      </c>
      <c r="F115" s="6">
        <f>IF([1]SCHEDULE!F115="","",[1]SCHEDULE!F115)</f>
        <v>45260</v>
      </c>
      <c r="G115" s="3" t="str">
        <f>IF([1]SCHEDULE!G115="","",[1]SCHEDULE!G115)</f>
        <v>H</v>
      </c>
      <c r="H115" s="3" t="str">
        <f>IF([1]SCHEDULE!H115="","",[1]SCHEDULE!H115)</f>
        <v>OLY</v>
      </c>
      <c r="I115" s="3" t="str">
        <f>IF([1]SCHEDULE!I115="","",[1]SCHEDULE!I115)</f>
        <v>11.ASM</v>
      </c>
      <c r="J115" s="3" t="str">
        <f>IF([1]SCHEDULE!J115="","",[1]SCHEDULE!J115)</f>
        <v>11.OLY</v>
      </c>
    </row>
    <row r="116" spans="2:10" x14ac:dyDescent="0.25">
      <c r="B116" s="3" t="str">
        <f>IF([1]SCHEDULE!B116="","",[1]SCHEDULE!B116)</f>
        <v>ASM</v>
      </c>
      <c r="C116" s="3">
        <f>IF([1]SCHEDULE!C116="","",[1]SCHEDULE!C116)</f>
        <v>12</v>
      </c>
      <c r="D116" s="1" t="str">
        <f>IF([1]SCHEDULE!D116="","",[1]SCHEDULE!D116)</f>
        <v>AS Monaco</v>
      </c>
      <c r="E116" s="1" t="str">
        <f>IF([1]SCHEDULE!E116="","",[1]SCHEDULE!E116)</f>
        <v>Partizan Mozzart Bet Belgrade</v>
      </c>
      <c r="F116" s="6">
        <f>IF([1]SCHEDULE!F116="","",[1]SCHEDULE!F116)</f>
        <v>45265</v>
      </c>
      <c r="G116" s="3" t="str">
        <f>IF([1]SCHEDULE!G116="","",[1]SCHEDULE!G116)</f>
        <v>A</v>
      </c>
      <c r="H116" s="3" t="str">
        <f>IF([1]SCHEDULE!H116="","",[1]SCHEDULE!H116)</f>
        <v>PAR</v>
      </c>
      <c r="I116" s="3" t="str">
        <f>IF([1]SCHEDULE!I116="","",[1]SCHEDULE!I116)</f>
        <v>12.ASM</v>
      </c>
      <c r="J116" s="3" t="str">
        <f>IF([1]SCHEDULE!J116="","",[1]SCHEDULE!J116)</f>
        <v>12.PAR</v>
      </c>
    </row>
    <row r="117" spans="2:10" x14ac:dyDescent="0.25">
      <c r="B117" s="3" t="str">
        <f>IF([1]SCHEDULE!B117="","",[1]SCHEDULE!B117)</f>
        <v>ASM</v>
      </c>
      <c r="C117" s="3">
        <f>IF([1]SCHEDULE!C117="","",[1]SCHEDULE!C117)</f>
        <v>13</v>
      </c>
      <c r="D117" s="1" t="str">
        <f>IF([1]SCHEDULE!D117="","",[1]SCHEDULE!D117)</f>
        <v>AS Monaco</v>
      </c>
      <c r="E117" s="1" t="str">
        <f>IF([1]SCHEDULE!E117="","",[1]SCHEDULE!E117)</f>
        <v>Zalgiris Kaunas</v>
      </c>
      <c r="F117" s="6">
        <f>IF([1]SCHEDULE!F117="","",[1]SCHEDULE!F117)</f>
        <v>45268</v>
      </c>
      <c r="G117" s="3" t="str">
        <f>IF([1]SCHEDULE!G117="","",[1]SCHEDULE!G117)</f>
        <v>A</v>
      </c>
      <c r="H117" s="3" t="str">
        <f>IF([1]SCHEDULE!H117="","",[1]SCHEDULE!H117)</f>
        <v>ZAL</v>
      </c>
      <c r="I117" s="3" t="str">
        <f>IF([1]SCHEDULE!I117="","",[1]SCHEDULE!I117)</f>
        <v>13.ASM</v>
      </c>
      <c r="J117" s="3" t="str">
        <f>IF([1]SCHEDULE!J117="","",[1]SCHEDULE!J117)</f>
        <v>13.ZAL</v>
      </c>
    </row>
    <row r="118" spans="2:10" x14ac:dyDescent="0.25">
      <c r="B118" s="3" t="str">
        <f>IF([1]SCHEDULE!B118="","",[1]SCHEDULE!B118)</f>
        <v>ASM</v>
      </c>
      <c r="C118" s="3">
        <f>IF([1]SCHEDULE!C118="","",[1]SCHEDULE!C118)</f>
        <v>14</v>
      </c>
      <c r="D118" s="1" t="str">
        <f>IF([1]SCHEDULE!D118="","",[1]SCHEDULE!D118)</f>
        <v>AS Monaco</v>
      </c>
      <c r="E118" s="1" t="str">
        <f>IF([1]SCHEDULE!E118="","",[1]SCHEDULE!E118)</f>
        <v>Fenerbahce Beko Istanbul</v>
      </c>
      <c r="F118" s="6">
        <f>IF([1]SCHEDULE!F118="","",[1]SCHEDULE!F118)</f>
        <v>45275</v>
      </c>
      <c r="G118" s="3" t="str">
        <f>IF([1]SCHEDULE!G118="","",[1]SCHEDULE!G118)</f>
        <v>A</v>
      </c>
      <c r="H118" s="3" t="str">
        <f>IF([1]SCHEDULE!H118="","",[1]SCHEDULE!H118)</f>
        <v>FEN</v>
      </c>
      <c r="I118" s="3" t="str">
        <f>IF([1]SCHEDULE!I118="","",[1]SCHEDULE!I118)</f>
        <v>14.ASM</v>
      </c>
      <c r="J118" s="3" t="str">
        <f>IF([1]SCHEDULE!J118="","",[1]SCHEDULE!J118)</f>
        <v>14.FEN</v>
      </c>
    </row>
    <row r="119" spans="2:10" x14ac:dyDescent="0.25">
      <c r="B119" s="3" t="str">
        <f>IF([1]SCHEDULE!B119="","",[1]SCHEDULE!B119)</f>
        <v>ASM</v>
      </c>
      <c r="C119" s="3">
        <f>IF([1]SCHEDULE!C119="","",[1]SCHEDULE!C119)</f>
        <v>15</v>
      </c>
      <c r="D119" s="1" t="str">
        <f>IF([1]SCHEDULE!D119="","",[1]SCHEDULE!D119)</f>
        <v>AS Monaco</v>
      </c>
      <c r="E119" s="1" t="str">
        <f>IF([1]SCHEDULE!E119="","",[1]SCHEDULE!E119)</f>
        <v>Panathinaikos Athens</v>
      </c>
      <c r="F119" s="6">
        <f>IF([1]SCHEDULE!F119="","",[1]SCHEDULE!F119)</f>
        <v>45280</v>
      </c>
      <c r="G119" s="3" t="str">
        <f>IF([1]SCHEDULE!G119="","",[1]SCHEDULE!G119)</f>
        <v>H</v>
      </c>
      <c r="H119" s="3" t="str">
        <f>IF([1]SCHEDULE!H119="","",[1]SCHEDULE!H119)</f>
        <v>PAN</v>
      </c>
      <c r="I119" s="3" t="str">
        <f>IF([1]SCHEDULE!I119="","",[1]SCHEDULE!I119)</f>
        <v>15.ASM</v>
      </c>
      <c r="J119" s="3" t="str">
        <f>IF([1]SCHEDULE!J119="","",[1]SCHEDULE!J119)</f>
        <v>15.PAN</v>
      </c>
    </row>
    <row r="120" spans="2:10" x14ac:dyDescent="0.25">
      <c r="B120" s="3" t="str">
        <f>IF([1]SCHEDULE!B120="","",[1]SCHEDULE!B120)</f>
        <v>ASM</v>
      </c>
      <c r="C120" s="3">
        <f>IF([1]SCHEDULE!C120="","",[1]SCHEDULE!C120)</f>
        <v>16</v>
      </c>
      <c r="D120" s="1" t="str">
        <f>IF([1]SCHEDULE!D120="","",[1]SCHEDULE!D120)</f>
        <v>AS Monaco</v>
      </c>
      <c r="E120" s="1" t="str">
        <f>IF([1]SCHEDULE!E120="","",[1]SCHEDULE!E120)</f>
        <v>FC Bayern Munich</v>
      </c>
      <c r="F120" s="6">
        <f>IF([1]SCHEDULE!F120="","",[1]SCHEDULE!F120)</f>
        <v>45282</v>
      </c>
      <c r="G120" s="3" t="str">
        <f>IF([1]SCHEDULE!G120="","",[1]SCHEDULE!G120)</f>
        <v>A</v>
      </c>
      <c r="H120" s="3" t="str">
        <f>IF([1]SCHEDULE!H120="","",[1]SCHEDULE!H120)</f>
        <v>BAY</v>
      </c>
      <c r="I120" s="3" t="str">
        <f>IF([1]SCHEDULE!I120="","",[1]SCHEDULE!I120)</f>
        <v>16.ASM</v>
      </c>
      <c r="J120" s="3" t="str">
        <f>IF([1]SCHEDULE!J120="","",[1]SCHEDULE!J120)</f>
        <v>16.BAY</v>
      </c>
    </row>
    <row r="121" spans="2:10" x14ac:dyDescent="0.25">
      <c r="B121" s="3" t="str">
        <f>IF([1]SCHEDULE!B121="","",[1]SCHEDULE!B121)</f>
        <v>ASM</v>
      </c>
      <c r="C121" s="3">
        <f>IF([1]SCHEDULE!C121="","",[1]SCHEDULE!C121)</f>
        <v>17</v>
      </c>
      <c r="D121" s="1" t="str">
        <f>IF([1]SCHEDULE!D121="","",[1]SCHEDULE!D121)</f>
        <v>AS Monaco</v>
      </c>
      <c r="E121" s="1" t="str">
        <f>IF([1]SCHEDULE!E121="","",[1]SCHEDULE!E121)</f>
        <v>FC Barcelona</v>
      </c>
      <c r="F121" s="6">
        <f>IF([1]SCHEDULE!F121="","",[1]SCHEDULE!F121)</f>
        <v>45289</v>
      </c>
      <c r="G121" s="3" t="str">
        <f>IF([1]SCHEDULE!G121="","",[1]SCHEDULE!G121)</f>
        <v>H</v>
      </c>
      <c r="H121" s="3" t="str">
        <f>IF([1]SCHEDULE!H121="","",[1]SCHEDULE!H121)</f>
        <v>FCB</v>
      </c>
      <c r="I121" s="3" t="str">
        <f>IF([1]SCHEDULE!I121="","",[1]SCHEDULE!I121)</f>
        <v>17.ASM</v>
      </c>
      <c r="J121" s="3" t="str">
        <f>IF([1]SCHEDULE!J121="","",[1]SCHEDULE!J121)</f>
        <v>17.FCB</v>
      </c>
    </row>
    <row r="122" spans="2:10" x14ac:dyDescent="0.25">
      <c r="B122" s="3" t="str">
        <f>IF([1]SCHEDULE!B122="","",[1]SCHEDULE!B122)</f>
        <v>ASM</v>
      </c>
      <c r="C122" s="3">
        <f>IF([1]SCHEDULE!C122="","",[1]SCHEDULE!C122)</f>
        <v>18</v>
      </c>
      <c r="D122" s="1" t="str">
        <f>IF([1]SCHEDULE!D122="","",[1]SCHEDULE!D122)</f>
        <v>AS Monaco</v>
      </c>
      <c r="E122" s="1" t="str">
        <f>IF([1]SCHEDULE!E122="","",[1]SCHEDULE!E122)</f>
        <v>Maccabi Playtika Tel Aviv</v>
      </c>
      <c r="F122" s="6">
        <f>IF([1]SCHEDULE!F122="","",[1]SCHEDULE!F122)</f>
        <v>45293</v>
      </c>
      <c r="G122" s="3" t="str">
        <f>IF([1]SCHEDULE!G122="","",[1]SCHEDULE!G122)</f>
        <v>A</v>
      </c>
      <c r="H122" s="3" t="str">
        <f>IF([1]SCHEDULE!H122="","",[1]SCHEDULE!H122)</f>
        <v>MTA</v>
      </c>
      <c r="I122" s="3" t="str">
        <f>IF([1]SCHEDULE!I122="","",[1]SCHEDULE!I122)</f>
        <v>18.ASM</v>
      </c>
      <c r="J122" s="3" t="str">
        <f>IF([1]SCHEDULE!J122="","",[1]SCHEDULE!J122)</f>
        <v>18.MTA</v>
      </c>
    </row>
    <row r="123" spans="2:10" x14ac:dyDescent="0.25">
      <c r="B123" s="3" t="str">
        <f>IF([1]SCHEDULE!B123="","",[1]SCHEDULE!B123)</f>
        <v>ASM</v>
      </c>
      <c r="C123" s="3">
        <f>IF([1]SCHEDULE!C123="","",[1]SCHEDULE!C123)</f>
        <v>19</v>
      </c>
      <c r="D123" s="1" t="str">
        <f>IF([1]SCHEDULE!D123="","",[1]SCHEDULE!D123)</f>
        <v>AS Monaco</v>
      </c>
      <c r="E123" s="1" t="str">
        <f>IF([1]SCHEDULE!E123="","",[1]SCHEDULE!E123)</f>
        <v>Olympiacos Piraeus</v>
      </c>
      <c r="F123" s="6">
        <f>IF([1]SCHEDULE!F123="","",[1]SCHEDULE!F123)</f>
        <v>45295</v>
      </c>
      <c r="G123" s="3" t="str">
        <f>IF([1]SCHEDULE!G123="","",[1]SCHEDULE!G123)</f>
        <v>A</v>
      </c>
      <c r="H123" s="3" t="str">
        <f>IF([1]SCHEDULE!H123="","",[1]SCHEDULE!H123)</f>
        <v>OLY</v>
      </c>
      <c r="I123" s="3" t="str">
        <f>IF([1]SCHEDULE!I123="","",[1]SCHEDULE!I123)</f>
        <v>19.ASM</v>
      </c>
      <c r="J123" s="3" t="str">
        <f>IF([1]SCHEDULE!J123="","",[1]SCHEDULE!J123)</f>
        <v>19.OLY</v>
      </c>
    </row>
    <row r="124" spans="2:10" x14ac:dyDescent="0.25">
      <c r="B124" s="3" t="str">
        <f>IF([1]SCHEDULE!B124="","",[1]SCHEDULE!B124)</f>
        <v>ASM</v>
      </c>
      <c r="C124" s="3">
        <f>IF([1]SCHEDULE!C124="","",[1]SCHEDULE!C124)</f>
        <v>20</v>
      </c>
      <c r="D124" s="1" t="str">
        <f>IF([1]SCHEDULE!D124="","",[1]SCHEDULE!D124)</f>
        <v>AS Monaco</v>
      </c>
      <c r="E124" s="1" t="str">
        <f>IF([1]SCHEDULE!E124="","",[1]SCHEDULE!E124)</f>
        <v>Baskonia Vitoria-Gasteiz</v>
      </c>
      <c r="F124" s="6">
        <f>IF([1]SCHEDULE!F124="","",[1]SCHEDULE!F124)</f>
        <v>45300</v>
      </c>
      <c r="G124" s="3" t="str">
        <f>IF([1]SCHEDULE!G124="","",[1]SCHEDULE!G124)</f>
        <v>H</v>
      </c>
      <c r="H124" s="3" t="str">
        <f>IF([1]SCHEDULE!H124="","",[1]SCHEDULE!H124)</f>
        <v>BAS</v>
      </c>
      <c r="I124" s="3" t="str">
        <f>IF([1]SCHEDULE!I124="","",[1]SCHEDULE!I124)</f>
        <v>20.ASM</v>
      </c>
      <c r="J124" s="3" t="str">
        <f>IF([1]SCHEDULE!J124="","",[1]SCHEDULE!J124)</f>
        <v>20.BAS</v>
      </c>
    </row>
    <row r="125" spans="2:10" x14ac:dyDescent="0.25">
      <c r="B125" s="3" t="str">
        <f>IF([1]SCHEDULE!B125="","",[1]SCHEDULE!B125)</f>
        <v>ASM</v>
      </c>
      <c r="C125" s="3">
        <f>IF([1]SCHEDULE!C125="","",[1]SCHEDULE!C125)</f>
        <v>21</v>
      </c>
      <c r="D125" s="1" t="str">
        <f>IF([1]SCHEDULE!D125="","",[1]SCHEDULE!D125)</f>
        <v>AS Monaco</v>
      </c>
      <c r="E125" s="1" t="str">
        <f>IF([1]SCHEDULE!E125="","",[1]SCHEDULE!E125)</f>
        <v>Panathinaikos Athens</v>
      </c>
      <c r="F125" s="6">
        <f>IF([1]SCHEDULE!F125="","",[1]SCHEDULE!F125)</f>
        <v>45302</v>
      </c>
      <c r="G125" s="3" t="str">
        <f>IF([1]SCHEDULE!G125="","",[1]SCHEDULE!G125)</f>
        <v>A</v>
      </c>
      <c r="H125" s="3" t="str">
        <f>IF([1]SCHEDULE!H125="","",[1]SCHEDULE!H125)</f>
        <v>PAN</v>
      </c>
      <c r="I125" s="3" t="str">
        <f>IF([1]SCHEDULE!I125="","",[1]SCHEDULE!I125)</f>
        <v>21.ASM</v>
      </c>
      <c r="J125" s="3" t="str">
        <f>IF([1]SCHEDULE!J125="","",[1]SCHEDULE!J125)</f>
        <v>21.PAN</v>
      </c>
    </row>
    <row r="126" spans="2:10" x14ac:dyDescent="0.25">
      <c r="B126" s="3" t="str">
        <f>IF([1]SCHEDULE!B126="","",[1]SCHEDULE!B126)</f>
        <v>ASM</v>
      </c>
      <c r="C126" s="3">
        <f>IF([1]SCHEDULE!C126="","",[1]SCHEDULE!C126)</f>
        <v>22</v>
      </c>
      <c r="D126" s="1" t="str">
        <f>IF([1]SCHEDULE!D126="","",[1]SCHEDULE!D126)</f>
        <v>AS Monaco</v>
      </c>
      <c r="E126" s="1" t="str">
        <f>IF([1]SCHEDULE!E126="","",[1]SCHEDULE!E126)</f>
        <v>Real Madrid</v>
      </c>
      <c r="F126" s="6">
        <f>IF([1]SCHEDULE!F126="","",[1]SCHEDULE!F126)</f>
        <v>45310</v>
      </c>
      <c r="G126" s="3" t="str">
        <f>IF([1]SCHEDULE!G126="","",[1]SCHEDULE!G126)</f>
        <v>H</v>
      </c>
      <c r="H126" s="3" t="str">
        <f>IF([1]SCHEDULE!H126="","",[1]SCHEDULE!H126)</f>
        <v>RMB</v>
      </c>
      <c r="I126" s="3" t="str">
        <f>IF([1]SCHEDULE!I126="","",[1]SCHEDULE!I126)</f>
        <v>22.ASM</v>
      </c>
      <c r="J126" s="3" t="str">
        <f>IF([1]SCHEDULE!J126="","",[1]SCHEDULE!J126)</f>
        <v>22.RMB</v>
      </c>
    </row>
    <row r="127" spans="2:10" x14ac:dyDescent="0.25">
      <c r="B127" s="3" t="str">
        <f>IF([1]SCHEDULE!B127="","",[1]SCHEDULE!B127)</f>
        <v>ASM</v>
      </c>
      <c r="C127" s="3">
        <f>IF([1]SCHEDULE!C127="","",[1]SCHEDULE!C127)</f>
        <v>23</v>
      </c>
      <c r="D127" s="1" t="str">
        <f>IF([1]SCHEDULE!D127="","",[1]SCHEDULE!D127)</f>
        <v>AS Monaco</v>
      </c>
      <c r="E127" s="1" t="str">
        <f>IF([1]SCHEDULE!E127="","",[1]SCHEDULE!E127)</f>
        <v>Anadolu Efes Istanbul</v>
      </c>
      <c r="F127" s="6">
        <f>IF([1]SCHEDULE!F127="","",[1]SCHEDULE!F127)</f>
        <v>45317</v>
      </c>
      <c r="G127" s="3" t="str">
        <f>IF([1]SCHEDULE!G127="","",[1]SCHEDULE!G127)</f>
        <v>A</v>
      </c>
      <c r="H127" s="3" t="str">
        <f>IF([1]SCHEDULE!H127="","",[1]SCHEDULE!H127)</f>
        <v>EFE</v>
      </c>
      <c r="I127" s="3" t="str">
        <f>IF([1]SCHEDULE!I127="","",[1]SCHEDULE!I127)</f>
        <v>23.ASM</v>
      </c>
      <c r="J127" s="3" t="str">
        <f>IF([1]SCHEDULE!J127="","",[1]SCHEDULE!J127)</f>
        <v>23.EFE</v>
      </c>
    </row>
    <row r="128" spans="2:10" x14ac:dyDescent="0.25">
      <c r="B128" s="3" t="str">
        <f>IF([1]SCHEDULE!B128="","",[1]SCHEDULE!B128)</f>
        <v>ASM</v>
      </c>
      <c r="C128" s="3">
        <f>IF([1]SCHEDULE!C128="","",[1]SCHEDULE!C128)</f>
        <v>24</v>
      </c>
      <c r="D128" s="1" t="str">
        <f>IF([1]SCHEDULE!D128="","",[1]SCHEDULE!D128)</f>
        <v>AS Monaco</v>
      </c>
      <c r="E128" s="1" t="str">
        <f>IF([1]SCHEDULE!E128="","",[1]SCHEDULE!E128)</f>
        <v>Partizan Mozzart Bet Belgrade</v>
      </c>
      <c r="F128" s="6">
        <f>IF([1]SCHEDULE!F128="","",[1]SCHEDULE!F128)</f>
        <v>45322</v>
      </c>
      <c r="G128" s="3" t="str">
        <f>IF([1]SCHEDULE!G128="","",[1]SCHEDULE!G128)</f>
        <v>H</v>
      </c>
      <c r="H128" s="3" t="str">
        <f>IF([1]SCHEDULE!H128="","",[1]SCHEDULE!H128)</f>
        <v>PAR</v>
      </c>
      <c r="I128" s="3" t="str">
        <f>IF([1]SCHEDULE!I128="","",[1]SCHEDULE!I128)</f>
        <v>24.ASM</v>
      </c>
      <c r="J128" s="3" t="str">
        <f>IF([1]SCHEDULE!J128="","",[1]SCHEDULE!J128)</f>
        <v>24.PAR</v>
      </c>
    </row>
    <row r="129" spans="2:10" x14ac:dyDescent="0.25">
      <c r="B129" s="3" t="str">
        <f>IF([1]SCHEDULE!B129="","",[1]SCHEDULE!B129)</f>
        <v>ASM</v>
      </c>
      <c r="C129" s="3">
        <f>IF([1]SCHEDULE!C129="","",[1]SCHEDULE!C129)</f>
        <v>25</v>
      </c>
      <c r="D129" s="1" t="str">
        <f>IF([1]SCHEDULE!D129="","",[1]SCHEDULE!D129)</f>
        <v>AS Monaco</v>
      </c>
      <c r="E129" s="1" t="str">
        <f>IF([1]SCHEDULE!E129="","",[1]SCHEDULE!E129)</f>
        <v>Fenerbahce Beko Istanbul</v>
      </c>
      <c r="F129" s="6">
        <f>IF([1]SCHEDULE!F129="","",[1]SCHEDULE!F129)</f>
        <v>45324</v>
      </c>
      <c r="G129" s="3" t="str">
        <f>IF([1]SCHEDULE!G129="","",[1]SCHEDULE!G129)</f>
        <v>H</v>
      </c>
      <c r="H129" s="3" t="str">
        <f>IF([1]SCHEDULE!H129="","",[1]SCHEDULE!H129)</f>
        <v>FEN</v>
      </c>
      <c r="I129" s="3" t="str">
        <f>IF([1]SCHEDULE!I129="","",[1]SCHEDULE!I129)</f>
        <v>25.ASM</v>
      </c>
      <c r="J129" s="3" t="str">
        <f>IF([1]SCHEDULE!J129="","",[1]SCHEDULE!J129)</f>
        <v>25.FEN</v>
      </c>
    </row>
    <row r="130" spans="2:10" x14ac:dyDescent="0.25">
      <c r="B130" s="3" t="str">
        <f>IF([1]SCHEDULE!B130="","",[1]SCHEDULE!B130)</f>
        <v>ASM</v>
      </c>
      <c r="C130" s="3">
        <f>IF([1]SCHEDULE!C130="","",[1]SCHEDULE!C130)</f>
        <v>26</v>
      </c>
      <c r="D130" s="1" t="str">
        <f>IF([1]SCHEDULE!D130="","",[1]SCHEDULE!D130)</f>
        <v>AS Monaco</v>
      </c>
      <c r="E130" s="1" t="str">
        <f>IF([1]SCHEDULE!E130="","",[1]SCHEDULE!E130)</f>
        <v>Virtus Segafredo Bologna</v>
      </c>
      <c r="F130" s="6">
        <f>IF([1]SCHEDULE!F130="","",[1]SCHEDULE!F130)</f>
        <v>45331</v>
      </c>
      <c r="G130" s="3" t="str">
        <f>IF([1]SCHEDULE!G130="","",[1]SCHEDULE!G130)</f>
        <v>A</v>
      </c>
      <c r="H130" s="3" t="str">
        <f>IF([1]SCHEDULE!H130="","",[1]SCHEDULE!H130)</f>
        <v>VIR</v>
      </c>
      <c r="I130" s="3" t="str">
        <f>IF([1]SCHEDULE!I130="","",[1]SCHEDULE!I130)</f>
        <v>26.ASM</v>
      </c>
      <c r="J130" s="3" t="str">
        <f>IF([1]SCHEDULE!J130="","",[1]SCHEDULE!J130)</f>
        <v>26.VIR</v>
      </c>
    </row>
    <row r="131" spans="2:10" x14ac:dyDescent="0.25">
      <c r="B131" s="3" t="str">
        <f>IF([1]SCHEDULE!B131="","",[1]SCHEDULE!B131)</f>
        <v>ASM</v>
      </c>
      <c r="C131" s="3">
        <f>IF([1]SCHEDULE!C131="","",[1]SCHEDULE!C131)</f>
        <v>27</v>
      </c>
      <c r="D131" s="1" t="str">
        <f>IF([1]SCHEDULE!D131="","",[1]SCHEDULE!D131)</f>
        <v>AS Monaco</v>
      </c>
      <c r="E131" s="1" t="str">
        <f>IF([1]SCHEDULE!E131="","",[1]SCHEDULE!E131)</f>
        <v>FC Barcelona</v>
      </c>
      <c r="F131" s="6">
        <f>IF([1]SCHEDULE!F131="","",[1]SCHEDULE!F131)</f>
        <v>45352</v>
      </c>
      <c r="G131" s="3" t="str">
        <f>IF([1]SCHEDULE!G131="","",[1]SCHEDULE!G131)</f>
        <v>A</v>
      </c>
      <c r="H131" s="3" t="str">
        <f>IF([1]SCHEDULE!H131="","",[1]SCHEDULE!H131)</f>
        <v>FCB</v>
      </c>
      <c r="I131" s="3" t="str">
        <f>IF([1]SCHEDULE!I131="","",[1]SCHEDULE!I131)</f>
        <v>27.ASM</v>
      </c>
      <c r="J131" s="3" t="str">
        <f>IF([1]SCHEDULE!J131="","",[1]SCHEDULE!J131)</f>
        <v>27.FCB</v>
      </c>
    </row>
    <row r="132" spans="2:10" x14ac:dyDescent="0.25">
      <c r="B132" s="3" t="str">
        <f>IF([1]SCHEDULE!B132="","",[1]SCHEDULE!B132)</f>
        <v>ASM</v>
      </c>
      <c r="C132" s="3">
        <f>IF([1]SCHEDULE!C132="","",[1]SCHEDULE!C132)</f>
        <v>28</v>
      </c>
      <c r="D132" s="1" t="str">
        <f>IF([1]SCHEDULE!D132="","",[1]SCHEDULE!D132)</f>
        <v>AS Monaco</v>
      </c>
      <c r="E132" s="1" t="str">
        <f>IF([1]SCHEDULE!E132="","",[1]SCHEDULE!E132)</f>
        <v>Crvena Zvezda Meridianbet Belgrade</v>
      </c>
      <c r="F132" s="6">
        <f>IF([1]SCHEDULE!F132="","",[1]SCHEDULE!F132)</f>
        <v>45358</v>
      </c>
      <c r="G132" s="3" t="str">
        <f>IF([1]SCHEDULE!G132="","",[1]SCHEDULE!G132)</f>
        <v>H</v>
      </c>
      <c r="H132" s="3" t="str">
        <f>IF([1]SCHEDULE!H132="","",[1]SCHEDULE!H132)</f>
        <v>CZB</v>
      </c>
      <c r="I132" s="3" t="str">
        <f>IF([1]SCHEDULE!I132="","",[1]SCHEDULE!I132)</f>
        <v>28.ASM</v>
      </c>
      <c r="J132" s="3" t="str">
        <f>IF([1]SCHEDULE!J132="","",[1]SCHEDULE!J132)</f>
        <v>28.CZB</v>
      </c>
    </row>
    <row r="133" spans="2:10" x14ac:dyDescent="0.25">
      <c r="B133" s="3" t="str">
        <f>IF([1]SCHEDULE!B133="","",[1]SCHEDULE!B133)</f>
        <v>ASM</v>
      </c>
      <c r="C133" s="3">
        <f>IF([1]SCHEDULE!C133="","",[1]SCHEDULE!C133)</f>
        <v>29</v>
      </c>
      <c r="D133" s="1" t="str">
        <f>IF([1]SCHEDULE!D133="","",[1]SCHEDULE!D133)</f>
        <v>AS Monaco</v>
      </c>
      <c r="E133" s="1" t="str">
        <f>IF([1]SCHEDULE!E133="","",[1]SCHEDULE!E133)</f>
        <v>ALBA Berlin</v>
      </c>
      <c r="F133" s="6">
        <f>IF([1]SCHEDULE!F133="","",[1]SCHEDULE!F133)</f>
        <v>45365</v>
      </c>
      <c r="G133" s="3" t="str">
        <f>IF([1]SCHEDULE!G133="","",[1]SCHEDULE!G133)</f>
        <v>A</v>
      </c>
      <c r="H133" s="3" t="str">
        <f>IF([1]SCHEDULE!H133="","",[1]SCHEDULE!H133)</f>
        <v>BER</v>
      </c>
      <c r="I133" s="3" t="str">
        <f>IF([1]SCHEDULE!I133="","",[1]SCHEDULE!I133)</f>
        <v>29.ASM</v>
      </c>
      <c r="J133" s="3" t="str">
        <f>IF([1]SCHEDULE!J133="","",[1]SCHEDULE!J133)</f>
        <v>29.BER</v>
      </c>
    </row>
    <row r="134" spans="2:10" x14ac:dyDescent="0.25">
      <c r="B134" s="3" t="str">
        <f>IF([1]SCHEDULE!B134="","",[1]SCHEDULE!B134)</f>
        <v>ASM</v>
      </c>
      <c r="C134" s="3">
        <f>IF([1]SCHEDULE!C134="","",[1]SCHEDULE!C134)</f>
        <v>30</v>
      </c>
      <c r="D134" s="1" t="str">
        <f>IF([1]SCHEDULE!D134="","",[1]SCHEDULE!D134)</f>
        <v>AS Monaco</v>
      </c>
      <c r="E134" s="1" t="str">
        <f>IF([1]SCHEDULE!E134="","",[1]SCHEDULE!E134)</f>
        <v>EA7 Emporio Armani Milan</v>
      </c>
      <c r="F134" s="6">
        <f>IF([1]SCHEDULE!F134="","",[1]SCHEDULE!F134)</f>
        <v>45371</v>
      </c>
      <c r="G134" s="3" t="str">
        <f>IF([1]SCHEDULE!G134="","",[1]SCHEDULE!G134)</f>
        <v>H</v>
      </c>
      <c r="H134" s="3" t="str">
        <f>IF([1]SCHEDULE!H134="","",[1]SCHEDULE!H134)</f>
        <v>MIL</v>
      </c>
      <c r="I134" s="3" t="str">
        <f>IF([1]SCHEDULE!I134="","",[1]SCHEDULE!I134)</f>
        <v>30.ASM</v>
      </c>
      <c r="J134" s="3" t="str">
        <f>IF([1]SCHEDULE!J134="","",[1]SCHEDULE!J134)</f>
        <v>30.MIL</v>
      </c>
    </row>
    <row r="135" spans="2:10" x14ac:dyDescent="0.25">
      <c r="B135" s="3" t="str">
        <f>IF([1]SCHEDULE!B135="","",[1]SCHEDULE!B135)</f>
        <v>ASM</v>
      </c>
      <c r="C135" s="3">
        <f>IF([1]SCHEDULE!C135="","",[1]SCHEDULE!C135)</f>
        <v>31</v>
      </c>
      <c r="D135" s="1" t="str">
        <f>IF([1]SCHEDULE!D135="","",[1]SCHEDULE!D135)</f>
        <v>AS Monaco</v>
      </c>
      <c r="E135" s="1" t="str">
        <f>IF([1]SCHEDULE!E135="","",[1]SCHEDULE!E135)</f>
        <v>Valencia Basket</v>
      </c>
      <c r="F135" s="6">
        <f>IF([1]SCHEDULE!F135="","",[1]SCHEDULE!F135)</f>
        <v>45373</v>
      </c>
      <c r="G135" s="3" t="str">
        <f>IF([1]SCHEDULE!G135="","",[1]SCHEDULE!G135)</f>
        <v>H</v>
      </c>
      <c r="H135" s="3" t="str">
        <f>IF([1]SCHEDULE!H135="","",[1]SCHEDULE!H135)</f>
        <v>VAL</v>
      </c>
      <c r="I135" s="3" t="str">
        <f>IF([1]SCHEDULE!I135="","",[1]SCHEDULE!I135)</f>
        <v>31.ASM</v>
      </c>
      <c r="J135" s="3" t="str">
        <f>IF([1]SCHEDULE!J135="","",[1]SCHEDULE!J135)</f>
        <v>31.VAL</v>
      </c>
    </row>
    <row r="136" spans="2:10" x14ac:dyDescent="0.25">
      <c r="B136" s="3" t="str">
        <f>IF([1]SCHEDULE!B136="","",[1]SCHEDULE!B136)</f>
        <v>ASM</v>
      </c>
      <c r="C136" s="3">
        <f>IF([1]SCHEDULE!C136="","",[1]SCHEDULE!C136)</f>
        <v>32</v>
      </c>
      <c r="D136" s="1" t="str">
        <f>IF([1]SCHEDULE!D136="","",[1]SCHEDULE!D136)</f>
        <v>AS Monaco</v>
      </c>
      <c r="E136" s="1" t="str">
        <f>IF([1]SCHEDULE!E136="","",[1]SCHEDULE!E136)</f>
        <v>LDLC ASVEL Villeurbanne</v>
      </c>
      <c r="F136" s="6">
        <f>IF([1]SCHEDULE!F136="","",[1]SCHEDULE!F136)</f>
        <v>45379</v>
      </c>
      <c r="G136" s="3" t="str">
        <f>IF([1]SCHEDULE!G136="","",[1]SCHEDULE!G136)</f>
        <v>A</v>
      </c>
      <c r="H136" s="3" t="str">
        <f>IF([1]SCHEDULE!H136="","",[1]SCHEDULE!H136)</f>
        <v>ASV</v>
      </c>
      <c r="I136" s="3" t="str">
        <f>IF([1]SCHEDULE!I136="","",[1]SCHEDULE!I136)</f>
        <v>32.ASM</v>
      </c>
      <c r="J136" s="3" t="str">
        <f>IF([1]SCHEDULE!J136="","",[1]SCHEDULE!J136)</f>
        <v>32.ASV</v>
      </c>
    </row>
    <row r="137" spans="2:10" x14ac:dyDescent="0.25">
      <c r="B137" s="3" t="str">
        <f>IF([1]SCHEDULE!B137="","",[1]SCHEDULE!B137)</f>
        <v>ASM</v>
      </c>
      <c r="C137" s="3">
        <f>IF([1]SCHEDULE!C137="","",[1]SCHEDULE!C137)</f>
        <v>33</v>
      </c>
      <c r="D137" s="1" t="str">
        <f>IF([1]SCHEDULE!D137="","",[1]SCHEDULE!D137)</f>
        <v>AS Monaco</v>
      </c>
      <c r="E137" s="1" t="str">
        <f>IF([1]SCHEDULE!E137="","",[1]SCHEDULE!E137)</f>
        <v>Zalgiris Kaunas</v>
      </c>
      <c r="F137" s="6">
        <f>IF([1]SCHEDULE!F137="","",[1]SCHEDULE!F137)</f>
        <v>45386</v>
      </c>
      <c r="G137" s="3" t="str">
        <f>IF([1]SCHEDULE!G137="","",[1]SCHEDULE!G137)</f>
        <v>H</v>
      </c>
      <c r="H137" s="3" t="str">
        <f>IF([1]SCHEDULE!H137="","",[1]SCHEDULE!H137)</f>
        <v>ZAL</v>
      </c>
      <c r="I137" s="3" t="str">
        <f>IF([1]SCHEDULE!I137="","",[1]SCHEDULE!I137)</f>
        <v>33.ASM</v>
      </c>
      <c r="J137" s="3" t="str">
        <f>IF([1]SCHEDULE!J137="","",[1]SCHEDULE!J137)</f>
        <v>33.ZAL</v>
      </c>
    </row>
    <row r="138" spans="2:10" x14ac:dyDescent="0.25">
      <c r="B138" s="3" t="str">
        <f>IF([1]SCHEDULE!B138="","",[1]SCHEDULE!B138)</f>
        <v>ASM</v>
      </c>
      <c r="C138" s="3">
        <f>IF([1]SCHEDULE!C138="","",[1]SCHEDULE!C138)</f>
        <v>34</v>
      </c>
      <c r="D138" s="1" t="str">
        <f>IF([1]SCHEDULE!D138="","",[1]SCHEDULE!D138)</f>
        <v>AS Monaco</v>
      </c>
      <c r="E138" s="1" t="str">
        <f>IF([1]SCHEDULE!E138="","",[1]SCHEDULE!E138)</f>
        <v>FC Bayern Munich</v>
      </c>
      <c r="F138" s="6">
        <f>IF([1]SCHEDULE!F138="","",[1]SCHEDULE!F138)</f>
        <v>45393</v>
      </c>
      <c r="G138" s="3" t="str">
        <f>IF([1]SCHEDULE!G138="","",[1]SCHEDULE!G138)</f>
        <v>H</v>
      </c>
      <c r="H138" s="3" t="str">
        <f>IF([1]SCHEDULE!H138="","",[1]SCHEDULE!H138)</f>
        <v>BAY</v>
      </c>
      <c r="I138" s="3" t="str">
        <f>IF([1]SCHEDULE!I138="","",[1]SCHEDULE!I138)</f>
        <v>34.ASM</v>
      </c>
      <c r="J138" s="3" t="str">
        <f>IF([1]SCHEDULE!J138="","",[1]SCHEDULE!J138)</f>
        <v>34.BAY</v>
      </c>
    </row>
    <row r="139" spans="2:10" x14ac:dyDescent="0.25">
      <c r="B139" s="3" t="str">
        <f>IF([1]SCHEDULE!B139="","",[1]SCHEDULE!B139)</f>
        <v>ASM</v>
      </c>
      <c r="C139" s="3">
        <f>IF([1]SCHEDULE!C139="","",[1]SCHEDULE!C139)</f>
        <v>35</v>
      </c>
      <c r="D139" s="1" t="str">
        <f>IF([1]SCHEDULE!D139="","",[1]SCHEDULE!D139)</f>
        <v>AS Monaco</v>
      </c>
      <c r="E139" s="1" t="str">
        <f>IF([1]SCHEDULE!E139="","",[1]SCHEDULE!E139)</f>
        <v/>
      </c>
      <c r="F139" s="6" t="str">
        <f>IF([1]SCHEDULE!F139="","",[1]SCHEDULE!F139)</f>
        <v/>
      </c>
      <c r="G139" s="3" t="str">
        <f>IF([1]SCHEDULE!G139="","",[1]SCHEDULE!G139)</f>
        <v/>
      </c>
      <c r="H139" s="3" t="str">
        <f>IF([1]SCHEDULE!H139="","",[1]SCHEDULE!H139)</f>
        <v/>
      </c>
      <c r="I139" s="3" t="str">
        <f>IF([1]SCHEDULE!I139="","",[1]SCHEDULE!I139)</f>
        <v/>
      </c>
      <c r="J139" s="3" t="str">
        <f>IF([1]SCHEDULE!J139="","",[1]SCHEDULE!J139)</f>
        <v/>
      </c>
    </row>
    <row r="140" spans="2:10" x14ac:dyDescent="0.25">
      <c r="B140" s="3" t="str">
        <f>IF([1]SCHEDULE!B140="","",[1]SCHEDULE!B140)</f>
        <v>ASM</v>
      </c>
      <c r="C140" s="3">
        <f>IF([1]SCHEDULE!C140="","",[1]SCHEDULE!C140)</f>
        <v>36</v>
      </c>
      <c r="D140" s="1" t="str">
        <f>IF([1]SCHEDULE!D140="","",[1]SCHEDULE!D140)</f>
        <v>AS Monaco</v>
      </c>
      <c r="E140" s="1" t="str">
        <f>IF([1]SCHEDULE!E140="","",[1]SCHEDULE!E140)</f>
        <v/>
      </c>
      <c r="F140" s="6" t="str">
        <f>IF([1]SCHEDULE!F140="","",[1]SCHEDULE!F140)</f>
        <v/>
      </c>
      <c r="G140" s="3" t="str">
        <f>IF([1]SCHEDULE!G140="","",[1]SCHEDULE!G140)</f>
        <v/>
      </c>
      <c r="H140" s="3" t="str">
        <f>IF([1]SCHEDULE!H140="","",[1]SCHEDULE!H140)</f>
        <v/>
      </c>
      <c r="I140" s="3" t="str">
        <f>IF([1]SCHEDULE!I140="","",[1]SCHEDULE!I140)</f>
        <v/>
      </c>
      <c r="J140" s="3" t="str">
        <f>IF([1]SCHEDULE!J140="","",[1]SCHEDULE!J140)</f>
        <v/>
      </c>
    </row>
    <row r="141" spans="2:10" x14ac:dyDescent="0.25">
      <c r="B141" s="3" t="str">
        <f>IF([1]SCHEDULE!B141="","",[1]SCHEDULE!B141)</f>
        <v>ASM</v>
      </c>
      <c r="C141" s="3">
        <f>IF([1]SCHEDULE!C141="","",[1]SCHEDULE!C141)</f>
        <v>37</v>
      </c>
      <c r="D141" s="1" t="str">
        <f>IF([1]SCHEDULE!D141="","",[1]SCHEDULE!D141)</f>
        <v>AS Monaco</v>
      </c>
      <c r="E141" s="1" t="str">
        <f>IF([1]SCHEDULE!E141="","",[1]SCHEDULE!E141)</f>
        <v/>
      </c>
      <c r="F141" s="6" t="str">
        <f>IF([1]SCHEDULE!F141="","",[1]SCHEDULE!F141)</f>
        <v/>
      </c>
      <c r="G141" s="3" t="str">
        <f>IF([1]SCHEDULE!G141="","",[1]SCHEDULE!G141)</f>
        <v/>
      </c>
      <c r="H141" s="3" t="str">
        <f>IF([1]SCHEDULE!H141="","",[1]SCHEDULE!H141)</f>
        <v/>
      </c>
      <c r="I141" s="3" t="str">
        <f>IF([1]SCHEDULE!I141="","",[1]SCHEDULE!I141)</f>
        <v/>
      </c>
      <c r="J141" s="3" t="str">
        <f>IF([1]SCHEDULE!J141="","",[1]SCHEDULE!J141)</f>
        <v/>
      </c>
    </row>
    <row r="142" spans="2:10" x14ac:dyDescent="0.25">
      <c r="B142" s="3" t="str">
        <f>IF([1]SCHEDULE!B142="","",[1]SCHEDULE!B142)</f>
        <v>ASM</v>
      </c>
      <c r="C142" s="3">
        <f>IF([1]SCHEDULE!C142="","",[1]SCHEDULE!C142)</f>
        <v>38</v>
      </c>
      <c r="D142" s="1" t="str">
        <f>IF([1]SCHEDULE!D142="","",[1]SCHEDULE!D142)</f>
        <v>AS Monaco</v>
      </c>
      <c r="E142" s="1" t="str">
        <f>IF([1]SCHEDULE!E142="","",[1]SCHEDULE!E142)</f>
        <v/>
      </c>
      <c r="F142" s="6" t="str">
        <f>IF([1]SCHEDULE!F142="","",[1]SCHEDULE!F142)</f>
        <v/>
      </c>
      <c r="G142" s="3" t="str">
        <f>IF([1]SCHEDULE!G142="","",[1]SCHEDULE!G142)</f>
        <v/>
      </c>
      <c r="H142" s="3" t="str">
        <f>IF([1]SCHEDULE!H142="","",[1]SCHEDULE!H142)</f>
        <v/>
      </c>
      <c r="I142" s="3" t="str">
        <f>IF([1]SCHEDULE!I142="","",[1]SCHEDULE!I142)</f>
        <v/>
      </c>
      <c r="J142" s="3" t="str">
        <f>IF([1]SCHEDULE!J142="","",[1]SCHEDULE!J142)</f>
        <v/>
      </c>
    </row>
    <row r="143" spans="2:10" x14ac:dyDescent="0.25">
      <c r="B143" s="3" t="str">
        <f>IF([1]SCHEDULE!B143="","",[1]SCHEDULE!B143)</f>
        <v>ASM</v>
      </c>
      <c r="C143" s="3">
        <f>IF([1]SCHEDULE!C143="","",[1]SCHEDULE!C143)</f>
        <v>39</v>
      </c>
      <c r="D143" s="1" t="str">
        <f>IF([1]SCHEDULE!D143="","",[1]SCHEDULE!D143)</f>
        <v>AS Monaco</v>
      </c>
      <c r="E143" s="1" t="str">
        <f>IF([1]SCHEDULE!E143="","",[1]SCHEDULE!E143)</f>
        <v/>
      </c>
      <c r="F143" s="6" t="str">
        <f>IF([1]SCHEDULE!F143="","",[1]SCHEDULE!F143)</f>
        <v/>
      </c>
      <c r="G143" s="3" t="str">
        <f>IF([1]SCHEDULE!G143="","",[1]SCHEDULE!G143)</f>
        <v/>
      </c>
      <c r="H143" s="3" t="str">
        <f>IF([1]SCHEDULE!H143="","",[1]SCHEDULE!H143)</f>
        <v/>
      </c>
      <c r="I143" s="3" t="str">
        <f>IF([1]SCHEDULE!I143="","",[1]SCHEDULE!I143)</f>
        <v/>
      </c>
      <c r="J143" s="3" t="str">
        <f>IF([1]SCHEDULE!J143="","",[1]SCHEDULE!J143)</f>
        <v/>
      </c>
    </row>
    <row r="144" spans="2:10" x14ac:dyDescent="0.25">
      <c r="B144" s="3" t="str">
        <f>IF([1]SCHEDULE!B144="","",[1]SCHEDULE!B144)</f>
        <v>ASM</v>
      </c>
      <c r="C144" s="3">
        <f>IF([1]SCHEDULE!C144="","",[1]SCHEDULE!C144)</f>
        <v>40</v>
      </c>
      <c r="D144" s="1" t="str">
        <f>IF([1]SCHEDULE!D144="","",[1]SCHEDULE!D144)</f>
        <v>AS Monaco</v>
      </c>
      <c r="E144" s="1" t="str">
        <f>IF([1]SCHEDULE!E144="","",[1]SCHEDULE!E144)</f>
        <v/>
      </c>
      <c r="F144" s="6" t="str">
        <f>IF([1]SCHEDULE!F144="","",[1]SCHEDULE!F144)</f>
        <v/>
      </c>
      <c r="G144" s="3" t="str">
        <f>IF([1]SCHEDULE!G144="","",[1]SCHEDULE!G144)</f>
        <v/>
      </c>
      <c r="H144" s="3" t="str">
        <f>IF([1]SCHEDULE!H144="","",[1]SCHEDULE!H144)</f>
        <v/>
      </c>
      <c r="I144" s="3" t="str">
        <f>IF([1]SCHEDULE!I144="","",[1]SCHEDULE!I144)</f>
        <v/>
      </c>
      <c r="J144" s="3" t="str">
        <f>IF([1]SCHEDULE!J144="","",[1]SCHEDULE!J144)</f>
        <v/>
      </c>
    </row>
    <row r="145" spans="2:10" x14ac:dyDescent="0.25">
      <c r="B145" s="3" t="str">
        <f>IF([1]SCHEDULE!B145="","",[1]SCHEDULE!B145)</f>
        <v>ASM</v>
      </c>
      <c r="C145" s="3">
        <f>IF([1]SCHEDULE!C145="","",[1]SCHEDULE!C145)</f>
        <v>41</v>
      </c>
      <c r="D145" s="1" t="str">
        <f>IF([1]SCHEDULE!D145="","",[1]SCHEDULE!D145)</f>
        <v>AS Monaco</v>
      </c>
      <c r="E145" s="1" t="str">
        <f>IF([1]SCHEDULE!E145="","",[1]SCHEDULE!E145)</f>
        <v/>
      </c>
      <c r="F145" s="6" t="str">
        <f>IF([1]SCHEDULE!F145="","",[1]SCHEDULE!F145)</f>
        <v/>
      </c>
      <c r="G145" s="3" t="str">
        <f>IF([1]SCHEDULE!G145="","",[1]SCHEDULE!G145)</f>
        <v/>
      </c>
      <c r="H145" s="3" t="str">
        <f>IF([1]SCHEDULE!H145="","",[1]SCHEDULE!H145)</f>
        <v/>
      </c>
      <c r="I145" s="3" t="str">
        <f>IF([1]SCHEDULE!I145="","",[1]SCHEDULE!I145)</f>
        <v/>
      </c>
      <c r="J145" s="3" t="str">
        <f>IF([1]SCHEDULE!J145="","",[1]SCHEDULE!J145)</f>
        <v/>
      </c>
    </row>
    <row r="146" spans="2:10" x14ac:dyDescent="0.25">
      <c r="B146" s="3" t="str">
        <f>IF([1]SCHEDULE!B146="","",[1]SCHEDULE!B146)</f>
        <v>ASM</v>
      </c>
      <c r="C146" s="3">
        <f>IF([1]SCHEDULE!C146="","",[1]SCHEDULE!C146)</f>
        <v>42</v>
      </c>
      <c r="D146" s="1" t="str">
        <f>IF([1]SCHEDULE!D146="","",[1]SCHEDULE!D146)</f>
        <v>AS Monaco</v>
      </c>
      <c r="E146" s="1" t="str">
        <f>IF([1]SCHEDULE!E146="","",[1]SCHEDULE!E146)</f>
        <v/>
      </c>
      <c r="F146" s="6" t="str">
        <f>IF([1]SCHEDULE!F146="","",[1]SCHEDULE!F146)</f>
        <v/>
      </c>
      <c r="G146" s="3" t="str">
        <f>IF([1]SCHEDULE!G146="","",[1]SCHEDULE!G146)</f>
        <v/>
      </c>
      <c r="H146" s="3" t="str">
        <f>IF([1]SCHEDULE!H146="","",[1]SCHEDULE!H146)</f>
        <v/>
      </c>
      <c r="I146" s="3" t="str">
        <f>IF([1]SCHEDULE!I146="","",[1]SCHEDULE!I146)</f>
        <v/>
      </c>
      <c r="J146" s="3" t="str">
        <f>IF([1]SCHEDULE!J146="","",[1]SCHEDULE!J146)</f>
        <v/>
      </c>
    </row>
    <row r="147" spans="2:10" x14ac:dyDescent="0.25">
      <c r="B147" s="3" t="str">
        <f>IF([1]SCHEDULE!B147="","",[1]SCHEDULE!B147)</f>
        <v>ASM</v>
      </c>
      <c r="C147" s="3">
        <f>IF([1]SCHEDULE!C147="","",[1]SCHEDULE!C147)</f>
        <v>43</v>
      </c>
      <c r="D147" s="1" t="str">
        <f>IF([1]SCHEDULE!D147="","",[1]SCHEDULE!D147)</f>
        <v>AS Monaco</v>
      </c>
      <c r="E147" s="1" t="str">
        <f>IF([1]SCHEDULE!E147="","",[1]SCHEDULE!E147)</f>
        <v/>
      </c>
      <c r="F147" s="6" t="str">
        <f>IF([1]SCHEDULE!F147="","",[1]SCHEDULE!F147)</f>
        <v/>
      </c>
      <c r="G147" s="3" t="str">
        <f>IF([1]SCHEDULE!G147="","",[1]SCHEDULE!G147)</f>
        <v/>
      </c>
      <c r="H147" s="3" t="str">
        <f>IF([1]SCHEDULE!H147="","",[1]SCHEDULE!H147)</f>
        <v/>
      </c>
      <c r="I147" s="3" t="str">
        <f>IF([1]SCHEDULE!I147="","",[1]SCHEDULE!I147)</f>
        <v/>
      </c>
      <c r="J147" s="3" t="str">
        <f>IF([1]SCHEDULE!J147="","",[1]SCHEDULE!J147)</f>
        <v/>
      </c>
    </row>
    <row r="148" spans="2:10" x14ac:dyDescent="0.25">
      <c r="B148" s="3" t="str">
        <f>IF([1]SCHEDULE!B148="","",[1]SCHEDULE!B148)</f>
        <v>ASM</v>
      </c>
      <c r="C148" s="3">
        <f>IF([1]SCHEDULE!C148="","",[1]SCHEDULE!C148)</f>
        <v>44</v>
      </c>
      <c r="D148" s="1" t="str">
        <f>IF([1]SCHEDULE!D148="","",[1]SCHEDULE!D148)</f>
        <v>AS Monaco</v>
      </c>
      <c r="E148" s="1" t="str">
        <f>IF([1]SCHEDULE!E148="","",[1]SCHEDULE!E148)</f>
        <v/>
      </c>
      <c r="F148" s="6" t="str">
        <f>IF([1]SCHEDULE!F148="","",[1]SCHEDULE!F148)</f>
        <v/>
      </c>
      <c r="G148" s="3" t="str">
        <f>IF([1]SCHEDULE!G148="","",[1]SCHEDULE!G148)</f>
        <v/>
      </c>
      <c r="H148" s="3" t="str">
        <f>IF([1]SCHEDULE!H148="","",[1]SCHEDULE!H148)</f>
        <v/>
      </c>
      <c r="I148" s="3" t="str">
        <f>IF([1]SCHEDULE!I148="","",[1]SCHEDULE!I148)</f>
        <v/>
      </c>
      <c r="J148" s="3" t="str">
        <f>IF([1]SCHEDULE!J148="","",[1]SCHEDULE!J148)</f>
        <v/>
      </c>
    </row>
    <row r="149" spans="2:10" x14ac:dyDescent="0.25">
      <c r="B149" s="3" t="str">
        <f>IF([1]SCHEDULE!B149="","",[1]SCHEDULE!B149)</f>
        <v>ASM</v>
      </c>
      <c r="C149" s="3">
        <f>IF([1]SCHEDULE!C149="","",[1]SCHEDULE!C149)</f>
        <v>45</v>
      </c>
      <c r="D149" s="1" t="str">
        <f>IF([1]SCHEDULE!D149="","",[1]SCHEDULE!D149)</f>
        <v>AS Monaco</v>
      </c>
      <c r="E149" s="1" t="str">
        <f>IF([1]SCHEDULE!E149="","",[1]SCHEDULE!E149)</f>
        <v/>
      </c>
      <c r="F149" s="6" t="str">
        <f>IF([1]SCHEDULE!F149="","",[1]SCHEDULE!F149)</f>
        <v/>
      </c>
      <c r="G149" s="3" t="str">
        <f>IF([1]SCHEDULE!G149="","",[1]SCHEDULE!G149)</f>
        <v/>
      </c>
      <c r="H149" s="3" t="str">
        <f>IF([1]SCHEDULE!H149="","",[1]SCHEDULE!H149)</f>
        <v/>
      </c>
      <c r="I149" s="3" t="str">
        <f>IF([1]SCHEDULE!I149="","",[1]SCHEDULE!I149)</f>
        <v/>
      </c>
      <c r="J149" s="3" t="str">
        <f>IF([1]SCHEDULE!J149="","",[1]SCHEDULE!J149)</f>
        <v/>
      </c>
    </row>
    <row r="150" spans="2:10" x14ac:dyDescent="0.25">
      <c r="B150" s="3" t="str">
        <f>IF([1]SCHEDULE!B150="","",[1]SCHEDULE!B150)</f>
        <v>ASM</v>
      </c>
      <c r="C150" s="3">
        <f>IF([1]SCHEDULE!C150="","",[1]SCHEDULE!C150)</f>
        <v>46</v>
      </c>
      <c r="D150" s="1" t="str">
        <f>IF([1]SCHEDULE!D150="","",[1]SCHEDULE!D150)</f>
        <v>AS Monaco</v>
      </c>
      <c r="E150" s="1" t="str">
        <f>IF([1]SCHEDULE!E150="","",[1]SCHEDULE!E150)</f>
        <v/>
      </c>
      <c r="F150" s="6" t="str">
        <f>IF([1]SCHEDULE!F150="","",[1]SCHEDULE!F150)</f>
        <v/>
      </c>
      <c r="G150" s="3" t="str">
        <f>IF([1]SCHEDULE!G150="","",[1]SCHEDULE!G150)</f>
        <v/>
      </c>
      <c r="H150" s="3" t="str">
        <f>IF([1]SCHEDULE!H150="","",[1]SCHEDULE!H150)</f>
        <v/>
      </c>
      <c r="I150" s="3" t="str">
        <f>IF([1]SCHEDULE!I150="","",[1]SCHEDULE!I150)</f>
        <v/>
      </c>
      <c r="J150" s="3" t="str">
        <f>IF([1]SCHEDULE!J150="","",[1]SCHEDULE!J150)</f>
        <v/>
      </c>
    </row>
    <row r="151" spans="2:10" x14ac:dyDescent="0.25">
      <c r="B151" s="3" t="str">
        <f>IF([1]SCHEDULE!B151="","",[1]SCHEDULE!B151)</f>
        <v>ASM</v>
      </c>
      <c r="C151" s="3">
        <f>IF([1]SCHEDULE!C151="","",[1]SCHEDULE!C151)</f>
        <v>47</v>
      </c>
      <c r="D151" s="1" t="str">
        <f>IF([1]SCHEDULE!D151="","",[1]SCHEDULE!D151)</f>
        <v>AS Monaco</v>
      </c>
      <c r="E151" s="1" t="str">
        <f>IF([1]SCHEDULE!E151="","",[1]SCHEDULE!E151)</f>
        <v/>
      </c>
      <c r="F151" s="6" t="str">
        <f>IF([1]SCHEDULE!F151="","",[1]SCHEDULE!F151)</f>
        <v/>
      </c>
      <c r="G151" s="3" t="str">
        <f>IF([1]SCHEDULE!G151="","",[1]SCHEDULE!G151)</f>
        <v/>
      </c>
      <c r="H151" s="3" t="str">
        <f>IF([1]SCHEDULE!H151="","",[1]SCHEDULE!H151)</f>
        <v/>
      </c>
      <c r="I151" s="3" t="str">
        <f>IF([1]SCHEDULE!I151="","",[1]SCHEDULE!I151)</f>
        <v/>
      </c>
      <c r="J151" s="3" t="str">
        <f>IF([1]SCHEDULE!J151="","",[1]SCHEDULE!J151)</f>
        <v/>
      </c>
    </row>
    <row r="152" spans="2:10" x14ac:dyDescent="0.25">
      <c r="B152" s="3" t="str">
        <f>IF([1]SCHEDULE!B152="","",[1]SCHEDULE!B152)</f>
        <v>ASM</v>
      </c>
      <c r="C152" s="3">
        <f>IF([1]SCHEDULE!C152="","",[1]SCHEDULE!C152)</f>
        <v>48</v>
      </c>
      <c r="D152" s="1" t="str">
        <f>IF([1]SCHEDULE!D152="","",[1]SCHEDULE!D152)</f>
        <v>AS Monaco</v>
      </c>
      <c r="E152" s="1" t="str">
        <f>IF([1]SCHEDULE!E152="","",[1]SCHEDULE!E152)</f>
        <v/>
      </c>
      <c r="F152" s="6" t="str">
        <f>IF([1]SCHEDULE!F152="","",[1]SCHEDULE!F152)</f>
        <v/>
      </c>
      <c r="G152" s="3" t="str">
        <f>IF([1]SCHEDULE!G152="","",[1]SCHEDULE!G152)</f>
        <v/>
      </c>
      <c r="H152" s="3" t="str">
        <f>IF([1]SCHEDULE!H152="","",[1]SCHEDULE!H152)</f>
        <v/>
      </c>
      <c r="I152" s="3" t="str">
        <f>IF([1]SCHEDULE!I152="","",[1]SCHEDULE!I152)</f>
        <v/>
      </c>
      <c r="J152" s="3" t="str">
        <f>IF([1]SCHEDULE!J152="","",[1]SCHEDULE!J152)</f>
        <v/>
      </c>
    </row>
    <row r="153" spans="2:10" x14ac:dyDescent="0.25">
      <c r="B153" s="3" t="str">
        <f>IF([1]SCHEDULE!B153="","",[1]SCHEDULE!B153)</f>
        <v>ASM</v>
      </c>
      <c r="C153" s="3">
        <f>IF([1]SCHEDULE!C153="","",[1]SCHEDULE!C153)</f>
        <v>49</v>
      </c>
      <c r="D153" s="1" t="str">
        <f>IF([1]SCHEDULE!D153="","",[1]SCHEDULE!D153)</f>
        <v>AS Monaco</v>
      </c>
      <c r="E153" s="1" t="str">
        <f>IF([1]SCHEDULE!E153="","",[1]SCHEDULE!E153)</f>
        <v/>
      </c>
      <c r="F153" s="6" t="str">
        <f>IF([1]SCHEDULE!F153="","",[1]SCHEDULE!F153)</f>
        <v/>
      </c>
      <c r="G153" s="3" t="str">
        <f>IF([1]SCHEDULE!G153="","",[1]SCHEDULE!G153)</f>
        <v/>
      </c>
      <c r="H153" s="3" t="str">
        <f>IF([1]SCHEDULE!H153="","",[1]SCHEDULE!H153)</f>
        <v/>
      </c>
      <c r="I153" s="3" t="str">
        <f>IF([1]SCHEDULE!I153="","",[1]SCHEDULE!I153)</f>
        <v/>
      </c>
      <c r="J153" s="3" t="str">
        <f>IF([1]SCHEDULE!J153="","",[1]SCHEDULE!J153)</f>
        <v/>
      </c>
    </row>
    <row r="154" spans="2:10" x14ac:dyDescent="0.25">
      <c r="B154" s="3" t="str">
        <f>IF([1]SCHEDULE!B154="","",[1]SCHEDULE!B154)</f>
        <v>ASM</v>
      </c>
      <c r="C154" s="3">
        <f>IF([1]SCHEDULE!C154="","",[1]SCHEDULE!C154)</f>
        <v>50</v>
      </c>
      <c r="D154" s="1" t="str">
        <f>IF([1]SCHEDULE!D154="","",[1]SCHEDULE!D154)</f>
        <v>AS Monaco</v>
      </c>
      <c r="E154" s="1" t="str">
        <f>IF([1]SCHEDULE!E154="","",[1]SCHEDULE!E154)</f>
        <v/>
      </c>
      <c r="F154" s="6" t="str">
        <f>IF([1]SCHEDULE!F154="","",[1]SCHEDULE!F154)</f>
        <v/>
      </c>
      <c r="G154" s="3" t="str">
        <f>IF([1]SCHEDULE!G154="","",[1]SCHEDULE!G154)</f>
        <v/>
      </c>
      <c r="H154" s="3" t="str">
        <f>IF([1]SCHEDULE!H154="","",[1]SCHEDULE!H154)</f>
        <v/>
      </c>
      <c r="I154" s="3" t="str">
        <f>IF([1]SCHEDULE!I154="","",[1]SCHEDULE!I154)</f>
        <v/>
      </c>
      <c r="J154" s="3" t="str">
        <f>IF([1]SCHEDULE!J154="","",[1]SCHEDULE!J154)</f>
        <v/>
      </c>
    </row>
    <row r="155" spans="2:10" x14ac:dyDescent="0.25">
      <c r="B155" s="3" t="str">
        <f>IF([1]SCHEDULE!B155="","",[1]SCHEDULE!B155)</f>
        <v>ASM</v>
      </c>
      <c r="C155" s="3">
        <f>IF([1]SCHEDULE!C155="","",[1]SCHEDULE!C155)</f>
        <v>51</v>
      </c>
      <c r="D155" s="1" t="str">
        <f>IF([1]SCHEDULE!D155="","",[1]SCHEDULE!D155)</f>
        <v>AS Monaco</v>
      </c>
      <c r="E155" s="1" t="str">
        <f>IF([1]SCHEDULE!E155="","",[1]SCHEDULE!E155)</f>
        <v/>
      </c>
      <c r="F155" s="6" t="str">
        <f>IF([1]SCHEDULE!F155="","",[1]SCHEDULE!F155)</f>
        <v/>
      </c>
      <c r="G155" s="3" t="str">
        <f>IF([1]SCHEDULE!G155="","",[1]SCHEDULE!G155)</f>
        <v/>
      </c>
      <c r="H155" s="3" t="str">
        <f>IF([1]SCHEDULE!H155="","",[1]SCHEDULE!H155)</f>
        <v/>
      </c>
      <c r="I155" s="3" t="str">
        <f>IF([1]SCHEDULE!I155="","",[1]SCHEDULE!I155)</f>
        <v/>
      </c>
      <c r="J155" s="3" t="str">
        <f>IF([1]SCHEDULE!J155="","",[1]SCHEDULE!J155)</f>
        <v/>
      </c>
    </row>
    <row r="156" spans="2:10" x14ac:dyDescent="0.25">
      <c r="B156" s="3" t="str">
        <f>IF([1]SCHEDULE!B156="","",[1]SCHEDULE!B156)</f>
        <v>BAS</v>
      </c>
      <c r="C156" s="3">
        <f>IF([1]SCHEDULE!C156="","",[1]SCHEDULE!C156)</f>
        <v>1</v>
      </c>
      <c r="D156" s="1" t="str">
        <f>IF([1]SCHEDULE!D156="","",[1]SCHEDULE!D156)</f>
        <v>Baskonia Vitoria-Gasteiz</v>
      </c>
      <c r="E156" s="1" t="str">
        <f>IF([1]SCHEDULE!E156="","",[1]SCHEDULE!E156)</f>
        <v>Real Madrid</v>
      </c>
      <c r="F156" s="6">
        <f>IF([1]SCHEDULE!F156="","",[1]SCHEDULE!F156)</f>
        <v>45205</v>
      </c>
      <c r="G156" s="3" t="str">
        <f>IF([1]SCHEDULE!G156="","",[1]SCHEDULE!G156)</f>
        <v>H</v>
      </c>
      <c r="H156" s="3" t="str">
        <f>IF([1]SCHEDULE!H156="","",[1]SCHEDULE!H156)</f>
        <v>RMB</v>
      </c>
      <c r="I156" s="3" t="str">
        <f>IF([1]SCHEDULE!I156="","",[1]SCHEDULE!I156)</f>
        <v>1.BAS</v>
      </c>
      <c r="J156" s="3" t="str">
        <f>IF([1]SCHEDULE!J156="","",[1]SCHEDULE!J156)</f>
        <v>1.RMB</v>
      </c>
    </row>
    <row r="157" spans="2:10" x14ac:dyDescent="0.25">
      <c r="B157" s="3" t="str">
        <f>IF([1]SCHEDULE!B157="","",[1]SCHEDULE!B157)</f>
        <v>BAS</v>
      </c>
      <c r="C157" s="3">
        <f>IF([1]SCHEDULE!C157="","",[1]SCHEDULE!C157)</f>
        <v>2</v>
      </c>
      <c r="D157" s="1" t="str">
        <f>IF([1]SCHEDULE!D157="","",[1]SCHEDULE!D157)</f>
        <v>Baskonia Vitoria-Gasteiz</v>
      </c>
      <c r="E157" s="1" t="str">
        <f>IF([1]SCHEDULE!E157="","",[1]SCHEDULE!E157)</f>
        <v>ALBA Berlin</v>
      </c>
      <c r="F157" s="6">
        <f>IF([1]SCHEDULE!F157="","",[1]SCHEDULE!F157)</f>
        <v>45211</v>
      </c>
      <c r="G157" s="3" t="str">
        <f>IF([1]SCHEDULE!G157="","",[1]SCHEDULE!G157)</f>
        <v>A</v>
      </c>
      <c r="H157" s="3" t="str">
        <f>IF([1]SCHEDULE!H157="","",[1]SCHEDULE!H157)</f>
        <v>BER</v>
      </c>
      <c r="I157" s="3" t="str">
        <f>IF([1]SCHEDULE!I157="","",[1]SCHEDULE!I157)</f>
        <v>2.BAS</v>
      </c>
      <c r="J157" s="3" t="str">
        <f>IF([1]SCHEDULE!J157="","",[1]SCHEDULE!J157)</f>
        <v>2.BER</v>
      </c>
    </row>
    <row r="158" spans="2:10" x14ac:dyDescent="0.25">
      <c r="B158" s="3" t="str">
        <f>IF([1]SCHEDULE!B158="","",[1]SCHEDULE!B158)</f>
        <v>BAS</v>
      </c>
      <c r="C158" s="3">
        <f>IF([1]SCHEDULE!C158="","",[1]SCHEDULE!C158)</f>
        <v>3</v>
      </c>
      <c r="D158" s="1" t="str">
        <f>IF([1]SCHEDULE!D158="","",[1]SCHEDULE!D158)</f>
        <v>Baskonia Vitoria-Gasteiz</v>
      </c>
      <c r="E158" s="1" t="str">
        <f>IF([1]SCHEDULE!E158="","",[1]SCHEDULE!E158)</f>
        <v>FC Bayern Munich</v>
      </c>
      <c r="F158" s="6">
        <f>IF([1]SCHEDULE!F158="","",[1]SCHEDULE!F158)</f>
        <v>45216</v>
      </c>
      <c r="G158" s="3" t="str">
        <f>IF([1]SCHEDULE!G158="","",[1]SCHEDULE!G158)</f>
        <v>H</v>
      </c>
      <c r="H158" s="3" t="str">
        <f>IF([1]SCHEDULE!H158="","",[1]SCHEDULE!H158)</f>
        <v>BAY</v>
      </c>
      <c r="I158" s="3" t="str">
        <f>IF([1]SCHEDULE!I158="","",[1]SCHEDULE!I158)</f>
        <v>3.BAS</v>
      </c>
      <c r="J158" s="3" t="str">
        <f>IF([1]SCHEDULE!J158="","",[1]SCHEDULE!J158)</f>
        <v>3.BAY</v>
      </c>
    </row>
    <row r="159" spans="2:10" x14ac:dyDescent="0.25">
      <c r="B159" s="3" t="str">
        <f>IF([1]SCHEDULE!B159="","",[1]SCHEDULE!B159)</f>
        <v>BAS</v>
      </c>
      <c r="C159" s="3">
        <f>IF([1]SCHEDULE!C159="","",[1]SCHEDULE!C159)</f>
        <v>4</v>
      </c>
      <c r="D159" s="1" t="str">
        <f>IF([1]SCHEDULE!D159="","",[1]SCHEDULE!D159)</f>
        <v>Baskonia Vitoria-Gasteiz</v>
      </c>
      <c r="E159" s="1" t="str">
        <f>IF([1]SCHEDULE!E159="","",[1]SCHEDULE!E159)</f>
        <v>Zalgiris Kaunas</v>
      </c>
      <c r="F159" s="6">
        <f>IF([1]SCHEDULE!F159="","",[1]SCHEDULE!F159)</f>
        <v>45218</v>
      </c>
      <c r="G159" s="3" t="str">
        <f>IF([1]SCHEDULE!G159="","",[1]SCHEDULE!G159)</f>
        <v>H</v>
      </c>
      <c r="H159" s="3" t="str">
        <f>IF([1]SCHEDULE!H159="","",[1]SCHEDULE!H159)</f>
        <v>ZAL</v>
      </c>
      <c r="I159" s="3" t="str">
        <f>IF([1]SCHEDULE!I159="","",[1]SCHEDULE!I159)</f>
        <v>4.BAS</v>
      </c>
      <c r="J159" s="3" t="str">
        <f>IF([1]SCHEDULE!J159="","",[1]SCHEDULE!J159)</f>
        <v>4.ZAL</v>
      </c>
    </row>
    <row r="160" spans="2:10" x14ac:dyDescent="0.25">
      <c r="B160" s="3" t="str">
        <f>IF([1]SCHEDULE!B160="","",[1]SCHEDULE!B160)</f>
        <v>BAS</v>
      </c>
      <c r="C160" s="3">
        <f>IF([1]SCHEDULE!C160="","",[1]SCHEDULE!C160)</f>
        <v>5</v>
      </c>
      <c r="D160" s="1" t="str">
        <f>IF([1]SCHEDULE!D160="","",[1]SCHEDULE!D160)</f>
        <v>Baskonia Vitoria-Gasteiz</v>
      </c>
      <c r="E160" s="1" t="str">
        <f>IF([1]SCHEDULE!E160="","",[1]SCHEDULE!E160)</f>
        <v>Panathinaikos Athens</v>
      </c>
      <c r="F160" s="6">
        <f>IF([1]SCHEDULE!F160="","",[1]SCHEDULE!F160)</f>
        <v>45226</v>
      </c>
      <c r="G160" s="3" t="str">
        <f>IF([1]SCHEDULE!G160="","",[1]SCHEDULE!G160)</f>
        <v>A</v>
      </c>
      <c r="H160" s="3" t="str">
        <f>IF([1]SCHEDULE!H160="","",[1]SCHEDULE!H160)</f>
        <v>PAN</v>
      </c>
      <c r="I160" s="3" t="str">
        <f>IF([1]SCHEDULE!I160="","",[1]SCHEDULE!I160)</f>
        <v>5.BAS</v>
      </c>
      <c r="J160" s="3" t="str">
        <f>IF([1]SCHEDULE!J160="","",[1]SCHEDULE!J160)</f>
        <v>5.PAN</v>
      </c>
    </row>
    <row r="161" spans="2:10" x14ac:dyDescent="0.25">
      <c r="B161" s="3" t="str">
        <f>IF([1]SCHEDULE!B161="","",[1]SCHEDULE!B161)</f>
        <v>BAS</v>
      </c>
      <c r="C161" s="3">
        <f>IF([1]SCHEDULE!C161="","",[1]SCHEDULE!C161)</f>
        <v>6</v>
      </c>
      <c r="D161" s="1" t="str">
        <f>IF([1]SCHEDULE!D161="","",[1]SCHEDULE!D161)</f>
        <v>Baskonia Vitoria-Gasteiz</v>
      </c>
      <c r="E161" s="1" t="str">
        <f>IF([1]SCHEDULE!E161="","",[1]SCHEDULE!E161)</f>
        <v>Partizan Mozzart Bet Belgrade</v>
      </c>
      <c r="F161" s="6">
        <f>IF([1]SCHEDULE!F161="","",[1]SCHEDULE!F161)</f>
        <v>45233</v>
      </c>
      <c r="G161" s="3" t="str">
        <f>IF([1]SCHEDULE!G161="","",[1]SCHEDULE!G161)</f>
        <v>H</v>
      </c>
      <c r="H161" s="3" t="str">
        <f>IF([1]SCHEDULE!H161="","",[1]SCHEDULE!H161)</f>
        <v>PAR</v>
      </c>
      <c r="I161" s="3" t="str">
        <f>IF([1]SCHEDULE!I161="","",[1]SCHEDULE!I161)</f>
        <v>6.BAS</v>
      </c>
      <c r="J161" s="3" t="str">
        <f>IF([1]SCHEDULE!J161="","",[1]SCHEDULE!J161)</f>
        <v>6.PAR</v>
      </c>
    </row>
    <row r="162" spans="2:10" x14ac:dyDescent="0.25">
      <c r="B162" s="3" t="str">
        <f>IF([1]SCHEDULE!B162="","",[1]SCHEDULE!B162)</f>
        <v>BAS</v>
      </c>
      <c r="C162" s="3">
        <f>IF([1]SCHEDULE!C162="","",[1]SCHEDULE!C162)</f>
        <v>7</v>
      </c>
      <c r="D162" s="1" t="str">
        <f>IF([1]SCHEDULE!D162="","",[1]SCHEDULE!D162)</f>
        <v>Baskonia Vitoria-Gasteiz</v>
      </c>
      <c r="E162" s="1" t="str">
        <f>IF([1]SCHEDULE!E162="","",[1]SCHEDULE!E162)</f>
        <v>Olympiacos Piraeus</v>
      </c>
      <c r="F162" s="6">
        <f>IF([1]SCHEDULE!F162="","",[1]SCHEDULE!F162)</f>
        <v>45239</v>
      </c>
      <c r="G162" s="3" t="str">
        <f>IF([1]SCHEDULE!G162="","",[1]SCHEDULE!G162)</f>
        <v>A</v>
      </c>
      <c r="H162" s="3" t="str">
        <f>IF([1]SCHEDULE!H162="","",[1]SCHEDULE!H162)</f>
        <v>OLY</v>
      </c>
      <c r="I162" s="3" t="str">
        <f>IF([1]SCHEDULE!I162="","",[1]SCHEDULE!I162)</f>
        <v>7.BAS</v>
      </c>
      <c r="J162" s="3" t="str">
        <f>IF([1]SCHEDULE!J162="","",[1]SCHEDULE!J162)</f>
        <v>7.OLY</v>
      </c>
    </row>
    <row r="163" spans="2:10" x14ac:dyDescent="0.25">
      <c r="B163" s="3" t="str">
        <f>IF([1]SCHEDULE!B163="","",[1]SCHEDULE!B163)</f>
        <v>BAS</v>
      </c>
      <c r="C163" s="3">
        <f>IF([1]SCHEDULE!C163="","",[1]SCHEDULE!C163)</f>
        <v>8</v>
      </c>
      <c r="D163" s="1" t="str">
        <f>IF([1]SCHEDULE!D163="","",[1]SCHEDULE!D163)</f>
        <v>Baskonia Vitoria-Gasteiz</v>
      </c>
      <c r="E163" s="1" t="str">
        <f>IF([1]SCHEDULE!E163="","",[1]SCHEDULE!E163)</f>
        <v>FC Barcelona</v>
      </c>
      <c r="F163" s="6">
        <f>IF([1]SCHEDULE!F163="","",[1]SCHEDULE!F163)</f>
        <v>45245</v>
      </c>
      <c r="G163" s="3" t="str">
        <f>IF([1]SCHEDULE!G163="","",[1]SCHEDULE!G163)</f>
        <v>H</v>
      </c>
      <c r="H163" s="3" t="str">
        <f>IF([1]SCHEDULE!H163="","",[1]SCHEDULE!H163)</f>
        <v>FCB</v>
      </c>
      <c r="I163" s="3" t="str">
        <f>IF([1]SCHEDULE!I163="","",[1]SCHEDULE!I163)</f>
        <v>8.BAS</v>
      </c>
      <c r="J163" s="3" t="str">
        <f>IF([1]SCHEDULE!J163="","",[1]SCHEDULE!J163)</f>
        <v>8.FCB</v>
      </c>
    </row>
    <row r="164" spans="2:10" x14ac:dyDescent="0.25">
      <c r="B164" s="3" t="str">
        <f>IF([1]SCHEDULE!B164="","",[1]SCHEDULE!B164)</f>
        <v>BAS</v>
      </c>
      <c r="C164" s="3">
        <f>IF([1]SCHEDULE!C164="","",[1]SCHEDULE!C164)</f>
        <v>9</v>
      </c>
      <c r="D164" s="1" t="str">
        <f>IF([1]SCHEDULE!D164="","",[1]SCHEDULE!D164)</f>
        <v>Baskonia Vitoria-Gasteiz</v>
      </c>
      <c r="E164" s="1" t="str">
        <f>IF([1]SCHEDULE!E164="","",[1]SCHEDULE!E164)</f>
        <v>LDLC ASVEL Villeurbanne</v>
      </c>
      <c r="F164" s="6">
        <f>IF([1]SCHEDULE!F164="","",[1]SCHEDULE!F164)</f>
        <v>45247</v>
      </c>
      <c r="G164" s="3" t="str">
        <f>IF([1]SCHEDULE!G164="","",[1]SCHEDULE!G164)</f>
        <v>A</v>
      </c>
      <c r="H164" s="3" t="str">
        <f>IF([1]SCHEDULE!H164="","",[1]SCHEDULE!H164)</f>
        <v>ASV</v>
      </c>
      <c r="I164" s="3" t="str">
        <f>IF([1]SCHEDULE!I164="","",[1]SCHEDULE!I164)</f>
        <v>9.BAS</v>
      </c>
      <c r="J164" s="3" t="str">
        <f>IF([1]SCHEDULE!J164="","",[1]SCHEDULE!J164)</f>
        <v>9.ASV</v>
      </c>
    </row>
    <row r="165" spans="2:10" x14ac:dyDescent="0.25">
      <c r="B165" s="3" t="str">
        <f>IF([1]SCHEDULE!B165="","",[1]SCHEDULE!B165)</f>
        <v>BAS</v>
      </c>
      <c r="C165" s="3">
        <f>IF([1]SCHEDULE!C165="","",[1]SCHEDULE!C165)</f>
        <v>10</v>
      </c>
      <c r="D165" s="1" t="str">
        <f>IF([1]SCHEDULE!D165="","",[1]SCHEDULE!D165)</f>
        <v>Baskonia Vitoria-Gasteiz</v>
      </c>
      <c r="E165" s="1" t="str">
        <f>IF([1]SCHEDULE!E165="","",[1]SCHEDULE!E165)</f>
        <v>AS Monaco</v>
      </c>
      <c r="F165" s="6">
        <f>IF([1]SCHEDULE!F165="","",[1]SCHEDULE!F165)</f>
        <v>45254</v>
      </c>
      <c r="G165" s="3" t="str">
        <f>IF([1]SCHEDULE!G165="","",[1]SCHEDULE!G165)</f>
        <v>H</v>
      </c>
      <c r="H165" s="3" t="str">
        <f>IF([1]SCHEDULE!H165="","",[1]SCHEDULE!H165)</f>
        <v>ASM</v>
      </c>
      <c r="I165" s="3" t="str">
        <f>IF([1]SCHEDULE!I165="","",[1]SCHEDULE!I165)</f>
        <v>10.BAS</v>
      </c>
      <c r="J165" s="3" t="str">
        <f>IF([1]SCHEDULE!J165="","",[1]SCHEDULE!J165)</f>
        <v>10.ASM</v>
      </c>
    </row>
    <row r="166" spans="2:10" x14ac:dyDescent="0.25">
      <c r="B166" s="3" t="str">
        <f>IF([1]SCHEDULE!B166="","",[1]SCHEDULE!B166)</f>
        <v>BAS</v>
      </c>
      <c r="C166" s="3">
        <f>IF([1]SCHEDULE!C166="","",[1]SCHEDULE!C166)</f>
        <v>11</v>
      </c>
      <c r="D166" s="1" t="str">
        <f>IF([1]SCHEDULE!D166="","",[1]SCHEDULE!D166)</f>
        <v>Baskonia Vitoria-Gasteiz</v>
      </c>
      <c r="E166" s="1" t="str">
        <f>IF([1]SCHEDULE!E166="","",[1]SCHEDULE!E166)</f>
        <v>Valencia Basket</v>
      </c>
      <c r="F166" s="6">
        <f>IF([1]SCHEDULE!F166="","",[1]SCHEDULE!F166)</f>
        <v>45261</v>
      </c>
      <c r="G166" s="3" t="str">
        <f>IF([1]SCHEDULE!G166="","",[1]SCHEDULE!G166)</f>
        <v>A</v>
      </c>
      <c r="H166" s="3" t="str">
        <f>IF([1]SCHEDULE!H166="","",[1]SCHEDULE!H166)</f>
        <v>VAL</v>
      </c>
      <c r="I166" s="3" t="str">
        <f>IF([1]SCHEDULE!I166="","",[1]SCHEDULE!I166)</f>
        <v>11.BAS</v>
      </c>
      <c r="J166" s="3" t="str">
        <f>IF([1]SCHEDULE!J166="","",[1]SCHEDULE!J166)</f>
        <v>11.VAL</v>
      </c>
    </row>
    <row r="167" spans="2:10" x14ac:dyDescent="0.25">
      <c r="B167" s="3" t="str">
        <f>IF([1]SCHEDULE!B167="","",[1]SCHEDULE!B167)</f>
        <v>BAS</v>
      </c>
      <c r="C167" s="3">
        <f>IF([1]SCHEDULE!C167="","",[1]SCHEDULE!C167)</f>
        <v>12</v>
      </c>
      <c r="D167" s="1" t="str">
        <f>IF([1]SCHEDULE!D167="","",[1]SCHEDULE!D167)</f>
        <v>Baskonia Vitoria-Gasteiz</v>
      </c>
      <c r="E167" s="1" t="str">
        <f>IF([1]SCHEDULE!E167="","",[1]SCHEDULE!E167)</f>
        <v>Fenerbahce Beko Istanbul</v>
      </c>
      <c r="F167" s="6">
        <f>IF([1]SCHEDULE!F167="","",[1]SCHEDULE!F167)</f>
        <v>45266</v>
      </c>
      <c r="G167" s="3" t="str">
        <f>IF([1]SCHEDULE!G167="","",[1]SCHEDULE!G167)</f>
        <v>H</v>
      </c>
      <c r="H167" s="3" t="str">
        <f>IF([1]SCHEDULE!H167="","",[1]SCHEDULE!H167)</f>
        <v>FEN</v>
      </c>
      <c r="I167" s="3" t="str">
        <f>IF([1]SCHEDULE!I167="","",[1]SCHEDULE!I167)</f>
        <v>12.BAS</v>
      </c>
      <c r="J167" s="3" t="str">
        <f>IF([1]SCHEDULE!J167="","",[1]SCHEDULE!J167)</f>
        <v>12.FEN</v>
      </c>
    </row>
    <row r="168" spans="2:10" x14ac:dyDescent="0.25">
      <c r="B168" s="3" t="str">
        <f>IF([1]SCHEDULE!B168="","",[1]SCHEDULE!B168)</f>
        <v>BAS</v>
      </c>
      <c r="C168" s="3">
        <f>IF([1]SCHEDULE!C168="","",[1]SCHEDULE!C168)</f>
        <v>13</v>
      </c>
      <c r="D168" s="1" t="str">
        <f>IF([1]SCHEDULE!D168="","",[1]SCHEDULE!D168)</f>
        <v>Baskonia Vitoria-Gasteiz</v>
      </c>
      <c r="E168" s="1" t="str">
        <f>IF([1]SCHEDULE!E168="","",[1]SCHEDULE!E168)</f>
        <v>Crvena Zvezda Meridianbet Belgrade</v>
      </c>
      <c r="F168" s="6">
        <f>IF([1]SCHEDULE!F168="","",[1]SCHEDULE!F168)</f>
        <v>45268</v>
      </c>
      <c r="G168" s="3" t="str">
        <f>IF([1]SCHEDULE!G168="","",[1]SCHEDULE!G168)</f>
        <v>H</v>
      </c>
      <c r="H168" s="3" t="str">
        <f>IF([1]SCHEDULE!H168="","",[1]SCHEDULE!H168)</f>
        <v>CZB</v>
      </c>
      <c r="I168" s="3" t="str">
        <f>IF([1]SCHEDULE!I168="","",[1]SCHEDULE!I168)</f>
        <v>13.BAS</v>
      </c>
      <c r="J168" s="3" t="str">
        <f>IF([1]SCHEDULE!J168="","",[1]SCHEDULE!J168)</f>
        <v>13.CZB</v>
      </c>
    </row>
    <row r="169" spans="2:10" x14ac:dyDescent="0.25">
      <c r="B169" s="3" t="str">
        <f>IF([1]SCHEDULE!B169="","",[1]SCHEDULE!B169)</f>
        <v>BAS</v>
      </c>
      <c r="C169" s="3">
        <f>IF([1]SCHEDULE!C169="","",[1]SCHEDULE!C169)</f>
        <v>14</v>
      </c>
      <c r="D169" s="1" t="str">
        <f>IF([1]SCHEDULE!D169="","",[1]SCHEDULE!D169)</f>
        <v>Baskonia Vitoria-Gasteiz</v>
      </c>
      <c r="E169" s="1" t="str">
        <f>IF([1]SCHEDULE!E169="","",[1]SCHEDULE!E169)</f>
        <v>Virtus Segafredo Bologna</v>
      </c>
      <c r="F169" s="6">
        <f>IF([1]SCHEDULE!F169="","",[1]SCHEDULE!F169)</f>
        <v>45274</v>
      </c>
      <c r="G169" s="3" t="str">
        <f>IF([1]SCHEDULE!G169="","",[1]SCHEDULE!G169)</f>
        <v>H</v>
      </c>
      <c r="H169" s="3" t="str">
        <f>IF([1]SCHEDULE!H169="","",[1]SCHEDULE!H169)</f>
        <v>VIR</v>
      </c>
      <c r="I169" s="3" t="str">
        <f>IF([1]SCHEDULE!I169="","",[1]SCHEDULE!I169)</f>
        <v>14.BAS</v>
      </c>
      <c r="J169" s="3" t="str">
        <f>IF([1]SCHEDULE!J169="","",[1]SCHEDULE!J169)</f>
        <v>14.VIR</v>
      </c>
    </row>
    <row r="170" spans="2:10" x14ac:dyDescent="0.25">
      <c r="B170" s="3" t="str">
        <f>IF([1]SCHEDULE!B170="","",[1]SCHEDULE!B170)</f>
        <v>BAS</v>
      </c>
      <c r="C170" s="3">
        <f>IF([1]SCHEDULE!C170="","",[1]SCHEDULE!C170)</f>
        <v>15</v>
      </c>
      <c r="D170" s="1" t="str">
        <f>IF([1]SCHEDULE!D170="","",[1]SCHEDULE!D170)</f>
        <v>Baskonia Vitoria-Gasteiz</v>
      </c>
      <c r="E170" s="1" t="str">
        <f>IF([1]SCHEDULE!E170="","",[1]SCHEDULE!E170)</f>
        <v>Maccabi Playtika Tel Aviv</v>
      </c>
      <c r="F170" s="6">
        <f>IF([1]SCHEDULE!F170="","",[1]SCHEDULE!F170)</f>
        <v>45279</v>
      </c>
      <c r="G170" s="3" t="str">
        <f>IF([1]SCHEDULE!G170="","",[1]SCHEDULE!G170)</f>
        <v>A</v>
      </c>
      <c r="H170" s="3" t="str">
        <f>IF([1]SCHEDULE!H170="","",[1]SCHEDULE!H170)</f>
        <v>MTA</v>
      </c>
      <c r="I170" s="3" t="str">
        <f>IF([1]SCHEDULE!I170="","",[1]SCHEDULE!I170)</f>
        <v>15.BAS</v>
      </c>
      <c r="J170" s="3" t="str">
        <f>IF([1]SCHEDULE!J170="","",[1]SCHEDULE!J170)</f>
        <v>15.MTA</v>
      </c>
    </row>
    <row r="171" spans="2:10" x14ac:dyDescent="0.25">
      <c r="B171" s="3" t="str">
        <f>IF([1]SCHEDULE!B171="","",[1]SCHEDULE!B171)</f>
        <v>BAS</v>
      </c>
      <c r="C171" s="3">
        <f>IF([1]SCHEDULE!C171="","",[1]SCHEDULE!C171)</f>
        <v>16</v>
      </c>
      <c r="D171" s="1" t="str">
        <f>IF([1]SCHEDULE!D171="","",[1]SCHEDULE!D171)</f>
        <v>Baskonia Vitoria-Gasteiz</v>
      </c>
      <c r="E171" s="1" t="str">
        <f>IF([1]SCHEDULE!E171="","",[1]SCHEDULE!E171)</f>
        <v>Anadolu Efes Istanbul</v>
      </c>
      <c r="F171" s="6">
        <f>IF([1]SCHEDULE!F171="","",[1]SCHEDULE!F171)</f>
        <v>45282</v>
      </c>
      <c r="G171" s="3" t="str">
        <f>IF([1]SCHEDULE!G171="","",[1]SCHEDULE!G171)</f>
        <v>A</v>
      </c>
      <c r="H171" s="3" t="str">
        <f>IF([1]SCHEDULE!H171="","",[1]SCHEDULE!H171)</f>
        <v>EFE</v>
      </c>
      <c r="I171" s="3" t="str">
        <f>IF([1]SCHEDULE!I171="","",[1]SCHEDULE!I171)</f>
        <v>16.BAS</v>
      </c>
      <c r="J171" s="3" t="str">
        <f>IF([1]SCHEDULE!J171="","",[1]SCHEDULE!J171)</f>
        <v>16.EFE</v>
      </c>
    </row>
    <row r="172" spans="2:10" x14ac:dyDescent="0.25">
      <c r="B172" s="3" t="str">
        <f>IF([1]SCHEDULE!B172="","",[1]SCHEDULE!B172)</f>
        <v>BAS</v>
      </c>
      <c r="C172" s="3">
        <f>IF([1]SCHEDULE!C172="","",[1]SCHEDULE!C172)</f>
        <v>17</v>
      </c>
      <c r="D172" s="1" t="str">
        <f>IF([1]SCHEDULE!D172="","",[1]SCHEDULE!D172)</f>
        <v>Baskonia Vitoria-Gasteiz</v>
      </c>
      <c r="E172" s="1" t="str">
        <f>IF([1]SCHEDULE!E172="","",[1]SCHEDULE!E172)</f>
        <v>EA7 Emporio Armani Milan</v>
      </c>
      <c r="F172" s="6">
        <f>IF([1]SCHEDULE!F172="","",[1]SCHEDULE!F172)</f>
        <v>45288</v>
      </c>
      <c r="G172" s="3" t="str">
        <f>IF([1]SCHEDULE!G172="","",[1]SCHEDULE!G172)</f>
        <v>A</v>
      </c>
      <c r="H172" s="3" t="str">
        <f>IF([1]SCHEDULE!H172="","",[1]SCHEDULE!H172)</f>
        <v>MIL</v>
      </c>
      <c r="I172" s="3" t="str">
        <f>IF([1]SCHEDULE!I172="","",[1]SCHEDULE!I172)</f>
        <v>17.BAS</v>
      </c>
      <c r="J172" s="3" t="str">
        <f>IF([1]SCHEDULE!J172="","",[1]SCHEDULE!J172)</f>
        <v>17.MIL</v>
      </c>
    </row>
    <row r="173" spans="2:10" x14ac:dyDescent="0.25">
      <c r="B173" s="3" t="str">
        <f>IF([1]SCHEDULE!B173="","",[1]SCHEDULE!B173)</f>
        <v>BAS</v>
      </c>
      <c r="C173" s="3">
        <f>IF([1]SCHEDULE!C173="","",[1]SCHEDULE!C173)</f>
        <v>18</v>
      </c>
      <c r="D173" s="1" t="str">
        <f>IF([1]SCHEDULE!D173="","",[1]SCHEDULE!D173)</f>
        <v>Baskonia Vitoria-Gasteiz</v>
      </c>
      <c r="E173" s="1" t="str">
        <f>IF([1]SCHEDULE!E173="","",[1]SCHEDULE!E173)</f>
        <v>Panathinaikos Athens</v>
      </c>
      <c r="F173" s="6">
        <f>IF([1]SCHEDULE!F173="","",[1]SCHEDULE!F173)</f>
        <v>45294</v>
      </c>
      <c r="G173" s="3" t="str">
        <f>IF([1]SCHEDULE!G173="","",[1]SCHEDULE!G173)</f>
        <v>H</v>
      </c>
      <c r="H173" s="3" t="str">
        <f>IF([1]SCHEDULE!H173="","",[1]SCHEDULE!H173)</f>
        <v>PAN</v>
      </c>
      <c r="I173" s="3" t="str">
        <f>IF([1]SCHEDULE!I173="","",[1]SCHEDULE!I173)</f>
        <v>18.BAS</v>
      </c>
      <c r="J173" s="3" t="str">
        <f>IF([1]SCHEDULE!J173="","",[1]SCHEDULE!J173)</f>
        <v>18.PAN</v>
      </c>
    </row>
    <row r="174" spans="2:10" x14ac:dyDescent="0.25">
      <c r="B174" s="3" t="str">
        <f>IF([1]SCHEDULE!B174="","",[1]SCHEDULE!B174)</f>
        <v>BAS</v>
      </c>
      <c r="C174" s="3">
        <f>IF([1]SCHEDULE!C174="","",[1]SCHEDULE!C174)</f>
        <v>19</v>
      </c>
      <c r="D174" s="1" t="str">
        <f>IF([1]SCHEDULE!D174="","",[1]SCHEDULE!D174)</f>
        <v>Baskonia Vitoria-Gasteiz</v>
      </c>
      <c r="E174" s="1" t="str">
        <f>IF([1]SCHEDULE!E174="","",[1]SCHEDULE!E174)</f>
        <v>FC Barcelona</v>
      </c>
      <c r="F174" s="6">
        <f>IF([1]SCHEDULE!F174="","",[1]SCHEDULE!F174)</f>
        <v>45296</v>
      </c>
      <c r="G174" s="3" t="str">
        <f>IF([1]SCHEDULE!G174="","",[1]SCHEDULE!G174)</f>
        <v>A</v>
      </c>
      <c r="H174" s="3" t="str">
        <f>IF([1]SCHEDULE!H174="","",[1]SCHEDULE!H174)</f>
        <v>FCB</v>
      </c>
      <c r="I174" s="3" t="str">
        <f>IF([1]SCHEDULE!I174="","",[1]SCHEDULE!I174)</f>
        <v>19.BAS</v>
      </c>
      <c r="J174" s="3" t="str">
        <f>IF([1]SCHEDULE!J174="","",[1]SCHEDULE!J174)</f>
        <v>19.FCB</v>
      </c>
    </row>
    <row r="175" spans="2:10" x14ac:dyDescent="0.25">
      <c r="B175" s="3" t="str">
        <f>IF([1]SCHEDULE!B175="","",[1]SCHEDULE!B175)</f>
        <v>BAS</v>
      </c>
      <c r="C175" s="3">
        <f>IF([1]SCHEDULE!C175="","",[1]SCHEDULE!C175)</f>
        <v>20</v>
      </c>
      <c r="D175" s="1" t="str">
        <f>IF([1]SCHEDULE!D175="","",[1]SCHEDULE!D175)</f>
        <v>Baskonia Vitoria-Gasteiz</v>
      </c>
      <c r="E175" s="1" t="str">
        <f>IF([1]SCHEDULE!E175="","",[1]SCHEDULE!E175)</f>
        <v>AS Monaco</v>
      </c>
      <c r="F175" s="6">
        <f>IF([1]SCHEDULE!F175="","",[1]SCHEDULE!F175)</f>
        <v>45300</v>
      </c>
      <c r="G175" s="3" t="str">
        <f>IF([1]SCHEDULE!G175="","",[1]SCHEDULE!G175)</f>
        <v>A</v>
      </c>
      <c r="H175" s="3" t="str">
        <f>IF([1]SCHEDULE!H175="","",[1]SCHEDULE!H175)</f>
        <v>ASM</v>
      </c>
      <c r="I175" s="3" t="str">
        <f>IF([1]SCHEDULE!I175="","",[1]SCHEDULE!I175)</f>
        <v>20.BAS</v>
      </c>
      <c r="J175" s="3" t="str">
        <f>IF([1]SCHEDULE!J175="","",[1]SCHEDULE!J175)</f>
        <v>20.ASM</v>
      </c>
    </row>
    <row r="176" spans="2:10" x14ac:dyDescent="0.25">
      <c r="B176" s="3" t="str">
        <f>IF([1]SCHEDULE!B176="","",[1]SCHEDULE!B176)</f>
        <v>BAS</v>
      </c>
      <c r="C176" s="3">
        <f>IF([1]SCHEDULE!C176="","",[1]SCHEDULE!C176)</f>
        <v>21</v>
      </c>
      <c r="D176" s="1" t="str">
        <f>IF([1]SCHEDULE!D176="","",[1]SCHEDULE!D176)</f>
        <v>Baskonia Vitoria-Gasteiz</v>
      </c>
      <c r="E176" s="1" t="str">
        <f>IF([1]SCHEDULE!E176="","",[1]SCHEDULE!E176)</f>
        <v>Olympiacos Piraeus</v>
      </c>
      <c r="F176" s="6">
        <f>IF([1]SCHEDULE!F176="","",[1]SCHEDULE!F176)</f>
        <v>45303</v>
      </c>
      <c r="G176" s="3" t="str">
        <f>IF([1]SCHEDULE!G176="","",[1]SCHEDULE!G176)</f>
        <v>H</v>
      </c>
      <c r="H176" s="3" t="str">
        <f>IF([1]SCHEDULE!H176="","",[1]SCHEDULE!H176)</f>
        <v>OLY</v>
      </c>
      <c r="I176" s="3" t="str">
        <f>IF([1]SCHEDULE!I176="","",[1]SCHEDULE!I176)</f>
        <v>21.BAS</v>
      </c>
      <c r="J176" s="3" t="str">
        <f>IF([1]SCHEDULE!J176="","",[1]SCHEDULE!J176)</f>
        <v>21.OLY</v>
      </c>
    </row>
    <row r="177" spans="2:10" x14ac:dyDescent="0.25">
      <c r="B177" s="3" t="str">
        <f>IF([1]SCHEDULE!B177="","",[1]SCHEDULE!B177)</f>
        <v>BAS</v>
      </c>
      <c r="C177" s="3">
        <f>IF([1]SCHEDULE!C177="","",[1]SCHEDULE!C177)</f>
        <v>22</v>
      </c>
      <c r="D177" s="1" t="str">
        <f>IF([1]SCHEDULE!D177="","",[1]SCHEDULE!D177)</f>
        <v>Baskonia Vitoria-Gasteiz</v>
      </c>
      <c r="E177" s="1" t="str">
        <f>IF([1]SCHEDULE!E177="","",[1]SCHEDULE!E177)</f>
        <v>Crvena Zvezda Meridianbet Belgrade</v>
      </c>
      <c r="F177" s="6">
        <f>IF([1]SCHEDULE!F177="","",[1]SCHEDULE!F177)</f>
        <v>45309</v>
      </c>
      <c r="G177" s="3" t="str">
        <f>IF([1]SCHEDULE!G177="","",[1]SCHEDULE!G177)</f>
        <v>A</v>
      </c>
      <c r="H177" s="3" t="str">
        <f>IF([1]SCHEDULE!H177="","",[1]SCHEDULE!H177)</f>
        <v>CZB</v>
      </c>
      <c r="I177" s="3" t="str">
        <f>IF([1]SCHEDULE!I177="","",[1]SCHEDULE!I177)</f>
        <v>22.BAS</v>
      </c>
      <c r="J177" s="3" t="str">
        <f>IF([1]SCHEDULE!J177="","",[1]SCHEDULE!J177)</f>
        <v>22.CZB</v>
      </c>
    </row>
    <row r="178" spans="2:10" x14ac:dyDescent="0.25">
      <c r="B178" s="3" t="str">
        <f>IF([1]SCHEDULE!B178="","",[1]SCHEDULE!B178)</f>
        <v>BAS</v>
      </c>
      <c r="C178" s="3">
        <f>IF([1]SCHEDULE!C178="","",[1]SCHEDULE!C178)</f>
        <v>23</v>
      </c>
      <c r="D178" s="1" t="str">
        <f>IF([1]SCHEDULE!D178="","",[1]SCHEDULE!D178)</f>
        <v>Baskonia Vitoria-Gasteiz</v>
      </c>
      <c r="E178" s="1" t="str">
        <f>IF([1]SCHEDULE!E178="","",[1]SCHEDULE!E178)</f>
        <v>Valencia Basket</v>
      </c>
      <c r="F178" s="6">
        <f>IF([1]SCHEDULE!F178="","",[1]SCHEDULE!F178)</f>
        <v>45317</v>
      </c>
      <c r="G178" s="3" t="str">
        <f>IF([1]SCHEDULE!G178="","",[1]SCHEDULE!G178)</f>
        <v>H</v>
      </c>
      <c r="H178" s="3" t="str">
        <f>IF([1]SCHEDULE!H178="","",[1]SCHEDULE!H178)</f>
        <v>VAL</v>
      </c>
      <c r="I178" s="3" t="str">
        <f>IF([1]SCHEDULE!I178="","",[1]SCHEDULE!I178)</f>
        <v>23.BAS</v>
      </c>
      <c r="J178" s="3" t="str">
        <f>IF([1]SCHEDULE!J178="","",[1]SCHEDULE!J178)</f>
        <v>23.VAL</v>
      </c>
    </row>
    <row r="179" spans="2:10" x14ac:dyDescent="0.25">
      <c r="B179" s="3" t="str">
        <f>IF([1]SCHEDULE!B179="","",[1]SCHEDULE!B179)</f>
        <v>BAS</v>
      </c>
      <c r="C179" s="3">
        <f>IF([1]SCHEDULE!C179="","",[1]SCHEDULE!C179)</f>
        <v>24</v>
      </c>
      <c r="D179" s="1" t="str">
        <f>IF([1]SCHEDULE!D179="","",[1]SCHEDULE!D179)</f>
        <v>Baskonia Vitoria-Gasteiz</v>
      </c>
      <c r="E179" s="1" t="str">
        <f>IF([1]SCHEDULE!E179="","",[1]SCHEDULE!E179)</f>
        <v>FC Bayern Munich</v>
      </c>
      <c r="F179" s="6">
        <f>IF([1]SCHEDULE!F179="","",[1]SCHEDULE!F179)</f>
        <v>45321</v>
      </c>
      <c r="G179" s="3" t="str">
        <f>IF([1]SCHEDULE!G179="","",[1]SCHEDULE!G179)</f>
        <v>A</v>
      </c>
      <c r="H179" s="3" t="str">
        <f>IF([1]SCHEDULE!H179="","",[1]SCHEDULE!H179)</f>
        <v>BAY</v>
      </c>
      <c r="I179" s="3" t="str">
        <f>IF([1]SCHEDULE!I179="","",[1]SCHEDULE!I179)</f>
        <v>24.BAS</v>
      </c>
      <c r="J179" s="3" t="str">
        <f>IF([1]SCHEDULE!J179="","",[1]SCHEDULE!J179)</f>
        <v>24.BAY</v>
      </c>
    </row>
    <row r="180" spans="2:10" x14ac:dyDescent="0.25">
      <c r="B180" s="3" t="str">
        <f>IF([1]SCHEDULE!B180="","",[1]SCHEDULE!B180)</f>
        <v>BAS</v>
      </c>
      <c r="C180" s="3">
        <f>IF([1]SCHEDULE!C180="","",[1]SCHEDULE!C180)</f>
        <v>25</v>
      </c>
      <c r="D180" s="1" t="str">
        <f>IF([1]SCHEDULE!D180="","",[1]SCHEDULE!D180)</f>
        <v>Baskonia Vitoria-Gasteiz</v>
      </c>
      <c r="E180" s="1" t="str">
        <f>IF([1]SCHEDULE!E180="","",[1]SCHEDULE!E180)</f>
        <v>Maccabi Playtika Tel Aviv</v>
      </c>
      <c r="F180" s="6">
        <f>IF([1]SCHEDULE!F180="","",[1]SCHEDULE!F180)</f>
        <v>45323</v>
      </c>
      <c r="G180" s="3" t="str">
        <f>IF([1]SCHEDULE!G180="","",[1]SCHEDULE!G180)</f>
        <v>H</v>
      </c>
      <c r="H180" s="3" t="str">
        <f>IF([1]SCHEDULE!H180="","",[1]SCHEDULE!H180)</f>
        <v>MTA</v>
      </c>
      <c r="I180" s="3" t="str">
        <f>IF([1]SCHEDULE!I180="","",[1]SCHEDULE!I180)</f>
        <v>25.BAS</v>
      </c>
      <c r="J180" s="3" t="str">
        <f>IF([1]SCHEDULE!J180="","",[1]SCHEDULE!J180)</f>
        <v>25.MTA</v>
      </c>
    </row>
    <row r="181" spans="2:10" x14ac:dyDescent="0.25">
      <c r="B181" s="3" t="str">
        <f>IF([1]SCHEDULE!B181="","",[1]SCHEDULE!B181)</f>
        <v>BAS</v>
      </c>
      <c r="C181" s="3">
        <f>IF([1]SCHEDULE!C181="","",[1]SCHEDULE!C181)</f>
        <v>26</v>
      </c>
      <c r="D181" s="1" t="str">
        <f>IF([1]SCHEDULE!D181="","",[1]SCHEDULE!D181)</f>
        <v>Baskonia Vitoria-Gasteiz</v>
      </c>
      <c r="E181" s="1" t="str">
        <f>IF([1]SCHEDULE!E181="","",[1]SCHEDULE!E181)</f>
        <v>LDLC ASVEL Villeurbanne</v>
      </c>
      <c r="F181" s="6">
        <f>IF([1]SCHEDULE!F181="","",[1]SCHEDULE!F181)</f>
        <v>45330</v>
      </c>
      <c r="G181" s="3" t="str">
        <f>IF([1]SCHEDULE!G181="","",[1]SCHEDULE!G181)</f>
        <v>H</v>
      </c>
      <c r="H181" s="3" t="str">
        <f>IF([1]SCHEDULE!H181="","",[1]SCHEDULE!H181)</f>
        <v>ASV</v>
      </c>
      <c r="I181" s="3" t="str">
        <f>IF([1]SCHEDULE!I181="","",[1]SCHEDULE!I181)</f>
        <v>26.BAS</v>
      </c>
      <c r="J181" s="3" t="str">
        <f>IF([1]SCHEDULE!J181="","",[1]SCHEDULE!J181)</f>
        <v>26.ASV</v>
      </c>
    </row>
    <row r="182" spans="2:10" x14ac:dyDescent="0.25">
      <c r="B182" s="3" t="str">
        <f>IF([1]SCHEDULE!B182="","",[1]SCHEDULE!B182)</f>
        <v>BAS</v>
      </c>
      <c r="C182" s="3">
        <f>IF([1]SCHEDULE!C182="","",[1]SCHEDULE!C182)</f>
        <v>27</v>
      </c>
      <c r="D182" s="1" t="str">
        <f>IF([1]SCHEDULE!D182="","",[1]SCHEDULE!D182)</f>
        <v>Baskonia Vitoria-Gasteiz</v>
      </c>
      <c r="E182" s="1" t="str">
        <f>IF([1]SCHEDULE!E182="","",[1]SCHEDULE!E182)</f>
        <v>Fenerbahce Beko Istanbul</v>
      </c>
      <c r="F182" s="6">
        <f>IF([1]SCHEDULE!F182="","",[1]SCHEDULE!F182)</f>
        <v>45352</v>
      </c>
      <c r="G182" s="3" t="str">
        <f>IF([1]SCHEDULE!G182="","",[1]SCHEDULE!G182)</f>
        <v>A</v>
      </c>
      <c r="H182" s="3" t="str">
        <f>IF([1]SCHEDULE!H182="","",[1]SCHEDULE!H182)</f>
        <v>FEN</v>
      </c>
      <c r="I182" s="3" t="str">
        <f>IF([1]SCHEDULE!I182="","",[1]SCHEDULE!I182)</f>
        <v>27.BAS</v>
      </c>
      <c r="J182" s="3" t="str">
        <f>IF([1]SCHEDULE!J182="","",[1]SCHEDULE!J182)</f>
        <v>27.FEN</v>
      </c>
    </row>
    <row r="183" spans="2:10" x14ac:dyDescent="0.25">
      <c r="B183" s="3" t="str">
        <f>IF([1]SCHEDULE!B183="","",[1]SCHEDULE!B183)</f>
        <v>BAS</v>
      </c>
      <c r="C183" s="3">
        <f>IF([1]SCHEDULE!C183="","",[1]SCHEDULE!C183)</f>
        <v>28</v>
      </c>
      <c r="D183" s="1" t="str">
        <f>IF([1]SCHEDULE!D183="","",[1]SCHEDULE!D183)</f>
        <v>Baskonia Vitoria-Gasteiz</v>
      </c>
      <c r="E183" s="1" t="str">
        <f>IF([1]SCHEDULE!E183="","",[1]SCHEDULE!E183)</f>
        <v>ALBA Berlin</v>
      </c>
      <c r="F183" s="6">
        <f>IF([1]SCHEDULE!F183="","",[1]SCHEDULE!F183)</f>
        <v>45359</v>
      </c>
      <c r="G183" s="3" t="str">
        <f>IF([1]SCHEDULE!G183="","",[1]SCHEDULE!G183)</f>
        <v>H</v>
      </c>
      <c r="H183" s="3" t="str">
        <f>IF([1]SCHEDULE!H183="","",[1]SCHEDULE!H183)</f>
        <v>BER</v>
      </c>
      <c r="I183" s="3" t="str">
        <f>IF([1]SCHEDULE!I183="","",[1]SCHEDULE!I183)</f>
        <v>28.BAS</v>
      </c>
      <c r="J183" s="3" t="str">
        <f>IF([1]SCHEDULE!J183="","",[1]SCHEDULE!J183)</f>
        <v>28.BER</v>
      </c>
    </row>
    <row r="184" spans="2:10" x14ac:dyDescent="0.25">
      <c r="B184" s="3" t="str">
        <f>IF([1]SCHEDULE!B184="","",[1]SCHEDULE!B184)</f>
        <v>BAS</v>
      </c>
      <c r="C184" s="3">
        <f>IF([1]SCHEDULE!C184="","",[1]SCHEDULE!C184)</f>
        <v>29</v>
      </c>
      <c r="D184" s="1" t="str">
        <f>IF([1]SCHEDULE!D184="","",[1]SCHEDULE!D184)</f>
        <v>Baskonia Vitoria-Gasteiz</v>
      </c>
      <c r="E184" s="1" t="str">
        <f>IF([1]SCHEDULE!E184="","",[1]SCHEDULE!E184)</f>
        <v>EA7 Emporio Armani Milan</v>
      </c>
      <c r="F184" s="6">
        <f>IF([1]SCHEDULE!F184="","",[1]SCHEDULE!F184)</f>
        <v>45365</v>
      </c>
      <c r="G184" s="3" t="str">
        <f>IF([1]SCHEDULE!G184="","",[1]SCHEDULE!G184)</f>
        <v>H</v>
      </c>
      <c r="H184" s="3" t="str">
        <f>IF([1]SCHEDULE!H184="","",[1]SCHEDULE!H184)</f>
        <v>MIL</v>
      </c>
      <c r="I184" s="3" t="str">
        <f>IF([1]SCHEDULE!I184="","",[1]SCHEDULE!I184)</f>
        <v>29.BAS</v>
      </c>
      <c r="J184" s="3" t="str">
        <f>IF([1]SCHEDULE!J184="","",[1]SCHEDULE!J184)</f>
        <v>29.MIL</v>
      </c>
    </row>
    <row r="185" spans="2:10" x14ac:dyDescent="0.25">
      <c r="B185" s="3" t="str">
        <f>IF([1]SCHEDULE!B185="","",[1]SCHEDULE!B185)</f>
        <v>BAS</v>
      </c>
      <c r="C185" s="3">
        <f>IF([1]SCHEDULE!C185="","",[1]SCHEDULE!C185)</f>
        <v>30</v>
      </c>
      <c r="D185" s="1" t="str">
        <f>IF([1]SCHEDULE!D185="","",[1]SCHEDULE!D185)</f>
        <v>Baskonia Vitoria-Gasteiz</v>
      </c>
      <c r="E185" s="1" t="str">
        <f>IF([1]SCHEDULE!E185="","",[1]SCHEDULE!E185)</f>
        <v>Partizan Mozzart Bet Belgrade</v>
      </c>
      <c r="F185" s="6">
        <f>IF([1]SCHEDULE!F185="","",[1]SCHEDULE!F185)</f>
        <v>45370</v>
      </c>
      <c r="G185" s="3" t="str">
        <f>IF([1]SCHEDULE!G185="","",[1]SCHEDULE!G185)</f>
        <v>A</v>
      </c>
      <c r="H185" s="3" t="str">
        <f>IF([1]SCHEDULE!H185="","",[1]SCHEDULE!H185)</f>
        <v>PAR</v>
      </c>
      <c r="I185" s="3" t="str">
        <f>IF([1]SCHEDULE!I185="","",[1]SCHEDULE!I185)</f>
        <v>30.BAS</v>
      </c>
      <c r="J185" s="3" t="str">
        <f>IF([1]SCHEDULE!J185="","",[1]SCHEDULE!J185)</f>
        <v>30.PAR</v>
      </c>
    </row>
    <row r="186" spans="2:10" x14ac:dyDescent="0.25">
      <c r="B186" s="3" t="str">
        <f>IF([1]SCHEDULE!B186="","",[1]SCHEDULE!B186)</f>
        <v>BAS</v>
      </c>
      <c r="C186" s="3">
        <f>IF([1]SCHEDULE!C186="","",[1]SCHEDULE!C186)</f>
        <v>31</v>
      </c>
      <c r="D186" s="1" t="str">
        <f>IF([1]SCHEDULE!D186="","",[1]SCHEDULE!D186)</f>
        <v>Baskonia Vitoria-Gasteiz</v>
      </c>
      <c r="E186" s="1" t="str">
        <f>IF([1]SCHEDULE!E186="","",[1]SCHEDULE!E186)</f>
        <v>Zalgiris Kaunas</v>
      </c>
      <c r="F186" s="6">
        <f>IF([1]SCHEDULE!F186="","",[1]SCHEDULE!F186)</f>
        <v>45372</v>
      </c>
      <c r="G186" s="3" t="str">
        <f>IF([1]SCHEDULE!G186="","",[1]SCHEDULE!G186)</f>
        <v>A</v>
      </c>
      <c r="H186" s="3" t="str">
        <f>IF([1]SCHEDULE!H186="","",[1]SCHEDULE!H186)</f>
        <v>ZAL</v>
      </c>
      <c r="I186" s="3" t="str">
        <f>IF([1]SCHEDULE!I186="","",[1]SCHEDULE!I186)</f>
        <v>31.BAS</v>
      </c>
      <c r="J186" s="3" t="str">
        <f>IF([1]SCHEDULE!J186="","",[1]SCHEDULE!J186)</f>
        <v>31.ZAL</v>
      </c>
    </row>
    <row r="187" spans="2:10" x14ac:dyDescent="0.25">
      <c r="B187" s="3" t="str">
        <f>IF([1]SCHEDULE!B187="","",[1]SCHEDULE!B187)</f>
        <v>BAS</v>
      </c>
      <c r="C187" s="3">
        <f>IF([1]SCHEDULE!C187="","",[1]SCHEDULE!C187)</f>
        <v>32</v>
      </c>
      <c r="D187" s="1" t="str">
        <f>IF([1]SCHEDULE!D187="","",[1]SCHEDULE!D187)</f>
        <v>Baskonia Vitoria-Gasteiz</v>
      </c>
      <c r="E187" s="1" t="str">
        <f>IF([1]SCHEDULE!E187="","",[1]SCHEDULE!E187)</f>
        <v>Anadolu Efes Istanbul</v>
      </c>
      <c r="F187" s="6">
        <f>IF([1]SCHEDULE!F187="","",[1]SCHEDULE!F187)</f>
        <v>45379</v>
      </c>
      <c r="G187" s="3" t="str">
        <f>IF([1]SCHEDULE!G187="","",[1]SCHEDULE!G187)</f>
        <v>H</v>
      </c>
      <c r="H187" s="3" t="str">
        <f>IF([1]SCHEDULE!H187="","",[1]SCHEDULE!H187)</f>
        <v>EFE</v>
      </c>
      <c r="I187" s="3" t="str">
        <f>IF([1]SCHEDULE!I187="","",[1]SCHEDULE!I187)</f>
        <v>32.BAS</v>
      </c>
      <c r="J187" s="3" t="str">
        <f>IF([1]SCHEDULE!J187="","",[1]SCHEDULE!J187)</f>
        <v>32.EFE</v>
      </c>
    </row>
    <row r="188" spans="2:10" x14ac:dyDescent="0.25">
      <c r="B188" s="3" t="str">
        <f>IF([1]SCHEDULE!B188="","",[1]SCHEDULE!B188)</f>
        <v>BAS</v>
      </c>
      <c r="C188" s="3">
        <f>IF([1]SCHEDULE!C188="","",[1]SCHEDULE!C188)</f>
        <v>33</v>
      </c>
      <c r="D188" s="1" t="str">
        <f>IF([1]SCHEDULE!D188="","",[1]SCHEDULE!D188)</f>
        <v>Baskonia Vitoria-Gasteiz</v>
      </c>
      <c r="E188" s="1" t="str">
        <f>IF([1]SCHEDULE!E188="","",[1]SCHEDULE!E188)</f>
        <v>Real Madrid</v>
      </c>
      <c r="F188" s="6">
        <f>IF([1]SCHEDULE!F188="","",[1]SCHEDULE!F188)</f>
        <v>45387</v>
      </c>
      <c r="G188" s="3" t="str">
        <f>IF([1]SCHEDULE!G188="","",[1]SCHEDULE!G188)</f>
        <v>A</v>
      </c>
      <c r="H188" s="3" t="str">
        <f>IF([1]SCHEDULE!H188="","",[1]SCHEDULE!H188)</f>
        <v>RMB</v>
      </c>
      <c r="I188" s="3" t="str">
        <f>IF([1]SCHEDULE!I188="","",[1]SCHEDULE!I188)</f>
        <v>33.BAS</v>
      </c>
      <c r="J188" s="3" t="str">
        <f>IF([1]SCHEDULE!J188="","",[1]SCHEDULE!J188)</f>
        <v>33.RMB</v>
      </c>
    </row>
    <row r="189" spans="2:10" x14ac:dyDescent="0.25">
      <c r="B189" s="3" t="str">
        <f>IF([1]SCHEDULE!B189="","",[1]SCHEDULE!B189)</f>
        <v>BAS</v>
      </c>
      <c r="C189" s="3">
        <f>IF([1]SCHEDULE!C189="","",[1]SCHEDULE!C189)</f>
        <v>34</v>
      </c>
      <c r="D189" s="1" t="str">
        <f>IF([1]SCHEDULE!D189="","",[1]SCHEDULE!D189)</f>
        <v>Baskonia Vitoria-Gasteiz</v>
      </c>
      <c r="E189" s="1" t="str">
        <f>IF([1]SCHEDULE!E189="","",[1]SCHEDULE!E189)</f>
        <v>Virtus Segafredo Bologna</v>
      </c>
      <c r="F189" s="6">
        <f>IF([1]SCHEDULE!F189="","",[1]SCHEDULE!F189)</f>
        <v>45394</v>
      </c>
      <c r="G189" s="3" t="str">
        <f>IF([1]SCHEDULE!G189="","",[1]SCHEDULE!G189)</f>
        <v>A</v>
      </c>
      <c r="H189" s="3" t="str">
        <f>IF([1]SCHEDULE!H189="","",[1]SCHEDULE!H189)</f>
        <v>VIR</v>
      </c>
      <c r="I189" s="3" t="str">
        <f>IF([1]SCHEDULE!I189="","",[1]SCHEDULE!I189)</f>
        <v>34.BAS</v>
      </c>
      <c r="J189" s="3" t="str">
        <f>IF([1]SCHEDULE!J189="","",[1]SCHEDULE!J189)</f>
        <v>34.VIR</v>
      </c>
    </row>
    <row r="190" spans="2:10" x14ac:dyDescent="0.25">
      <c r="B190" s="3" t="str">
        <f>IF([1]SCHEDULE!B190="","",[1]SCHEDULE!B190)</f>
        <v>BAS</v>
      </c>
      <c r="C190" s="3">
        <f>IF([1]SCHEDULE!C190="","",[1]SCHEDULE!C190)</f>
        <v>35</v>
      </c>
      <c r="D190" s="1" t="str">
        <f>IF([1]SCHEDULE!D190="","",[1]SCHEDULE!D190)</f>
        <v>Baskonia Vitoria-Gasteiz</v>
      </c>
      <c r="E190" s="1" t="str">
        <f>IF([1]SCHEDULE!E190="","",[1]SCHEDULE!E190)</f>
        <v/>
      </c>
      <c r="F190" s="6" t="str">
        <f>IF([1]SCHEDULE!F190="","",[1]SCHEDULE!F190)</f>
        <v/>
      </c>
      <c r="G190" s="3" t="str">
        <f>IF([1]SCHEDULE!G190="","",[1]SCHEDULE!G190)</f>
        <v/>
      </c>
      <c r="H190" s="3" t="str">
        <f>IF([1]SCHEDULE!H190="","",[1]SCHEDULE!H190)</f>
        <v/>
      </c>
      <c r="I190" s="3" t="str">
        <f>IF([1]SCHEDULE!I190="","",[1]SCHEDULE!I190)</f>
        <v/>
      </c>
      <c r="J190" s="3" t="str">
        <f>IF([1]SCHEDULE!J190="","",[1]SCHEDULE!J190)</f>
        <v/>
      </c>
    </row>
    <row r="191" spans="2:10" x14ac:dyDescent="0.25">
      <c r="B191" s="3" t="str">
        <f>IF([1]SCHEDULE!B191="","",[1]SCHEDULE!B191)</f>
        <v>BAS</v>
      </c>
      <c r="C191" s="3">
        <f>IF([1]SCHEDULE!C191="","",[1]SCHEDULE!C191)</f>
        <v>36</v>
      </c>
      <c r="D191" s="1" t="str">
        <f>IF([1]SCHEDULE!D191="","",[1]SCHEDULE!D191)</f>
        <v>Baskonia Vitoria-Gasteiz</v>
      </c>
      <c r="E191" s="1" t="str">
        <f>IF([1]SCHEDULE!E191="","",[1]SCHEDULE!E191)</f>
        <v/>
      </c>
      <c r="F191" s="6" t="str">
        <f>IF([1]SCHEDULE!F191="","",[1]SCHEDULE!F191)</f>
        <v/>
      </c>
      <c r="G191" s="3" t="str">
        <f>IF([1]SCHEDULE!G191="","",[1]SCHEDULE!G191)</f>
        <v/>
      </c>
      <c r="H191" s="3" t="str">
        <f>IF([1]SCHEDULE!H191="","",[1]SCHEDULE!H191)</f>
        <v/>
      </c>
      <c r="I191" s="3" t="str">
        <f>IF([1]SCHEDULE!I191="","",[1]SCHEDULE!I191)</f>
        <v/>
      </c>
      <c r="J191" s="3" t="str">
        <f>IF([1]SCHEDULE!J191="","",[1]SCHEDULE!J191)</f>
        <v/>
      </c>
    </row>
    <row r="192" spans="2:10" x14ac:dyDescent="0.25">
      <c r="B192" s="3" t="str">
        <f>IF([1]SCHEDULE!B192="","",[1]SCHEDULE!B192)</f>
        <v>BAS</v>
      </c>
      <c r="C192" s="3">
        <f>IF([1]SCHEDULE!C192="","",[1]SCHEDULE!C192)</f>
        <v>37</v>
      </c>
      <c r="D192" s="1" t="str">
        <f>IF([1]SCHEDULE!D192="","",[1]SCHEDULE!D192)</f>
        <v>Baskonia Vitoria-Gasteiz</v>
      </c>
      <c r="E192" s="1" t="str">
        <f>IF([1]SCHEDULE!E192="","",[1]SCHEDULE!E192)</f>
        <v/>
      </c>
      <c r="F192" s="6" t="str">
        <f>IF([1]SCHEDULE!F192="","",[1]SCHEDULE!F192)</f>
        <v/>
      </c>
      <c r="G192" s="3" t="str">
        <f>IF([1]SCHEDULE!G192="","",[1]SCHEDULE!G192)</f>
        <v/>
      </c>
      <c r="H192" s="3" t="str">
        <f>IF([1]SCHEDULE!H192="","",[1]SCHEDULE!H192)</f>
        <v/>
      </c>
      <c r="I192" s="3" t="str">
        <f>IF([1]SCHEDULE!I192="","",[1]SCHEDULE!I192)</f>
        <v/>
      </c>
      <c r="J192" s="3" t="str">
        <f>IF([1]SCHEDULE!J192="","",[1]SCHEDULE!J192)</f>
        <v/>
      </c>
    </row>
    <row r="193" spans="2:10" x14ac:dyDescent="0.25">
      <c r="B193" s="3" t="str">
        <f>IF([1]SCHEDULE!B193="","",[1]SCHEDULE!B193)</f>
        <v>BAS</v>
      </c>
      <c r="C193" s="3">
        <f>IF([1]SCHEDULE!C193="","",[1]SCHEDULE!C193)</f>
        <v>38</v>
      </c>
      <c r="D193" s="1" t="str">
        <f>IF([1]SCHEDULE!D193="","",[1]SCHEDULE!D193)</f>
        <v>Baskonia Vitoria-Gasteiz</v>
      </c>
      <c r="E193" s="1" t="str">
        <f>IF([1]SCHEDULE!E193="","",[1]SCHEDULE!E193)</f>
        <v/>
      </c>
      <c r="F193" s="6" t="str">
        <f>IF([1]SCHEDULE!F193="","",[1]SCHEDULE!F193)</f>
        <v/>
      </c>
      <c r="G193" s="3" t="str">
        <f>IF([1]SCHEDULE!G193="","",[1]SCHEDULE!G193)</f>
        <v/>
      </c>
      <c r="H193" s="3" t="str">
        <f>IF([1]SCHEDULE!H193="","",[1]SCHEDULE!H193)</f>
        <v/>
      </c>
      <c r="I193" s="3" t="str">
        <f>IF([1]SCHEDULE!I193="","",[1]SCHEDULE!I193)</f>
        <v/>
      </c>
      <c r="J193" s="3" t="str">
        <f>IF([1]SCHEDULE!J193="","",[1]SCHEDULE!J193)</f>
        <v/>
      </c>
    </row>
    <row r="194" spans="2:10" x14ac:dyDescent="0.25">
      <c r="B194" s="3" t="str">
        <f>IF([1]SCHEDULE!B194="","",[1]SCHEDULE!B194)</f>
        <v>BAS</v>
      </c>
      <c r="C194" s="3">
        <f>IF([1]SCHEDULE!C194="","",[1]SCHEDULE!C194)</f>
        <v>39</v>
      </c>
      <c r="D194" s="1" t="str">
        <f>IF([1]SCHEDULE!D194="","",[1]SCHEDULE!D194)</f>
        <v>Baskonia Vitoria-Gasteiz</v>
      </c>
      <c r="E194" s="1" t="str">
        <f>IF([1]SCHEDULE!E194="","",[1]SCHEDULE!E194)</f>
        <v/>
      </c>
      <c r="F194" s="6" t="str">
        <f>IF([1]SCHEDULE!F194="","",[1]SCHEDULE!F194)</f>
        <v/>
      </c>
      <c r="G194" s="3" t="str">
        <f>IF([1]SCHEDULE!G194="","",[1]SCHEDULE!G194)</f>
        <v/>
      </c>
      <c r="H194" s="3" t="str">
        <f>IF([1]SCHEDULE!H194="","",[1]SCHEDULE!H194)</f>
        <v/>
      </c>
      <c r="I194" s="3" t="str">
        <f>IF([1]SCHEDULE!I194="","",[1]SCHEDULE!I194)</f>
        <v/>
      </c>
      <c r="J194" s="3" t="str">
        <f>IF([1]SCHEDULE!J194="","",[1]SCHEDULE!J194)</f>
        <v/>
      </c>
    </row>
    <row r="195" spans="2:10" x14ac:dyDescent="0.25">
      <c r="B195" s="3" t="str">
        <f>IF([1]SCHEDULE!B195="","",[1]SCHEDULE!B195)</f>
        <v>BAS</v>
      </c>
      <c r="C195" s="3">
        <f>IF([1]SCHEDULE!C195="","",[1]SCHEDULE!C195)</f>
        <v>40</v>
      </c>
      <c r="D195" s="1" t="str">
        <f>IF([1]SCHEDULE!D195="","",[1]SCHEDULE!D195)</f>
        <v>Baskonia Vitoria-Gasteiz</v>
      </c>
      <c r="E195" s="1" t="str">
        <f>IF([1]SCHEDULE!E195="","",[1]SCHEDULE!E195)</f>
        <v/>
      </c>
      <c r="F195" s="6" t="str">
        <f>IF([1]SCHEDULE!F195="","",[1]SCHEDULE!F195)</f>
        <v/>
      </c>
      <c r="G195" s="3" t="str">
        <f>IF([1]SCHEDULE!G195="","",[1]SCHEDULE!G195)</f>
        <v/>
      </c>
      <c r="H195" s="3" t="str">
        <f>IF([1]SCHEDULE!H195="","",[1]SCHEDULE!H195)</f>
        <v/>
      </c>
      <c r="I195" s="3" t="str">
        <f>IF([1]SCHEDULE!I195="","",[1]SCHEDULE!I195)</f>
        <v/>
      </c>
      <c r="J195" s="3" t="str">
        <f>IF([1]SCHEDULE!J195="","",[1]SCHEDULE!J195)</f>
        <v/>
      </c>
    </row>
    <row r="196" spans="2:10" x14ac:dyDescent="0.25">
      <c r="B196" s="3" t="str">
        <f>IF([1]SCHEDULE!B196="","",[1]SCHEDULE!B196)</f>
        <v>BAS</v>
      </c>
      <c r="C196" s="3">
        <f>IF([1]SCHEDULE!C196="","",[1]SCHEDULE!C196)</f>
        <v>41</v>
      </c>
      <c r="D196" s="1" t="str">
        <f>IF([1]SCHEDULE!D196="","",[1]SCHEDULE!D196)</f>
        <v>Baskonia Vitoria-Gasteiz</v>
      </c>
      <c r="E196" s="1" t="str">
        <f>IF([1]SCHEDULE!E196="","",[1]SCHEDULE!E196)</f>
        <v/>
      </c>
      <c r="F196" s="6" t="str">
        <f>IF([1]SCHEDULE!F196="","",[1]SCHEDULE!F196)</f>
        <v/>
      </c>
      <c r="G196" s="3" t="str">
        <f>IF([1]SCHEDULE!G196="","",[1]SCHEDULE!G196)</f>
        <v/>
      </c>
      <c r="H196" s="3" t="str">
        <f>IF([1]SCHEDULE!H196="","",[1]SCHEDULE!H196)</f>
        <v/>
      </c>
      <c r="I196" s="3" t="str">
        <f>IF([1]SCHEDULE!I196="","",[1]SCHEDULE!I196)</f>
        <v/>
      </c>
      <c r="J196" s="3" t="str">
        <f>IF([1]SCHEDULE!J196="","",[1]SCHEDULE!J196)</f>
        <v/>
      </c>
    </row>
    <row r="197" spans="2:10" x14ac:dyDescent="0.25">
      <c r="B197" s="3" t="str">
        <f>IF([1]SCHEDULE!B197="","",[1]SCHEDULE!B197)</f>
        <v>BAS</v>
      </c>
      <c r="C197" s="3">
        <f>IF([1]SCHEDULE!C197="","",[1]SCHEDULE!C197)</f>
        <v>42</v>
      </c>
      <c r="D197" s="1" t="str">
        <f>IF([1]SCHEDULE!D197="","",[1]SCHEDULE!D197)</f>
        <v>Baskonia Vitoria-Gasteiz</v>
      </c>
      <c r="E197" s="1" t="str">
        <f>IF([1]SCHEDULE!E197="","",[1]SCHEDULE!E197)</f>
        <v/>
      </c>
      <c r="F197" s="6" t="str">
        <f>IF([1]SCHEDULE!F197="","",[1]SCHEDULE!F197)</f>
        <v/>
      </c>
      <c r="G197" s="3" t="str">
        <f>IF([1]SCHEDULE!G197="","",[1]SCHEDULE!G197)</f>
        <v/>
      </c>
      <c r="H197" s="3" t="str">
        <f>IF([1]SCHEDULE!H197="","",[1]SCHEDULE!H197)</f>
        <v/>
      </c>
      <c r="I197" s="3" t="str">
        <f>IF([1]SCHEDULE!I197="","",[1]SCHEDULE!I197)</f>
        <v/>
      </c>
      <c r="J197" s="3" t="str">
        <f>IF([1]SCHEDULE!J197="","",[1]SCHEDULE!J197)</f>
        <v/>
      </c>
    </row>
    <row r="198" spans="2:10" x14ac:dyDescent="0.25">
      <c r="B198" s="3" t="str">
        <f>IF([1]SCHEDULE!B198="","",[1]SCHEDULE!B198)</f>
        <v>BAS</v>
      </c>
      <c r="C198" s="3">
        <f>IF([1]SCHEDULE!C198="","",[1]SCHEDULE!C198)</f>
        <v>43</v>
      </c>
      <c r="D198" s="1" t="str">
        <f>IF([1]SCHEDULE!D198="","",[1]SCHEDULE!D198)</f>
        <v>Baskonia Vitoria-Gasteiz</v>
      </c>
      <c r="E198" s="1" t="str">
        <f>IF([1]SCHEDULE!E198="","",[1]SCHEDULE!E198)</f>
        <v/>
      </c>
      <c r="F198" s="6" t="str">
        <f>IF([1]SCHEDULE!F198="","",[1]SCHEDULE!F198)</f>
        <v/>
      </c>
      <c r="G198" s="3" t="str">
        <f>IF([1]SCHEDULE!G198="","",[1]SCHEDULE!G198)</f>
        <v/>
      </c>
      <c r="H198" s="3" t="str">
        <f>IF([1]SCHEDULE!H198="","",[1]SCHEDULE!H198)</f>
        <v/>
      </c>
      <c r="I198" s="3" t="str">
        <f>IF([1]SCHEDULE!I198="","",[1]SCHEDULE!I198)</f>
        <v/>
      </c>
      <c r="J198" s="3" t="str">
        <f>IF([1]SCHEDULE!J198="","",[1]SCHEDULE!J198)</f>
        <v/>
      </c>
    </row>
    <row r="199" spans="2:10" x14ac:dyDescent="0.25">
      <c r="B199" s="3" t="str">
        <f>IF([1]SCHEDULE!B199="","",[1]SCHEDULE!B199)</f>
        <v>BAS</v>
      </c>
      <c r="C199" s="3">
        <f>IF([1]SCHEDULE!C199="","",[1]SCHEDULE!C199)</f>
        <v>44</v>
      </c>
      <c r="D199" s="1" t="str">
        <f>IF([1]SCHEDULE!D199="","",[1]SCHEDULE!D199)</f>
        <v>Baskonia Vitoria-Gasteiz</v>
      </c>
      <c r="E199" s="1" t="str">
        <f>IF([1]SCHEDULE!E199="","",[1]SCHEDULE!E199)</f>
        <v/>
      </c>
      <c r="F199" s="6" t="str">
        <f>IF([1]SCHEDULE!F199="","",[1]SCHEDULE!F199)</f>
        <v/>
      </c>
      <c r="G199" s="3" t="str">
        <f>IF([1]SCHEDULE!G199="","",[1]SCHEDULE!G199)</f>
        <v/>
      </c>
      <c r="H199" s="3" t="str">
        <f>IF([1]SCHEDULE!H199="","",[1]SCHEDULE!H199)</f>
        <v/>
      </c>
      <c r="I199" s="3" t="str">
        <f>IF([1]SCHEDULE!I199="","",[1]SCHEDULE!I199)</f>
        <v/>
      </c>
      <c r="J199" s="3" t="str">
        <f>IF([1]SCHEDULE!J199="","",[1]SCHEDULE!J199)</f>
        <v/>
      </c>
    </row>
    <row r="200" spans="2:10" x14ac:dyDescent="0.25">
      <c r="B200" s="3" t="str">
        <f>IF([1]SCHEDULE!B200="","",[1]SCHEDULE!B200)</f>
        <v>BAS</v>
      </c>
      <c r="C200" s="3">
        <f>IF([1]SCHEDULE!C200="","",[1]SCHEDULE!C200)</f>
        <v>45</v>
      </c>
      <c r="D200" s="1" t="str">
        <f>IF([1]SCHEDULE!D200="","",[1]SCHEDULE!D200)</f>
        <v>Baskonia Vitoria-Gasteiz</v>
      </c>
      <c r="E200" s="1" t="str">
        <f>IF([1]SCHEDULE!E200="","",[1]SCHEDULE!E200)</f>
        <v/>
      </c>
      <c r="F200" s="6" t="str">
        <f>IF([1]SCHEDULE!F200="","",[1]SCHEDULE!F200)</f>
        <v/>
      </c>
      <c r="G200" s="3" t="str">
        <f>IF([1]SCHEDULE!G200="","",[1]SCHEDULE!G200)</f>
        <v/>
      </c>
      <c r="H200" s="3" t="str">
        <f>IF([1]SCHEDULE!H200="","",[1]SCHEDULE!H200)</f>
        <v/>
      </c>
      <c r="I200" s="3" t="str">
        <f>IF([1]SCHEDULE!I200="","",[1]SCHEDULE!I200)</f>
        <v/>
      </c>
      <c r="J200" s="3" t="str">
        <f>IF([1]SCHEDULE!J200="","",[1]SCHEDULE!J200)</f>
        <v/>
      </c>
    </row>
    <row r="201" spans="2:10" x14ac:dyDescent="0.25">
      <c r="B201" s="3" t="str">
        <f>IF([1]SCHEDULE!B201="","",[1]SCHEDULE!B201)</f>
        <v>BAS</v>
      </c>
      <c r="C201" s="3">
        <f>IF([1]SCHEDULE!C201="","",[1]SCHEDULE!C201)</f>
        <v>46</v>
      </c>
      <c r="D201" s="1" t="str">
        <f>IF([1]SCHEDULE!D201="","",[1]SCHEDULE!D201)</f>
        <v>Baskonia Vitoria-Gasteiz</v>
      </c>
      <c r="E201" s="1" t="str">
        <f>IF([1]SCHEDULE!E201="","",[1]SCHEDULE!E201)</f>
        <v/>
      </c>
      <c r="F201" s="6" t="str">
        <f>IF([1]SCHEDULE!F201="","",[1]SCHEDULE!F201)</f>
        <v/>
      </c>
      <c r="G201" s="3" t="str">
        <f>IF([1]SCHEDULE!G201="","",[1]SCHEDULE!G201)</f>
        <v/>
      </c>
      <c r="H201" s="3" t="str">
        <f>IF([1]SCHEDULE!H201="","",[1]SCHEDULE!H201)</f>
        <v/>
      </c>
      <c r="I201" s="3" t="str">
        <f>IF([1]SCHEDULE!I201="","",[1]SCHEDULE!I201)</f>
        <v/>
      </c>
      <c r="J201" s="3" t="str">
        <f>IF([1]SCHEDULE!J201="","",[1]SCHEDULE!J201)</f>
        <v/>
      </c>
    </row>
    <row r="202" spans="2:10" x14ac:dyDescent="0.25">
      <c r="B202" s="3" t="str">
        <f>IF([1]SCHEDULE!B202="","",[1]SCHEDULE!B202)</f>
        <v>BAS</v>
      </c>
      <c r="C202" s="3">
        <f>IF([1]SCHEDULE!C202="","",[1]SCHEDULE!C202)</f>
        <v>47</v>
      </c>
      <c r="D202" s="1" t="str">
        <f>IF([1]SCHEDULE!D202="","",[1]SCHEDULE!D202)</f>
        <v>Baskonia Vitoria-Gasteiz</v>
      </c>
      <c r="E202" s="1" t="str">
        <f>IF([1]SCHEDULE!E202="","",[1]SCHEDULE!E202)</f>
        <v/>
      </c>
      <c r="F202" s="6" t="str">
        <f>IF([1]SCHEDULE!F202="","",[1]SCHEDULE!F202)</f>
        <v/>
      </c>
      <c r="G202" s="3" t="str">
        <f>IF([1]SCHEDULE!G202="","",[1]SCHEDULE!G202)</f>
        <v/>
      </c>
      <c r="H202" s="3" t="str">
        <f>IF([1]SCHEDULE!H202="","",[1]SCHEDULE!H202)</f>
        <v/>
      </c>
      <c r="I202" s="3" t="str">
        <f>IF([1]SCHEDULE!I202="","",[1]SCHEDULE!I202)</f>
        <v/>
      </c>
      <c r="J202" s="3" t="str">
        <f>IF([1]SCHEDULE!J202="","",[1]SCHEDULE!J202)</f>
        <v/>
      </c>
    </row>
    <row r="203" spans="2:10" x14ac:dyDescent="0.25">
      <c r="B203" s="3" t="str">
        <f>IF([1]SCHEDULE!B203="","",[1]SCHEDULE!B203)</f>
        <v>BAS</v>
      </c>
      <c r="C203" s="3">
        <f>IF([1]SCHEDULE!C203="","",[1]SCHEDULE!C203)</f>
        <v>48</v>
      </c>
      <c r="D203" s="1" t="str">
        <f>IF([1]SCHEDULE!D203="","",[1]SCHEDULE!D203)</f>
        <v>Baskonia Vitoria-Gasteiz</v>
      </c>
      <c r="E203" s="1" t="str">
        <f>IF([1]SCHEDULE!E203="","",[1]SCHEDULE!E203)</f>
        <v/>
      </c>
      <c r="F203" s="6" t="str">
        <f>IF([1]SCHEDULE!F203="","",[1]SCHEDULE!F203)</f>
        <v/>
      </c>
      <c r="G203" s="3" t="str">
        <f>IF([1]SCHEDULE!G203="","",[1]SCHEDULE!G203)</f>
        <v/>
      </c>
      <c r="H203" s="3" t="str">
        <f>IF([1]SCHEDULE!H203="","",[1]SCHEDULE!H203)</f>
        <v/>
      </c>
      <c r="I203" s="3" t="str">
        <f>IF([1]SCHEDULE!I203="","",[1]SCHEDULE!I203)</f>
        <v/>
      </c>
      <c r="J203" s="3" t="str">
        <f>IF([1]SCHEDULE!J203="","",[1]SCHEDULE!J203)</f>
        <v/>
      </c>
    </row>
    <row r="204" spans="2:10" x14ac:dyDescent="0.25">
      <c r="B204" s="3" t="str">
        <f>IF([1]SCHEDULE!B204="","",[1]SCHEDULE!B204)</f>
        <v>BAS</v>
      </c>
      <c r="C204" s="3">
        <f>IF([1]SCHEDULE!C204="","",[1]SCHEDULE!C204)</f>
        <v>49</v>
      </c>
      <c r="D204" s="1" t="str">
        <f>IF([1]SCHEDULE!D204="","",[1]SCHEDULE!D204)</f>
        <v>Baskonia Vitoria-Gasteiz</v>
      </c>
      <c r="E204" s="1" t="str">
        <f>IF([1]SCHEDULE!E204="","",[1]SCHEDULE!E204)</f>
        <v/>
      </c>
      <c r="F204" s="6" t="str">
        <f>IF([1]SCHEDULE!F204="","",[1]SCHEDULE!F204)</f>
        <v/>
      </c>
      <c r="G204" s="3" t="str">
        <f>IF([1]SCHEDULE!G204="","",[1]SCHEDULE!G204)</f>
        <v/>
      </c>
      <c r="H204" s="3" t="str">
        <f>IF([1]SCHEDULE!H204="","",[1]SCHEDULE!H204)</f>
        <v/>
      </c>
      <c r="I204" s="3" t="str">
        <f>IF([1]SCHEDULE!I204="","",[1]SCHEDULE!I204)</f>
        <v/>
      </c>
      <c r="J204" s="3" t="str">
        <f>IF([1]SCHEDULE!J204="","",[1]SCHEDULE!J204)</f>
        <v/>
      </c>
    </row>
    <row r="205" spans="2:10" x14ac:dyDescent="0.25">
      <c r="B205" s="3" t="str">
        <f>IF([1]SCHEDULE!B205="","",[1]SCHEDULE!B205)</f>
        <v>BAS</v>
      </c>
      <c r="C205" s="3">
        <f>IF([1]SCHEDULE!C205="","",[1]SCHEDULE!C205)</f>
        <v>50</v>
      </c>
      <c r="D205" s="1" t="str">
        <f>IF([1]SCHEDULE!D205="","",[1]SCHEDULE!D205)</f>
        <v>Baskonia Vitoria-Gasteiz</v>
      </c>
      <c r="E205" s="1" t="str">
        <f>IF([1]SCHEDULE!E205="","",[1]SCHEDULE!E205)</f>
        <v/>
      </c>
      <c r="F205" s="6" t="str">
        <f>IF([1]SCHEDULE!F205="","",[1]SCHEDULE!F205)</f>
        <v/>
      </c>
      <c r="G205" s="3" t="str">
        <f>IF([1]SCHEDULE!G205="","",[1]SCHEDULE!G205)</f>
        <v/>
      </c>
      <c r="H205" s="3" t="str">
        <f>IF([1]SCHEDULE!H205="","",[1]SCHEDULE!H205)</f>
        <v/>
      </c>
      <c r="I205" s="3" t="str">
        <f>IF([1]SCHEDULE!I205="","",[1]SCHEDULE!I205)</f>
        <v/>
      </c>
      <c r="J205" s="3" t="str">
        <f>IF([1]SCHEDULE!J205="","",[1]SCHEDULE!J205)</f>
        <v/>
      </c>
    </row>
    <row r="206" spans="2:10" x14ac:dyDescent="0.25">
      <c r="B206" s="3" t="str">
        <f>IF([1]SCHEDULE!B206="","",[1]SCHEDULE!B206)</f>
        <v>BAS</v>
      </c>
      <c r="C206" s="3">
        <f>IF([1]SCHEDULE!C206="","",[1]SCHEDULE!C206)</f>
        <v>51</v>
      </c>
      <c r="D206" s="1" t="str">
        <f>IF([1]SCHEDULE!D206="","",[1]SCHEDULE!D206)</f>
        <v>Baskonia Vitoria-Gasteiz</v>
      </c>
      <c r="E206" s="1" t="str">
        <f>IF([1]SCHEDULE!E206="","",[1]SCHEDULE!E206)</f>
        <v/>
      </c>
      <c r="F206" s="6" t="str">
        <f>IF([1]SCHEDULE!F206="","",[1]SCHEDULE!F206)</f>
        <v/>
      </c>
      <c r="G206" s="3" t="str">
        <f>IF([1]SCHEDULE!G206="","",[1]SCHEDULE!G206)</f>
        <v/>
      </c>
      <c r="H206" s="3" t="str">
        <f>IF([1]SCHEDULE!H206="","",[1]SCHEDULE!H206)</f>
        <v/>
      </c>
      <c r="I206" s="3" t="str">
        <f>IF([1]SCHEDULE!I206="","",[1]SCHEDULE!I206)</f>
        <v/>
      </c>
      <c r="J206" s="3" t="str">
        <f>IF([1]SCHEDULE!J206="","",[1]SCHEDULE!J206)</f>
        <v/>
      </c>
    </row>
    <row r="207" spans="2:10" x14ac:dyDescent="0.25">
      <c r="B207" s="3" t="str">
        <f>IF([1]SCHEDULE!B207="","",[1]SCHEDULE!B207)</f>
        <v>CZB</v>
      </c>
      <c r="C207" s="3">
        <f>IF([1]SCHEDULE!C207="","",[1]SCHEDULE!C207)</f>
        <v>1</v>
      </c>
      <c r="D207" s="1" t="str">
        <f>IF([1]SCHEDULE!D207="","",[1]SCHEDULE!D207)</f>
        <v>Crvena Zvezda Meridianbet Belgrade</v>
      </c>
      <c r="E207" s="1" t="str">
        <f>IF([1]SCHEDULE!E207="","",[1]SCHEDULE!E207)</f>
        <v>LDLC ASVEL Villeurbanne</v>
      </c>
      <c r="F207" s="6">
        <f>IF([1]SCHEDULE!F207="","",[1]SCHEDULE!F207)</f>
        <v>45204</v>
      </c>
      <c r="G207" s="3" t="str">
        <f>IF([1]SCHEDULE!G207="","",[1]SCHEDULE!G207)</f>
        <v>H</v>
      </c>
      <c r="H207" s="3" t="str">
        <f>IF([1]SCHEDULE!H207="","",[1]SCHEDULE!H207)</f>
        <v>ASV</v>
      </c>
      <c r="I207" s="3" t="str">
        <f>IF([1]SCHEDULE!I207="","",[1]SCHEDULE!I207)</f>
        <v>1.CZB</v>
      </c>
      <c r="J207" s="3" t="str">
        <f>IF([1]SCHEDULE!J207="","",[1]SCHEDULE!J207)</f>
        <v>1.ASV</v>
      </c>
    </row>
    <row r="208" spans="2:10" x14ac:dyDescent="0.25">
      <c r="B208" s="3" t="str">
        <f>IF([1]SCHEDULE!B208="","",[1]SCHEDULE!B208)</f>
        <v>CZB</v>
      </c>
      <c r="C208" s="3">
        <f>IF([1]SCHEDULE!C208="","",[1]SCHEDULE!C208)</f>
        <v>2</v>
      </c>
      <c r="D208" s="1" t="str">
        <f>IF([1]SCHEDULE!D208="","",[1]SCHEDULE!D208)</f>
        <v>Crvena Zvezda Meridianbet Belgrade</v>
      </c>
      <c r="E208" s="1" t="str">
        <f>IF([1]SCHEDULE!E208="","",[1]SCHEDULE!E208)</f>
        <v>Zalgiris Kaunas</v>
      </c>
      <c r="F208" s="6">
        <f>IF([1]SCHEDULE!F208="","",[1]SCHEDULE!F208)</f>
        <v>45212</v>
      </c>
      <c r="G208" s="3" t="str">
        <f>IF([1]SCHEDULE!G208="","",[1]SCHEDULE!G208)</f>
        <v>A</v>
      </c>
      <c r="H208" s="3" t="str">
        <f>IF([1]SCHEDULE!H208="","",[1]SCHEDULE!H208)</f>
        <v>ZAL</v>
      </c>
      <c r="I208" s="3" t="str">
        <f>IF([1]SCHEDULE!I208="","",[1]SCHEDULE!I208)</f>
        <v>2.CZB</v>
      </c>
      <c r="J208" s="3" t="str">
        <f>IF([1]SCHEDULE!J208="","",[1]SCHEDULE!J208)</f>
        <v>2.ZAL</v>
      </c>
    </row>
    <row r="209" spans="2:10" x14ac:dyDescent="0.25">
      <c r="B209" s="3" t="str">
        <f>IF([1]SCHEDULE!B209="","",[1]SCHEDULE!B209)</f>
        <v>CZB</v>
      </c>
      <c r="C209" s="3">
        <f>IF([1]SCHEDULE!C209="","",[1]SCHEDULE!C209)</f>
        <v>3</v>
      </c>
      <c r="D209" s="1" t="str">
        <f>IF([1]SCHEDULE!D209="","",[1]SCHEDULE!D209)</f>
        <v>Crvena Zvezda Meridianbet Belgrade</v>
      </c>
      <c r="E209" s="1" t="str">
        <f>IF([1]SCHEDULE!E209="","",[1]SCHEDULE!E209)</f>
        <v>AS Monaco</v>
      </c>
      <c r="F209" s="6">
        <f>IF([1]SCHEDULE!F209="","",[1]SCHEDULE!F209)</f>
        <v>45217</v>
      </c>
      <c r="G209" s="3" t="str">
        <f>IF([1]SCHEDULE!G209="","",[1]SCHEDULE!G209)</f>
        <v>H</v>
      </c>
      <c r="H209" s="3" t="str">
        <f>IF([1]SCHEDULE!H209="","",[1]SCHEDULE!H209)</f>
        <v>ASM</v>
      </c>
      <c r="I209" s="3" t="str">
        <f>IF([1]SCHEDULE!I209="","",[1]SCHEDULE!I209)</f>
        <v>3.CZB</v>
      </c>
      <c r="J209" s="3" t="str">
        <f>IF([1]SCHEDULE!J209="","",[1]SCHEDULE!J209)</f>
        <v>3.ASM</v>
      </c>
    </row>
    <row r="210" spans="2:10" x14ac:dyDescent="0.25">
      <c r="B210" s="3" t="str">
        <f>IF([1]SCHEDULE!B210="","",[1]SCHEDULE!B210)</f>
        <v>CZB</v>
      </c>
      <c r="C210" s="3">
        <f>IF([1]SCHEDULE!C210="","",[1]SCHEDULE!C210)</f>
        <v>4</v>
      </c>
      <c r="D210" s="1" t="str">
        <f>IF([1]SCHEDULE!D210="","",[1]SCHEDULE!D210)</f>
        <v>Crvena Zvezda Meridianbet Belgrade</v>
      </c>
      <c r="E210" s="1" t="str">
        <f>IF([1]SCHEDULE!E210="","",[1]SCHEDULE!E210)</f>
        <v>Virtus Segafredo Bologna</v>
      </c>
      <c r="F210" s="6">
        <f>IF([1]SCHEDULE!F210="","",[1]SCHEDULE!F210)</f>
        <v>45219</v>
      </c>
      <c r="G210" s="3" t="str">
        <f>IF([1]SCHEDULE!G210="","",[1]SCHEDULE!G210)</f>
        <v>A</v>
      </c>
      <c r="H210" s="3" t="str">
        <f>IF([1]SCHEDULE!H210="","",[1]SCHEDULE!H210)</f>
        <v>VIR</v>
      </c>
      <c r="I210" s="3" t="str">
        <f>IF([1]SCHEDULE!I210="","",[1]SCHEDULE!I210)</f>
        <v>4.CZB</v>
      </c>
      <c r="J210" s="3" t="str">
        <f>IF([1]SCHEDULE!J210="","",[1]SCHEDULE!J210)</f>
        <v>4.VIR</v>
      </c>
    </row>
    <row r="211" spans="2:10" x14ac:dyDescent="0.25">
      <c r="B211" s="3" t="str">
        <f>IF([1]SCHEDULE!B211="","",[1]SCHEDULE!B211)</f>
        <v>CZB</v>
      </c>
      <c r="C211" s="3">
        <f>IF([1]SCHEDULE!C211="","",[1]SCHEDULE!C211)</f>
        <v>5</v>
      </c>
      <c r="D211" s="1" t="str">
        <f>IF([1]SCHEDULE!D211="","",[1]SCHEDULE!D211)</f>
        <v>Crvena Zvezda Meridianbet Belgrade</v>
      </c>
      <c r="E211" s="1" t="str">
        <f>IF([1]SCHEDULE!E211="","",[1]SCHEDULE!E211)</f>
        <v>Partizan Mozzart Bet Belgrade</v>
      </c>
      <c r="F211" s="6">
        <f>IF([1]SCHEDULE!F211="","",[1]SCHEDULE!F211)</f>
        <v>45225</v>
      </c>
      <c r="G211" s="3" t="str">
        <f>IF([1]SCHEDULE!G211="","",[1]SCHEDULE!G211)</f>
        <v>A</v>
      </c>
      <c r="H211" s="3" t="str">
        <f>IF([1]SCHEDULE!H211="","",[1]SCHEDULE!H211)</f>
        <v>PAR</v>
      </c>
      <c r="I211" s="3" t="str">
        <f>IF([1]SCHEDULE!I211="","",[1]SCHEDULE!I211)</f>
        <v>5.CZB</v>
      </c>
      <c r="J211" s="3" t="str">
        <f>IF([1]SCHEDULE!J211="","",[1]SCHEDULE!J211)</f>
        <v>5.PAR</v>
      </c>
    </row>
    <row r="212" spans="2:10" x14ac:dyDescent="0.25">
      <c r="B212" s="3" t="str">
        <f>IF([1]SCHEDULE!B212="","",[1]SCHEDULE!B212)</f>
        <v>CZB</v>
      </c>
      <c r="C212" s="3">
        <f>IF([1]SCHEDULE!C212="","",[1]SCHEDULE!C212)</f>
        <v>6</v>
      </c>
      <c r="D212" s="1" t="str">
        <f>IF([1]SCHEDULE!D212="","",[1]SCHEDULE!D212)</f>
        <v>Crvena Zvezda Meridianbet Belgrade</v>
      </c>
      <c r="E212" s="1" t="str">
        <f>IF([1]SCHEDULE!E212="","",[1]SCHEDULE!E212)</f>
        <v>FC Bayern Munich</v>
      </c>
      <c r="F212" s="6">
        <f>IF([1]SCHEDULE!F212="","",[1]SCHEDULE!F212)</f>
        <v>45232</v>
      </c>
      <c r="G212" s="3" t="str">
        <f>IF([1]SCHEDULE!G212="","",[1]SCHEDULE!G212)</f>
        <v>H</v>
      </c>
      <c r="H212" s="3" t="str">
        <f>IF([1]SCHEDULE!H212="","",[1]SCHEDULE!H212)</f>
        <v>BAY</v>
      </c>
      <c r="I212" s="3" t="str">
        <f>IF([1]SCHEDULE!I212="","",[1]SCHEDULE!I212)</f>
        <v>6.CZB</v>
      </c>
      <c r="J212" s="3" t="str">
        <f>IF([1]SCHEDULE!J212="","",[1]SCHEDULE!J212)</f>
        <v>6.BAY</v>
      </c>
    </row>
    <row r="213" spans="2:10" x14ac:dyDescent="0.25">
      <c r="B213" s="3" t="str">
        <f>IF([1]SCHEDULE!B213="","",[1]SCHEDULE!B213)</f>
        <v>CZB</v>
      </c>
      <c r="C213" s="3">
        <f>IF([1]SCHEDULE!C213="","",[1]SCHEDULE!C213)</f>
        <v>7</v>
      </c>
      <c r="D213" s="1" t="str">
        <f>IF([1]SCHEDULE!D213="","",[1]SCHEDULE!D213)</f>
        <v>Crvena Zvezda Meridianbet Belgrade</v>
      </c>
      <c r="E213" s="1" t="str">
        <f>IF([1]SCHEDULE!E213="","",[1]SCHEDULE!E213)</f>
        <v>FC Barcelona</v>
      </c>
      <c r="F213" s="6">
        <f>IF([1]SCHEDULE!F213="","",[1]SCHEDULE!F213)</f>
        <v>45240</v>
      </c>
      <c r="G213" s="3" t="str">
        <f>IF([1]SCHEDULE!G213="","",[1]SCHEDULE!G213)</f>
        <v>A</v>
      </c>
      <c r="H213" s="3" t="str">
        <f>IF([1]SCHEDULE!H213="","",[1]SCHEDULE!H213)</f>
        <v>FCB</v>
      </c>
      <c r="I213" s="3" t="str">
        <f>IF([1]SCHEDULE!I213="","",[1]SCHEDULE!I213)</f>
        <v>7.CZB</v>
      </c>
      <c r="J213" s="3" t="str">
        <f>IF([1]SCHEDULE!J213="","",[1]SCHEDULE!J213)</f>
        <v>7.FCB</v>
      </c>
    </row>
    <row r="214" spans="2:10" x14ac:dyDescent="0.25">
      <c r="B214" s="3" t="str">
        <f>IF([1]SCHEDULE!B214="","",[1]SCHEDULE!B214)</f>
        <v>CZB</v>
      </c>
      <c r="C214" s="3">
        <f>IF([1]SCHEDULE!C214="","",[1]SCHEDULE!C214)</f>
        <v>8</v>
      </c>
      <c r="D214" s="1" t="str">
        <f>IF([1]SCHEDULE!D214="","",[1]SCHEDULE!D214)</f>
        <v>Crvena Zvezda Meridianbet Belgrade</v>
      </c>
      <c r="E214" s="1" t="str">
        <f>IF([1]SCHEDULE!E214="","",[1]SCHEDULE!E214)</f>
        <v>Fenerbahce Beko Istanbul</v>
      </c>
      <c r="F214" s="6">
        <f>IF([1]SCHEDULE!F214="","",[1]SCHEDULE!F214)</f>
        <v>45244</v>
      </c>
      <c r="G214" s="3" t="str">
        <f>IF([1]SCHEDULE!G214="","",[1]SCHEDULE!G214)</f>
        <v>H</v>
      </c>
      <c r="H214" s="3" t="str">
        <f>IF([1]SCHEDULE!H214="","",[1]SCHEDULE!H214)</f>
        <v>FEN</v>
      </c>
      <c r="I214" s="3" t="str">
        <f>IF([1]SCHEDULE!I214="","",[1]SCHEDULE!I214)</f>
        <v>8.CZB</v>
      </c>
      <c r="J214" s="3" t="str">
        <f>IF([1]SCHEDULE!J214="","",[1]SCHEDULE!J214)</f>
        <v>8.FEN</v>
      </c>
    </row>
    <row r="215" spans="2:10" x14ac:dyDescent="0.25">
      <c r="B215" s="3" t="str">
        <f>IF([1]SCHEDULE!B215="","",[1]SCHEDULE!B215)</f>
        <v>CZB</v>
      </c>
      <c r="C215" s="3">
        <f>IF([1]SCHEDULE!C215="","",[1]SCHEDULE!C215)</f>
        <v>9</v>
      </c>
      <c r="D215" s="1" t="str">
        <f>IF([1]SCHEDULE!D215="","",[1]SCHEDULE!D215)</f>
        <v>Crvena Zvezda Meridianbet Belgrade</v>
      </c>
      <c r="E215" s="1" t="str">
        <f>IF([1]SCHEDULE!E215="","",[1]SCHEDULE!E215)</f>
        <v>Olympiacos Piraeus</v>
      </c>
      <c r="F215" s="6">
        <f>IF([1]SCHEDULE!F215="","",[1]SCHEDULE!F215)</f>
        <v>45246</v>
      </c>
      <c r="G215" s="3" t="str">
        <f>IF([1]SCHEDULE!G215="","",[1]SCHEDULE!G215)</f>
        <v>A</v>
      </c>
      <c r="H215" s="3" t="str">
        <f>IF([1]SCHEDULE!H215="","",[1]SCHEDULE!H215)</f>
        <v>OLY</v>
      </c>
      <c r="I215" s="3" t="str">
        <f>IF([1]SCHEDULE!I215="","",[1]SCHEDULE!I215)</f>
        <v>9.CZB</v>
      </c>
      <c r="J215" s="3" t="str">
        <f>IF([1]SCHEDULE!J215="","",[1]SCHEDULE!J215)</f>
        <v>9.OLY</v>
      </c>
    </row>
    <row r="216" spans="2:10" x14ac:dyDescent="0.25">
      <c r="B216" s="3" t="str">
        <f>IF([1]SCHEDULE!B216="","",[1]SCHEDULE!B216)</f>
        <v>CZB</v>
      </c>
      <c r="C216" s="3">
        <f>IF([1]SCHEDULE!C216="","",[1]SCHEDULE!C216)</f>
        <v>10</v>
      </c>
      <c r="D216" s="1" t="str">
        <f>IF([1]SCHEDULE!D216="","",[1]SCHEDULE!D216)</f>
        <v>Crvena Zvezda Meridianbet Belgrade</v>
      </c>
      <c r="E216" s="1" t="str">
        <f>IF([1]SCHEDULE!E216="","",[1]SCHEDULE!E216)</f>
        <v>EA7 Emporio Armani Milan</v>
      </c>
      <c r="F216" s="6">
        <f>IF([1]SCHEDULE!F216="","",[1]SCHEDULE!F216)</f>
        <v>45254</v>
      </c>
      <c r="G216" s="3" t="str">
        <f>IF([1]SCHEDULE!G216="","",[1]SCHEDULE!G216)</f>
        <v>H</v>
      </c>
      <c r="H216" s="3" t="str">
        <f>IF([1]SCHEDULE!H216="","",[1]SCHEDULE!H216)</f>
        <v>MIL</v>
      </c>
      <c r="I216" s="3" t="str">
        <f>IF([1]SCHEDULE!I216="","",[1]SCHEDULE!I216)</f>
        <v>10.CZB</v>
      </c>
      <c r="J216" s="3" t="str">
        <f>IF([1]SCHEDULE!J216="","",[1]SCHEDULE!J216)</f>
        <v>10.MIL</v>
      </c>
    </row>
    <row r="217" spans="2:10" x14ac:dyDescent="0.25">
      <c r="B217" s="3" t="str">
        <f>IF([1]SCHEDULE!B217="","",[1]SCHEDULE!B217)</f>
        <v>CZB</v>
      </c>
      <c r="C217" s="3">
        <f>IF([1]SCHEDULE!C217="","",[1]SCHEDULE!C217)</f>
        <v>11</v>
      </c>
      <c r="D217" s="1" t="str">
        <f>IF([1]SCHEDULE!D217="","",[1]SCHEDULE!D217)</f>
        <v>Crvena Zvezda Meridianbet Belgrade</v>
      </c>
      <c r="E217" s="1" t="str">
        <f>IF([1]SCHEDULE!E217="","",[1]SCHEDULE!E217)</f>
        <v>Anadolu Efes Istanbul</v>
      </c>
      <c r="F217" s="6">
        <f>IF([1]SCHEDULE!F217="","",[1]SCHEDULE!F217)</f>
        <v>45261</v>
      </c>
      <c r="G217" s="3" t="str">
        <f>IF([1]SCHEDULE!G217="","",[1]SCHEDULE!G217)</f>
        <v>H</v>
      </c>
      <c r="H217" s="3" t="str">
        <f>IF([1]SCHEDULE!H217="","",[1]SCHEDULE!H217)</f>
        <v>EFE</v>
      </c>
      <c r="I217" s="3" t="str">
        <f>IF([1]SCHEDULE!I217="","",[1]SCHEDULE!I217)</f>
        <v>11.CZB</v>
      </c>
      <c r="J217" s="3" t="str">
        <f>IF([1]SCHEDULE!J217="","",[1]SCHEDULE!J217)</f>
        <v>11.EFE</v>
      </c>
    </row>
    <row r="218" spans="2:10" x14ac:dyDescent="0.25">
      <c r="B218" s="3" t="str">
        <f>IF([1]SCHEDULE!B218="","",[1]SCHEDULE!B218)</f>
        <v>CZB</v>
      </c>
      <c r="C218" s="3">
        <f>IF([1]SCHEDULE!C218="","",[1]SCHEDULE!C218)</f>
        <v>12</v>
      </c>
      <c r="D218" s="1" t="str">
        <f>IF([1]SCHEDULE!D218="","",[1]SCHEDULE!D218)</f>
        <v>Crvena Zvezda Meridianbet Belgrade</v>
      </c>
      <c r="E218" s="1" t="str">
        <f>IF([1]SCHEDULE!E218="","",[1]SCHEDULE!E218)</f>
        <v>Valencia Basket</v>
      </c>
      <c r="F218" s="6">
        <f>IF([1]SCHEDULE!F218="","",[1]SCHEDULE!F218)</f>
        <v>45266</v>
      </c>
      <c r="G218" s="3" t="str">
        <f>IF([1]SCHEDULE!G218="","",[1]SCHEDULE!G218)</f>
        <v>A</v>
      </c>
      <c r="H218" s="3" t="str">
        <f>IF([1]SCHEDULE!H218="","",[1]SCHEDULE!H218)</f>
        <v>VAL</v>
      </c>
      <c r="I218" s="3" t="str">
        <f>IF([1]SCHEDULE!I218="","",[1]SCHEDULE!I218)</f>
        <v>12.CZB</v>
      </c>
      <c r="J218" s="3" t="str">
        <f>IF([1]SCHEDULE!J218="","",[1]SCHEDULE!J218)</f>
        <v>12.VAL</v>
      </c>
    </row>
    <row r="219" spans="2:10" x14ac:dyDescent="0.25">
      <c r="B219" s="3" t="str">
        <f>IF([1]SCHEDULE!B219="","",[1]SCHEDULE!B219)</f>
        <v>CZB</v>
      </c>
      <c r="C219" s="3">
        <f>IF([1]SCHEDULE!C219="","",[1]SCHEDULE!C219)</f>
        <v>13</v>
      </c>
      <c r="D219" s="1" t="str">
        <f>IF([1]SCHEDULE!D219="","",[1]SCHEDULE!D219)</f>
        <v>Crvena Zvezda Meridianbet Belgrade</v>
      </c>
      <c r="E219" s="1" t="str">
        <f>IF([1]SCHEDULE!E219="","",[1]SCHEDULE!E219)</f>
        <v>Baskonia Vitoria-Gasteiz</v>
      </c>
      <c r="F219" s="6">
        <f>IF([1]SCHEDULE!F219="","",[1]SCHEDULE!F219)</f>
        <v>45268</v>
      </c>
      <c r="G219" s="3" t="str">
        <f>IF([1]SCHEDULE!G219="","",[1]SCHEDULE!G219)</f>
        <v>A</v>
      </c>
      <c r="H219" s="3" t="str">
        <f>IF([1]SCHEDULE!H219="","",[1]SCHEDULE!H219)</f>
        <v>BAS</v>
      </c>
      <c r="I219" s="3" t="str">
        <f>IF([1]SCHEDULE!I219="","",[1]SCHEDULE!I219)</f>
        <v>13.CZB</v>
      </c>
      <c r="J219" s="3" t="str">
        <f>IF([1]SCHEDULE!J219="","",[1]SCHEDULE!J219)</f>
        <v>13.BAS</v>
      </c>
    </row>
    <row r="220" spans="2:10" x14ac:dyDescent="0.25">
      <c r="B220" s="3" t="str">
        <f>IF([1]SCHEDULE!B220="","",[1]SCHEDULE!B220)</f>
        <v>CZB</v>
      </c>
      <c r="C220" s="3">
        <f>IF([1]SCHEDULE!C220="","",[1]SCHEDULE!C220)</f>
        <v>14</v>
      </c>
      <c r="D220" s="1" t="str">
        <f>IF([1]SCHEDULE!D220="","",[1]SCHEDULE!D220)</f>
        <v>Crvena Zvezda Meridianbet Belgrade</v>
      </c>
      <c r="E220" s="1" t="str">
        <f>IF([1]SCHEDULE!E220="","",[1]SCHEDULE!E220)</f>
        <v>ALBA Berlin</v>
      </c>
      <c r="F220" s="6">
        <f>IF([1]SCHEDULE!F220="","",[1]SCHEDULE!F220)</f>
        <v>45275</v>
      </c>
      <c r="G220" s="3" t="str">
        <f>IF([1]SCHEDULE!G220="","",[1]SCHEDULE!G220)</f>
        <v>H</v>
      </c>
      <c r="H220" s="3" t="str">
        <f>IF([1]SCHEDULE!H220="","",[1]SCHEDULE!H220)</f>
        <v>BER</v>
      </c>
      <c r="I220" s="3" t="str">
        <f>IF([1]SCHEDULE!I220="","",[1]SCHEDULE!I220)</f>
        <v>14.CZB</v>
      </c>
      <c r="J220" s="3" t="str">
        <f>IF([1]SCHEDULE!J220="","",[1]SCHEDULE!J220)</f>
        <v>14.BER</v>
      </c>
    </row>
    <row r="221" spans="2:10" x14ac:dyDescent="0.25">
      <c r="B221" s="3" t="str">
        <f>IF([1]SCHEDULE!B221="","",[1]SCHEDULE!B221)</f>
        <v>CZB</v>
      </c>
      <c r="C221" s="3">
        <f>IF([1]SCHEDULE!C221="","",[1]SCHEDULE!C221)</f>
        <v>15</v>
      </c>
      <c r="D221" s="1" t="str">
        <f>IF([1]SCHEDULE!D221="","",[1]SCHEDULE!D221)</f>
        <v>Crvena Zvezda Meridianbet Belgrade</v>
      </c>
      <c r="E221" s="1" t="str">
        <f>IF([1]SCHEDULE!E221="","",[1]SCHEDULE!E221)</f>
        <v>Real Madrid</v>
      </c>
      <c r="F221" s="6">
        <f>IF([1]SCHEDULE!F221="","",[1]SCHEDULE!F221)</f>
        <v>45279</v>
      </c>
      <c r="G221" s="3" t="str">
        <f>IF([1]SCHEDULE!G221="","",[1]SCHEDULE!G221)</f>
        <v>H</v>
      </c>
      <c r="H221" s="3" t="str">
        <f>IF([1]SCHEDULE!H221="","",[1]SCHEDULE!H221)</f>
        <v>RMB</v>
      </c>
      <c r="I221" s="3" t="str">
        <f>IF([1]SCHEDULE!I221="","",[1]SCHEDULE!I221)</f>
        <v>15.CZB</v>
      </c>
      <c r="J221" s="3" t="str">
        <f>IF([1]SCHEDULE!J221="","",[1]SCHEDULE!J221)</f>
        <v>15.RMB</v>
      </c>
    </row>
    <row r="222" spans="2:10" x14ac:dyDescent="0.25">
      <c r="B222" s="3" t="str">
        <f>IF([1]SCHEDULE!B222="","",[1]SCHEDULE!B222)</f>
        <v>CZB</v>
      </c>
      <c r="C222" s="3">
        <f>IF([1]SCHEDULE!C222="","",[1]SCHEDULE!C222)</f>
        <v>16</v>
      </c>
      <c r="D222" s="1" t="str">
        <f>IF([1]SCHEDULE!D222="","",[1]SCHEDULE!D222)</f>
        <v>Crvena Zvezda Meridianbet Belgrade</v>
      </c>
      <c r="E222" s="1" t="str">
        <f>IF([1]SCHEDULE!E222="","",[1]SCHEDULE!E222)</f>
        <v>Maccabi Playtika Tel Aviv</v>
      </c>
      <c r="F222" s="6">
        <f>IF([1]SCHEDULE!F222="","",[1]SCHEDULE!F222)</f>
        <v>45281</v>
      </c>
      <c r="G222" s="3" t="str">
        <f>IF([1]SCHEDULE!G222="","",[1]SCHEDULE!G222)</f>
        <v>A</v>
      </c>
      <c r="H222" s="3" t="str">
        <f>IF([1]SCHEDULE!H222="","",[1]SCHEDULE!H222)</f>
        <v>MTA</v>
      </c>
      <c r="I222" s="3" t="str">
        <f>IF([1]SCHEDULE!I222="","",[1]SCHEDULE!I222)</f>
        <v>16.CZB</v>
      </c>
      <c r="J222" s="3" t="str">
        <f>IF([1]SCHEDULE!J222="","",[1]SCHEDULE!J222)</f>
        <v>16.MTA</v>
      </c>
    </row>
    <row r="223" spans="2:10" x14ac:dyDescent="0.25">
      <c r="B223" s="3" t="str">
        <f>IF([1]SCHEDULE!B223="","",[1]SCHEDULE!B223)</f>
        <v>CZB</v>
      </c>
      <c r="C223" s="3">
        <f>IF([1]SCHEDULE!C223="","",[1]SCHEDULE!C223)</f>
        <v>17</v>
      </c>
      <c r="D223" s="1" t="str">
        <f>IF([1]SCHEDULE!D223="","",[1]SCHEDULE!D223)</f>
        <v>Crvena Zvezda Meridianbet Belgrade</v>
      </c>
      <c r="E223" s="1" t="str">
        <f>IF([1]SCHEDULE!E223="","",[1]SCHEDULE!E223)</f>
        <v>Panathinaikos Athens</v>
      </c>
      <c r="F223" s="6">
        <f>IF([1]SCHEDULE!F223="","",[1]SCHEDULE!F223)</f>
        <v>45288</v>
      </c>
      <c r="G223" s="3" t="str">
        <f>IF([1]SCHEDULE!G223="","",[1]SCHEDULE!G223)</f>
        <v>A</v>
      </c>
      <c r="H223" s="3" t="str">
        <f>IF([1]SCHEDULE!H223="","",[1]SCHEDULE!H223)</f>
        <v>PAN</v>
      </c>
      <c r="I223" s="3" t="str">
        <f>IF([1]SCHEDULE!I223="","",[1]SCHEDULE!I223)</f>
        <v>17.CZB</v>
      </c>
      <c r="J223" s="3" t="str">
        <f>IF([1]SCHEDULE!J223="","",[1]SCHEDULE!J223)</f>
        <v>17.PAN</v>
      </c>
    </row>
    <row r="224" spans="2:10" x14ac:dyDescent="0.25">
      <c r="B224" s="3" t="str">
        <f>IF([1]SCHEDULE!B224="","",[1]SCHEDULE!B224)</f>
        <v>CZB</v>
      </c>
      <c r="C224" s="3">
        <f>IF([1]SCHEDULE!C224="","",[1]SCHEDULE!C224)</f>
        <v>18</v>
      </c>
      <c r="D224" s="1" t="str">
        <f>IF([1]SCHEDULE!D224="","",[1]SCHEDULE!D224)</f>
        <v>Crvena Zvezda Meridianbet Belgrade</v>
      </c>
      <c r="E224" s="1" t="str">
        <f>IF([1]SCHEDULE!E224="","",[1]SCHEDULE!E224)</f>
        <v>Fenerbahce Beko Istanbul</v>
      </c>
      <c r="F224" s="6">
        <f>IF([1]SCHEDULE!F224="","",[1]SCHEDULE!F224)</f>
        <v>45293</v>
      </c>
      <c r="G224" s="3" t="str">
        <f>IF([1]SCHEDULE!G224="","",[1]SCHEDULE!G224)</f>
        <v>A</v>
      </c>
      <c r="H224" s="3" t="str">
        <f>IF([1]SCHEDULE!H224="","",[1]SCHEDULE!H224)</f>
        <v>FEN</v>
      </c>
      <c r="I224" s="3" t="str">
        <f>IF([1]SCHEDULE!I224="","",[1]SCHEDULE!I224)</f>
        <v>18.CZB</v>
      </c>
      <c r="J224" s="3" t="str">
        <f>IF([1]SCHEDULE!J224="","",[1]SCHEDULE!J224)</f>
        <v>18.FEN</v>
      </c>
    </row>
    <row r="225" spans="2:10" x14ac:dyDescent="0.25">
      <c r="B225" s="3" t="str">
        <f>IF([1]SCHEDULE!B225="","",[1]SCHEDULE!B225)</f>
        <v>CZB</v>
      </c>
      <c r="C225" s="3">
        <f>IF([1]SCHEDULE!C225="","",[1]SCHEDULE!C225)</f>
        <v>19</v>
      </c>
      <c r="D225" s="1" t="str">
        <f>IF([1]SCHEDULE!D225="","",[1]SCHEDULE!D225)</f>
        <v>Crvena Zvezda Meridianbet Belgrade</v>
      </c>
      <c r="E225" s="1" t="str">
        <f>IF([1]SCHEDULE!E225="","",[1]SCHEDULE!E225)</f>
        <v>Partizan Mozzart Bet Belgrade</v>
      </c>
      <c r="F225" s="6">
        <f>IF([1]SCHEDULE!F225="","",[1]SCHEDULE!F225)</f>
        <v>45295</v>
      </c>
      <c r="G225" s="3" t="str">
        <f>IF([1]SCHEDULE!G225="","",[1]SCHEDULE!G225)</f>
        <v>H</v>
      </c>
      <c r="H225" s="3" t="str">
        <f>IF([1]SCHEDULE!H225="","",[1]SCHEDULE!H225)</f>
        <v>PAR</v>
      </c>
      <c r="I225" s="3" t="str">
        <f>IF([1]SCHEDULE!I225="","",[1]SCHEDULE!I225)</f>
        <v>19.CZB</v>
      </c>
      <c r="J225" s="3" t="str">
        <f>IF([1]SCHEDULE!J225="","",[1]SCHEDULE!J225)</f>
        <v>19.PAR</v>
      </c>
    </row>
    <row r="226" spans="2:10" x14ac:dyDescent="0.25">
      <c r="B226" s="3" t="str">
        <f>IF([1]SCHEDULE!B226="","",[1]SCHEDULE!B226)</f>
        <v>CZB</v>
      </c>
      <c r="C226" s="3">
        <f>IF([1]SCHEDULE!C226="","",[1]SCHEDULE!C226)</f>
        <v>20</v>
      </c>
      <c r="D226" s="1" t="str">
        <f>IF([1]SCHEDULE!D226="","",[1]SCHEDULE!D226)</f>
        <v>Crvena Zvezda Meridianbet Belgrade</v>
      </c>
      <c r="E226" s="1" t="str">
        <f>IF([1]SCHEDULE!E226="","",[1]SCHEDULE!E226)</f>
        <v>LDLC ASVEL Villeurbanne</v>
      </c>
      <c r="F226" s="6">
        <f>IF([1]SCHEDULE!F226="","",[1]SCHEDULE!F226)</f>
        <v>45300</v>
      </c>
      <c r="G226" s="3" t="str">
        <f>IF([1]SCHEDULE!G226="","",[1]SCHEDULE!G226)</f>
        <v>A</v>
      </c>
      <c r="H226" s="3" t="str">
        <f>IF([1]SCHEDULE!H226="","",[1]SCHEDULE!H226)</f>
        <v>ASV</v>
      </c>
      <c r="I226" s="3" t="str">
        <f>IF([1]SCHEDULE!I226="","",[1]SCHEDULE!I226)</f>
        <v>20.CZB</v>
      </c>
      <c r="J226" s="3" t="str">
        <f>IF([1]SCHEDULE!J226="","",[1]SCHEDULE!J226)</f>
        <v>20.ASV</v>
      </c>
    </row>
    <row r="227" spans="2:10" x14ac:dyDescent="0.25">
      <c r="B227" s="3" t="str">
        <f>IF([1]SCHEDULE!B227="","",[1]SCHEDULE!B227)</f>
        <v>CZB</v>
      </c>
      <c r="C227" s="3">
        <f>IF([1]SCHEDULE!C227="","",[1]SCHEDULE!C227)</f>
        <v>21</v>
      </c>
      <c r="D227" s="1" t="str">
        <f>IF([1]SCHEDULE!D227="","",[1]SCHEDULE!D227)</f>
        <v>Crvena Zvezda Meridianbet Belgrade</v>
      </c>
      <c r="E227" s="1" t="str">
        <f>IF([1]SCHEDULE!E227="","",[1]SCHEDULE!E227)</f>
        <v>EA7 Emporio Armani Milan</v>
      </c>
      <c r="F227" s="6">
        <f>IF([1]SCHEDULE!F227="","",[1]SCHEDULE!F227)</f>
        <v>45302</v>
      </c>
      <c r="G227" s="3" t="str">
        <f>IF([1]SCHEDULE!G227="","",[1]SCHEDULE!G227)</f>
        <v>A</v>
      </c>
      <c r="H227" s="3" t="str">
        <f>IF([1]SCHEDULE!H227="","",[1]SCHEDULE!H227)</f>
        <v>MIL</v>
      </c>
      <c r="I227" s="3" t="str">
        <f>IF([1]SCHEDULE!I227="","",[1]SCHEDULE!I227)</f>
        <v>21.CZB</v>
      </c>
      <c r="J227" s="3" t="str">
        <f>IF([1]SCHEDULE!J227="","",[1]SCHEDULE!J227)</f>
        <v>21.MIL</v>
      </c>
    </row>
    <row r="228" spans="2:10" x14ac:dyDescent="0.25">
      <c r="B228" s="3" t="str">
        <f>IF([1]SCHEDULE!B228="","",[1]SCHEDULE!B228)</f>
        <v>CZB</v>
      </c>
      <c r="C228" s="3">
        <f>IF([1]SCHEDULE!C228="","",[1]SCHEDULE!C228)</f>
        <v>22</v>
      </c>
      <c r="D228" s="1" t="str">
        <f>IF([1]SCHEDULE!D228="","",[1]SCHEDULE!D228)</f>
        <v>Crvena Zvezda Meridianbet Belgrade</v>
      </c>
      <c r="E228" s="1" t="str">
        <f>IF([1]SCHEDULE!E228="","",[1]SCHEDULE!E228)</f>
        <v>Baskonia Vitoria-Gasteiz</v>
      </c>
      <c r="F228" s="6">
        <f>IF([1]SCHEDULE!F228="","",[1]SCHEDULE!F228)</f>
        <v>45309</v>
      </c>
      <c r="G228" s="3" t="str">
        <f>IF([1]SCHEDULE!G228="","",[1]SCHEDULE!G228)</f>
        <v>H</v>
      </c>
      <c r="H228" s="3" t="str">
        <f>IF([1]SCHEDULE!H228="","",[1]SCHEDULE!H228)</f>
        <v>BAS</v>
      </c>
      <c r="I228" s="3" t="str">
        <f>IF([1]SCHEDULE!I228="","",[1]SCHEDULE!I228)</f>
        <v>22.CZB</v>
      </c>
      <c r="J228" s="3" t="str">
        <f>IF([1]SCHEDULE!J228="","",[1]SCHEDULE!J228)</f>
        <v>22.BAS</v>
      </c>
    </row>
    <row r="229" spans="2:10" x14ac:dyDescent="0.25">
      <c r="B229" s="3" t="str">
        <f>IF([1]SCHEDULE!B229="","",[1]SCHEDULE!B229)</f>
        <v>CZB</v>
      </c>
      <c r="C229" s="3">
        <f>IF([1]SCHEDULE!C229="","",[1]SCHEDULE!C229)</f>
        <v>23</v>
      </c>
      <c r="D229" s="1" t="str">
        <f>IF([1]SCHEDULE!D229="","",[1]SCHEDULE!D229)</f>
        <v>Crvena Zvezda Meridianbet Belgrade</v>
      </c>
      <c r="E229" s="1" t="str">
        <f>IF([1]SCHEDULE!E229="","",[1]SCHEDULE!E229)</f>
        <v>ALBA Berlin</v>
      </c>
      <c r="F229" s="6">
        <f>IF([1]SCHEDULE!F229="","",[1]SCHEDULE!F229)</f>
        <v>45316</v>
      </c>
      <c r="G229" s="3" t="str">
        <f>IF([1]SCHEDULE!G229="","",[1]SCHEDULE!G229)</f>
        <v>A</v>
      </c>
      <c r="H229" s="3" t="str">
        <f>IF([1]SCHEDULE!H229="","",[1]SCHEDULE!H229)</f>
        <v>BER</v>
      </c>
      <c r="I229" s="3" t="str">
        <f>IF([1]SCHEDULE!I229="","",[1]SCHEDULE!I229)</f>
        <v>23.CZB</v>
      </c>
      <c r="J229" s="3" t="str">
        <f>IF([1]SCHEDULE!J229="","",[1]SCHEDULE!J229)</f>
        <v>23.BER</v>
      </c>
    </row>
    <row r="230" spans="2:10" x14ac:dyDescent="0.25">
      <c r="B230" s="3" t="str">
        <f>IF([1]SCHEDULE!B230="","",[1]SCHEDULE!B230)</f>
        <v>CZB</v>
      </c>
      <c r="C230" s="3">
        <f>IF([1]SCHEDULE!C230="","",[1]SCHEDULE!C230)</f>
        <v>24</v>
      </c>
      <c r="D230" s="1" t="str">
        <f>IF([1]SCHEDULE!D230="","",[1]SCHEDULE!D230)</f>
        <v>Crvena Zvezda Meridianbet Belgrade</v>
      </c>
      <c r="E230" s="1" t="str">
        <f>IF([1]SCHEDULE!E230="","",[1]SCHEDULE!E230)</f>
        <v>Valencia Basket</v>
      </c>
      <c r="F230" s="6">
        <f>IF([1]SCHEDULE!F230="","",[1]SCHEDULE!F230)</f>
        <v>45321</v>
      </c>
      <c r="G230" s="3" t="str">
        <f>IF([1]SCHEDULE!G230="","",[1]SCHEDULE!G230)</f>
        <v>H</v>
      </c>
      <c r="H230" s="3" t="str">
        <f>IF([1]SCHEDULE!H230="","",[1]SCHEDULE!H230)</f>
        <v>VAL</v>
      </c>
      <c r="I230" s="3" t="str">
        <f>IF([1]SCHEDULE!I230="","",[1]SCHEDULE!I230)</f>
        <v>24.CZB</v>
      </c>
      <c r="J230" s="3" t="str">
        <f>IF([1]SCHEDULE!J230="","",[1]SCHEDULE!J230)</f>
        <v>24.VAL</v>
      </c>
    </row>
    <row r="231" spans="2:10" x14ac:dyDescent="0.25">
      <c r="B231" s="3" t="str">
        <f>IF([1]SCHEDULE!B231="","",[1]SCHEDULE!B231)</f>
        <v>CZB</v>
      </c>
      <c r="C231" s="3">
        <f>IF([1]SCHEDULE!C231="","",[1]SCHEDULE!C231)</f>
        <v>25</v>
      </c>
      <c r="D231" s="1" t="str">
        <f>IF([1]SCHEDULE!D231="","",[1]SCHEDULE!D231)</f>
        <v>Crvena Zvezda Meridianbet Belgrade</v>
      </c>
      <c r="E231" s="1" t="str">
        <f>IF([1]SCHEDULE!E231="","",[1]SCHEDULE!E231)</f>
        <v>FC Barcelona</v>
      </c>
      <c r="F231" s="6">
        <f>IF([1]SCHEDULE!F231="","",[1]SCHEDULE!F231)</f>
        <v>45324</v>
      </c>
      <c r="G231" s="3" t="str">
        <f>IF([1]SCHEDULE!G231="","",[1]SCHEDULE!G231)</f>
        <v>H</v>
      </c>
      <c r="H231" s="3" t="str">
        <f>IF([1]SCHEDULE!H231="","",[1]SCHEDULE!H231)</f>
        <v>FCB</v>
      </c>
      <c r="I231" s="3" t="str">
        <f>IF([1]SCHEDULE!I231="","",[1]SCHEDULE!I231)</f>
        <v>25.CZB</v>
      </c>
      <c r="J231" s="3" t="str">
        <f>IF([1]SCHEDULE!J231="","",[1]SCHEDULE!J231)</f>
        <v>25.FCB</v>
      </c>
    </row>
    <row r="232" spans="2:10" x14ac:dyDescent="0.25">
      <c r="B232" s="3" t="str">
        <f>IF([1]SCHEDULE!B232="","",[1]SCHEDULE!B232)</f>
        <v>CZB</v>
      </c>
      <c r="C232" s="3">
        <f>IF([1]SCHEDULE!C232="","",[1]SCHEDULE!C232)</f>
        <v>26</v>
      </c>
      <c r="D232" s="1" t="str">
        <f>IF([1]SCHEDULE!D232="","",[1]SCHEDULE!D232)</f>
        <v>Crvena Zvezda Meridianbet Belgrade</v>
      </c>
      <c r="E232" s="1" t="str">
        <f>IF([1]SCHEDULE!E232="","",[1]SCHEDULE!E232)</f>
        <v>Zalgiris Kaunas</v>
      </c>
      <c r="F232" s="6">
        <f>IF([1]SCHEDULE!F232="","",[1]SCHEDULE!F232)</f>
        <v>45331</v>
      </c>
      <c r="G232" s="3" t="str">
        <f>IF([1]SCHEDULE!G232="","",[1]SCHEDULE!G232)</f>
        <v>H</v>
      </c>
      <c r="H232" s="3" t="str">
        <f>IF([1]SCHEDULE!H232="","",[1]SCHEDULE!H232)</f>
        <v>ZAL</v>
      </c>
      <c r="I232" s="3" t="str">
        <f>IF([1]SCHEDULE!I232="","",[1]SCHEDULE!I232)</f>
        <v>26.CZB</v>
      </c>
      <c r="J232" s="3" t="str">
        <f>IF([1]SCHEDULE!J232="","",[1]SCHEDULE!J232)</f>
        <v>26.ZAL</v>
      </c>
    </row>
    <row r="233" spans="2:10" x14ac:dyDescent="0.25">
      <c r="B233" s="3" t="str">
        <f>IF([1]SCHEDULE!B233="","",[1]SCHEDULE!B233)</f>
        <v>CZB</v>
      </c>
      <c r="C233" s="3">
        <f>IF([1]SCHEDULE!C233="","",[1]SCHEDULE!C233)</f>
        <v>27</v>
      </c>
      <c r="D233" s="1" t="str">
        <f>IF([1]SCHEDULE!D233="","",[1]SCHEDULE!D233)</f>
        <v>Crvena Zvezda Meridianbet Belgrade</v>
      </c>
      <c r="E233" s="1" t="str">
        <f>IF([1]SCHEDULE!E233="","",[1]SCHEDULE!E233)</f>
        <v>FC Bayern Munich</v>
      </c>
      <c r="F233" s="6">
        <f>IF([1]SCHEDULE!F233="","",[1]SCHEDULE!F233)</f>
        <v>45352</v>
      </c>
      <c r="G233" s="3" t="str">
        <f>IF([1]SCHEDULE!G233="","",[1]SCHEDULE!G233)</f>
        <v>A</v>
      </c>
      <c r="H233" s="3" t="str">
        <f>IF([1]SCHEDULE!H233="","",[1]SCHEDULE!H233)</f>
        <v>BAY</v>
      </c>
      <c r="I233" s="3" t="str">
        <f>IF([1]SCHEDULE!I233="","",[1]SCHEDULE!I233)</f>
        <v>27.CZB</v>
      </c>
      <c r="J233" s="3" t="str">
        <f>IF([1]SCHEDULE!J233="","",[1]SCHEDULE!J233)</f>
        <v>27.BAY</v>
      </c>
    </row>
    <row r="234" spans="2:10" x14ac:dyDescent="0.25">
      <c r="B234" s="3" t="str">
        <f>IF([1]SCHEDULE!B234="","",[1]SCHEDULE!B234)</f>
        <v>CZB</v>
      </c>
      <c r="C234" s="3">
        <f>IF([1]SCHEDULE!C234="","",[1]SCHEDULE!C234)</f>
        <v>28</v>
      </c>
      <c r="D234" s="1" t="str">
        <f>IF([1]SCHEDULE!D234="","",[1]SCHEDULE!D234)</f>
        <v>Crvena Zvezda Meridianbet Belgrade</v>
      </c>
      <c r="E234" s="1" t="str">
        <f>IF([1]SCHEDULE!E234="","",[1]SCHEDULE!E234)</f>
        <v>AS Monaco</v>
      </c>
      <c r="F234" s="6">
        <f>IF([1]SCHEDULE!F234="","",[1]SCHEDULE!F234)</f>
        <v>45358</v>
      </c>
      <c r="G234" s="3" t="str">
        <f>IF([1]SCHEDULE!G234="","",[1]SCHEDULE!G234)</f>
        <v>A</v>
      </c>
      <c r="H234" s="3" t="str">
        <f>IF([1]SCHEDULE!H234="","",[1]SCHEDULE!H234)</f>
        <v>ASM</v>
      </c>
      <c r="I234" s="3" t="str">
        <f>IF([1]SCHEDULE!I234="","",[1]SCHEDULE!I234)</f>
        <v>28.CZB</v>
      </c>
      <c r="J234" s="3" t="str">
        <f>IF([1]SCHEDULE!J234="","",[1]SCHEDULE!J234)</f>
        <v>28.ASM</v>
      </c>
    </row>
    <row r="235" spans="2:10" x14ac:dyDescent="0.25">
      <c r="B235" s="3" t="str">
        <f>IF([1]SCHEDULE!B235="","",[1]SCHEDULE!B235)</f>
        <v>CZB</v>
      </c>
      <c r="C235" s="3">
        <f>IF([1]SCHEDULE!C235="","",[1]SCHEDULE!C235)</f>
        <v>29</v>
      </c>
      <c r="D235" s="1" t="str">
        <f>IF([1]SCHEDULE!D235="","",[1]SCHEDULE!D235)</f>
        <v>Crvena Zvezda Meridianbet Belgrade</v>
      </c>
      <c r="E235" s="1" t="str">
        <f>IF([1]SCHEDULE!E235="","",[1]SCHEDULE!E235)</f>
        <v>Maccabi Playtika Tel Aviv</v>
      </c>
      <c r="F235" s="6">
        <f>IF([1]SCHEDULE!F235="","",[1]SCHEDULE!F235)</f>
        <v>45365</v>
      </c>
      <c r="G235" s="3" t="str">
        <f>IF([1]SCHEDULE!G235="","",[1]SCHEDULE!G235)</f>
        <v>H</v>
      </c>
      <c r="H235" s="3" t="str">
        <f>IF([1]SCHEDULE!H235="","",[1]SCHEDULE!H235)</f>
        <v>MTA</v>
      </c>
      <c r="I235" s="3" t="str">
        <f>IF([1]SCHEDULE!I235="","",[1]SCHEDULE!I235)</f>
        <v>29.CZB</v>
      </c>
      <c r="J235" s="3" t="str">
        <f>IF([1]SCHEDULE!J235="","",[1]SCHEDULE!J235)</f>
        <v>29.MTA</v>
      </c>
    </row>
    <row r="236" spans="2:10" x14ac:dyDescent="0.25">
      <c r="B236" s="3" t="str">
        <f>IF([1]SCHEDULE!B236="","",[1]SCHEDULE!B236)</f>
        <v>CZB</v>
      </c>
      <c r="C236" s="3">
        <f>IF([1]SCHEDULE!C236="","",[1]SCHEDULE!C236)</f>
        <v>30</v>
      </c>
      <c r="D236" s="1" t="str">
        <f>IF([1]SCHEDULE!D236="","",[1]SCHEDULE!D236)</f>
        <v>Crvena Zvezda Meridianbet Belgrade</v>
      </c>
      <c r="E236" s="1" t="str">
        <f>IF([1]SCHEDULE!E236="","",[1]SCHEDULE!E236)</f>
        <v>Panathinaikos Athens</v>
      </c>
      <c r="F236" s="6">
        <f>IF([1]SCHEDULE!F236="","",[1]SCHEDULE!F236)</f>
        <v>45371</v>
      </c>
      <c r="G236" s="3" t="str">
        <f>IF([1]SCHEDULE!G236="","",[1]SCHEDULE!G236)</f>
        <v>H</v>
      </c>
      <c r="H236" s="3" t="str">
        <f>IF([1]SCHEDULE!H236="","",[1]SCHEDULE!H236)</f>
        <v>PAN</v>
      </c>
      <c r="I236" s="3" t="str">
        <f>IF([1]SCHEDULE!I236="","",[1]SCHEDULE!I236)</f>
        <v>30.CZB</v>
      </c>
      <c r="J236" s="3" t="str">
        <f>IF([1]SCHEDULE!J236="","",[1]SCHEDULE!J236)</f>
        <v>30.PAN</v>
      </c>
    </row>
    <row r="237" spans="2:10" x14ac:dyDescent="0.25">
      <c r="B237" s="3" t="str">
        <f>IF([1]SCHEDULE!B237="","",[1]SCHEDULE!B237)</f>
        <v>CZB</v>
      </c>
      <c r="C237" s="3">
        <f>IF([1]SCHEDULE!C237="","",[1]SCHEDULE!C237)</f>
        <v>31</v>
      </c>
      <c r="D237" s="1" t="str">
        <f>IF([1]SCHEDULE!D237="","",[1]SCHEDULE!D237)</f>
        <v>Crvena Zvezda Meridianbet Belgrade</v>
      </c>
      <c r="E237" s="1" t="str">
        <f>IF([1]SCHEDULE!E237="","",[1]SCHEDULE!E237)</f>
        <v>Virtus Segafredo Bologna</v>
      </c>
      <c r="F237" s="6">
        <f>IF([1]SCHEDULE!F237="","",[1]SCHEDULE!F237)</f>
        <v>45373</v>
      </c>
      <c r="G237" s="3" t="str">
        <f>IF([1]SCHEDULE!G237="","",[1]SCHEDULE!G237)</f>
        <v>H</v>
      </c>
      <c r="H237" s="3" t="str">
        <f>IF([1]SCHEDULE!H237="","",[1]SCHEDULE!H237)</f>
        <v>VIR</v>
      </c>
      <c r="I237" s="3" t="str">
        <f>IF([1]SCHEDULE!I237="","",[1]SCHEDULE!I237)</f>
        <v>31.CZB</v>
      </c>
      <c r="J237" s="3" t="str">
        <f>IF([1]SCHEDULE!J237="","",[1]SCHEDULE!J237)</f>
        <v>31.VIR</v>
      </c>
    </row>
    <row r="238" spans="2:10" x14ac:dyDescent="0.25">
      <c r="B238" s="3" t="str">
        <f>IF([1]SCHEDULE!B238="","",[1]SCHEDULE!B238)</f>
        <v>CZB</v>
      </c>
      <c r="C238" s="3">
        <f>IF([1]SCHEDULE!C238="","",[1]SCHEDULE!C238)</f>
        <v>32</v>
      </c>
      <c r="D238" s="1" t="str">
        <f>IF([1]SCHEDULE!D238="","",[1]SCHEDULE!D238)</f>
        <v>Crvena Zvezda Meridianbet Belgrade</v>
      </c>
      <c r="E238" s="1" t="str">
        <f>IF([1]SCHEDULE!E238="","",[1]SCHEDULE!E238)</f>
        <v>Real Madrid</v>
      </c>
      <c r="F238" s="6">
        <f>IF([1]SCHEDULE!F238="","",[1]SCHEDULE!F238)</f>
        <v>45380</v>
      </c>
      <c r="G238" s="3" t="str">
        <f>IF([1]SCHEDULE!G238="","",[1]SCHEDULE!G238)</f>
        <v>A</v>
      </c>
      <c r="H238" s="3" t="str">
        <f>IF([1]SCHEDULE!H238="","",[1]SCHEDULE!H238)</f>
        <v>RMB</v>
      </c>
      <c r="I238" s="3" t="str">
        <f>IF([1]SCHEDULE!I238="","",[1]SCHEDULE!I238)</f>
        <v>32.CZB</v>
      </c>
      <c r="J238" s="3" t="str">
        <f>IF([1]SCHEDULE!J238="","",[1]SCHEDULE!J238)</f>
        <v>32.RMB</v>
      </c>
    </row>
    <row r="239" spans="2:10" x14ac:dyDescent="0.25">
      <c r="B239" s="3" t="str">
        <f>IF([1]SCHEDULE!B239="","",[1]SCHEDULE!B239)</f>
        <v>CZB</v>
      </c>
      <c r="C239" s="3">
        <f>IF([1]SCHEDULE!C239="","",[1]SCHEDULE!C239)</f>
        <v>33</v>
      </c>
      <c r="D239" s="1" t="str">
        <f>IF([1]SCHEDULE!D239="","",[1]SCHEDULE!D239)</f>
        <v>Crvena Zvezda Meridianbet Belgrade</v>
      </c>
      <c r="E239" s="1" t="str">
        <f>IF([1]SCHEDULE!E239="","",[1]SCHEDULE!E239)</f>
        <v>Olympiacos Piraeus</v>
      </c>
      <c r="F239" s="6">
        <f>IF([1]SCHEDULE!F239="","",[1]SCHEDULE!F239)</f>
        <v>45386</v>
      </c>
      <c r="G239" s="3" t="str">
        <f>IF([1]SCHEDULE!G239="","",[1]SCHEDULE!G239)</f>
        <v>H</v>
      </c>
      <c r="H239" s="3" t="str">
        <f>IF([1]SCHEDULE!H239="","",[1]SCHEDULE!H239)</f>
        <v>OLY</v>
      </c>
      <c r="I239" s="3" t="str">
        <f>IF([1]SCHEDULE!I239="","",[1]SCHEDULE!I239)</f>
        <v>33.CZB</v>
      </c>
      <c r="J239" s="3" t="str">
        <f>IF([1]SCHEDULE!J239="","",[1]SCHEDULE!J239)</f>
        <v>33.OLY</v>
      </c>
    </row>
    <row r="240" spans="2:10" x14ac:dyDescent="0.25">
      <c r="B240" s="3" t="str">
        <f>IF([1]SCHEDULE!B240="","",[1]SCHEDULE!B240)</f>
        <v>CZB</v>
      </c>
      <c r="C240" s="3">
        <f>IF([1]SCHEDULE!C240="","",[1]SCHEDULE!C240)</f>
        <v>34</v>
      </c>
      <c r="D240" s="1" t="str">
        <f>IF([1]SCHEDULE!D240="","",[1]SCHEDULE!D240)</f>
        <v>Crvena Zvezda Meridianbet Belgrade</v>
      </c>
      <c r="E240" s="1" t="str">
        <f>IF([1]SCHEDULE!E240="","",[1]SCHEDULE!E240)</f>
        <v>Anadolu Efes Istanbul</v>
      </c>
      <c r="F240" s="6">
        <f>IF([1]SCHEDULE!F240="","",[1]SCHEDULE!F240)</f>
        <v>45393</v>
      </c>
      <c r="G240" s="3" t="str">
        <f>IF([1]SCHEDULE!G240="","",[1]SCHEDULE!G240)</f>
        <v>A</v>
      </c>
      <c r="H240" s="3" t="str">
        <f>IF([1]SCHEDULE!H240="","",[1]SCHEDULE!H240)</f>
        <v>EFE</v>
      </c>
      <c r="I240" s="3" t="str">
        <f>IF([1]SCHEDULE!I240="","",[1]SCHEDULE!I240)</f>
        <v>34.CZB</v>
      </c>
      <c r="J240" s="3" t="str">
        <f>IF([1]SCHEDULE!J240="","",[1]SCHEDULE!J240)</f>
        <v>34.EFE</v>
      </c>
    </row>
    <row r="241" spans="2:10" x14ac:dyDescent="0.25">
      <c r="B241" s="3" t="str">
        <f>IF([1]SCHEDULE!B241="","",[1]SCHEDULE!B241)</f>
        <v>CZB</v>
      </c>
      <c r="C241" s="3">
        <f>IF([1]SCHEDULE!C241="","",[1]SCHEDULE!C241)</f>
        <v>35</v>
      </c>
      <c r="D241" s="1" t="str">
        <f>IF([1]SCHEDULE!D241="","",[1]SCHEDULE!D241)</f>
        <v>Crvena Zvezda Meridianbet Belgrade</v>
      </c>
      <c r="E241" s="1" t="str">
        <f>IF([1]SCHEDULE!E241="","",[1]SCHEDULE!E241)</f>
        <v/>
      </c>
      <c r="F241" s="6" t="str">
        <f>IF([1]SCHEDULE!F241="","",[1]SCHEDULE!F241)</f>
        <v/>
      </c>
      <c r="G241" s="3" t="str">
        <f>IF([1]SCHEDULE!G241="","",[1]SCHEDULE!G241)</f>
        <v/>
      </c>
      <c r="H241" s="3" t="str">
        <f>IF([1]SCHEDULE!H241="","",[1]SCHEDULE!H241)</f>
        <v/>
      </c>
      <c r="I241" s="3" t="str">
        <f>IF([1]SCHEDULE!I241="","",[1]SCHEDULE!I241)</f>
        <v/>
      </c>
      <c r="J241" s="3" t="str">
        <f>IF([1]SCHEDULE!J241="","",[1]SCHEDULE!J241)</f>
        <v/>
      </c>
    </row>
    <row r="242" spans="2:10" x14ac:dyDescent="0.25">
      <c r="B242" s="3" t="str">
        <f>IF([1]SCHEDULE!B242="","",[1]SCHEDULE!B242)</f>
        <v>CZB</v>
      </c>
      <c r="C242" s="3">
        <f>IF([1]SCHEDULE!C242="","",[1]SCHEDULE!C242)</f>
        <v>36</v>
      </c>
      <c r="D242" s="1" t="str">
        <f>IF([1]SCHEDULE!D242="","",[1]SCHEDULE!D242)</f>
        <v>Crvena Zvezda Meridianbet Belgrade</v>
      </c>
      <c r="E242" s="1" t="str">
        <f>IF([1]SCHEDULE!E242="","",[1]SCHEDULE!E242)</f>
        <v/>
      </c>
      <c r="F242" s="6" t="str">
        <f>IF([1]SCHEDULE!F242="","",[1]SCHEDULE!F242)</f>
        <v/>
      </c>
      <c r="G242" s="3" t="str">
        <f>IF([1]SCHEDULE!G242="","",[1]SCHEDULE!G242)</f>
        <v/>
      </c>
      <c r="H242" s="3" t="str">
        <f>IF([1]SCHEDULE!H242="","",[1]SCHEDULE!H242)</f>
        <v/>
      </c>
      <c r="I242" s="3" t="str">
        <f>IF([1]SCHEDULE!I242="","",[1]SCHEDULE!I242)</f>
        <v/>
      </c>
      <c r="J242" s="3" t="str">
        <f>IF([1]SCHEDULE!J242="","",[1]SCHEDULE!J242)</f>
        <v/>
      </c>
    </row>
    <row r="243" spans="2:10" x14ac:dyDescent="0.25">
      <c r="B243" s="3" t="str">
        <f>IF([1]SCHEDULE!B243="","",[1]SCHEDULE!B243)</f>
        <v>CZB</v>
      </c>
      <c r="C243" s="3">
        <f>IF([1]SCHEDULE!C243="","",[1]SCHEDULE!C243)</f>
        <v>37</v>
      </c>
      <c r="D243" s="1" t="str">
        <f>IF([1]SCHEDULE!D243="","",[1]SCHEDULE!D243)</f>
        <v>Crvena Zvezda Meridianbet Belgrade</v>
      </c>
      <c r="E243" s="1" t="str">
        <f>IF([1]SCHEDULE!E243="","",[1]SCHEDULE!E243)</f>
        <v/>
      </c>
      <c r="F243" s="6" t="str">
        <f>IF([1]SCHEDULE!F243="","",[1]SCHEDULE!F243)</f>
        <v/>
      </c>
      <c r="G243" s="3" t="str">
        <f>IF([1]SCHEDULE!G243="","",[1]SCHEDULE!G243)</f>
        <v/>
      </c>
      <c r="H243" s="3" t="str">
        <f>IF([1]SCHEDULE!H243="","",[1]SCHEDULE!H243)</f>
        <v/>
      </c>
      <c r="I243" s="3" t="str">
        <f>IF([1]SCHEDULE!I243="","",[1]SCHEDULE!I243)</f>
        <v/>
      </c>
      <c r="J243" s="3" t="str">
        <f>IF([1]SCHEDULE!J243="","",[1]SCHEDULE!J243)</f>
        <v/>
      </c>
    </row>
    <row r="244" spans="2:10" x14ac:dyDescent="0.25">
      <c r="B244" s="3" t="str">
        <f>IF([1]SCHEDULE!B244="","",[1]SCHEDULE!B244)</f>
        <v>CZB</v>
      </c>
      <c r="C244" s="3">
        <f>IF([1]SCHEDULE!C244="","",[1]SCHEDULE!C244)</f>
        <v>38</v>
      </c>
      <c r="D244" s="1" t="str">
        <f>IF([1]SCHEDULE!D244="","",[1]SCHEDULE!D244)</f>
        <v>Crvena Zvezda Meridianbet Belgrade</v>
      </c>
      <c r="E244" s="1" t="str">
        <f>IF([1]SCHEDULE!E244="","",[1]SCHEDULE!E244)</f>
        <v/>
      </c>
      <c r="F244" s="6" t="str">
        <f>IF([1]SCHEDULE!F244="","",[1]SCHEDULE!F244)</f>
        <v/>
      </c>
      <c r="G244" s="3" t="str">
        <f>IF([1]SCHEDULE!G244="","",[1]SCHEDULE!G244)</f>
        <v/>
      </c>
      <c r="H244" s="3" t="str">
        <f>IF([1]SCHEDULE!H244="","",[1]SCHEDULE!H244)</f>
        <v/>
      </c>
      <c r="I244" s="3" t="str">
        <f>IF([1]SCHEDULE!I244="","",[1]SCHEDULE!I244)</f>
        <v/>
      </c>
      <c r="J244" s="3" t="str">
        <f>IF([1]SCHEDULE!J244="","",[1]SCHEDULE!J244)</f>
        <v/>
      </c>
    </row>
    <row r="245" spans="2:10" x14ac:dyDescent="0.25">
      <c r="B245" s="3" t="str">
        <f>IF([1]SCHEDULE!B245="","",[1]SCHEDULE!B245)</f>
        <v>CZB</v>
      </c>
      <c r="C245" s="3">
        <f>IF([1]SCHEDULE!C245="","",[1]SCHEDULE!C245)</f>
        <v>39</v>
      </c>
      <c r="D245" s="1" t="str">
        <f>IF([1]SCHEDULE!D245="","",[1]SCHEDULE!D245)</f>
        <v>Crvena Zvezda Meridianbet Belgrade</v>
      </c>
      <c r="E245" s="1" t="str">
        <f>IF([1]SCHEDULE!E245="","",[1]SCHEDULE!E245)</f>
        <v/>
      </c>
      <c r="F245" s="6" t="str">
        <f>IF([1]SCHEDULE!F245="","",[1]SCHEDULE!F245)</f>
        <v/>
      </c>
      <c r="G245" s="3" t="str">
        <f>IF([1]SCHEDULE!G245="","",[1]SCHEDULE!G245)</f>
        <v/>
      </c>
      <c r="H245" s="3" t="str">
        <f>IF([1]SCHEDULE!H245="","",[1]SCHEDULE!H245)</f>
        <v/>
      </c>
      <c r="I245" s="3" t="str">
        <f>IF([1]SCHEDULE!I245="","",[1]SCHEDULE!I245)</f>
        <v/>
      </c>
      <c r="J245" s="3" t="str">
        <f>IF([1]SCHEDULE!J245="","",[1]SCHEDULE!J245)</f>
        <v/>
      </c>
    </row>
    <row r="246" spans="2:10" x14ac:dyDescent="0.25">
      <c r="B246" s="3" t="str">
        <f>IF([1]SCHEDULE!B246="","",[1]SCHEDULE!B246)</f>
        <v>CZB</v>
      </c>
      <c r="C246" s="3">
        <f>IF([1]SCHEDULE!C246="","",[1]SCHEDULE!C246)</f>
        <v>40</v>
      </c>
      <c r="D246" s="1" t="str">
        <f>IF([1]SCHEDULE!D246="","",[1]SCHEDULE!D246)</f>
        <v>Crvena Zvezda Meridianbet Belgrade</v>
      </c>
      <c r="E246" s="1" t="str">
        <f>IF([1]SCHEDULE!E246="","",[1]SCHEDULE!E246)</f>
        <v/>
      </c>
      <c r="F246" s="6" t="str">
        <f>IF([1]SCHEDULE!F246="","",[1]SCHEDULE!F246)</f>
        <v/>
      </c>
      <c r="G246" s="3" t="str">
        <f>IF([1]SCHEDULE!G246="","",[1]SCHEDULE!G246)</f>
        <v/>
      </c>
      <c r="H246" s="3" t="str">
        <f>IF([1]SCHEDULE!H246="","",[1]SCHEDULE!H246)</f>
        <v/>
      </c>
      <c r="I246" s="3" t="str">
        <f>IF([1]SCHEDULE!I246="","",[1]SCHEDULE!I246)</f>
        <v/>
      </c>
      <c r="J246" s="3" t="str">
        <f>IF([1]SCHEDULE!J246="","",[1]SCHEDULE!J246)</f>
        <v/>
      </c>
    </row>
    <row r="247" spans="2:10" x14ac:dyDescent="0.25">
      <c r="B247" s="3" t="str">
        <f>IF([1]SCHEDULE!B247="","",[1]SCHEDULE!B247)</f>
        <v>CZB</v>
      </c>
      <c r="C247" s="3">
        <f>IF([1]SCHEDULE!C247="","",[1]SCHEDULE!C247)</f>
        <v>41</v>
      </c>
      <c r="D247" s="1" t="str">
        <f>IF([1]SCHEDULE!D247="","",[1]SCHEDULE!D247)</f>
        <v>Crvena Zvezda Meridianbet Belgrade</v>
      </c>
      <c r="E247" s="1" t="str">
        <f>IF([1]SCHEDULE!E247="","",[1]SCHEDULE!E247)</f>
        <v/>
      </c>
      <c r="F247" s="6" t="str">
        <f>IF([1]SCHEDULE!F247="","",[1]SCHEDULE!F247)</f>
        <v/>
      </c>
      <c r="G247" s="3" t="str">
        <f>IF([1]SCHEDULE!G247="","",[1]SCHEDULE!G247)</f>
        <v/>
      </c>
      <c r="H247" s="3" t="str">
        <f>IF([1]SCHEDULE!H247="","",[1]SCHEDULE!H247)</f>
        <v/>
      </c>
      <c r="I247" s="3" t="str">
        <f>IF([1]SCHEDULE!I247="","",[1]SCHEDULE!I247)</f>
        <v/>
      </c>
      <c r="J247" s="3" t="str">
        <f>IF([1]SCHEDULE!J247="","",[1]SCHEDULE!J247)</f>
        <v/>
      </c>
    </row>
    <row r="248" spans="2:10" x14ac:dyDescent="0.25">
      <c r="B248" s="3" t="str">
        <f>IF([1]SCHEDULE!B248="","",[1]SCHEDULE!B248)</f>
        <v>CZB</v>
      </c>
      <c r="C248" s="3">
        <f>IF([1]SCHEDULE!C248="","",[1]SCHEDULE!C248)</f>
        <v>42</v>
      </c>
      <c r="D248" s="1" t="str">
        <f>IF([1]SCHEDULE!D248="","",[1]SCHEDULE!D248)</f>
        <v>Crvena Zvezda Meridianbet Belgrade</v>
      </c>
      <c r="E248" s="1" t="str">
        <f>IF([1]SCHEDULE!E248="","",[1]SCHEDULE!E248)</f>
        <v/>
      </c>
      <c r="F248" s="6" t="str">
        <f>IF([1]SCHEDULE!F248="","",[1]SCHEDULE!F248)</f>
        <v/>
      </c>
      <c r="G248" s="3" t="str">
        <f>IF([1]SCHEDULE!G248="","",[1]SCHEDULE!G248)</f>
        <v/>
      </c>
      <c r="H248" s="3" t="str">
        <f>IF([1]SCHEDULE!H248="","",[1]SCHEDULE!H248)</f>
        <v/>
      </c>
      <c r="I248" s="3" t="str">
        <f>IF([1]SCHEDULE!I248="","",[1]SCHEDULE!I248)</f>
        <v/>
      </c>
      <c r="J248" s="3" t="str">
        <f>IF([1]SCHEDULE!J248="","",[1]SCHEDULE!J248)</f>
        <v/>
      </c>
    </row>
    <row r="249" spans="2:10" x14ac:dyDescent="0.25">
      <c r="B249" s="3" t="str">
        <f>IF([1]SCHEDULE!B249="","",[1]SCHEDULE!B249)</f>
        <v>CZB</v>
      </c>
      <c r="C249" s="3">
        <f>IF([1]SCHEDULE!C249="","",[1]SCHEDULE!C249)</f>
        <v>43</v>
      </c>
      <c r="D249" s="1" t="str">
        <f>IF([1]SCHEDULE!D249="","",[1]SCHEDULE!D249)</f>
        <v>Crvena Zvezda Meridianbet Belgrade</v>
      </c>
      <c r="E249" s="1" t="str">
        <f>IF([1]SCHEDULE!E249="","",[1]SCHEDULE!E249)</f>
        <v/>
      </c>
      <c r="F249" s="6" t="str">
        <f>IF([1]SCHEDULE!F249="","",[1]SCHEDULE!F249)</f>
        <v/>
      </c>
      <c r="G249" s="3" t="str">
        <f>IF([1]SCHEDULE!G249="","",[1]SCHEDULE!G249)</f>
        <v/>
      </c>
      <c r="H249" s="3" t="str">
        <f>IF([1]SCHEDULE!H249="","",[1]SCHEDULE!H249)</f>
        <v/>
      </c>
      <c r="I249" s="3" t="str">
        <f>IF([1]SCHEDULE!I249="","",[1]SCHEDULE!I249)</f>
        <v/>
      </c>
      <c r="J249" s="3" t="str">
        <f>IF([1]SCHEDULE!J249="","",[1]SCHEDULE!J249)</f>
        <v/>
      </c>
    </row>
    <row r="250" spans="2:10" x14ac:dyDescent="0.25">
      <c r="B250" s="3" t="str">
        <f>IF([1]SCHEDULE!B250="","",[1]SCHEDULE!B250)</f>
        <v>CZB</v>
      </c>
      <c r="C250" s="3">
        <f>IF([1]SCHEDULE!C250="","",[1]SCHEDULE!C250)</f>
        <v>44</v>
      </c>
      <c r="D250" s="1" t="str">
        <f>IF([1]SCHEDULE!D250="","",[1]SCHEDULE!D250)</f>
        <v>Crvena Zvezda Meridianbet Belgrade</v>
      </c>
      <c r="E250" s="1" t="str">
        <f>IF([1]SCHEDULE!E250="","",[1]SCHEDULE!E250)</f>
        <v/>
      </c>
      <c r="F250" s="6" t="str">
        <f>IF([1]SCHEDULE!F250="","",[1]SCHEDULE!F250)</f>
        <v/>
      </c>
      <c r="G250" s="3" t="str">
        <f>IF([1]SCHEDULE!G250="","",[1]SCHEDULE!G250)</f>
        <v/>
      </c>
      <c r="H250" s="3" t="str">
        <f>IF([1]SCHEDULE!H250="","",[1]SCHEDULE!H250)</f>
        <v/>
      </c>
      <c r="I250" s="3" t="str">
        <f>IF([1]SCHEDULE!I250="","",[1]SCHEDULE!I250)</f>
        <v/>
      </c>
      <c r="J250" s="3" t="str">
        <f>IF([1]SCHEDULE!J250="","",[1]SCHEDULE!J250)</f>
        <v/>
      </c>
    </row>
    <row r="251" spans="2:10" x14ac:dyDescent="0.25">
      <c r="B251" s="3" t="str">
        <f>IF([1]SCHEDULE!B251="","",[1]SCHEDULE!B251)</f>
        <v>CZB</v>
      </c>
      <c r="C251" s="3">
        <f>IF([1]SCHEDULE!C251="","",[1]SCHEDULE!C251)</f>
        <v>45</v>
      </c>
      <c r="D251" s="1" t="str">
        <f>IF([1]SCHEDULE!D251="","",[1]SCHEDULE!D251)</f>
        <v>Crvena Zvezda Meridianbet Belgrade</v>
      </c>
      <c r="E251" s="1" t="str">
        <f>IF([1]SCHEDULE!E251="","",[1]SCHEDULE!E251)</f>
        <v/>
      </c>
      <c r="F251" s="6" t="str">
        <f>IF([1]SCHEDULE!F251="","",[1]SCHEDULE!F251)</f>
        <v/>
      </c>
      <c r="G251" s="3" t="str">
        <f>IF([1]SCHEDULE!G251="","",[1]SCHEDULE!G251)</f>
        <v/>
      </c>
      <c r="H251" s="3" t="str">
        <f>IF([1]SCHEDULE!H251="","",[1]SCHEDULE!H251)</f>
        <v/>
      </c>
      <c r="I251" s="3" t="str">
        <f>IF([1]SCHEDULE!I251="","",[1]SCHEDULE!I251)</f>
        <v/>
      </c>
      <c r="J251" s="3" t="str">
        <f>IF([1]SCHEDULE!J251="","",[1]SCHEDULE!J251)</f>
        <v/>
      </c>
    </row>
    <row r="252" spans="2:10" x14ac:dyDescent="0.25">
      <c r="B252" s="3" t="str">
        <f>IF([1]SCHEDULE!B252="","",[1]SCHEDULE!B252)</f>
        <v>CZB</v>
      </c>
      <c r="C252" s="3">
        <f>IF([1]SCHEDULE!C252="","",[1]SCHEDULE!C252)</f>
        <v>46</v>
      </c>
      <c r="D252" s="1" t="str">
        <f>IF([1]SCHEDULE!D252="","",[1]SCHEDULE!D252)</f>
        <v>Crvena Zvezda Meridianbet Belgrade</v>
      </c>
      <c r="E252" s="1" t="str">
        <f>IF([1]SCHEDULE!E252="","",[1]SCHEDULE!E252)</f>
        <v/>
      </c>
      <c r="F252" s="6" t="str">
        <f>IF([1]SCHEDULE!F252="","",[1]SCHEDULE!F252)</f>
        <v/>
      </c>
      <c r="G252" s="3" t="str">
        <f>IF([1]SCHEDULE!G252="","",[1]SCHEDULE!G252)</f>
        <v/>
      </c>
      <c r="H252" s="3" t="str">
        <f>IF([1]SCHEDULE!H252="","",[1]SCHEDULE!H252)</f>
        <v/>
      </c>
      <c r="I252" s="3" t="str">
        <f>IF([1]SCHEDULE!I252="","",[1]SCHEDULE!I252)</f>
        <v/>
      </c>
      <c r="J252" s="3" t="str">
        <f>IF([1]SCHEDULE!J252="","",[1]SCHEDULE!J252)</f>
        <v/>
      </c>
    </row>
    <row r="253" spans="2:10" x14ac:dyDescent="0.25">
      <c r="B253" s="3" t="str">
        <f>IF([1]SCHEDULE!B253="","",[1]SCHEDULE!B253)</f>
        <v>CZB</v>
      </c>
      <c r="C253" s="3">
        <f>IF([1]SCHEDULE!C253="","",[1]SCHEDULE!C253)</f>
        <v>47</v>
      </c>
      <c r="D253" s="1" t="str">
        <f>IF([1]SCHEDULE!D253="","",[1]SCHEDULE!D253)</f>
        <v>Crvena Zvezda Meridianbet Belgrade</v>
      </c>
      <c r="E253" s="1" t="str">
        <f>IF([1]SCHEDULE!E253="","",[1]SCHEDULE!E253)</f>
        <v/>
      </c>
      <c r="F253" s="6" t="str">
        <f>IF([1]SCHEDULE!F253="","",[1]SCHEDULE!F253)</f>
        <v/>
      </c>
      <c r="G253" s="3" t="str">
        <f>IF([1]SCHEDULE!G253="","",[1]SCHEDULE!G253)</f>
        <v/>
      </c>
      <c r="H253" s="3" t="str">
        <f>IF([1]SCHEDULE!H253="","",[1]SCHEDULE!H253)</f>
        <v/>
      </c>
      <c r="I253" s="3" t="str">
        <f>IF([1]SCHEDULE!I253="","",[1]SCHEDULE!I253)</f>
        <v/>
      </c>
      <c r="J253" s="3" t="str">
        <f>IF([1]SCHEDULE!J253="","",[1]SCHEDULE!J253)</f>
        <v/>
      </c>
    </row>
    <row r="254" spans="2:10" x14ac:dyDescent="0.25">
      <c r="B254" s="3" t="str">
        <f>IF([1]SCHEDULE!B254="","",[1]SCHEDULE!B254)</f>
        <v>CZB</v>
      </c>
      <c r="C254" s="3">
        <f>IF([1]SCHEDULE!C254="","",[1]SCHEDULE!C254)</f>
        <v>48</v>
      </c>
      <c r="D254" s="1" t="str">
        <f>IF([1]SCHEDULE!D254="","",[1]SCHEDULE!D254)</f>
        <v>Crvena Zvezda Meridianbet Belgrade</v>
      </c>
      <c r="E254" s="1" t="str">
        <f>IF([1]SCHEDULE!E254="","",[1]SCHEDULE!E254)</f>
        <v/>
      </c>
      <c r="F254" s="6" t="str">
        <f>IF([1]SCHEDULE!F254="","",[1]SCHEDULE!F254)</f>
        <v/>
      </c>
      <c r="G254" s="3" t="str">
        <f>IF([1]SCHEDULE!G254="","",[1]SCHEDULE!G254)</f>
        <v/>
      </c>
      <c r="H254" s="3" t="str">
        <f>IF([1]SCHEDULE!H254="","",[1]SCHEDULE!H254)</f>
        <v/>
      </c>
      <c r="I254" s="3" t="str">
        <f>IF([1]SCHEDULE!I254="","",[1]SCHEDULE!I254)</f>
        <v/>
      </c>
      <c r="J254" s="3" t="str">
        <f>IF([1]SCHEDULE!J254="","",[1]SCHEDULE!J254)</f>
        <v/>
      </c>
    </row>
    <row r="255" spans="2:10" x14ac:dyDescent="0.25">
      <c r="B255" s="3" t="str">
        <f>IF([1]SCHEDULE!B255="","",[1]SCHEDULE!B255)</f>
        <v>CZB</v>
      </c>
      <c r="C255" s="3">
        <f>IF([1]SCHEDULE!C255="","",[1]SCHEDULE!C255)</f>
        <v>49</v>
      </c>
      <c r="D255" s="1" t="str">
        <f>IF([1]SCHEDULE!D255="","",[1]SCHEDULE!D255)</f>
        <v>Crvena Zvezda Meridianbet Belgrade</v>
      </c>
      <c r="E255" s="1" t="str">
        <f>IF([1]SCHEDULE!E255="","",[1]SCHEDULE!E255)</f>
        <v/>
      </c>
      <c r="F255" s="6" t="str">
        <f>IF([1]SCHEDULE!F255="","",[1]SCHEDULE!F255)</f>
        <v/>
      </c>
      <c r="G255" s="3" t="str">
        <f>IF([1]SCHEDULE!G255="","",[1]SCHEDULE!G255)</f>
        <v/>
      </c>
      <c r="H255" s="3" t="str">
        <f>IF([1]SCHEDULE!H255="","",[1]SCHEDULE!H255)</f>
        <v/>
      </c>
      <c r="I255" s="3" t="str">
        <f>IF([1]SCHEDULE!I255="","",[1]SCHEDULE!I255)</f>
        <v/>
      </c>
      <c r="J255" s="3" t="str">
        <f>IF([1]SCHEDULE!J255="","",[1]SCHEDULE!J255)</f>
        <v/>
      </c>
    </row>
    <row r="256" spans="2:10" x14ac:dyDescent="0.25">
      <c r="B256" s="3" t="str">
        <f>IF([1]SCHEDULE!B256="","",[1]SCHEDULE!B256)</f>
        <v>CZB</v>
      </c>
      <c r="C256" s="3">
        <f>IF([1]SCHEDULE!C256="","",[1]SCHEDULE!C256)</f>
        <v>50</v>
      </c>
      <c r="D256" s="1" t="str">
        <f>IF([1]SCHEDULE!D256="","",[1]SCHEDULE!D256)</f>
        <v>Crvena Zvezda Meridianbet Belgrade</v>
      </c>
      <c r="E256" s="1" t="str">
        <f>IF([1]SCHEDULE!E256="","",[1]SCHEDULE!E256)</f>
        <v/>
      </c>
      <c r="F256" s="6" t="str">
        <f>IF([1]SCHEDULE!F256="","",[1]SCHEDULE!F256)</f>
        <v/>
      </c>
      <c r="G256" s="3" t="str">
        <f>IF([1]SCHEDULE!G256="","",[1]SCHEDULE!G256)</f>
        <v/>
      </c>
      <c r="H256" s="3" t="str">
        <f>IF([1]SCHEDULE!H256="","",[1]SCHEDULE!H256)</f>
        <v/>
      </c>
      <c r="I256" s="3" t="str">
        <f>IF([1]SCHEDULE!I256="","",[1]SCHEDULE!I256)</f>
        <v/>
      </c>
      <c r="J256" s="3" t="str">
        <f>IF([1]SCHEDULE!J256="","",[1]SCHEDULE!J256)</f>
        <v/>
      </c>
    </row>
    <row r="257" spans="2:10" x14ac:dyDescent="0.25">
      <c r="B257" s="3" t="str">
        <f>IF([1]SCHEDULE!B257="","",[1]SCHEDULE!B257)</f>
        <v>CZB</v>
      </c>
      <c r="C257" s="3">
        <f>IF([1]SCHEDULE!C257="","",[1]SCHEDULE!C257)</f>
        <v>51</v>
      </c>
      <c r="D257" s="1" t="str">
        <f>IF([1]SCHEDULE!D257="","",[1]SCHEDULE!D257)</f>
        <v>Crvena Zvezda Meridianbet Belgrade</v>
      </c>
      <c r="E257" s="1" t="str">
        <f>IF([1]SCHEDULE!E257="","",[1]SCHEDULE!E257)</f>
        <v/>
      </c>
      <c r="F257" s="6" t="str">
        <f>IF([1]SCHEDULE!F257="","",[1]SCHEDULE!F257)</f>
        <v/>
      </c>
      <c r="G257" s="3" t="str">
        <f>IF([1]SCHEDULE!G257="","",[1]SCHEDULE!G257)</f>
        <v/>
      </c>
      <c r="H257" s="3" t="str">
        <f>IF([1]SCHEDULE!H257="","",[1]SCHEDULE!H257)</f>
        <v/>
      </c>
      <c r="I257" s="3" t="str">
        <f>IF([1]SCHEDULE!I257="","",[1]SCHEDULE!I257)</f>
        <v/>
      </c>
      <c r="J257" s="3" t="str">
        <f>IF([1]SCHEDULE!J257="","",[1]SCHEDULE!J257)</f>
        <v/>
      </c>
    </row>
    <row r="258" spans="2:10" x14ac:dyDescent="0.25">
      <c r="B258" s="3" t="str">
        <f>IF([1]SCHEDULE!B258="","",[1]SCHEDULE!B258)</f>
        <v>MIL</v>
      </c>
      <c r="C258" s="3">
        <f>IF([1]SCHEDULE!C258="","",[1]SCHEDULE!C258)</f>
        <v>1</v>
      </c>
      <c r="D258" s="1" t="str">
        <f>IF([1]SCHEDULE!D258="","",[1]SCHEDULE!D258)</f>
        <v>EA7 Emporio Armani Milan</v>
      </c>
      <c r="E258" s="1" t="str">
        <f>IF([1]SCHEDULE!E258="","",[1]SCHEDULE!E258)</f>
        <v>Fenerbahce Beko Istanbul</v>
      </c>
      <c r="F258" s="6">
        <f>IF([1]SCHEDULE!F258="","",[1]SCHEDULE!F258)</f>
        <v>45205</v>
      </c>
      <c r="G258" s="3" t="str">
        <f>IF([1]SCHEDULE!G258="","",[1]SCHEDULE!G258)</f>
        <v>A</v>
      </c>
      <c r="H258" s="3" t="str">
        <f>IF([1]SCHEDULE!H258="","",[1]SCHEDULE!H258)</f>
        <v>FEN</v>
      </c>
      <c r="I258" s="3" t="str">
        <f>IF([1]SCHEDULE!I258="","",[1]SCHEDULE!I258)</f>
        <v>1.MIL</v>
      </c>
      <c r="J258" s="3" t="str">
        <f>IF([1]SCHEDULE!J258="","",[1]SCHEDULE!J258)</f>
        <v>1.FEN</v>
      </c>
    </row>
    <row r="259" spans="2:10" x14ac:dyDescent="0.25">
      <c r="B259" s="3" t="str">
        <f>IF([1]SCHEDULE!B259="","",[1]SCHEDULE!B259)</f>
        <v>MIL</v>
      </c>
      <c r="C259" s="3">
        <f>IF([1]SCHEDULE!C259="","",[1]SCHEDULE!C259)</f>
        <v>2</v>
      </c>
      <c r="D259" s="1" t="str">
        <f>IF([1]SCHEDULE!D259="","",[1]SCHEDULE!D259)</f>
        <v>EA7 Emporio Armani Milan</v>
      </c>
      <c r="E259" s="1" t="str">
        <f>IF([1]SCHEDULE!E259="","",[1]SCHEDULE!E259)</f>
        <v>Maccabi Playtika Tel Aviv</v>
      </c>
      <c r="F259" s="6">
        <f>IF([1]SCHEDULE!F259="","",[1]SCHEDULE!F259)</f>
        <v>45230</v>
      </c>
      <c r="G259" s="3" t="str">
        <f>IF([1]SCHEDULE!G259="","",[1]SCHEDULE!G259)</f>
        <v>H</v>
      </c>
      <c r="H259" s="3" t="str">
        <f>IF([1]SCHEDULE!H259="","",[1]SCHEDULE!H259)</f>
        <v>MTA</v>
      </c>
      <c r="I259" s="3" t="str">
        <f>IF([1]SCHEDULE!I259="","",[1]SCHEDULE!I259)</f>
        <v>2.MIL</v>
      </c>
      <c r="J259" s="3" t="str">
        <f>IF([1]SCHEDULE!J259="","",[1]SCHEDULE!J259)</f>
        <v>2.MTA</v>
      </c>
    </row>
    <row r="260" spans="2:10" x14ac:dyDescent="0.25">
      <c r="B260" s="3" t="str">
        <f>IF([1]SCHEDULE!B260="","",[1]SCHEDULE!B260)</f>
        <v>MIL</v>
      </c>
      <c r="C260" s="3">
        <f>IF([1]SCHEDULE!C260="","",[1]SCHEDULE!C260)</f>
        <v>3</v>
      </c>
      <c r="D260" s="1" t="str">
        <f>IF([1]SCHEDULE!D260="","",[1]SCHEDULE!D260)</f>
        <v>EA7 Emporio Armani Milan</v>
      </c>
      <c r="E260" s="1" t="str">
        <f>IF([1]SCHEDULE!E260="","",[1]SCHEDULE!E260)</f>
        <v>Olympiacos Piraeus</v>
      </c>
      <c r="F260" s="6">
        <f>IF([1]SCHEDULE!F260="","",[1]SCHEDULE!F260)</f>
        <v>45216</v>
      </c>
      <c r="G260" s="3" t="str">
        <f>IF([1]SCHEDULE!G260="","",[1]SCHEDULE!G260)</f>
        <v>H</v>
      </c>
      <c r="H260" s="3" t="str">
        <f>IF([1]SCHEDULE!H260="","",[1]SCHEDULE!H260)</f>
        <v>OLY</v>
      </c>
      <c r="I260" s="3" t="str">
        <f>IF([1]SCHEDULE!I260="","",[1]SCHEDULE!I260)</f>
        <v>3.MIL</v>
      </c>
      <c r="J260" s="3" t="str">
        <f>IF([1]SCHEDULE!J260="","",[1]SCHEDULE!J260)</f>
        <v>3.OLY</v>
      </c>
    </row>
    <row r="261" spans="2:10" x14ac:dyDescent="0.25">
      <c r="B261" s="3" t="str">
        <f>IF([1]SCHEDULE!B261="","",[1]SCHEDULE!B261)</f>
        <v>MIL</v>
      </c>
      <c r="C261" s="3">
        <f>IF([1]SCHEDULE!C261="","",[1]SCHEDULE!C261)</f>
        <v>4</v>
      </c>
      <c r="D261" s="1" t="str">
        <f>IF([1]SCHEDULE!D261="","",[1]SCHEDULE!D261)</f>
        <v>EA7 Emporio Armani Milan</v>
      </c>
      <c r="E261" s="1" t="str">
        <f>IF([1]SCHEDULE!E261="","",[1]SCHEDULE!E261)</f>
        <v>Real Madrid</v>
      </c>
      <c r="F261" s="6">
        <f>IF([1]SCHEDULE!F261="","",[1]SCHEDULE!F261)</f>
        <v>45218</v>
      </c>
      <c r="G261" s="3" t="str">
        <f>IF([1]SCHEDULE!G261="","",[1]SCHEDULE!G261)</f>
        <v>A</v>
      </c>
      <c r="H261" s="3" t="str">
        <f>IF([1]SCHEDULE!H261="","",[1]SCHEDULE!H261)</f>
        <v>RMB</v>
      </c>
      <c r="I261" s="3" t="str">
        <f>IF([1]SCHEDULE!I261="","",[1]SCHEDULE!I261)</f>
        <v>4.MIL</v>
      </c>
      <c r="J261" s="3" t="str">
        <f>IF([1]SCHEDULE!J261="","",[1]SCHEDULE!J261)</f>
        <v>4.RMB</v>
      </c>
    </row>
    <row r="262" spans="2:10" x14ac:dyDescent="0.25">
      <c r="B262" s="3" t="str">
        <f>IF([1]SCHEDULE!B262="","",[1]SCHEDULE!B262)</f>
        <v>MIL</v>
      </c>
      <c r="C262" s="3">
        <f>IF([1]SCHEDULE!C262="","",[1]SCHEDULE!C262)</f>
        <v>5</v>
      </c>
      <c r="D262" s="1" t="str">
        <f>IF([1]SCHEDULE!D262="","",[1]SCHEDULE!D262)</f>
        <v>EA7 Emporio Armani Milan</v>
      </c>
      <c r="E262" s="1" t="str">
        <f>IF([1]SCHEDULE!E262="","",[1]SCHEDULE!E262)</f>
        <v>ALBA Berlin</v>
      </c>
      <c r="F262" s="6">
        <f>IF([1]SCHEDULE!F262="","",[1]SCHEDULE!F262)</f>
        <v>45225</v>
      </c>
      <c r="G262" s="3" t="str">
        <f>IF([1]SCHEDULE!G262="","",[1]SCHEDULE!G262)</f>
        <v>A</v>
      </c>
      <c r="H262" s="3" t="str">
        <f>IF([1]SCHEDULE!H262="","",[1]SCHEDULE!H262)</f>
        <v>BER</v>
      </c>
      <c r="I262" s="3" t="str">
        <f>IF([1]SCHEDULE!I262="","",[1]SCHEDULE!I262)</f>
        <v>5.MIL</v>
      </c>
      <c r="J262" s="3" t="str">
        <f>IF([1]SCHEDULE!J262="","",[1]SCHEDULE!J262)</f>
        <v>5.BER</v>
      </c>
    </row>
    <row r="263" spans="2:10" x14ac:dyDescent="0.25">
      <c r="B263" s="3" t="str">
        <f>IF([1]SCHEDULE!B263="","",[1]SCHEDULE!B263)</f>
        <v>MIL</v>
      </c>
      <c r="C263" s="3">
        <f>IF([1]SCHEDULE!C263="","",[1]SCHEDULE!C263)</f>
        <v>6</v>
      </c>
      <c r="D263" s="1" t="str">
        <f>IF([1]SCHEDULE!D263="","",[1]SCHEDULE!D263)</f>
        <v>EA7 Emporio Armani Milan</v>
      </c>
      <c r="E263" s="1" t="str">
        <f>IF([1]SCHEDULE!E263="","",[1]SCHEDULE!E263)</f>
        <v>AS Monaco</v>
      </c>
      <c r="F263" s="6">
        <f>IF([1]SCHEDULE!F263="","",[1]SCHEDULE!F263)</f>
        <v>45232</v>
      </c>
      <c r="G263" s="3" t="str">
        <f>IF([1]SCHEDULE!G263="","",[1]SCHEDULE!G263)</f>
        <v>H</v>
      </c>
      <c r="H263" s="3" t="str">
        <f>IF([1]SCHEDULE!H263="","",[1]SCHEDULE!H263)</f>
        <v>ASM</v>
      </c>
      <c r="I263" s="3" t="str">
        <f>IF([1]SCHEDULE!I263="","",[1]SCHEDULE!I263)</f>
        <v>6.MIL</v>
      </c>
      <c r="J263" s="3" t="str">
        <f>IF([1]SCHEDULE!J263="","",[1]SCHEDULE!J263)</f>
        <v>6.ASM</v>
      </c>
    </row>
    <row r="264" spans="2:10" x14ac:dyDescent="0.25">
      <c r="B264" s="3" t="str">
        <f>IF([1]SCHEDULE!B264="","",[1]SCHEDULE!B264)</f>
        <v>MIL</v>
      </c>
      <c r="C264" s="3">
        <f>IF([1]SCHEDULE!C264="","",[1]SCHEDULE!C264)</f>
        <v>7</v>
      </c>
      <c r="D264" s="1" t="str">
        <f>IF([1]SCHEDULE!D264="","",[1]SCHEDULE!D264)</f>
        <v>EA7 Emporio Armani Milan</v>
      </c>
      <c r="E264" s="1" t="str">
        <f>IF([1]SCHEDULE!E264="","",[1]SCHEDULE!E264)</f>
        <v>Valencia Basket</v>
      </c>
      <c r="F264" s="6">
        <f>IF([1]SCHEDULE!F264="","",[1]SCHEDULE!F264)</f>
        <v>45239</v>
      </c>
      <c r="G264" s="3" t="str">
        <f>IF([1]SCHEDULE!G264="","",[1]SCHEDULE!G264)</f>
        <v>H</v>
      </c>
      <c r="H264" s="3" t="str">
        <f>IF([1]SCHEDULE!H264="","",[1]SCHEDULE!H264)</f>
        <v>VAL</v>
      </c>
      <c r="I264" s="3" t="str">
        <f>IF([1]SCHEDULE!I264="","",[1]SCHEDULE!I264)</f>
        <v>7.MIL</v>
      </c>
      <c r="J264" s="3" t="str">
        <f>IF([1]SCHEDULE!J264="","",[1]SCHEDULE!J264)</f>
        <v>7.VAL</v>
      </c>
    </row>
    <row r="265" spans="2:10" x14ac:dyDescent="0.25">
      <c r="B265" s="3" t="str">
        <f>IF([1]SCHEDULE!B265="","",[1]SCHEDULE!B265)</f>
        <v>MIL</v>
      </c>
      <c r="C265" s="3">
        <f>IF([1]SCHEDULE!C265="","",[1]SCHEDULE!C265)</f>
        <v>8</v>
      </c>
      <c r="D265" s="1" t="str">
        <f>IF([1]SCHEDULE!D265="","",[1]SCHEDULE!D265)</f>
        <v>EA7 Emporio Armani Milan</v>
      </c>
      <c r="E265" s="1" t="str">
        <f>IF([1]SCHEDULE!E265="","",[1]SCHEDULE!E265)</f>
        <v>Virtus Segafredo Bologna</v>
      </c>
      <c r="F265" s="6">
        <f>IF([1]SCHEDULE!F265="","",[1]SCHEDULE!F265)</f>
        <v>45244</v>
      </c>
      <c r="G265" s="3" t="str">
        <f>IF([1]SCHEDULE!G265="","",[1]SCHEDULE!G265)</f>
        <v>A</v>
      </c>
      <c r="H265" s="3" t="str">
        <f>IF([1]SCHEDULE!H265="","",[1]SCHEDULE!H265)</f>
        <v>VIR</v>
      </c>
      <c r="I265" s="3" t="str">
        <f>IF([1]SCHEDULE!I265="","",[1]SCHEDULE!I265)</f>
        <v>8.MIL</v>
      </c>
      <c r="J265" s="3" t="str">
        <f>IF([1]SCHEDULE!J265="","",[1]SCHEDULE!J265)</f>
        <v>8.VIR</v>
      </c>
    </row>
    <row r="266" spans="2:10" x14ac:dyDescent="0.25">
      <c r="B266" s="3" t="str">
        <f>IF([1]SCHEDULE!B266="","",[1]SCHEDULE!B266)</f>
        <v>MIL</v>
      </c>
      <c r="C266" s="3">
        <f>IF([1]SCHEDULE!C266="","",[1]SCHEDULE!C266)</f>
        <v>9</v>
      </c>
      <c r="D266" s="1" t="str">
        <f>IF([1]SCHEDULE!D266="","",[1]SCHEDULE!D266)</f>
        <v>EA7 Emporio Armani Milan</v>
      </c>
      <c r="E266" s="1" t="str">
        <f>IF([1]SCHEDULE!E266="","",[1]SCHEDULE!E266)</f>
        <v>Anadolu Efes Istanbul</v>
      </c>
      <c r="F266" s="6">
        <f>IF([1]SCHEDULE!F266="","",[1]SCHEDULE!F266)</f>
        <v>45246</v>
      </c>
      <c r="G266" s="3" t="str">
        <f>IF([1]SCHEDULE!G266="","",[1]SCHEDULE!G266)</f>
        <v>H</v>
      </c>
      <c r="H266" s="3" t="str">
        <f>IF([1]SCHEDULE!H266="","",[1]SCHEDULE!H266)</f>
        <v>EFE</v>
      </c>
      <c r="I266" s="3" t="str">
        <f>IF([1]SCHEDULE!I266="","",[1]SCHEDULE!I266)</f>
        <v>9.MIL</v>
      </c>
      <c r="J266" s="3" t="str">
        <f>IF([1]SCHEDULE!J266="","",[1]SCHEDULE!J266)</f>
        <v>9.EFE</v>
      </c>
    </row>
    <row r="267" spans="2:10" x14ac:dyDescent="0.25">
      <c r="B267" s="3" t="str">
        <f>IF([1]SCHEDULE!B267="","",[1]SCHEDULE!B267)</f>
        <v>MIL</v>
      </c>
      <c r="C267" s="3">
        <f>IF([1]SCHEDULE!C267="","",[1]SCHEDULE!C267)</f>
        <v>10</v>
      </c>
      <c r="D267" s="1" t="str">
        <f>IF([1]SCHEDULE!D267="","",[1]SCHEDULE!D267)</f>
        <v>EA7 Emporio Armani Milan</v>
      </c>
      <c r="E267" s="1" t="str">
        <f>IF([1]SCHEDULE!E267="","",[1]SCHEDULE!E267)</f>
        <v>Crvena Zvezda Meridianbet Belgrade</v>
      </c>
      <c r="F267" s="6">
        <f>IF([1]SCHEDULE!F267="","",[1]SCHEDULE!F267)</f>
        <v>45254</v>
      </c>
      <c r="G267" s="3" t="str">
        <f>IF([1]SCHEDULE!G267="","",[1]SCHEDULE!G267)</f>
        <v>A</v>
      </c>
      <c r="H267" s="3" t="str">
        <f>IF([1]SCHEDULE!H267="","",[1]SCHEDULE!H267)</f>
        <v>CZB</v>
      </c>
      <c r="I267" s="3" t="str">
        <f>IF([1]SCHEDULE!I267="","",[1]SCHEDULE!I267)</f>
        <v>10.MIL</v>
      </c>
      <c r="J267" s="3" t="str">
        <f>IF([1]SCHEDULE!J267="","",[1]SCHEDULE!J267)</f>
        <v>10.CZB</v>
      </c>
    </row>
    <row r="268" spans="2:10" x14ac:dyDescent="0.25">
      <c r="B268" s="3" t="str">
        <f>IF([1]SCHEDULE!B268="","",[1]SCHEDULE!B268)</f>
        <v>MIL</v>
      </c>
      <c r="C268" s="3">
        <f>IF([1]SCHEDULE!C268="","",[1]SCHEDULE!C268)</f>
        <v>11</v>
      </c>
      <c r="D268" s="1" t="str">
        <f>IF([1]SCHEDULE!D268="","",[1]SCHEDULE!D268)</f>
        <v>EA7 Emporio Armani Milan</v>
      </c>
      <c r="E268" s="1" t="str">
        <f>IF([1]SCHEDULE!E268="","",[1]SCHEDULE!E268)</f>
        <v>Zalgiris Kaunas</v>
      </c>
      <c r="F268" s="6">
        <f>IF([1]SCHEDULE!F268="","",[1]SCHEDULE!F268)</f>
        <v>45260</v>
      </c>
      <c r="G268" s="3" t="str">
        <f>IF([1]SCHEDULE!G268="","",[1]SCHEDULE!G268)</f>
        <v>H</v>
      </c>
      <c r="H268" s="3" t="str">
        <f>IF([1]SCHEDULE!H268="","",[1]SCHEDULE!H268)</f>
        <v>ZAL</v>
      </c>
      <c r="I268" s="3" t="str">
        <f>IF([1]SCHEDULE!I268="","",[1]SCHEDULE!I268)</f>
        <v>11.MIL</v>
      </c>
      <c r="J268" s="3" t="str">
        <f>IF([1]SCHEDULE!J268="","",[1]SCHEDULE!J268)</f>
        <v>11.ZAL</v>
      </c>
    </row>
    <row r="269" spans="2:10" x14ac:dyDescent="0.25">
      <c r="B269" s="3" t="str">
        <f>IF([1]SCHEDULE!B269="","",[1]SCHEDULE!B269)</f>
        <v>MIL</v>
      </c>
      <c r="C269" s="3">
        <f>IF([1]SCHEDULE!C269="","",[1]SCHEDULE!C269)</f>
        <v>12</v>
      </c>
      <c r="D269" s="1" t="str">
        <f>IF([1]SCHEDULE!D269="","",[1]SCHEDULE!D269)</f>
        <v>EA7 Emporio Armani Milan</v>
      </c>
      <c r="E269" s="1" t="str">
        <f>IF([1]SCHEDULE!E269="","",[1]SCHEDULE!E269)</f>
        <v>FC Bayern Munich</v>
      </c>
      <c r="F269" s="6">
        <f>IF([1]SCHEDULE!F269="","",[1]SCHEDULE!F269)</f>
        <v>45265</v>
      </c>
      <c r="G269" s="3" t="str">
        <f>IF([1]SCHEDULE!G269="","",[1]SCHEDULE!G269)</f>
        <v>A</v>
      </c>
      <c r="H269" s="3" t="str">
        <f>IF([1]SCHEDULE!H269="","",[1]SCHEDULE!H269)</f>
        <v>BAY</v>
      </c>
      <c r="I269" s="3" t="str">
        <f>IF([1]SCHEDULE!I269="","",[1]SCHEDULE!I269)</f>
        <v>12.MIL</v>
      </c>
      <c r="J269" s="3" t="str">
        <f>IF([1]SCHEDULE!J269="","",[1]SCHEDULE!J269)</f>
        <v>12.BAY</v>
      </c>
    </row>
    <row r="270" spans="2:10" x14ac:dyDescent="0.25">
      <c r="B270" s="3" t="str">
        <f>IF([1]SCHEDULE!B270="","",[1]SCHEDULE!B270)</f>
        <v>MIL</v>
      </c>
      <c r="C270" s="3">
        <f>IF([1]SCHEDULE!C270="","",[1]SCHEDULE!C270)</f>
        <v>13</v>
      </c>
      <c r="D270" s="1" t="str">
        <f>IF([1]SCHEDULE!D270="","",[1]SCHEDULE!D270)</f>
        <v>EA7 Emporio Armani Milan</v>
      </c>
      <c r="E270" s="1" t="str">
        <f>IF([1]SCHEDULE!E270="","",[1]SCHEDULE!E270)</f>
        <v>Partizan Mozzart Bet Belgrade</v>
      </c>
      <c r="F270" s="6">
        <f>IF([1]SCHEDULE!F270="","",[1]SCHEDULE!F270)</f>
        <v>45267</v>
      </c>
      <c r="G270" s="3" t="str">
        <f>IF([1]SCHEDULE!G270="","",[1]SCHEDULE!G270)</f>
        <v>A</v>
      </c>
      <c r="H270" s="3" t="str">
        <f>IF([1]SCHEDULE!H270="","",[1]SCHEDULE!H270)</f>
        <v>PAR</v>
      </c>
      <c r="I270" s="3" t="str">
        <f>IF([1]SCHEDULE!I270="","",[1]SCHEDULE!I270)</f>
        <v>13.MIL</v>
      </c>
      <c r="J270" s="3" t="str">
        <f>IF([1]SCHEDULE!J270="","",[1]SCHEDULE!J270)</f>
        <v>13.PAR</v>
      </c>
    </row>
    <row r="271" spans="2:10" x14ac:dyDescent="0.25">
      <c r="B271" s="3" t="str">
        <f>IF([1]SCHEDULE!B271="","",[1]SCHEDULE!B271)</f>
        <v>MIL</v>
      </c>
      <c r="C271" s="3">
        <f>IF([1]SCHEDULE!C271="","",[1]SCHEDULE!C271)</f>
        <v>14</v>
      </c>
      <c r="D271" s="1" t="str">
        <f>IF([1]SCHEDULE!D271="","",[1]SCHEDULE!D271)</f>
        <v>EA7 Emporio Armani Milan</v>
      </c>
      <c r="E271" s="1" t="str">
        <f>IF([1]SCHEDULE!E271="","",[1]SCHEDULE!E271)</f>
        <v>FC Barcelona</v>
      </c>
      <c r="F271" s="6">
        <f>IF([1]SCHEDULE!F271="","",[1]SCHEDULE!F271)</f>
        <v>45275</v>
      </c>
      <c r="G271" s="3" t="str">
        <f>IF([1]SCHEDULE!G271="","",[1]SCHEDULE!G271)</f>
        <v>A</v>
      </c>
      <c r="H271" s="3" t="str">
        <f>IF([1]SCHEDULE!H271="","",[1]SCHEDULE!H271)</f>
        <v>FCB</v>
      </c>
      <c r="I271" s="3" t="str">
        <f>IF([1]SCHEDULE!I271="","",[1]SCHEDULE!I271)</f>
        <v>14.MIL</v>
      </c>
      <c r="J271" s="3" t="str">
        <f>IF([1]SCHEDULE!J271="","",[1]SCHEDULE!J271)</f>
        <v>14.FCB</v>
      </c>
    </row>
    <row r="272" spans="2:10" x14ac:dyDescent="0.25">
      <c r="B272" s="3" t="str">
        <f>IF([1]SCHEDULE!B272="","",[1]SCHEDULE!B272)</f>
        <v>MIL</v>
      </c>
      <c r="C272" s="3">
        <f>IF([1]SCHEDULE!C272="","",[1]SCHEDULE!C272)</f>
        <v>15</v>
      </c>
      <c r="D272" s="1" t="str">
        <f>IF([1]SCHEDULE!D272="","",[1]SCHEDULE!D272)</f>
        <v>EA7 Emporio Armani Milan</v>
      </c>
      <c r="E272" s="1" t="str">
        <f>IF([1]SCHEDULE!E272="","",[1]SCHEDULE!E272)</f>
        <v>LDLC ASVEL Villeurbanne</v>
      </c>
      <c r="F272" s="6">
        <f>IF([1]SCHEDULE!F272="","",[1]SCHEDULE!F272)</f>
        <v>45280</v>
      </c>
      <c r="G272" s="3" t="str">
        <f>IF([1]SCHEDULE!G272="","",[1]SCHEDULE!G272)</f>
        <v>H</v>
      </c>
      <c r="H272" s="3" t="str">
        <f>IF([1]SCHEDULE!H272="","",[1]SCHEDULE!H272)</f>
        <v>ASV</v>
      </c>
      <c r="I272" s="3" t="str">
        <f>IF([1]SCHEDULE!I272="","",[1]SCHEDULE!I272)</f>
        <v>15.MIL</v>
      </c>
      <c r="J272" s="3" t="str">
        <f>IF([1]SCHEDULE!J272="","",[1]SCHEDULE!J272)</f>
        <v>15.ASV</v>
      </c>
    </row>
    <row r="273" spans="2:10" x14ac:dyDescent="0.25">
      <c r="B273" s="3" t="str">
        <f>IF([1]SCHEDULE!B273="","",[1]SCHEDULE!B273)</f>
        <v>MIL</v>
      </c>
      <c r="C273" s="3">
        <f>IF([1]SCHEDULE!C273="","",[1]SCHEDULE!C273)</f>
        <v>16</v>
      </c>
      <c r="D273" s="1" t="str">
        <f>IF([1]SCHEDULE!D273="","",[1]SCHEDULE!D273)</f>
        <v>EA7 Emporio Armani Milan</v>
      </c>
      <c r="E273" s="1" t="str">
        <f>IF([1]SCHEDULE!E273="","",[1]SCHEDULE!E273)</f>
        <v>Panathinaikos Athens</v>
      </c>
      <c r="F273" s="6">
        <f>IF([1]SCHEDULE!F273="","",[1]SCHEDULE!F273)</f>
        <v>45282</v>
      </c>
      <c r="G273" s="3" t="str">
        <f>IF([1]SCHEDULE!G273="","",[1]SCHEDULE!G273)</f>
        <v>H</v>
      </c>
      <c r="H273" s="3" t="str">
        <f>IF([1]SCHEDULE!H273="","",[1]SCHEDULE!H273)</f>
        <v>PAN</v>
      </c>
      <c r="I273" s="3" t="str">
        <f>IF([1]SCHEDULE!I273="","",[1]SCHEDULE!I273)</f>
        <v>16.MIL</v>
      </c>
      <c r="J273" s="3" t="str">
        <f>IF([1]SCHEDULE!J273="","",[1]SCHEDULE!J273)</f>
        <v>16.PAN</v>
      </c>
    </row>
    <row r="274" spans="2:10" x14ac:dyDescent="0.25">
      <c r="B274" s="3" t="str">
        <f>IF([1]SCHEDULE!B274="","",[1]SCHEDULE!B274)</f>
        <v>MIL</v>
      </c>
      <c r="C274" s="3">
        <f>IF([1]SCHEDULE!C274="","",[1]SCHEDULE!C274)</f>
        <v>17</v>
      </c>
      <c r="D274" s="1" t="str">
        <f>IF([1]SCHEDULE!D274="","",[1]SCHEDULE!D274)</f>
        <v>EA7 Emporio Armani Milan</v>
      </c>
      <c r="E274" s="1" t="str">
        <f>IF([1]SCHEDULE!E274="","",[1]SCHEDULE!E274)</f>
        <v>Baskonia Vitoria-Gasteiz</v>
      </c>
      <c r="F274" s="6">
        <f>IF([1]SCHEDULE!F274="","",[1]SCHEDULE!F274)</f>
        <v>45288</v>
      </c>
      <c r="G274" s="3" t="str">
        <f>IF([1]SCHEDULE!G274="","",[1]SCHEDULE!G274)</f>
        <v>H</v>
      </c>
      <c r="H274" s="3" t="str">
        <f>IF([1]SCHEDULE!H274="","",[1]SCHEDULE!H274)</f>
        <v>BAS</v>
      </c>
      <c r="I274" s="3" t="str">
        <f>IF([1]SCHEDULE!I274="","",[1]SCHEDULE!I274)</f>
        <v>17.MIL</v>
      </c>
      <c r="J274" s="3" t="str">
        <f>IF([1]SCHEDULE!J274="","",[1]SCHEDULE!J274)</f>
        <v>17.BAS</v>
      </c>
    </row>
    <row r="275" spans="2:10" x14ac:dyDescent="0.25">
      <c r="B275" s="3" t="str">
        <f>IF([1]SCHEDULE!B275="","",[1]SCHEDULE!B275)</f>
        <v>MIL</v>
      </c>
      <c r="C275" s="3">
        <f>IF([1]SCHEDULE!C275="","",[1]SCHEDULE!C275)</f>
        <v>18</v>
      </c>
      <c r="D275" s="1" t="str">
        <f>IF([1]SCHEDULE!D275="","",[1]SCHEDULE!D275)</f>
        <v>EA7 Emporio Armani Milan</v>
      </c>
      <c r="E275" s="1" t="str">
        <f>IF([1]SCHEDULE!E275="","",[1]SCHEDULE!E275)</f>
        <v>Olympiacos Piraeus</v>
      </c>
      <c r="F275" s="6">
        <f>IF([1]SCHEDULE!F275="","",[1]SCHEDULE!F275)</f>
        <v>45293</v>
      </c>
      <c r="G275" s="3" t="str">
        <f>IF([1]SCHEDULE!G275="","",[1]SCHEDULE!G275)</f>
        <v>A</v>
      </c>
      <c r="H275" s="3" t="str">
        <f>IF([1]SCHEDULE!H275="","",[1]SCHEDULE!H275)</f>
        <v>OLY</v>
      </c>
      <c r="I275" s="3" t="str">
        <f>IF([1]SCHEDULE!I275="","",[1]SCHEDULE!I275)</f>
        <v>18.MIL</v>
      </c>
      <c r="J275" s="3" t="str">
        <f>IF([1]SCHEDULE!J275="","",[1]SCHEDULE!J275)</f>
        <v>18.OLY</v>
      </c>
    </row>
    <row r="276" spans="2:10" x14ac:dyDescent="0.25">
      <c r="B276" s="3" t="str">
        <f>IF([1]SCHEDULE!B276="","",[1]SCHEDULE!B276)</f>
        <v>MIL</v>
      </c>
      <c r="C276" s="3">
        <f>IF([1]SCHEDULE!C276="","",[1]SCHEDULE!C276)</f>
        <v>19</v>
      </c>
      <c r="D276" s="1" t="str">
        <f>IF([1]SCHEDULE!D276="","",[1]SCHEDULE!D276)</f>
        <v>EA7 Emporio Armani Milan</v>
      </c>
      <c r="E276" s="1" t="str">
        <f>IF([1]SCHEDULE!E276="","",[1]SCHEDULE!E276)</f>
        <v>FC Bayern Munich</v>
      </c>
      <c r="F276" s="6">
        <f>IF([1]SCHEDULE!F276="","",[1]SCHEDULE!F276)</f>
        <v>45296</v>
      </c>
      <c r="G276" s="3" t="str">
        <f>IF([1]SCHEDULE!G276="","",[1]SCHEDULE!G276)</f>
        <v>H</v>
      </c>
      <c r="H276" s="3" t="str">
        <f>IF([1]SCHEDULE!H276="","",[1]SCHEDULE!H276)</f>
        <v>BAY</v>
      </c>
      <c r="I276" s="3" t="str">
        <f>IF([1]SCHEDULE!I276="","",[1]SCHEDULE!I276)</f>
        <v>19.MIL</v>
      </c>
      <c r="J276" s="3" t="str">
        <f>IF([1]SCHEDULE!J276="","",[1]SCHEDULE!J276)</f>
        <v>19.BAY</v>
      </c>
    </row>
    <row r="277" spans="2:10" x14ac:dyDescent="0.25">
      <c r="B277" s="3" t="str">
        <f>IF([1]SCHEDULE!B277="","",[1]SCHEDULE!B277)</f>
        <v>MIL</v>
      </c>
      <c r="C277" s="3">
        <f>IF([1]SCHEDULE!C277="","",[1]SCHEDULE!C277)</f>
        <v>20</v>
      </c>
      <c r="D277" s="1" t="str">
        <f>IF([1]SCHEDULE!D277="","",[1]SCHEDULE!D277)</f>
        <v>EA7 Emporio Armani Milan</v>
      </c>
      <c r="E277" s="1" t="str">
        <f>IF([1]SCHEDULE!E277="","",[1]SCHEDULE!E277)</f>
        <v>ALBA Berlin</v>
      </c>
      <c r="F277" s="6">
        <f>IF([1]SCHEDULE!F277="","",[1]SCHEDULE!F277)</f>
        <v>45300</v>
      </c>
      <c r="G277" s="3" t="str">
        <f>IF([1]SCHEDULE!G277="","",[1]SCHEDULE!G277)</f>
        <v>H</v>
      </c>
      <c r="H277" s="3" t="str">
        <f>IF([1]SCHEDULE!H277="","",[1]SCHEDULE!H277)</f>
        <v>BER</v>
      </c>
      <c r="I277" s="3" t="str">
        <f>IF([1]SCHEDULE!I277="","",[1]SCHEDULE!I277)</f>
        <v>20.MIL</v>
      </c>
      <c r="J277" s="3" t="str">
        <f>IF([1]SCHEDULE!J277="","",[1]SCHEDULE!J277)</f>
        <v>20.BER</v>
      </c>
    </row>
    <row r="278" spans="2:10" x14ac:dyDescent="0.25">
      <c r="B278" s="3" t="str">
        <f>IF([1]SCHEDULE!B278="","",[1]SCHEDULE!B278)</f>
        <v>MIL</v>
      </c>
      <c r="C278" s="3">
        <f>IF([1]SCHEDULE!C278="","",[1]SCHEDULE!C278)</f>
        <v>21</v>
      </c>
      <c r="D278" s="1" t="str">
        <f>IF([1]SCHEDULE!D278="","",[1]SCHEDULE!D278)</f>
        <v>EA7 Emporio Armani Milan</v>
      </c>
      <c r="E278" s="1" t="str">
        <f>IF([1]SCHEDULE!E278="","",[1]SCHEDULE!E278)</f>
        <v>Crvena Zvezda Meridianbet Belgrade</v>
      </c>
      <c r="F278" s="6">
        <f>IF([1]SCHEDULE!F278="","",[1]SCHEDULE!F278)</f>
        <v>45302</v>
      </c>
      <c r="G278" s="3" t="str">
        <f>IF([1]SCHEDULE!G278="","",[1]SCHEDULE!G278)</f>
        <v>H</v>
      </c>
      <c r="H278" s="3" t="str">
        <f>IF([1]SCHEDULE!H278="","",[1]SCHEDULE!H278)</f>
        <v>CZB</v>
      </c>
      <c r="I278" s="3" t="str">
        <f>IF([1]SCHEDULE!I278="","",[1]SCHEDULE!I278)</f>
        <v>21.MIL</v>
      </c>
      <c r="J278" s="3" t="str">
        <f>IF([1]SCHEDULE!J278="","",[1]SCHEDULE!J278)</f>
        <v>21.CZB</v>
      </c>
    </row>
    <row r="279" spans="2:10" x14ac:dyDescent="0.25">
      <c r="B279" s="3" t="str">
        <f>IF([1]SCHEDULE!B279="","",[1]SCHEDULE!B279)</f>
        <v>MIL</v>
      </c>
      <c r="C279" s="3">
        <f>IF([1]SCHEDULE!C279="","",[1]SCHEDULE!C279)</f>
        <v>22</v>
      </c>
      <c r="D279" s="1" t="str">
        <f>IF([1]SCHEDULE!D279="","",[1]SCHEDULE!D279)</f>
        <v>EA7 Emporio Armani Milan</v>
      </c>
      <c r="E279" s="1" t="str">
        <f>IF([1]SCHEDULE!E279="","",[1]SCHEDULE!E279)</f>
        <v>Valencia Basket</v>
      </c>
      <c r="F279" s="6">
        <f>IF([1]SCHEDULE!F279="","",[1]SCHEDULE!F279)</f>
        <v>45310</v>
      </c>
      <c r="G279" s="3" t="str">
        <f>IF([1]SCHEDULE!G279="","",[1]SCHEDULE!G279)</f>
        <v>A</v>
      </c>
      <c r="H279" s="3" t="str">
        <f>IF([1]SCHEDULE!H279="","",[1]SCHEDULE!H279)</f>
        <v>VAL</v>
      </c>
      <c r="I279" s="3" t="str">
        <f>IF([1]SCHEDULE!I279="","",[1]SCHEDULE!I279)</f>
        <v>22.MIL</v>
      </c>
      <c r="J279" s="3" t="str">
        <f>IF([1]SCHEDULE!J279="","",[1]SCHEDULE!J279)</f>
        <v>22.VAL</v>
      </c>
    </row>
    <row r="280" spans="2:10" x14ac:dyDescent="0.25">
      <c r="B280" s="3" t="str">
        <f>IF([1]SCHEDULE!B280="","",[1]SCHEDULE!B280)</f>
        <v>MIL</v>
      </c>
      <c r="C280" s="3">
        <f>IF([1]SCHEDULE!C280="","",[1]SCHEDULE!C280)</f>
        <v>23</v>
      </c>
      <c r="D280" s="1" t="str">
        <f>IF([1]SCHEDULE!D280="","",[1]SCHEDULE!D280)</f>
        <v>EA7 Emporio Armani Milan</v>
      </c>
      <c r="E280" s="1" t="str">
        <f>IF([1]SCHEDULE!E280="","",[1]SCHEDULE!E280)</f>
        <v>FC Barcelona</v>
      </c>
      <c r="F280" s="6">
        <f>IF([1]SCHEDULE!F280="","",[1]SCHEDULE!F280)</f>
        <v>45317</v>
      </c>
      <c r="G280" s="3" t="str">
        <f>IF([1]SCHEDULE!G280="","",[1]SCHEDULE!G280)</f>
        <v>H</v>
      </c>
      <c r="H280" s="3" t="str">
        <f>IF([1]SCHEDULE!H280="","",[1]SCHEDULE!H280)</f>
        <v>FCB</v>
      </c>
      <c r="I280" s="3" t="str">
        <f>IF([1]SCHEDULE!I280="","",[1]SCHEDULE!I280)</f>
        <v>23.MIL</v>
      </c>
      <c r="J280" s="3" t="str">
        <f>IF([1]SCHEDULE!J280="","",[1]SCHEDULE!J280)</f>
        <v>23.FCB</v>
      </c>
    </row>
    <row r="281" spans="2:10" x14ac:dyDescent="0.25">
      <c r="B281" s="3" t="str">
        <f>IF([1]SCHEDULE!B281="","",[1]SCHEDULE!B281)</f>
        <v>MIL</v>
      </c>
      <c r="C281" s="3">
        <f>IF([1]SCHEDULE!C281="","",[1]SCHEDULE!C281)</f>
        <v>24</v>
      </c>
      <c r="D281" s="1" t="str">
        <f>IF([1]SCHEDULE!D281="","",[1]SCHEDULE!D281)</f>
        <v>EA7 Emporio Armani Milan</v>
      </c>
      <c r="E281" s="1" t="str">
        <f>IF([1]SCHEDULE!E281="","",[1]SCHEDULE!E281)</f>
        <v>Panathinaikos Athens</v>
      </c>
      <c r="F281" s="6">
        <f>IF([1]SCHEDULE!F281="","",[1]SCHEDULE!F281)</f>
        <v>45322</v>
      </c>
      <c r="G281" s="3" t="str">
        <f>IF([1]SCHEDULE!G281="","",[1]SCHEDULE!G281)</f>
        <v>A</v>
      </c>
      <c r="H281" s="3" t="str">
        <f>IF([1]SCHEDULE!H281="","",[1]SCHEDULE!H281)</f>
        <v>PAN</v>
      </c>
      <c r="I281" s="3" t="str">
        <f>IF([1]SCHEDULE!I281="","",[1]SCHEDULE!I281)</f>
        <v>24.MIL</v>
      </c>
      <c r="J281" s="3" t="str">
        <f>IF([1]SCHEDULE!J281="","",[1]SCHEDULE!J281)</f>
        <v>24.PAN</v>
      </c>
    </row>
    <row r="282" spans="2:10" x14ac:dyDescent="0.25">
      <c r="B282" s="3" t="str">
        <f>IF([1]SCHEDULE!B282="","",[1]SCHEDULE!B282)</f>
        <v>MIL</v>
      </c>
      <c r="C282" s="3">
        <f>IF([1]SCHEDULE!C282="","",[1]SCHEDULE!C282)</f>
        <v>25</v>
      </c>
      <c r="D282" s="1" t="str">
        <f>IF([1]SCHEDULE!D282="","",[1]SCHEDULE!D282)</f>
        <v>EA7 Emporio Armani Milan</v>
      </c>
      <c r="E282" s="1" t="str">
        <f>IF([1]SCHEDULE!E282="","",[1]SCHEDULE!E282)</f>
        <v>Anadolu Efes Istanbul</v>
      </c>
      <c r="F282" s="6">
        <f>IF([1]SCHEDULE!F282="","",[1]SCHEDULE!F282)</f>
        <v>45324</v>
      </c>
      <c r="G282" s="3" t="str">
        <f>IF([1]SCHEDULE!G282="","",[1]SCHEDULE!G282)</f>
        <v>A</v>
      </c>
      <c r="H282" s="3" t="str">
        <f>IF([1]SCHEDULE!H282="","",[1]SCHEDULE!H282)</f>
        <v>EFE</v>
      </c>
      <c r="I282" s="3" t="str">
        <f>IF([1]SCHEDULE!I282="","",[1]SCHEDULE!I282)</f>
        <v>25.MIL</v>
      </c>
      <c r="J282" s="3" t="str">
        <f>IF([1]SCHEDULE!J282="","",[1]SCHEDULE!J282)</f>
        <v>25.EFE</v>
      </c>
    </row>
    <row r="283" spans="2:10" x14ac:dyDescent="0.25">
      <c r="B283" s="3" t="str">
        <f>IF([1]SCHEDULE!B283="","",[1]SCHEDULE!B283)</f>
        <v>MIL</v>
      </c>
      <c r="C283" s="3">
        <f>IF([1]SCHEDULE!C283="","",[1]SCHEDULE!C283)</f>
        <v>26</v>
      </c>
      <c r="D283" s="1" t="str">
        <f>IF([1]SCHEDULE!D283="","",[1]SCHEDULE!D283)</f>
        <v>EA7 Emporio Armani Milan</v>
      </c>
      <c r="E283" s="1" t="str">
        <f>IF([1]SCHEDULE!E283="","",[1]SCHEDULE!E283)</f>
        <v>Real Madrid</v>
      </c>
      <c r="F283" s="6">
        <f>IF([1]SCHEDULE!F283="","",[1]SCHEDULE!F283)</f>
        <v>45330</v>
      </c>
      <c r="G283" s="3" t="str">
        <f>IF([1]SCHEDULE!G283="","",[1]SCHEDULE!G283)</f>
        <v>H</v>
      </c>
      <c r="H283" s="3" t="str">
        <f>IF([1]SCHEDULE!H283="","",[1]SCHEDULE!H283)</f>
        <v>RMB</v>
      </c>
      <c r="I283" s="3" t="str">
        <f>IF([1]SCHEDULE!I283="","",[1]SCHEDULE!I283)</f>
        <v>26.MIL</v>
      </c>
      <c r="J283" s="3" t="str">
        <f>IF([1]SCHEDULE!J283="","",[1]SCHEDULE!J283)</f>
        <v>26.RMB</v>
      </c>
    </row>
    <row r="284" spans="2:10" x14ac:dyDescent="0.25">
      <c r="B284" s="3" t="str">
        <f>IF([1]SCHEDULE!B284="","",[1]SCHEDULE!B284)</f>
        <v>MIL</v>
      </c>
      <c r="C284" s="3">
        <f>IF([1]SCHEDULE!C284="","",[1]SCHEDULE!C284)</f>
        <v>27</v>
      </c>
      <c r="D284" s="1" t="str">
        <f>IF([1]SCHEDULE!D284="","",[1]SCHEDULE!D284)</f>
        <v>EA7 Emporio Armani Milan</v>
      </c>
      <c r="E284" s="1" t="str">
        <f>IF([1]SCHEDULE!E284="","",[1]SCHEDULE!E284)</f>
        <v>LDLC ASVEL Villeurbanne</v>
      </c>
      <c r="F284" s="6">
        <f>IF([1]SCHEDULE!F284="","",[1]SCHEDULE!F284)</f>
        <v>45352</v>
      </c>
      <c r="G284" s="3" t="str">
        <f>IF([1]SCHEDULE!G284="","",[1]SCHEDULE!G284)</f>
        <v>A</v>
      </c>
      <c r="H284" s="3" t="str">
        <f>IF([1]SCHEDULE!H284="","",[1]SCHEDULE!H284)</f>
        <v>ASV</v>
      </c>
      <c r="I284" s="3" t="str">
        <f>IF([1]SCHEDULE!I284="","",[1]SCHEDULE!I284)</f>
        <v>27.MIL</v>
      </c>
      <c r="J284" s="3" t="str">
        <f>IF([1]SCHEDULE!J284="","",[1]SCHEDULE!J284)</f>
        <v>27.ASV</v>
      </c>
    </row>
    <row r="285" spans="2:10" x14ac:dyDescent="0.25">
      <c r="B285" s="3" t="str">
        <f>IF([1]SCHEDULE!B285="","",[1]SCHEDULE!B285)</f>
        <v>MIL</v>
      </c>
      <c r="C285" s="3">
        <f>IF([1]SCHEDULE!C285="","",[1]SCHEDULE!C285)</f>
        <v>28</v>
      </c>
      <c r="D285" s="1" t="str">
        <f>IF([1]SCHEDULE!D285="","",[1]SCHEDULE!D285)</f>
        <v>EA7 Emporio Armani Milan</v>
      </c>
      <c r="E285" s="1" t="str">
        <f>IF([1]SCHEDULE!E285="","",[1]SCHEDULE!E285)</f>
        <v>Partizan Mozzart Bet Belgrade</v>
      </c>
      <c r="F285" s="6">
        <f>IF([1]SCHEDULE!F285="","",[1]SCHEDULE!F285)</f>
        <v>45359</v>
      </c>
      <c r="G285" s="3" t="str">
        <f>IF([1]SCHEDULE!G285="","",[1]SCHEDULE!G285)</f>
        <v>H</v>
      </c>
      <c r="H285" s="3" t="str">
        <f>IF([1]SCHEDULE!H285="","",[1]SCHEDULE!H285)</f>
        <v>PAR</v>
      </c>
      <c r="I285" s="3" t="str">
        <f>IF([1]SCHEDULE!I285="","",[1]SCHEDULE!I285)</f>
        <v>28.MIL</v>
      </c>
      <c r="J285" s="3" t="str">
        <f>IF([1]SCHEDULE!J285="","",[1]SCHEDULE!J285)</f>
        <v>28.PAR</v>
      </c>
    </row>
    <row r="286" spans="2:10" x14ac:dyDescent="0.25">
      <c r="B286" s="3" t="str">
        <f>IF([1]SCHEDULE!B286="","",[1]SCHEDULE!B286)</f>
        <v>MIL</v>
      </c>
      <c r="C286" s="3">
        <f>IF([1]SCHEDULE!C286="","",[1]SCHEDULE!C286)</f>
        <v>29</v>
      </c>
      <c r="D286" s="1" t="str">
        <f>IF([1]SCHEDULE!D286="","",[1]SCHEDULE!D286)</f>
        <v>EA7 Emporio Armani Milan</v>
      </c>
      <c r="E286" s="1" t="str">
        <f>IF([1]SCHEDULE!E286="","",[1]SCHEDULE!E286)</f>
        <v>Baskonia Vitoria-Gasteiz</v>
      </c>
      <c r="F286" s="6">
        <f>IF([1]SCHEDULE!F286="","",[1]SCHEDULE!F286)</f>
        <v>45365</v>
      </c>
      <c r="G286" s="3" t="str">
        <f>IF([1]SCHEDULE!G286="","",[1]SCHEDULE!G286)</f>
        <v>A</v>
      </c>
      <c r="H286" s="3" t="str">
        <f>IF([1]SCHEDULE!H286="","",[1]SCHEDULE!H286)</f>
        <v>BAS</v>
      </c>
      <c r="I286" s="3" t="str">
        <f>IF([1]SCHEDULE!I286="","",[1]SCHEDULE!I286)</f>
        <v>29.MIL</v>
      </c>
      <c r="J286" s="3" t="str">
        <f>IF([1]SCHEDULE!J286="","",[1]SCHEDULE!J286)</f>
        <v>29.BAS</v>
      </c>
    </row>
    <row r="287" spans="2:10" x14ac:dyDescent="0.25">
      <c r="B287" s="3" t="str">
        <f>IF([1]SCHEDULE!B287="","",[1]SCHEDULE!B287)</f>
        <v>MIL</v>
      </c>
      <c r="C287" s="3">
        <f>IF([1]SCHEDULE!C287="","",[1]SCHEDULE!C287)</f>
        <v>30</v>
      </c>
      <c r="D287" s="1" t="str">
        <f>IF([1]SCHEDULE!D287="","",[1]SCHEDULE!D287)</f>
        <v>EA7 Emporio Armani Milan</v>
      </c>
      <c r="E287" s="1" t="str">
        <f>IF([1]SCHEDULE!E287="","",[1]SCHEDULE!E287)</f>
        <v>AS Monaco</v>
      </c>
      <c r="F287" s="6">
        <f>IF([1]SCHEDULE!F287="","",[1]SCHEDULE!F287)</f>
        <v>45371</v>
      </c>
      <c r="G287" s="3" t="str">
        <f>IF([1]SCHEDULE!G287="","",[1]SCHEDULE!G287)</f>
        <v>A</v>
      </c>
      <c r="H287" s="3" t="str">
        <f>IF([1]SCHEDULE!H287="","",[1]SCHEDULE!H287)</f>
        <v>ASM</v>
      </c>
      <c r="I287" s="3" t="str">
        <f>IF([1]SCHEDULE!I287="","",[1]SCHEDULE!I287)</f>
        <v>30.MIL</v>
      </c>
      <c r="J287" s="3" t="str">
        <f>IF([1]SCHEDULE!J287="","",[1]SCHEDULE!J287)</f>
        <v>30.ASM</v>
      </c>
    </row>
    <row r="288" spans="2:10" x14ac:dyDescent="0.25">
      <c r="B288" s="3" t="str">
        <f>IF([1]SCHEDULE!B288="","",[1]SCHEDULE!B288)</f>
        <v>MIL</v>
      </c>
      <c r="C288" s="3">
        <f>IF([1]SCHEDULE!C288="","",[1]SCHEDULE!C288)</f>
        <v>31</v>
      </c>
      <c r="D288" s="1" t="str">
        <f>IF([1]SCHEDULE!D288="","",[1]SCHEDULE!D288)</f>
        <v>EA7 Emporio Armani Milan</v>
      </c>
      <c r="E288" s="1" t="str">
        <f>IF([1]SCHEDULE!E288="","",[1]SCHEDULE!E288)</f>
        <v>Fenerbahce Beko Istanbul</v>
      </c>
      <c r="F288" s="6">
        <f>IF([1]SCHEDULE!F288="","",[1]SCHEDULE!F288)</f>
        <v>45373</v>
      </c>
      <c r="G288" s="3" t="str">
        <f>IF([1]SCHEDULE!G288="","",[1]SCHEDULE!G288)</f>
        <v>H</v>
      </c>
      <c r="H288" s="3" t="str">
        <f>IF([1]SCHEDULE!H288="","",[1]SCHEDULE!H288)</f>
        <v>FEN</v>
      </c>
      <c r="I288" s="3" t="str">
        <f>IF([1]SCHEDULE!I288="","",[1]SCHEDULE!I288)</f>
        <v>31.MIL</v>
      </c>
      <c r="J288" s="3" t="str">
        <f>IF([1]SCHEDULE!J288="","",[1]SCHEDULE!J288)</f>
        <v>31.FEN</v>
      </c>
    </row>
    <row r="289" spans="2:10" x14ac:dyDescent="0.25">
      <c r="B289" s="3" t="str">
        <f>IF([1]SCHEDULE!B289="","",[1]SCHEDULE!B289)</f>
        <v>MIL</v>
      </c>
      <c r="C289" s="3">
        <f>IF([1]SCHEDULE!C289="","",[1]SCHEDULE!C289)</f>
        <v>32</v>
      </c>
      <c r="D289" s="1" t="str">
        <f>IF([1]SCHEDULE!D289="","",[1]SCHEDULE!D289)</f>
        <v>EA7 Emporio Armani Milan</v>
      </c>
      <c r="E289" s="1" t="str">
        <f>IF([1]SCHEDULE!E289="","",[1]SCHEDULE!E289)</f>
        <v>Zalgiris Kaunas</v>
      </c>
      <c r="F289" s="6">
        <f>IF([1]SCHEDULE!F289="","",[1]SCHEDULE!F289)</f>
        <v>45379</v>
      </c>
      <c r="G289" s="3" t="str">
        <f>IF([1]SCHEDULE!G289="","",[1]SCHEDULE!G289)</f>
        <v>A</v>
      </c>
      <c r="H289" s="3" t="str">
        <f>IF([1]SCHEDULE!H289="","",[1]SCHEDULE!H289)</f>
        <v>ZAL</v>
      </c>
      <c r="I289" s="3" t="str">
        <f>IF([1]SCHEDULE!I289="","",[1]SCHEDULE!I289)</f>
        <v>32.MIL</v>
      </c>
      <c r="J289" s="3" t="str">
        <f>IF([1]SCHEDULE!J289="","",[1]SCHEDULE!J289)</f>
        <v>32.ZAL</v>
      </c>
    </row>
    <row r="290" spans="2:10" x14ac:dyDescent="0.25">
      <c r="B290" s="3" t="str">
        <f>IF([1]SCHEDULE!B290="","",[1]SCHEDULE!B290)</f>
        <v>MIL</v>
      </c>
      <c r="C290" s="3">
        <f>IF([1]SCHEDULE!C290="","",[1]SCHEDULE!C290)</f>
        <v>33</v>
      </c>
      <c r="D290" s="1" t="str">
        <f>IF([1]SCHEDULE!D290="","",[1]SCHEDULE!D290)</f>
        <v>EA7 Emporio Armani Milan</v>
      </c>
      <c r="E290" s="1" t="str">
        <f>IF([1]SCHEDULE!E290="","",[1]SCHEDULE!E290)</f>
        <v>Virtus Segafredo Bologna</v>
      </c>
      <c r="F290" s="6">
        <f>IF([1]SCHEDULE!F290="","",[1]SCHEDULE!F290)</f>
        <v>45387</v>
      </c>
      <c r="G290" s="3" t="str">
        <f>IF([1]SCHEDULE!G290="","",[1]SCHEDULE!G290)</f>
        <v>H</v>
      </c>
      <c r="H290" s="3" t="str">
        <f>IF([1]SCHEDULE!H290="","",[1]SCHEDULE!H290)</f>
        <v>VIR</v>
      </c>
      <c r="I290" s="3" t="str">
        <f>IF([1]SCHEDULE!I290="","",[1]SCHEDULE!I290)</f>
        <v>33.MIL</v>
      </c>
      <c r="J290" s="3" t="str">
        <f>IF([1]SCHEDULE!J290="","",[1]SCHEDULE!J290)</f>
        <v>33.VIR</v>
      </c>
    </row>
    <row r="291" spans="2:10" x14ac:dyDescent="0.25">
      <c r="B291" s="3" t="str">
        <f>IF([1]SCHEDULE!B291="","",[1]SCHEDULE!B291)</f>
        <v>MIL</v>
      </c>
      <c r="C291" s="3">
        <f>IF([1]SCHEDULE!C291="","",[1]SCHEDULE!C291)</f>
        <v>34</v>
      </c>
      <c r="D291" s="1" t="str">
        <f>IF([1]SCHEDULE!D291="","",[1]SCHEDULE!D291)</f>
        <v>EA7 Emporio Armani Milan</v>
      </c>
      <c r="E291" s="1" t="str">
        <f>IF([1]SCHEDULE!E291="","",[1]SCHEDULE!E291)</f>
        <v>Maccabi Playtika Tel Aviv</v>
      </c>
      <c r="F291" s="6">
        <f>IF([1]SCHEDULE!F291="","",[1]SCHEDULE!F291)</f>
        <v>45393</v>
      </c>
      <c r="G291" s="3" t="str">
        <f>IF([1]SCHEDULE!G291="","",[1]SCHEDULE!G291)</f>
        <v>A</v>
      </c>
      <c r="H291" s="3" t="str">
        <f>IF([1]SCHEDULE!H291="","",[1]SCHEDULE!H291)</f>
        <v>MTA</v>
      </c>
      <c r="I291" s="3" t="str">
        <f>IF([1]SCHEDULE!I291="","",[1]SCHEDULE!I291)</f>
        <v>34.MIL</v>
      </c>
      <c r="J291" s="3" t="str">
        <f>IF([1]SCHEDULE!J291="","",[1]SCHEDULE!J291)</f>
        <v>34.MTA</v>
      </c>
    </row>
    <row r="292" spans="2:10" x14ac:dyDescent="0.25">
      <c r="B292" s="3" t="str">
        <f>IF([1]SCHEDULE!B292="","",[1]SCHEDULE!B292)</f>
        <v>MIL</v>
      </c>
      <c r="C292" s="3">
        <f>IF([1]SCHEDULE!C292="","",[1]SCHEDULE!C292)</f>
        <v>35</v>
      </c>
      <c r="D292" s="1" t="str">
        <f>IF([1]SCHEDULE!D292="","",[1]SCHEDULE!D292)</f>
        <v>EA7 Emporio Armani Milan</v>
      </c>
      <c r="E292" s="1" t="str">
        <f>IF([1]SCHEDULE!E292="","",[1]SCHEDULE!E292)</f>
        <v/>
      </c>
      <c r="F292" s="6" t="str">
        <f>IF([1]SCHEDULE!F292="","",[1]SCHEDULE!F292)</f>
        <v/>
      </c>
      <c r="G292" s="3" t="str">
        <f>IF([1]SCHEDULE!G292="","",[1]SCHEDULE!G292)</f>
        <v/>
      </c>
      <c r="H292" s="3" t="str">
        <f>IF([1]SCHEDULE!H292="","",[1]SCHEDULE!H292)</f>
        <v/>
      </c>
      <c r="I292" s="3" t="str">
        <f>IF([1]SCHEDULE!I292="","",[1]SCHEDULE!I292)</f>
        <v/>
      </c>
      <c r="J292" s="3" t="str">
        <f>IF([1]SCHEDULE!J292="","",[1]SCHEDULE!J292)</f>
        <v/>
      </c>
    </row>
    <row r="293" spans="2:10" x14ac:dyDescent="0.25">
      <c r="B293" s="3" t="str">
        <f>IF([1]SCHEDULE!B293="","",[1]SCHEDULE!B293)</f>
        <v>MIL</v>
      </c>
      <c r="C293" s="3">
        <f>IF([1]SCHEDULE!C293="","",[1]SCHEDULE!C293)</f>
        <v>36</v>
      </c>
      <c r="D293" s="1" t="str">
        <f>IF([1]SCHEDULE!D293="","",[1]SCHEDULE!D293)</f>
        <v>EA7 Emporio Armani Milan</v>
      </c>
      <c r="E293" s="1" t="str">
        <f>IF([1]SCHEDULE!E293="","",[1]SCHEDULE!E293)</f>
        <v/>
      </c>
      <c r="F293" s="6" t="str">
        <f>IF([1]SCHEDULE!F293="","",[1]SCHEDULE!F293)</f>
        <v/>
      </c>
      <c r="G293" s="3" t="str">
        <f>IF([1]SCHEDULE!G293="","",[1]SCHEDULE!G293)</f>
        <v/>
      </c>
      <c r="H293" s="3" t="str">
        <f>IF([1]SCHEDULE!H293="","",[1]SCHEDULE!H293)</f>
        <v/>
      </c>
      <c r="I293" s="3" t="str">
        <f>IF([1]SCHEDULE!I293="","",[1]SCHEDULE!I293)</f>
        <v/>
      </c>
      <c r="J293" s="3" t="str">
        <f>IF([1]SCHEDULE!J293="","",[1]SCHEDULE!J293)</f>
        <v/>
      </c>
    </row>
    <row r="294" spans="2:10" x14ac:dyDescent="0.25">
      <c r="B294" s="3" t="str">
        <f>IF([1]SCHEDULE!B294="","",[1]SCHEDULE!B294)</f>
        <v>MIL</v>
      </c>
      <c r="C294" s="3">
        <f>IF([1]SCHEDULE!C294="","",[1]SCHEDULE!C294)</f>
        <v>37</v>
      </c>
      <c r="D294" s="1" t="str">
        <f>IF([1]SCHEDULE!D294="","",[1]SCHEDULE!D294)</f>
        <v>EA7 Emporio Armani Milan</v>
      </c>
      <c r="E294" s="1" t="str">
        <f>IF([1]SCHEDULE!E294="","",[1]SCHEDULE!E294)</f>
        <v/>
      </c>
      <c r="F294" s="6" t="str">
        <f>IF([1]SCHEDULE!F294="","",[1]SCHEDULE!F294)</f>
        <v/>
      </c>
      <c r="G294" s="3" t="str">
        <f>IF([1]SCHEDULE!G294="","",[1]SCHEDULE!G294)</f>
        <v/>
      </c>
      <c r="H294" s="3" t="str">
        <f>IF([1]SCHEDULE!H294="","",[1]SCHEDULE!H294)</f>
        <v/>
      </c>
      <c r="I294" s="3" t="str">
        <f>IF([1]SCHEDULE!I294="","",[1]SCHEDULE!I294)</f>
        <v/>
      </c>
      <c r="J294" s="3" t="str">
        <f>IF([1]SCHEDULE!J294="","",[1]SCHEDULE!J294)</f>
        <v/>
      </c>
    </row>
    <row r="295" spans="2:10" x14ac:dyDescent="0.25">
      <c r="B295" s="3" t="str">
        <f>IF([1]SCHEDULE!B295="","",[1]SCHEDULE!B295)</f>
        <v>MIL</v>
      </c>
      <c r="C295" s="3">
        <f>IF([1]SCHEDULE!C295="","",[1]SCHEDULE!C295)</f>
        <v>38</v>
      </c>
      <c r="D295" s="1" t="str">
        <f>IF([1]SCHEDULE!D295="","",[1]SCHEDULE!D295)</f>
        <v>EA7 Emporio Armani Milan</v>
      </c>
      <c r="E295" s="1" t="str">
        <f>IF([1]SCHEDULE!E295="","",[1]SCHEDULE!E295)</f>
        <v/>
      </c>
      <c r="F295" s="6" t="str">
        <f>IF([1]SCHEDULE!F295="","",[1]SCHEDULE!F295)</f>
        <v/>
      </c>
      <c r="G295" s="3" t="str">
        <f>IF([1]SCHEDULE!G295="","",[1]SCHEDULE!G295)</f>
        <v/>
      </c>
      <c r="H295" s="3" t="str">
        <f>IF([1]SCHEDULE!H295="","",[1]SCHEDULE!H295)</f>
        <v/>
      </c>
      <c r="I295" s="3" t="str">
        <f>IF([1]SCHEDULE!I295="","",[1]SCHEDULE!I295)</f>
        <v/>
      </c>
      <c r="J295" s="3" t="str">
        <f>IF([1]SCHEDULE!J295="","",[1]SCHEDULE!J295)</f>
        <v/>
      </c>
    </row>
    <row r="296" spans="2:10" x14ac:dyDescent="0.25">
      <c r="B296" s="3" t="str">
        <f>IF([1]SCHEDULE!B296="","",[1]SCHEDULE!B296)</f>
        <v>MIL</v>
      </c>
      <c r="C296" s="3">
        <f>IF([1]SCHEDULE!C296="","",[1]SCHEDULE!C296)</f>
        <v>39</v>
      </c>
      <c r="D296" s="1" t="str">
        <f>IF([1]SCHEDULE!D296="","",[1]SCHEDULE!D296)</f>
        <v>EA7 Emporio Armani Milan</v>
      </c>
      <c r="E296" s="1" t="str">
        <f>IF([1]SCHEDULE!E296="","",[1]SCHEDULE!E296)</f>
        <v/>
      </c>
      <c r="F296" s="6" t="str">
        <f>IF([1]SCHEDULE!F296="","",[1]SCHEDULE!F296)</f>
        <v/>
      </c>
      <c r="G296" s="3" t="str">
        <f>IF([1]SCHEDULE!G296="","",[1]SCHEDULE!G296)</f>
        <v/>
      </c>
      <c r="H296" s="3" t="str">
        <f>IF([1]SCHEDULE!H296="","",[1]SCHEDULE!H296)</f>
        <v/>
      </c>
      <c r="I296" s="3" t="str">
        <f>IF([1]SCHEDULE!I296="","",[1]SCHEDULE!I296)</f>
        <v/>
      </c>
      <c r="J296" s="3" t="str">
        <f>IF([1]SCHEDULE!J296="","",[1]SCHEDULE!J296)</f>
        <v/>
      </c>
    </row>
    <row r="297" spans="2:10" x14ac:dyDescent="0.25">
      <c r="B297" s="3" t="str">
        <f>IF([1]SCHEDULE!B297="","",[1]SCHEDULE!B297)</f>
        <v>MIL</v>
      </c>
      <c r="C297" s="3">
        <f>IF([1]SCHEDULE!C297="","",[1]SCHEDULE!C297)</f>
        <v>40</v>
      </c>
      <c r="D297" s="1" t="str">
        <f>IF([1]SCHEDULE!D297="","",[1]SCHEDULE!D297)</f>
        <v>EA7 Emporio Armani Milan</v>
      </c>
      <c r="E297" s="1" t="str">
        <f>IF([1]SCHEDULE!E297="","",[1]SCHEDULE!E297)</f>
        <v/>
      </c>
      <c r="F297" s="6" t="str">
        <f>IF([1]SCHEDULE!F297="","",[1]SCHEDULE!F297)</f>
        <v/>
      </c>
      <c r="G297" s="3" t="str">
        <f>IF([1]SCHEDULE!G297="","",[1]SCHEDULE!G297)</f>
        <v/>
      </c>
      <c r="H297" s="3" t="str">
        <f>IF([1]SCHEDULE!H297="","",[1]SCHEDULE!H297)</f>
        <v/>
      </c>
      <c r="I297" s="3" t="str">
        <f>IF([1]SCHEDULE!I297="","",[1]SCHEDULE!I297)</f>
        <v/>
      </c>
      <c r="J297" s="3" t="str">
        <f>IF([1]SCHEDULE!J297="","",[1]SCHEDULE!J297)</f>
        <v/>
      </c>
    </row>
    <row r="298" spans="2:10" x14ac:dyDescent="0.25">
      <c r="B298" s="3" t="str">
        <f>IF([1]SCHEDULE!B298="","",[1]SCHEDULE!B298)</f>
        <v>MIL</v>
      </c>
      <c r="C298" s="3">
        <f>IF([1]SCHEDULE!C298="","",[1]SCHEDULE!C298)</f>
        <v>41</v>
      </c>
      <c r="D298" s="1" t="str">
        <f>IF([1]SCHEDULE!D298="","",[1]SCHEDULE!D298)</f>
        <v>EA7 Emporio Armani Milan</v>
      </c>
      <c r="E298" s="1" t="str">
        <f>IF([1]SCHEDULE!E298="","",[1]SCHEDULE!E298)</f>
        <v/>
      </c>
      <c r="F298" s="6" t="str">
        <f>IF([1]SCHEDULE!F298="","",[1]SCHEDULE!F298)</f>
        <v/>
      </c>
      <c r="G298" s="3" t="str">
        <f>IF([1]SCHEDULE!G298="","",[1]SCHEDULE!G298)</f>
        <v/>
      </c>
      <c r="H298" s="3" t="str">
        <f>IF([1]SCHEDULE!H298="","",[1]SCHEDULE!H298)</f>
        <v/>
      </c>
      <c r="I298" s="3" t="str">
        <f>IF([1]SCHEDULE!I298="","",[1]SCHEDULE!I298)</f>
        <v/>
      </c>
      <c r="J298" s="3" t="str">
        <f>IF([1]SCHEDULE!J298="","",[1]SCHEDULE!J298)</f>
        <v/>
      </c>
    </row>
    <row r="299" spans="2:10" x14ac:dyDescent="0.25">
      <c r="B299" s="3" t="str">
        <f>IF([1]SCHEDULE!B299="","",[1]SCHEDULE!B299)</f>
        <v>MIL</v>
      </c>
      <c r="C299" s="3">
        <f>IF([1]SCHEDULE!C299="","",[1]SCHEDULE!C299)</f>
        <v>42</v>
      </c>
      <c r="D299" s="1" t="str">
        <f>IF([1]SCHEDULE!D299="","",[1]SCHEDULE!D299)</f>
        <v>EA7 Emporio Armani Milan</v>
      </c>
      <c r="E299" s="1" t="str">
        <f>IF([1]SCHEDULE!E299="","",[1]SCHEDULE!E299)</f>
        <v/>
      </c>
      <c r="F299" s="6" t="str">
        <f>IF([1]SCHEDULE!F299="","",[1]SCHEDULE!F299)</f>
        <v/>
      </c>
      <c r="G299" s="3" t="str">
        <f>IF([1]SCHEDULE!G299="","",[1]SCHEDULE!G299)</f>
        <v/>
      </c>
      <c r="H299" s="3" t="str">
        <f>IF([1]SCHEDULE!H299="","",[1]SCHEDULE!H299)</f>
        <v/>
      </c>
      <c r="I299" s="3" t="str">
        <f>IF([1]SCHEDULE!I299="","",[1]SCHEDULE!I299)</f>
        <v/>
      </c>
      <c r="J299" s="3" t="str">
        <f>IF([1]SCHEDULE!J299="","",[1]SCHEDULE!J299)</f>
        <v/>
      </c>
    </row>
    <row r="300" spans="2:10" x14ac:dyDescent="0.25">
      <c r="B300" s="3" t="str">
        <f>IF([1]SCHEDULE!B300="","",[1]SCHEDULE!B300)</f>
        <v>MIL</v>
      </c>
      <c r="C300" s="3">
        <f>IF([1]SCHEDULE!C300="","",[1]SCHEDULE!C300)</f>
        <v>43</v>
      </c>
      <c r="D300" s="1" t="str">
        <f>IF([1]SCHEDULE!D300="","",[1]SCHEDULE!D300)</f>
        <v>EA7 Emporio Armani Milan</v>
      </c>
      <c r="E300" s="1" t="str">
        <f>IF([1]SCHEDULE!E300="","",[1]SCHEDULE!E300)</f>
        <v/>
      </c>
      <c r="F300" s="6" t="str">
        <f>IF([1]SCHEDULE!F300="","",[1]SCHEDULE!F300)</f>
        <v/>
      </c>
      <c r="G300" s="3" t="str">
        <f>IF([1]SCHEDULE!G300="","",[1]SCHEDULE!G300)</f>
        <v/>
      </c>
      <c r="H300" s="3" t="str">
        <f>IF([1]SCHEDULE!H300="","",[1]SCHEDULE!H300)</f>
        <v/>
      </c>
      <c r="I300" s="3" t="str">
        <f>IF([1]SCHEDULE!I300="","",[1]SCHEDULE!I300)</f>
        <v/>
      </c>
      <c r="J300" s="3" t="str">
        <f>IF([1]SCHEDULE!J300="","",[1]SCHEDULE!J300)</f>
        <v/>
      </c>
    </row>
    <row r="301" spans="2:10" x14ac:dyDescent="0.25">
      <c r="B301" s="3" t="str">
        <f>IF([1]SCHEDULE!B301="","",[1]SCHEDULE!B301)</f>
        <v>MIL</v>
      </c>
      <c r="C301" s="3">
        <f>IF([1]SCHEDULE!C301="","",[1]SCHEDULE!C301)</f>
        <v>44</v>
      </c>
      <c r="D301" s="1" t="str">
        <f>IF([1]SCHEDULE!D301="","",[1]SCHEDULE!D301)</f>
        <v>EA7 Emporio Armani Milan</v>
      </c>
      <c r="E301" s="1" t="str">
        <f>IF([1]SCHEDULE!E301="","",[1]SCHEDULE!E301)</f>
        <v/>
      </c>
      <c r="F301" s="6" t="str">
        <f>IF([1]SCHEDULE!F301="","",[1]SCHEDULE!F301)</f>
        <v/>
      </c>
      <c r="G301" s="3" t="str">
        <f>IF([1]SCHEDULE!G301="","",[1]SCHEDULE!G301)</f>
        <v/>
      </c>
      <c r="H301" s="3" t="str">
        <f>IF([1]SCHEDULE!H301="","",[1]SCHEDULE!H301)</f>
        <v/>
      </c>
      <c r="I301" s="3" t="str">
        <f>IF([1]SCHEDULE!I301="","",[1]SCHEDULE!I301)</f>
        <v/>
      </c>
      <c r="J301" s="3" t="str">
        <f>IF([1]SCHEDULE!J301="","",[1]SCHEDULE!J301)</f>
        <v/>
      </c>
    </row>
    <row r="302" spans="2:10" x14ac:dyDescent="0.25">
      <c r="B302" s="3" t="str">
        <f>IF([1]SCHEDULE!B302="","",[1]SCHEDULE!B302)</f>
        <v>MIL</v>
      </c>
      <c r="C302" s="3">
        <f>IF([1]SCHEDULE!C302="","",[1]SCHEDULE!C302)</f>
        <v>45</v>
      </c>
      <c r="D302" s="1" t="str">
        <f>IF([1]SCHEDULE!D302="","",[1]SCHEDULE!D302)</f>
        <v>EA7 Emporio Armani Milan</v>
      </c>
      <c r="E302" s="1" t="str">
        <f>IF([1]SCHEDULE!E302="","",[1]SCHEDULE!E302)</f>
        <v/>
      </c>
      <c r="F302" s="6" t="str">
        <f>IF([1]SCHEDULE!F302="","",[1]SCHEDULE!F302)</f>
        <v/>
      </c>
      <c r="G302" s="3" t="str">
        <f>IF([1]SCHEDULE!G302="","",[1]SCHEDULE!G302)</f>
        <v/>
      </c>
      <c r="H302" s="3" t="str">
        <f>IF([1]SCHEDULE!H302="","",[1]SCHEDULE!H302)</f>
        <v/>
      </c>
      <c r="I302" s="3" t="str">
        <f>IF([1]SCHEDULE!I302="","",[1]SCHEDULE!I302)</f>
        <v/>
      </c>
      <c r="J302" s="3" t="str">
        <f>IF([1]SCHEDULE!J302="","",[1]SCHEDULE!J302)</f>
        <v/>
      </c>
    </row>
    <row r="303" spans="2:10" x14ac:dyDescent="0.25">
      <c r="B303" s="3" t="str">
        <f>IF([1]SCHEDULE!B303="","",[1]SCHEDULE!B303)</f>
        <v>MIL</v>
      </c>
      <c r="C303" s="3">
        <f>IF([1]SCHEDULE!C303="","",[1]SCHEDULE!C303)</f>
        <v>46</v>
      </c>
      <c r="D303" s="1" t="str">
        <f>IF([1]SCHEDULE!D303="","",[1]SCHEDULE!D303)</f>
        <v>EA7 Emporio Armani Milan</v>
      </c>
      <c r="E303" s="1" t="str">
        <f>IF([1]SCHEDULE!E303="","",[1]SCHEDULE!E303)</f>
        <v/>
      </c>
      <c r="F303" s="6" t="str">
        <f>IF([1]SCHEDULE!F303="","",[1]SCHEDULE!F303)</f>
        <v/>
      </c>
      <c r="G303" s="3" t="str">
        <f>IF([1]SCHEDULE!G303="","",[1]SCHEDULE!G303)</f>
        <v/>
      </c>
      <c r="H303" s="3" t="str">
        <f>IF([1]SCHEDULE!H303="","",[1]SCHEDULE!H303)</f>
        <v/>
      </c>
      <c r="I303" s="3" t="str">
        <f>IF([1]SCHEDULE!I303="","",[1]SCHEDULE!I303)</f>
        <v/>
      </c>
      <c r="J303" s="3" t="str">
        <f>IF([1]SCHEDULE!J303="","",[1]SCHEDULE!J303)</f>
        <v/>
      </c>
    </row>
    <row r="304" spans="2:10" x14ac:dyDescent="0.25">
      <c r="B304" s="3" t="str">
        <f>IF([1]SCHEDULE!B304="","",[1]SCHEDULE!B304)</f>
        <v>MIL</v>
      </c>
      <c r="C304" s="3">
        <f>IF([1]SCHEDULE!C304="","",[1]SCHEDULE!C304)</f>
        <v>47</v>
      </c>
      <c r="D304" s="1" t="str">
        <f>IF([1]SCHEDULE!D304="","",[1]SCHEDULE!D304)</f>
        <v>EA7 Emporio Armani Milan</v>
      </c>
      <c r="E304" s="1" t="str">
        <f>IF([1]SCHEDULE!E304="","",[1]SCHEDULE!E304)</f>
        <v/>
      </c>
      <c r="F304" s="6" t="str">
        <f>IF([1]SCHEDULE!F304="","",[1]SCHEDULE!F304)</f>
        <v/>
      </c>
      <c r="G304" s="3" t="str">
        <f>IF([1]SCHEDULE!G304="","",[1]SCHEDULE!G304)</f>
        <v/>
      </c>
      <c r="H304" s="3" t="str">
        <f>IF([1]SCHEDULE!H304="","",[1]SCHEDULE!H304)</f>
        <v/>
      </c>
      <c r="I304" s="3" t="str">
        <f>IF([1]SCHEDULE!I304="","",[1]SCHEDULE!I304)</f>
        <v/>
      </c>
      <c r="J304" s="3" t="str">
        <f>IF([1]SCHEDULE!J304="","",[1]SCHEDULE!J304)</f>
        <v/>
      </c>
    </row>
    <row r="305" spans="2:10" x14ac:dyDescent="0.25">
      <c r="B305" s="3" t="str">
        <f>IF([1]SCHEDULE!B305="","",[1]SCHEDULE!B305)</f>
        <v>MIL</v>
      </c>
      <c r="C305" s="3">
        <f>IF([1]SCHEDULE!C305="","",[1]SCHEDULE!C305)</f>
        <v>48</v>
      </c>
      <c r="D305" s="1" t="str">
        <f>IF([1]SCHEDULE!D305="","",[1]SCHEDULE!D305)</f>
        <v>EA7 Emporio Armani Milan</v>
      </c>
      <c r="E305" s="1" t="str">
        <f>IF([1]SCHEDULE!E305="","",[1]SCHEDULE!E305)</f>
        <v/>
      </c>
      <c r="F305" s="6" t="str">
        <f>IF([1]SCHEDULE!F305="","",[1]SCHEDULE!F305)</f>
        <v/>
      </c>
      <c r="G305" s="3" t="str">
        <f>IF([1]SCHEDULE!G305="","",[1]SCHEDULE!G305)</f>
        <v/>
      </c>
      <c r="H305" s="3" t="str">
        <f>IF([1]SCHEDULE!H305="","",[1]SCHEDULE!H305)</f>
        <v/>
      </c>
      <c r="I305" s="3" t="str">
        <f>IF([1]SCHEDULE!I305="","",[1]SCHEDULE!I305)</f>
        <v/>
      </c>
      <c r="J305" s="3" t="str">
        <f>IF([1]SCHEDULE!J305="","",[1]SCHEDULE!J305)</f>
        <v/>
      </c>
    </row>
    <row r="306" spans="2:10" x14ac:dyDescent="0.25">
      <c r="B306" s="3" t="str">
        <f>IF([1]SCHEDULE!B306="","",[1]SCHEDULE!B306)</f>
        <v>MIL</v>
      </c>
      <c r="C306" s="3">
        <f>IF([1]SCHEDULE!C306="","",[1]SCHEDULE!C306)</f>
        <v>49</v>
      </c>
      <c r="D306" s="1" t="str">
        <f>IF([1]SCHEDULE!D306="","",[1]SCHEDULE!D306)</f>
        <v>EA7 Emporio Armani Milan</v>
      </c>
      <c r="E306" s="1" t="str">
        <f>IF([1]SCHEDULE!E306="","",[1]SCHEDULE!E306)</f>
        <v/>
      </c>
      <c r="F306" s="6" t="str">
        <f>IF([1]SCHEDULE!F306="","",[1]SCHEDULE!F306)</f>
        <v/>
      </c>
      <c r="G306" s="3" t="str">
        <f>IF([1]SCHEDULE!G306="","",[1]SCHEDULE!G306)</f>
        <v/>
      </c>
      <c r="H306" s="3" t="str">
        <f>IF([1]SCHEDULE!H306="","",[1]SCHEDULE!H306)</f>
        <v/>
      </c>
      <c r="I306" s="3" t="str">
        <f>IF([1]SCHEDULE!I306="","",[1]SCHEDULE!I306)</f>
        <v/>
      </c>
      <c r="J306" s="3" t="str">
        <f>IF([1]SCHEDULE!J306="","",[1]SCHEDULE!J306)</f>
        <v/>
      </c>
    </row>
    <row r="307" spans="2:10" x14ac:dyDescent="0.25">
      <c r="B307" s="3" t="str">
        <f>IF([1]SCHEDULE!B307="","",[1]SCHEDULE!B307)</f>
        <v>MIL</v>
      </c>
      <c r="C307" s="3">
        <f>IF([1]SCHEDULE!C307="","",[1]SCHEDULE!C307)</f>
        <v>50</v>
      </c>
      <c r="D307" s="1" t="str">
        <f>IF([1]SCHEDULE!D307="","",[1]SCHEDULE!D307)</f>
        <v>EA7 Emporio Armani Milan</v>
      </c>
      <c r="E307" s="1" t="str">
        <f>IF([1]SCHEDULE!E307="","",[1]SCHEDULE!E307)</f>
        <v/>
      </c>
      <c r="F307" s="6" t="str">
        <f>IF([1]SCHEDULE!F307="","",[1]SCHEDULE!F307)</f>
        <v/>
      </c>
      <c r="G307" s="3" t="str">
        <f>IF([1]SCHEDULE!G307="","",[1]SCHEDULE!G307)</f>
        <v/>
      </c>
      <c r="H307" s="3" t="str">
        <f>IF([1]SCHEDULE!H307="","",[1]SCHEDULE!H307)</f>
        <v/>
      </c>
      <c r="I307" s="3" t="str">
        <f>IF([1]SCHEDULE!I307="","",[1]SCHEDULE!I307)</f>
        <v/>
      </c>
      <c r="J307" s="3" t="str">
        <f>IF([1]SCHEDULE!J307="","",[1]SCHEDULE!J307)</f>
        <v/>
      </c>
    </row>
    <row r="308" spans="2:10" x14ac:dyDescent="0.25">
      <c r="B308" s="3" t="str">
        <f>IF([1]SCHEDULE!B308="","",[1]SCHEDULE!B308)</f>
        <v>MIL</v>
      </c>
      <c r="C308" s="3">
        <f>IF([1]SCHEDULE!C308="","",[1]SCHEDULE!C308)</f>
        <v>51</v>
      </c>
      <c r="D308" s="1" t="str">
        <f>IF([1]SCHEDULE!D308="","",[1]SCHEDULE!D308)</f>
        <v>EA7 Emporio Armani Milan</v>
      </c>
      <c r="E308" s="1" t="str">
        <f>IF([1]SCHEDULE!E308="","",[1]SCHEDULE!E308)</f>
        <v/>
      </c>
      <c r="F308" s="6" t="str">
        <f>IF([1]SCHEDULE!F308="","",[1]SCHEDULE!F308)</f>
        <v/>
      </c>
      <c r="G308" s="3" t="str">
        <f>IF([1]SCHEDULE!G308="","",[1]SCHEDULE!G308)</f>
        <v/>
      </c>
      <c r="H308" s="3" t="str">
        <f>IF([1]SCHEDULE!H308="","",[1]SCHEDULE!H308)</f>
        <v/>
      </c>
      <c r="I308" s="3" t="str">
        <f>IF([1]SCHEDULE!I308="","",[1]SCHEDULE!I308)</f>
        <v/>
      </c>
      <c r="J308" s="3" t="str">
        <f>IF([1]SCHEDULE!J308="","",[1]SCHEDULE!J308)</f>
        <v/>
      </c>
    </row>
    <row r="309" spans="2:10" x14ac:dyDescent="0.25">
      <c r="B309" s="3" t="str">
        <f>IF([1]SCHEDULE!B309="","",[1]SCHEDULE!B309)</f>
        <v>FCB</v>
      </c>
      <c r="C309" s="3">
        <f>IF([1]SCHEDULE!C309="","",[1]SCHEDULE!C309)</f>
        <v>1</v>
      </c>
      <c r="D309" s="1" t="str">
        <f>IF([1]SCHEDULE!D309="","",[1]SCHEDULE!D309)</f>
        <v>FC Barcelona</v>
      </c>
      <c r="E309" s="1" t="str">
        <f>IF([1]SCHEDULE!E309="","",[1]SCHEDULE!E309)</f>
        <v>Anadolu Efes Istanbul</v>
      </c>
      <c r="F309" s="6">
        <f>IF([1]SCHEDULE!F309="","",[1]SCHEDULE!F309)</f>
        <v>45204</v>
      </c>
      <c r="G309" s="3" t="str">
        <f>IF([1]SCHEDULE!G309="","",[1]SCHEDULE!G309)</f>
        <v>H</v>
      </c>
      <c r="H309" s="3" t="str">
        <f>IF([1]SCHEDULE!H309="","",[1]SCHEDULE!H309)</f>
        <v>EFE</v>
      </c>
      <c r="I309" s="3" t="str">
        <f>IF([1]SCHEDULE!I309="","",[1]SCHEDULE!I309)</f>
        <v>1.FCB</v>
      </c>
      <c r="J309" s="3" t="str">
        <f>IF([1]SCHEDULE!J309="","",[1]SCHEDULE!J309)</f>
        <v>1.EFE</v>
      </c>
    </row>
    <row r="310" spans="2:10" x14ac:dyDescent="0.25">
      <c r="B310" s="3" t="str">
        <f>IF([1]SCHEDULE!B310="","",[1]SCHEDULE!B310)</f>
        <v>FCB</v>
      </c>
      <c r="C310" s="3">
        <f>IF([1]SCHEDULE!C310="","",[1]SCHEDULE!C310)</f>
        <v>2</v>
      </c>
      <c r="D310" s="1" t="str">
        <f>IF([1]SCHEDULE!D310="","",[1]SCHEDULE!D310)</f>
        <v>FC Barcelona</v>
      </c>
      <c r="E310" s="1" t="str">
        <f>IF([1]SCHEDULE!E310="","",[1]SCHEDULE!E310)</f>
        <v>Olympiacos Piraeus</v>
      </c>
      <c r="F310" s="6">
        <f>IF([1]SCHEDULE!F310="","",[1]SCHEDULE!F310)</f>
        <v>45212</v>
      </c>
      <c r="G310" s="3" t="str">
        <f>IF([1]SCHEDULE!G310="","",[1]SCHEDULE!G310)</f>
        <v>A</v>
      </c>
      <c r="H310" s="3" t="str">
        <f>IF([1]SCHEDULE!H310="","",[1]SCHEDULE!H310)</f>
        <v>OLY</v>
      </c>
      <c r="I310" s="3" t="str">
        <f>IF([1]SCHEDULE!I310="","",[1]SCHEDULE!I310)</f>
        <v>2.FCB</v>
      </c>
      <c r="J310" s="3" t="str">
        <f>IF([1]SCHEDULE!J310="","",[1]SCHEDULE!J310)</f>
        <v>2.OLY</v>
      </c>
    </row>
    <row r="311" spans="2:10" x14ac:dyDescent="0.25">
      <c r="B311" s="3" t="str">
        <f>IF([1]SCHEDULE!B311="","",[1]SCHEDULE!B311)</f>
        <v>FCB</v>
      </c>
      <c r="C311" s="3">
        <f>IF([1]SCHEDULE!C311="","",[1]SCHEDULE!C311)</f>
        <v>3</v>
      </c>
      <c r="D311" s="1" t="str">
        <f>IF([1]SCHEDULE!D311="","",[1]SCHEDULE!D311)</f>
        <v>FC Barcelona</v>
      </c>
      <c r="E311" s="1" t="str">
        <f>IF([1]SCHEDULE!E311="","",[1]SCHEDULE!E311)</f>
        <v>Partizan Mozzart Bet Belgrade</v>
      </c>
      <c r="F311" s="6">
        <f>IF([1]SCHEDULE!F311="","",[1]SCHEDULE!F311)</f>
        <v>45216</v>
      </c>
      <c r="G311" s="3" t="str">
        <f>IF([1]SCHEDULE!G311="","",[1]SCHEDULE!G311)</f>
        <v>A</v>
      </c>
      <c r="H311" s="3" t="str">
        <f>IF([1]SCHEDULE!H311="","",[1]SCHEDULE!H311)</f>
        <v>PAR</v>
      </c>
      <c r="I311" s="3" t="str">
        <f>IF([1]SCHEDULE!I311="","",[1]SCHEDULE!I311)</f>
        <v>3.FCB</v>
      </c>
      <c r="J311" s="3" t="str">
        <f>IF([1]SCHEDULE!J311="","",[1]SCHEDULE!J311)</f>
        <v>3.PAR</v>
      </c>
    </row>
    <row r="312" spans="2:10" x14ac:dyDescent="0.25">
      <c r="B312" s="3" t="str">
        <f>IF([1]SCHEDULE!B312="","",[1]SCHEDULE!B312)</f>
        <v>FCB</v>
      </c>
      <c r="C312" s="3">
        <f>IF([1]SCHEDULE!C312="","",[1]SCHEDULE!C312)</f>
        <v>4</v>
      </c>
      <c r="D312" s="1" t="str">
        <f>IF([1]SCHEDULE!D312="","",[1]SCHEDULE!D312)</f>
        <v>FC Barcelona</v>
      </c>
      <c r="E312" s="1" t="str">
        <f>IF([1]SCHEDULE!E312="","",[1]SCHEDULE!E312)</f>
        <v>FC Bayern Munich</v>
      </c>
      <c r="F312" s="6">
        <f>IF([1]SCHEDULE!F312="","",[1]SCHEDULE!F312)</f>
        <v>45219</v>
      </c>
      <c r="G312" s="3" t="str">
        <f>IF([1]SCHEDULE!G312="","",[1]SCHEDULE!G312)</f>
        <v>H</v>
      </c>
      <c r="H312" s="3" t="str">
        <f>IF([1]SCHEDULE!H312="","",[1]SCHEDULE!H312)</f>
        <v>BAY</v>
      </c>
      <c r="I312" s="3" t="str">
        <f>IF([1]SCHEDULE!I312="","",[1]SCHEDULE!I312)</f>
        <v>4.FCB</v>
      </c>
      <c r="J312" s="3" t="str">
        <f>IF([1]SCHEDULE!J312="","",[1]SCHEDULE!J312)</f>
        <v>4.BAY</v>
      </c>
    </row>
    <row r="313" spans="2:10" x14ac:dyDescent="0.25">
      <c r="B313" s="3" t="str">
        <f>IF([1]SCHEDULE!B313="","",[1]SCHEDULE!B313)</f>
        <v>FCB</v>
      </c>
      <c r="C313" s="3">
        <f>IF([1]SCHEDULE!C313="","",[1]SCHEDULE!C313)</f>
        <v>5</v>
      </c>
      <c r="D313" s="1" t="str">
        <f>IF([1]SCHEDULE!D313="","",[1]SCHEDULE!D313)</f>
        <v>FC Barcelona</v>
      </c>
      <c r="E313" s="1" t="str">
        <f>IF([1]SCHEDULE!E313="","",[1]SCHEDULE!E313)</f>
        <v>Real Madrid</v>
      </c>
      <c r="F313" s="6">
        <f>IF([1]SCHEDULE!F313="","",[1]SCHEDULE!F313)</f>
        <v>45225</v>
      </c>
      <c r="G313" s="3" t="str">
        <f>IF([1]SCHEDULE!G313="","",[1]SCHEDULE!G313)</f>
        <v>A</v>
      </c>
      <c r="H313" s="3" t="str">
        <f>IF([1]SCHEDULE!H313="","",[1]SCHEDULE!H313)</f>
        <v>RMB</v>
      </c>
      <c r="I313" s="3" t="str">
        <f>IF([1]SCHEDULE!I313="","",[1]SCHEDULE!I313)</f>
        <v>5.FCB</v>
      </c>
      <c r="J313" s="3" t="str">
        <f>IF([1]SCHEDULE!J313="","",[1]SCHEDULE!J313)</f>
        <v>5.RMB</v>
      </c>
    </row>
    <row r="314" spans="2:10" x14ac:dyDescent="0.25">
      <c r="B314" s="3" t="str">
        <f>IF([1]SCHEDULE!B314="","",[1]SCHEDULE!B314)</f>
        <v>FCB</v>
      </c>
      <c r="C314" s="3">
        <f>IF([1]SCHEDULE!C314="","",[1]SCHEDULE!C314)</f>
        <v>6</v>
      </c>
      <c r="D314" s="1" t="str">
        <f>IF([1]SCHEDULE!D314="","",[1]SCHEDULE!D314)</f>
        <v>FC Barcelona</v>
      </c>
      <c r="E314" s="1" t="str">
        <f>IF([1]SCHEDULE!E314="","",[1]SCHEDULE!E314)</f>
        <v>Panathinaikos Athens</v>
      </c>
      <c r="F314" s="6">
        <f>IF([1]SCHEDULE!F314="","",[1]SCHEDULE!F314)</f>
        <v>45233</v>
      </c>
      <c r="G314" s="3" t="str">
        <f>IF([1]SCHEDULE!G314="","",[1]SCHEDULE!G314)</f>
        <v>H</v>
      </c>
      <c r="H314" s="3" t="str">
        <f>IF([1]SCHEDULE!H314="","",[1]SCHEDULE!H314)</f>
        <v>PAN</v>
      </c>
      <c r="I314" s="3" t="str">
        <f>IF([1]SCHEDULE!I314="","",[1]SCHEDULE!I314)</f>
        <v>6.FCB</v>
      </c>
      <c r="J314" s="3" t="str">
        <f>IF([1]SCHEDULE!J314="","",[1]SCHEDULE!J314)</f>
        <v>6.PAN</v>
      </c>
    </row>
    <row r="315" spans="2:10" x14ac:dyDescent="0.25">
      <c r="B315" s="3" t="str">
        <f>IF([1]SCHEDULE!B315="","",[1]SCHEDULE!B315)</f>
        <v>FCB</v>
      </c>
      <c r="C315" s="3">
        <f>IF([1]SCHEDULE!C315="","",[1]SCHEDULE!C315)</f>
        <v>7</v>
      </c>
      <c r="D315" s="1" t="str">
        <f>IF([1]SCHEDULE!D315="","",[1]SCHEDULE!D315)</f>
        <v>FC Barcelona</v>
      </c>
      <c r="E315" s="1" t="str">
        <f>IF([1]SCHEDULE!E315="","",[1]SCHEDULE!E315)</f>
        <v>Crvena Zvezda Meridianbet Belgrade</v>
      </c>
      <c r="F315" s="6">
        <f>IF([1]SCHEDULE!F315="","",[1]SCHEDULE!F315)</f>
        <v>45240</v>
      </c>
      <c r="G315" s="3" t="str">
        <f>IF([1]SCHEDULE!G315="","",[1]SCHEDULE!G315)</f>
        <v>H</v>
      </c>
      <c r="H315" s="3" t="str">
        <f>IF([1]SCHEDULE!H315="","",[1]SCHEDULE!H315)</f>
        <v>CZB</v>
      </c>
      <c r="I315" s="3" t="str">
        <f>IF([1]SCHEDULE!I315="","",[1]SCHEDULE!I315)</f>
        <v>7.FCB</v>
      </c>
      <c r="J315" s="3" t="str">
        <f>IF([1]SCHEDULE!J315="","",[1]SCHEDULE!J315)</f>
        <v>7.CZB</v>
      </c>
    </row>
    <row r="316" spans="2:10" x14ac:dyDescent="0.25">
      <c r="B316" s="3" t="str">
        <f>IF([1]SCHEDULE!B316="","",[1]SCHEDULE!B316)</f>
        <v>FCB</v>
      </c>
      <c r="C316" s="3">
        <f>IF([1]SCHEDULE!C316="","",[1]SCHEDULE!C316)</f>
        <v>8</v>
      </c>
      <c r="D316" s="1" t="str">
        <f>IF([1]SCHEDULE!D316="","",[1]SCHEDULE!D316)</f>
        <v>FC Barcelona</v>
      </c>
      <c r="E316" s="1" t="str">
        <f>IF([1]SCHEDULE!E316="","",[1]SCHEDULE!E316)</f>
        <v>Baskonia Vitoria-Gasteiz</v>
      </c>
      <c r="F316" s="6">
        <f>IF([1]SCHEDULE!F316="","",[1]SCHEDULE!F316)</f>
        <v>45245</v>
      </c>
      <c r="G316" s="3" t="str">
        <f>IF([1]SCHEDULE!G316="","",[1]SCHEDULE!G316)</f>
        <v>A</v>
      </c>
      <c r="H316" s="3" t="str">
        <f>IF([1]SCHEDULE!H316="","",[1]SCHEDULE!H316)</f>
        <v>BAS</v>
      </c>
      <c r="I316" s="3" t="str">
        <f>IF([1]SCHEDULE!I316="","",[1]SCHEDULE!I316)</f>
        <v>8.FCB</v>
      </c>
      <c r="J316" s="3" t="str">
        <f>IF([1]SCHEDULE!J316="","",[1]SCHEDULE!J316)</f>
        <v>8.BAS</v>
      </c>
    </row>
    <row r="317" spans="2:10" x14ac:dyDescent="0.25">
      <c r="B317" s="3" t="str">
        <f>IF([1]SCHEDULE!B317="","",[1]SCHEDULE!B317)</f>
        <v>FCB</v>
      </c>
      <c r="C317" s="3">
        <f>IF([1]SCHEDULE!C317="","",[1]SCHEDULE!C317)</f>
        <v>9</v>
      </c>
      <c r="D317" s="1" t="str">
        <f>IF([1]SCHEDULE!D317="","",[1]SCHEDULE!D317)</f>
        <v>FC Barcelona</v>
      </c>
      <c r="E317" s="1" t="str">
        <f>IF([1]SCHEDULE!E317="","",[1]SCHEDULE!E317)</f>
        <v>Valencia Basket</v>
      </c>
      <c r="F317" s="6">
        <f>IF([1]SCHEDULE!F317="","",[1]SCHEDULE!F317)</f>
        <v>45247</v>
      </c>
      <c r="G317" s="3" t="str">
        <f>IF([1]SCHEDULE!G317="","",[1]SCHEDULE!G317)</f>
        <v>H</v>
      </c>
      <c r="H317" s="3" t="str">
        <f>IF([1]SCHEDULE!H317="","",[1]SCHEDULE!H317)</f>
        <v>VAL</v>
      </c>
      <c r="I317" s="3" t="str">
        <f>IF([1]SCHEDULE!I317="","",[1]SCHEDULE!I317)</f>
        <v>9.FCB</v>
      </c>
      <c r="J317" s="3" t="str">
        <f>IF([1]SCHEDULE!J317="","",[1]SCHEDULE!J317)</f>
        <v>9.VAL</v>
      </c>
    </row>
    <row r="318" spans="2:10" x14ac:dyDescent="0.25">
      <c r="B318" s="3" t="str">
        <f>IF([1]SCHEDULE!B318="","",[1]SCHEDULE!B318)</f>
        <v>FCB</v>
      </c>
      <c r="C318" s="3">
        <f>IF([1]SCHEDULE!C318="","",[1]SCHEDULE!C318)</f>
        <v>10</v>
      </c>
      <c r="D318" s="1" t="str">
        <f>IF([1]SCHEDULE!D318="","",[1]SCHEDULE!D318)</f>
        <v>FC Barcelona</v>
      </c>
      <c r="E318" s="1" t="str">
        <f>IF([1]SCHEDULE!E318="","",[1]SCHEDULE!E318)</f>
        <v>Maccabi Playtika Tel Aviv</v>
      </c>
      <c r="F318" s="6">
        <f>IF([1]SCHEDULE!F318="","",[1]SCHEDULE!F318)</f>
        <v>45253</v>
      </c>
      <c r="G318" s="3" t="str">
        <f>IF([1]SCHEDULE!G318="","",[1]SCHEDULE!G318)</f>
        <v>A</v>
      </c>
      <c r="H318" s="3" t="str">
        <f>IF([1]SCHEDULE!H318="","",[1]SCHEDULE!H318)</f>
        <v>MTA</v>
      </c>
      <c r="I318" s="3" t="str">
        <f>IF([1]SCHEDULE!I318="","",[1]SCHEDULE!I318)</f>
        <v>10.FCB</v>
      </c>
      <c r="J318" s="3" t="str">
        <f>IF([1]SCHEDULE!J318="","",[1]SCHEDULE!J318)</f>
        <v>10.MTA</v>
      </c>
    </row>
    <row r="319" spans="2:10" x14ac:dyDescent="0.25">
      <c r="B319" s="3" t="str">
        <f>IF([1]SCHEDULE!B319="","",[1]SCHEDULE!B319)</f>
        <v>FCB</v>
      </c>
      <c r="C319" s="3">
        <f>IF([1]SCHEDULE!C319="","",[1]SCHEDULE!C319)</f>
        <v>11</v>
      </c>
      <c r="D319" s="1" t="str">
        <f>IF([1]SCHEDULE!D319="","",[1]SCHEDULE!D319)</f>
        <v>FC Barcelona</v>
      </c>
      <c r="E319" s="1" t="str">
        <f>IF([1]SCHEDULE!E319="","",[1]SCHEDULE!E319)</f>
        <v>LDLC ASVEL Villeurbanne</v>
      </c>
      <c r="F319" s="6">
        <f>IF([1]SCHEDULE!F319="","",[1]SCHEDULE!F319)</f>
        <v>45261</v>
      </c>
      <c r="G319" s="3" t="str">
        <f>IF([1]SCHEDULE!G319="","",[1]SCHEDULE!G319)</f>
        <v>H</v>
      </c>
      <c r="H319" s="3" t="str">
        <f>IF([1]SCHEDULE!H319="","",[1]SCHEDULE!H319)</f>
        <v>ASV</v>
      </c>
      <c r="I319" s="3" t="str">
        <f>IF([1]SCHEDULE!I319="","",[1]SCHEDULE!I319)</f>
        <v>11.FCB</v>
      </c>
      <c r="J319" s="3" t="str">
        <f>IF([1]SCHEDULE!J319="","",[1]SCHEDULE!J319)</f>
        <v>11.ASV</v>
      </c>
    </row>
    <row r="320" spans="2:10" x14ac:dyDescent="0.25">
      <c r="B320" s="3" t="str">
        <f>IF([1]SCHEDULE!B320="","",[1]SCHEDULE!B320)</f>
        <v>FCB</v>
      </c>
      <c r="C320" s="3">
        <f>IF([1]SCHEDULE!C320="","",[1]SCHEDULE!C320)</f>
        <v>12</v>
      </c>
      <c r="D320" s="1" t="str">
        <f>IF([1]SCHEDULE!D320="","",[1]SCHEDULE!D320)</f>
        <v>FC Barcelona</v>
      </c>
      <c r="E320" s="1" t="str">
        <f>IF([1]SCHEDULE!E320="","",[1]SCHEDULE!E320)</f>
        <v>Virtus Segafredo Bologna</v>
      </c>
      <c r="F320" s="6">
        <f>IF([1]SCHEDULE!F320="","",[1]SCHEDULE!F320)</f>
        <v>45266</v>
      </c>
      <c r="G320" s="3" t="str">
        <f>IF([1]SCHEDULE!G320="","",[1]SCHEDULE!G320)</f>
        <v>A</v>
      </c>
      <c r="H320" s="3" t="str">
        <f>IF([1]SCHEDULE!H320="","",[1]SCHEDULE!H320)</f>
        <v>VIR</v>
      </c>
      <c r="I320" s="3" t="str">
        <f>IF([1]SCHEDULE!I320="","",[1]SCHEDULE!I320)</f>
        <v>12.FCB</v>
      </c>
      <c r="J320" s="3" t="str">
        <f>IF([1]SCHEDULE!J320="","",[1]SCHEDULE!J320)</f>
        <v>12.VIR</v>
      </c>
    </row>
    <row r="321" spans="2:10" x14ac:dyDescent="0.25">
      <c r="B321" s="3" t="str">
        <f>IF([1]SCHEDULE!B321="","",[1]SCHEDULE!B321)</f>
        <v>FCB</v>
      </c>
      <c r="C321" s="3">
        <f>IF([1]SCHEDULE!C321="","",[1]SCHEDULE!C321)</f>
        <v>13</v>
      </c>
      <c r="D321" s="1" t="str">
        <f>IF([1]SCHEDULE!D321="","",[1]SCHEDULE!D321)</f>
        <v>FC Barcelona</v>
      </c>
      <c r="E321" s="1" t="str">
        <f>IF([1]SCHEDULE!E321="","",[1]SCHEDULE!E321)</f>
        <v>Fenerbahce Beko Istanbul</v>
      </c>
      <c r="F321" s="6">
        <f>IF([1]SCHEDULE!F321="","",[1]SCHEDULE!F321)</f>
        <v>45268</v>
      </c>
      <c r="G321" s="3" t="str">
        <f>IF([1]SCHEDULE!G321="","",[1]SCHEDULE!G321)</f>
        <v>H</v>
      </c>
      <c r="H321" s="3" t="str">
        <f>IF([1]SCHEDULE!H321="","",[1]SCHEDULE!H321)</f>
        <v>FEN</v>
      </c>
      <c r="I321" s="3" t="str">
        <f>IF([1]SCHEDULE!I321="","",[1]SCHEDULE!I321)</f>
        <v>13.FCB</v>
      </c>
      <c r="J321" s="3" t="str">
        <f>IF([1]SCHEDULE!J321="","",[1]SCHEDULE!J321)</f>
        <v>13.FEN</v>
      </c>
    </row>
    <row r="322" spans="2:10" x14ac:dyDescent="0.25">
      <c r="B322" s="3" t="str">
        <f>IF([1]SCHEDULE!B322="","",[1]SCHEDULE!B322)</f>
        <v>FCB</v>
      </c>
      <c r="C322" s="3">
        <f>IF([1]SCHEDULE!C322="","",[1]SCHEDULE!C322)</f>
        <v>14</v>
      </c>
      <c r="D322" s="1" t="str">
        <f>IF([1]SCHEDULE!D322="","",[1]SCHEDULE!D322)</f>
        <v>FC Barcelona</v>
      </c>
      <c r="E322" s="1" t="str">
        <f>IF([1]SCHEDULE!E322="","",[1]SCHEDULE!E322)</f>
        <v>EA7 Emporio Armani Milan</v>
      </c>
      <c r="F322" s="6">
        <f>IF([1]SCHEDULE!F322="","",[1]SCHEDULE!F322)</f>
        <v>45275</v>
      </c>
      <c r="G322" s="3" t="str">
        <f>IF([1]SCHEDULE!G322="","",[1]SCHEDULE!G322)</f>
        <v>H</v>
      </c>
      <c r="H322" s="3" t="str">
        <f>IF([1]SCHEDULE!H322="","",[1]SCHEDULE!H322)</f>
        <v>MIL</v>
      </c>
      <c r="I322" s="3" t="str">
        <f>IF([1]SCHEDULE!I322="","",[1]SCHEDULE!I322)</f>
        <v>14.FCB</v>
      </c>
      <c r="J322" s="3" t="str">
        <f>IF([1]SCHEDULE!J322="","",[1]SCHEDULE!J322)</f>
        <v>14.MIL</v>
      </c>
    </row>
    <row r="323" spans="2:10" x14ac:dyDescent="0.25">
      <c r="B323" s="3" t="str">
        <f>IF([1]SCHEDULE!B323="","",[1]SCHEDULE!B323)</f>
        <v>FCB</v>
      </c>
      <c r="C323" s="3">
        <f>IF([1]SCHEDULE!C323="","",[1]SCHEDULE!C323)</f>
        <v>15</v>
      </c>
      <c r="D323" s="1" t="str">
        <f>IF([1]SCHEDULE!D323="","",[1]SCHEDULE!D323)</f>
        <v>FC Barcelona</v>
      </c>
      <c r="E323" s="1" t="str">
        <f>IF([1]SCHEDULE!E323="","",[1]SCHEDULE!E323)</f>
        <v>ALBA Berlin</v>
      </c>
      <c r="F323" s="6">
        <f>IF([1]SCHEDULE!F323="","",[1]SCHEDULE!F323)</f>
        <v>45279</v>
      </c>
      <c r="G323" s="3" t="str">
        <f>IF([1]SCHEDULE!G323="","",[1]SCHEDULE!G323)</f>
        <v>A</v>
      </c>
      <c r="H323" s="3" t="str">
        <f>IF([1]SCHEDULE!H323="","",[1]SCHEDULE!H323)</f>
        <v>BER</v>
      </c>
      <c r="I323" s="3" t="str">
        <f>IF([1]SCHEDULE!I323="","",[1]SCHEDULE!I323)</f>
        <v>15.FCB</v>
      </c>
      <c r="J323" s="3" t="str">
        <f>IF([1]SCHEDULE!J323="","",[1]SCHEDULE!J323)</f>
        <v>15.BER</v>
      </c>
    </row>
    <row r="324" spans="2:10" x14ac:dyDescent="0.25">
      <c r="B324" s="3" t="str">
        <f>IF([1]SCHEDULE!B324="","",[1]SCHEDULE!B324)</f>
        <v>FCB</v>
      </c>
      <c r="C324" s="3">
        <f>IF([1]SCHEDULE!C324="","",[1]SCHEDULE!C324)</f>
        <v>16</v>
      </c>
      <c r="D324" s="1" t="str">
        <f>IF([1]SCHEDULE!D324="","",[1]SCHEDULE!D324)</f>
        <v>FC Barcelona</v>
      </c>
      <c r="E324" s="1" t="str">
        <f>IF([1]SCHEDULE!E324="","",[1]SCHEDULE!E324)</f>
        <v>Zalgiris Kaunas</v>
      </c>
      <c r="F324" s="6">
        <f>IF([1]SCHEDULE!F324="","",[1]SCHEDULE!F324)</f>
        <v>45282</v>
      </c>
      <c r="G324" s="3" t="str">
        <f>IF([1]SCHEDULE!G324="","",[1]SCHEDULE!G324)</f>
        <v>A</v>
      </c>
      <c r="H324" s="3" t="str">
        <f>IF([1]SCHEDULE!H324="","",[1]SCHEDULE!H324)</f>
        <v>ZAL</v>
      </c>
      <c r="I324" s="3" t="str">
        <f>IF([1]SCHEDULE!I324="","",[1]SCHEDULE!I324)</f>
        <v>16.FCB</v>
      </c>
      <c r="J324" s="3" t="str">
        <f>IF([1]SCHEDULE!J324="","",[1]SCHEDULE!J324)</f>
        <v>16.ZAL</v>
      </c>
    </row>
    <row r="325" spans="2:10" x14ac:dyDescent="0.25">
      <c r="B325" s="3" t="str">
        <f>IF([1]SCHEDULE!B325="","",[1]SCHEDULE!B325)</f>
        <v>FCB</v>
      </c>
      <c r="C325" s="3">
        <f>IF([1]SCHEDULE!C325="","",[1]SCHEDULE!C325)</f>
        <v>17</v>
      </c>
      <c r="D325" s="1" t="str">
        <f>IF([1]SCHEDULE!D325="","",[1]SCHEDULE!D325)</f>
        <v>FC Barcelona</v>
      </c>
      <c r="E325" s="1" t="str">
        <f>IF([1]SCHEDULE!E325="","",[1]SCHEDULE!E325)</f>
        <v>AS Monaco</v>
      </c>
      <c r="F325" s="6">
        <f>IF([1]SCHEDULE!F325="","",[1]SCHEDULE!F325)</f>
        <v>45289</v>
      </c>
      <c r="G325" s="3" t="str">
        <f>IF([1]SCHEDULE!G325="","",[1]SCHEDULE!G325)</f>
        <v>A</v>
      </c>
      <c r="H325" s="3" t="str">
        <f>IF([1]SCHEDULE!H325="","",[1]SCHEDULE!H325)</f>
        <v>ASM</v>
      </c>
      <c r="I325" s="3" t="str">
        <f>IF([1]SCHEDULE!I325="","",[1]SCHEDULE!I325)</f>
        <v>17.FCB</v>
      </c>
      <c r="J325" s="3" t="str">
        <f>IF([1]SCHEDULE!J325="","",[1]SCHEDULE!J325)</f>
        <v>17.ASM</v>
      </c>
    </row>
    <row r="326" spans="2:10" x14ac:dyDescent="0.25">
      <c r="B326" s="3" t="str">
        <f>IF([1]SCHEDULE!B326="","",[1]SCHEDULE!B326)</f>
        <v>FCB</v>
      </c>
      <c r="C326" s="3">
        <f>IF([1]SCHEDULE!C326="","",[1]SCHEDULE!C326)</f>
        <v>18</v>
      </c>
      <c r="D326" s="1" t="str">
        <f>IF([1]SCHEDULE!D326="","",[1]SCHEDULE!D326)</f>
        <v>FC Barcelona</v>
      </c>
      <c r="E326" s="1" t="str">
        <f>IF([1]SCHEDULE!E326="","",[1]SCHEDULE!E326)</f>
        <v>Real Madrid</v>
      </c>
      <c r="F326" s="6">
        <f>IF([1]SCHEDULE!F326="","",[1]SCHEDULE!F326)</f>
        <v>45294</v>
      </c>
      <c r="G326" s="3" t="str">
        <f>IF([1]SCHEDULE!G326="","",[1]SCHEDULE!G326)</f>
        <v>H</v>
      </c>
      <c r="H326" s="3" t="str">
        <f>IF([1]SCHEDULE!H326="","",[1]SCHEDULE!H326)</f>
        <v>RMB</v>
      </c>
      <c r="I326" s="3" t="str">
        <f>IF([1]SCHEDULE!I326="","",[1]SCHEDULE!I326)</f>
        <v>18.FCB</v>
      </c>
      <c r="J326" s="3" t="str">
        <f>IF([1]SCHEDULE!J326="","",[1]SCHEDULE!J326)</f>
        <v>18.RMB</v>
      </c>
    </row>
    <row r="327" spans="2:10" x14ac:dyDescent="0.25">
      <c r="B327" s="3" t="str">
        <f>IF([1]SCHEDULE!B327="","",[1]SCHEDULE!B327)</f>
        <v>FCB</v>
      </c>
      <c r="C327" s="3">
        <f>IF([1]SCHEDULE!C327="","",[1]SCHEDULE!C327)</f>
        <v>19</v>
      </c>
      <c r="D327" s="1" t="str">
        <f>IF([1]SCHEDULE!D327="","",[1]SCHEDULE!D327)</f>
        <v>FC Barcelona</v>
      </c>
      <c r="E327" s="1" t="str">
        <f>IF([1]SCHEDULE!E327="","",[1]SCHEDULE!E327)</f>
        <v>Baskonia Vitoria-Gasteiz</v>
      </c>
      <c r="F327" s="6">
        <f>IF([1]SCHEDULE!F327="","",[1]SCHEDULE!F327)</f>
        <v>45296</v>
      </c>
      <c r="G327" s="3" t="str">
        <f>IF([1]SCHEDULE!G327="","",[1]SCHEDULE!G327)</f>
        <v>H</v>
      </c>
      <c r="H327" s="3" t="str">
        <f>IF([1]SCHEDULE!H327="","",[1]SCHEDULE!H327)</f>
        <v>BAS</v>
      </c>
      <c r="I327" s="3" t="str">
        <f>IF([1]SCHEDULE!I327="","",[1]SCHEDULE!I327)</f>
        <v>19.FCB</v>
      </c>
      <c r="J327" s="3" t="str">
        <f>IF([1]SCHEDULE!J327="","",[1]SCHEDULE!J327)</f>
        <v>19.BAS</v>
      </c>
    </row>
    <row r="328" spans="2:10" x14ac:dyDescent="0.25">
      <c r="B328" s="3" t="str">
        <f>IF([1]SCHEDULE!B328="","",[1]SCHEDULE!B328)</f>
        <v>FCB</v>
      </c>
      <c r="C328" s="3">
        <f>IF([1]SCHEDULE!C328="","",[1]SCHEDULE!C328)</f>
        <v>20</v>
      </c>
      <c r="D328" s="1" t="str">
        <f>IF([1]SCHEDULE!D328="","",[1]SCHEDULE!D328)</f>
        <v>FC Barcelona</v>
      </c>
      <c r="E328" s="1" t="str">
        <f>IF([1]SCHEDULE!E328="","",[1]SCHEDULE!E328)</f>
        <v>Olympiacos Piraeus</v>
      </c>
      <c r="F328" s="6">
        <f>IF([1]SCHEDULE!F328="","",[1]SCHEDULE!F328)</f>
        <v>45301</v>
      </c>
      <c r="G328" s="3" t="str">
        <f>IF([1]SCHEDULE!G328="","",[1]SCHEDULE!G328)</f>
        <v>H</v>
      </c>
      <c r="H328" s="3" t="str">
        <f>IF([1]SCHEDULE!H328="","",[1]SCHEDULE!H328)</f>
        <v>OLY</v>
      </c>
      <c r="I328" s="3" t="str">
        <f>IF([1]SCHEDULE!I328="","",[1]SCHEDULE!I328)</f>
        <v>20.FCB</v>
      </c>
      <c r="J328" s="3" t="str">
        <f>IF([1]SCHEDULE!J328="","",[1]SCHEDULE!J328)</f>
        <v>20.OLY</v>
      </c>
    </row>
    <row r="329" spans="2:10" x14ac:dyDescent="0.25">
      <c r="B329" s="3" t="str">
        <f>IF([1]SCHEDULE!B329="","",[1]SCHEDULE!B329)</f>
        <v>FCB</v>
      </c>
      <c r="C329" s="3">
        <f>IF([1]SCHEDULE!C329="","",[1]SCHEDULE!C329)</f>
        <v>21</v>
      </c>
      <c r="D329" s="1" t="str">
        <f>IF([1]SCHEDULE!D329="","",[1]SCHEDULE!D329)</f>
        <v>FC Barcelona</v>
      </c>
      <c r="E329" s="1" t="str">
        <f>IF([1]SCHEDULE!E329="","",[1]SCHEDULE!E329)</f>
        <v>Zalgiris Kaunas</v>
      </c>
      <c r="F329" s="6">
        <f>IF([1]SCHEDULE!F329="","",[1]SCHEDULE!F329)</f>
        <v>45303</v>
      </c>
      <c r="G329" s="3" t="str">
        <f>IF([1]SCHEDULE!G329="","",[1]SCHEDULE!G329)</f>
        <v>H</v>
      </c>
      <c r="H329" s="3" t="str">
        <f>IF([1]SCHEDULE!H329="","",[1]SCHEDULE!H329)</f>
        <v>ZAL</v>
      </c>
      <c r="I329" s="3" t="str">
        <f>IF([1]SCHEDULE!I329="","",[1]SCHEDULE!I329)</f>
        <v>21.FCB</v>
      </c>
      <c r="J329" s="3" t="str">
        <f>IF([1]SCHEDULE!J329="","",[1]SCHEDULE!J329)</f>
        <v>21.ZAL</v>
      </c>
    </row>
    <row r="330" spans="2:10" x14ac:dyDescent="0.25">
      <c r="B330" s="3" t="str">
        <f>IF([1]SCHEDULE!B330="","",[1]SCHEDULE!B330)</f>
        <v>FCB</v>
      </c>
      <c r="C330" s="3">
        <f>IF([1]SCHEDULE!C330="","",[1]SCHEDULE!C330)</f>
        <v>22</v>
      </c>
      <c r="D330" s="1" t="str">
        <f>IF([1]SCHEDULE!D330="","",[1]SCHEDULE!D330)</f>
        <v>FC Barcelona</v>
      </c>
      <c r="E330" s="1" t="str">
        <f>IF([1]SCHEDULE!E330="","",[1]SCHEDULE!E330)</f>
        <v>Anadolu Efes Istanbul</v>
      </c>
      <c r="F330" s="6">
        <f>IF([1]SCHEDULE!F330="","",[1]SCHEDULE!F330)</f>
        <v>45309</v>
      </c>
      <c r="G330" s="3" t="str">
        <f>IF([1]SCHEDULE!G330="","",[1]SCHEDULE!G330)</f>
        <v>A</v>
      </c>
      <c r="H330" s="3" t="str">
        <f>IF([1]SCHEDULE!H330="","",[1]SCHEDULE!H330)</f>
        <v>EFE</v>
      </c>
      <c r="I330" s="3" t="str">
        <f>IF([1]SCHEDULE!I330="","",[1]SCHEDULE!I330)</f>
        <v>22.FCB</v>
      </c>
      <c r="J330" s="3" t="str">
        <f>IF([1]SCHEDULE!J330="","",[1]SCHEDULE!J330)</f>
        <v>22.EFE</v>
      </c>
    </row>
    <row r="331" spans="2:10" x14ac:dyDescent="0.25">
      <c r="B331" s="3" t="str">
        <f>IF([1]SCHEDULE!B331="","",[1]SCHEDULE!B331)</f>
        <v>FCB</v>
      </c>
      <c r="C331" s="3">
        <f>IF([1]SCHEDULE!C331="","",[1]SCHEDULE!C331)</f>
        <v>23</v>
      </c>
      <c r="D331" s="1" t="str">
        <f>IF([1]SCHEDULE!D331="","",[1]SCHEDULE!D331)</f>
        <v>FC Barcelona</v>
      </c>
      <c r="E331" s="1" t="str">
        <f>IF([1]SCHEDULE!E331="","",[1]SCHEDULE!E331)</f>
        <v>EA7 Emporio Armani Milan</v>
      </c>
      <c r="F331" s="6">
        <f>IF([1]SCHEDULE!F331="","",[1]SCHEDULE!F331)</f>
        <v>45317</v>
      </c>
      <c r="G331" s="3" t="str">
        <f>IF([1]SCHEDULE!G331="","",[1]SCHEDULE!G331)</f>
        <v>A</v>
      </c>
      <c r="H331" s="3" t="str">
        <f>IF([1]SCHEDULE!H331="","",[1]SCHEDULE!H331)</f>
        <v>MIL</v>
      </c>
      <c r="I331" s="3" t="str">
        <f>IF([1]SCHEDULE!I331="","",[1]SCHEDULE!I331)</f>
        <v>23.FCB</v>
      </c>
      <c r="J331" s="3" t="str">
        <f>IF([1]SCHEDULE!J331="","",[1]SCHEDULE!J331)</f>
        <v>23.MIL</v>
      </c>
    </row>
    <row r="332" spans="2:10" x14ac:dyDescent="0.25">
      <c r="B332" s="3" t="str">
        <f>IF([1]SCHEDULE!B332="","",[1]SCHEDULE!B332)</f>
        <v>FCB</v>
      </c>
      <c r="C332" s="3">
        <f>IF([1]SCHEDULE!C332="","",[1]SCHEDULE!C332)</f>
        <v>24</v>
      </c>
      <c r="D332" s="1" t="str">
        <f>IF([1]SCHEDULE!D332="","",[1]SCHEDULE!D332)</f>
        <v>FC Barcelona</v>
      </c>
      <c r="E332" s="1" t="str">
        <f>IF([1]SCHEDULE!E332="","",[1]SCHEDULE!E332)</f>
        <v>Virtus Segafredo Bologna</v>
      </c>
      <c r="F332" s="6">
        <f>IF([1]SCHEDULE!F332="","",[1]SCHEDULE!F332)</f>
        <v>45322</v>
      </c>
      <c r="G332" s="3" t="str">
        <f>IF([1]SCHEDULE!G332="","",[1]SCHEDULE!G332)</f>
        <v>H</v>
      </c>
      <c r="H332" s="3" t="str">
        <f>IF([1]SCHEDULE!H332="","",[1]SCHEDULE!H332)</f>
        <v>VIR</v>
      </c>
      <c r="I332" s="3" t="str">
        <f>IF([1]SCHEDULE!I332="","",[1]SCHEDULE!I332)</f>
        <v>24.FCB</v>
      </c>
      <c r="J332" s="3" t="str">
        <f>IF([1]SCHEDULE!J332="","",[1]SCHEDULE!J332)</f>
        <v>24.VIR</v>
      </c>
    </row>
    <row r="333" spans="2:10" x14ac:dyDescent="0.25">
      <c r="B333" s="3" t="str">
        <f>IF([1]SCHEDULE!B333="","",[1]SCHEDULE!B333)</f>
        <v>FCB</v>
      </c>
      <c r="C333" s="3">
        <f>IF([1]SCHEDULE!C333="","",[1]SCHEDULE!C333)</f>
        <v>25</v>
      </c>
      <c r="D333" s="1" t="str">
        <f>IF([1]SCHEDULE!D333="","",[1]SCHEDULE!D333)</f>
        <v>FC Barcelona</v>
      </c>
      <c r="E333" s="1" t="str">
        <f>IF([1]SCHEDULE!E333="","",[1]SCHEDULE!E333)</f>
        <v>Crvena Zvezda Meridianbet Belgrade</v>
      </c>
      <c r="F333" s="6">
        <f>IF([1]SCHEDULE!F333="","",[1]SCHEDULE!F333)</f>
        <v>45324</v>
      </c>
      <c r="G333" s="3" t="str">
        <f>IF([1]SCHEDULE!G333="","",[1]SCHEDULE!G333)</f>
        <v>A</v>
      </c>
      <c r="H333" s="3" t="str">
        <f>IF([1]SCHEDULE!H333="","",[1]SCHEDULE!H333)</f>
        <v>CZB</v>
      </c>
      <c r="I333" s="3" t="str">
        <f>IF([1]SCHEDULE!I333="","",[1]SCHEDULE!I333)</f>
        <v>25.FCB</v>
      </c>
      <c r="J333" s="3" t="str">
        <f>IF([1]SCHEDULE!J333="","",[1]SCHEDULE!J333)</f>
        <v>25.CZB</v>
      </c>
    </row>
    <row r="334" spans="2:10" x14ac:dyDescent="0.25">
      <c r="B334" s="3" t="str">
        <f>IF([1]SCHEDULE!B334="","",[1]SCHEDULE!B334)</f>
        <v>FCB</v>
      </c>
      <c r="C334" s="3">
        <f>IF([1]SCHEDULE!C334="","",[1]SCHEDULE!C334)</f>
        <v>26</v>
      </c>
      <c r="D334" s="1" t="str">
        <f>IF([1]SCHEDULE!D334="","",[1]SCHEDULE!D334)</f>
        <v>FC Barcelona</v>
      </c>
      <c r="E334" s="1" t="str">
        <f>IF([1]SCHEDULE!E334="","",[1]SCHEDULE!E334)</f>
        <v>ALBA Berlin</v>
      </c>
      <c r="F334" s="6">
        <f>IF([1]SCHEDULE!F334="","",[1]SCHEDULE!F334)</f>
        <v>45331</v>
      </c>
      <c r="G334" s="3" t="str">
        <f>IF([1]SCHEDULE!G334="","",[1]SCHEDULE!G334)</f>
        <v>H</v>
      </c>
      <c r="H334" s="3" t="str">
        <f>IF([1]SCHEDULE!H334="","",[1]SCHEDULE!H334)</f>
        <v>BER</v>
      </c>
      <c r="I334" s="3" t="str">
        <f>IF([1]SCHEDULE!I334="","",[1]SCHEDULE!I334)</f>
        <v>26.FCB</v>
      </c>
      <c r="J334" s="3" t="str">
        <f>IF([1]SCHEDULE!J334="","",[1]SCHEDULE!J334)</f>
        <v>26.BER</v>
      </c>
    </row>
    <row r="335" spans="2:10" x14ac:dyDescent="0.25">
      <c r="B335" s="3" t="str">
        <f>IF([1]SCHEDULE!B335="","",[1]SCHEDULE!B335)</f>
        <v>FCB</v>
      </c>
      <c r="C335" s="3">
        <f>IF([1]SCHEDULE!C335="","",[1]SCHEDULE!C335)</f>
        <v>27</v>
      </c>
      <c r="D335" s="1" t="str">
        <f>IF([1]SCHEDULE!D335="","",[1]SCHEDULE!D335)</f>
        <v>FC Barcelona</v>
      </c>
      <c r="E335" s="1" t="str">
        <f>IF([1]SCHEDULE!E335="","",[1]SCHEDULE!E335)</f>
        <v>AS Monaco</v>
      </c>
      <c r="F335" s="6">
        <f>IF([1]SCHEDULE!F335="","",[1]SCHEDULE!F335)</f>
        <v>45352</v>
      </c>
      <c r="G335" s="3" t="str">
        <f>IF([1]SCHEDULE!G335="","",[1]SCHEDULE!G335)</f>
        <v>H</v>
      </c>
      <c r="H335" s="3" t="str">
        <f>IF([1]SCHEDULE!H335="","",[1]SCHEDULE!H335)</f>
        <v>ASM</v>
      </c>
      <c r="I335" s="3" t="str">
        <f>IF([1]SCHEDULE!I335="","",[1]SCHEDULE!I335)</f>
        <v>27.FCB</v>
      </c>
      <c r="J335" s="3" t="str">
        <f>IF([1]SCHEDULE!J335="","",[1]SCHEDULE!J335)</f>
        <v>27.ASM</v>
      </c>
    </row>
    <row r="336" spans="2:10" x14ac:dyDescent="0.25">
      <c r="B336" s="3" t="str">
        <f>IF([1]SCHEDULE!B336="","",[1]SCHEDULE!B336)</f>
        <v>FCB</v>
      </c>
      <c r="C336" s="3">
        <f>IF([1]SCHEDULE!C336="","",[1]SCHEDULE!C336)</f>
        <v>28</v>
      </c>
      <c r="D336" s="1" t="str">
        <f>IF([1]SCHEDULE!D336="","",[1]SCHEDULE!D336)</f>
        <v>FC Barcelona</v>
      </c>
      <c r="E336" s="1" t="str">
        <f>IF([1]SCHEDULE!E336="","",[1]SCHEDULE!E336)</f>
        <v>Valencia Basket</v>
      </c>
      <c r="F336" s="6">
        <f>IF([1]SCHEDULE!F336="","",[1]SCHEDULE!F336)</f>
        <v>45358</v>
      </c>
      <c r="G336" s="3" t="str">
        <f>IF([1]SCHEDULE!G336="","",[1]SCHEDULE!G336)</f>
        <v>A</v>
      </c>
      <c r="H336" s="3" t="str">
        <f>IF([1]SCHEDULE!H336="","",[1]SCHEDULE!H336)</f>
        <v>VAL</v>
      </c>
      <c r="I336" s="3" t="str">
        <f>IF([1]SCHEDULE!I336="","",[1]SCHEDULE!I336)</f>
        <v>28.FCB</v>
      </c>
      <c r="J336" s="3" t="str">
        <f>IF([1]SCHEDULE!J336="","",[1]SCHEDULE!J336)</f>
        <v>28.VAL</v>
      </c>
    </row>
    <row r="337" spans="2:10" x14ac:dyDescent="0.25">
      <c r="B337" s="3" t="str">
        <f>IF([1]SCHEDULE!B337="","",[1]SCHEDULE!B337)</f>
        <v>FCB</v>
      </c>
      <c r="C337" s="3">
        <f>IF([1]SCHEDULE!C337="","",[1]SCHEDULE!C337)</f>
        <v>29</v>
      </c>
      <c r="D337" s="1" t="str">
        <f>IF([1]SCHEDULE!D337="","",[1]SCHEDULE!D337)</f>
        <v>FC Barcelona</v>
      </c>
      <c r="E337" s="1" t="str">
        <f>IF([1]SCHEDULE!E337="","",[1]SCHEDULE!E337)</f>
        <v>Partizan Mozzart Bet Belgrade</v>
      </c>
      <c r="F337" s="6">
        <f>IF([1]SCHEDULE!F337="","",[1]SCHEDULE!F337)</f>
        <v>45365</v>
      </c>
      <c r="G337" s="3" t="str">
        <f>IF([1]SCHEDULE!G337="","",[1]SCHEDULE!G337)</f>
        <v>H</v>
      </c>
      <c r="H337" s="3" t="str">
        <f>IF([1]SCHEDULE!H337="","",[1]SCHEDULE!H337)</f>
        <v>PAR</v>
      </c>
      <c r="I337" s="3" t="str">
        <f>IF([1]SCHEDULE!I337="","",[1]SCHEDULE!I337)</f>
        <v>29.FCB</v>
      </c>
      <c r="J337" s="3" t="str">
        <f>IF([1]SCHEDULE!J337="","",[1]SCHEDULE!J337)</f>
        <v>29.PAR</v>
      </c>
    </row>
    <row r="338" spans="2:10" x14ac:dyDescent="0.25">
      <c r="B338" s="3" t="str">
        <f>IF([1]SCHEDULE!B338="","",[1]SCHEDULE!B338)</f>
        <v>FCB</v>
      </c>
      <c r="C338" s="3">
        <f>IF([1]SCHEDULE!C338="","",[1]SCHEDULE!C338)</f>
        <v>30</v>
      </c>
      <c r="D338" s="1" t="str">
        <f>IF([1]SCHEDULE!D338="","",[1]SCHEDULE!D338)</f>
        <v>FC Barcelona</v>
      </c>
      <c r="E338" s="1" t="str">
        <f>IF([1]SCHEDULE!E338="","",[1]SCHEDULE!E338)</f>
        <v>Fenerbahce Beko Istanbul</v>
      </c>
      <c r="F338" s="6">
        <f>IF([1]SCHEDULE!F338="","",[1]SCHEDULE!F338)</f>
        <v>45371</v>
      </c>
      <c r="G338" s="3" t="str">
        <f>IF([1]SCHEDULE!G338="","",[1]SCHEDULE!G338)</f>
        <v>A</v>
      </c>
      <c r="H338" s="3" t="str">
        <f>IF([1]SCHEDULE!H338="","",[1]SCHEDULE!H338)</f>
        <v>FEN</v>
      </c>
      <c r="I338" s="3" t="str">
        <f>IF([1]SCHEDULE!I338="","",[1]SCHEDULE!I338)</f>
        <v>30.FCB</v>
      </c>
      <c r="J338" s="3" t="str">
        <f>IF([1]SCHEDULE!J338="","",[1]SCHEDULE!J338)</f>
        <v>30.FEN</v>
      </c>
    </row>
    <row r="339" spans="2:10" x14ac:dyDescent="0.25">
      <c r="B339" s="3" t="str">
        <f>IF([1]SCHEDULE!B339="","",[1]SCHEDULE!B339)</f>
        <v>FCB</v>
      </c>
      <c r="C339" s="3">
        <f>IF([1]SCHEDULE!C339="","",[1]SCHEDULE!C339)</f>
        <v>31</v>
      </c>
      <c r="D339" s="1" t="str">
        <f>IF([1]SCHEDULE!D339="","",[1]SCHEDULE!D339)</f>
        <v>FC Barcelona</v>
      </c>
      <c r="E339" s="1" t="str">
        <f>IF([1]SCHEDULE!E339="","",[1]SCHEDULE!E339)</f>
        <v>Panathinaikos Athens</v>
      </c>
      <c r="F339" s="6">
        <f>IF([1]SCHEDULE!F339="","",[1]SCHEDULE!F339)</f>
        <v>45373</v>
      </c>
      <c r="G339" s="3" t="str">
        <f>IF([1]SCHEDULE!G339="","",[1]SCHEDULE!G339)</f>
        <v>A</v>
      </c>
      <c r="H339" s="3" t="str">
        <f>IF([1]SCHEDULE!H339="","",[1]SCHEDULE!H339)</f>
        <v>PAN</v>
      </c>
      <c r="I339" s="3" t="str">
        <f>IF([1]SCHEDULE!I339="","",[1]SCHEDULE!I339)</f>
        <v>31.FCB</v>
      </c>
      <c r="J339" s="3" t="str">
        <f>IF([1]SCHEDULE!J339="","",[1]SCHEDULE!J339)</f>
        <v>31.PAN</v>
      </c>
    </row>
    <row r="340" spans="2:10" x14ac:dyDescent="0.25">
      <c r="B340" s="3" t="str">
        <f>IF([1]SCHEDULE!B340="","",[1]SCHEDULE!B340)</f>
        <v>FCB</v>
      </c>
      <c r="C340" s="3">
        <f>IF([1]SCHEDULE!C340="","",[1]SCHEDULE!C340)</f>
        <v>32</v>
      </c>
      <c r="D340" s="1" t="str">
        <f>IF([1]SCHEDULE!D340="","",[1]SCHEDULE!D340)</f>
        <v>FC Barcelona</v>
      </c>
      <c r="E340" s="1" t="str">
        <f>IF([1]SCHEDULE!E340="","",[1]SCHEDULE!E340)</f>
        <v>FC Bayern Munich</v>
      </c>
      <c r="F340" s="6">
        <f>IF([1]SCHEDULE!F340="","",[1]SCHEDULE!F340)</f>
        <v>45379</v>
      </c>
      <c r="G340" s="3" t="str">
        <f>IF([1]SCHEDULE!G340="","",[1]SCHEDULE!G340)</f>
        <v>A</v>
      </c>
      <c r="H340" s="3" t="str">
        <f>IF([1]SCHEDULE!H340="","",[1]SCHEDULE!H340)</f>
        <v>BAY</v>
      </c>
      <c r="I340" s="3" t="str">
        <f>IF([1]SCHEDULE!I340="","",[1]SCHEDULE!I340)</f>
        <v>32.FCB</v>
      </c>
      <c r="J340" s="3" t="str">
        <f>IF([1]SCHEDULE!J340="","",[1]SCHEDULE!J340)</f>
        <v>32.BAY</v>
      </c>
    </row>
    <row r="341" spans="2:10" x14ac:dyDescent="0.25">
      <c r="B341" s="3" t="str">
        <f>IF([1]SCHEDULE!B341="","",[1]SCHEDULE!B341)</f>
        <v>FCB</v>
      </c>
      <c r="C341" s="3">
        <f>IF([1]SCHEDULE!C341="","",[1]SCHEDULE!C341)</f>
        <v>33</v>
      </c>
      <c r="D341" s="1" t="str">
        <f>IF([1]SCHEDULE!D341="","",[1]SCHEDULE!D341)</f>
        <v>FC Barcelona</v>
      </c>
      <c r="E341" s="1" t="str">
        <f>IF([1]SCHEDULE!E341="","",[1]SCHEDULE!E341)</f>
        <v>Maccabi Playtika Tel Aviv</v>
      </c>
      <c r="F341" s="6">
        <f>IF([1]SCHEDULE!F341="","",[1]SCHEDULE!F341)</f>
        <v>45386</v>
      </c>
      <c r="G341" s="3" t="str">
        <f>IF([1]SCHEDULE!G341="","",[1]SCHEDULE!G341)</f>
        <v>H</v>
      </c>
      <c r="H341" s="3" t="str">
        <f>IF([1]SCHEDULE!H341="","",[1]SCHEDULE!H341)</f>
        <v>MTA</v>
      </c>
      <c r="I341" s="3" t="str">
        <f>IF([1]SCHEDULE!I341="","",[1]SCHEDULE!I341)</f>
        <v>33.FCB</v>
      </c>
      <c r="J341" s="3" t="str">
        <f>IF([1]SCHEDULE!J341="","",[1]SCHEDULE!J341)</f>
        <v>33.MTA</v>
      </c>
    </row>
    <row r="342" spans="2:10" x14ac:dyDescent="0.25">
      <c r="B342" s="3" t="str">
        <f>IF([1]SCHEDULE!B342="","",[1]SCHEDULE!B342)</f>
        <v>FCB</v>
      </c>
      <c r="C342" s="3">
        <f>IF([1]SCHEDULE!C342="","",[1]SCHEDULE!C342)</f>
        <v>34</v>
      </c>
      <c r="D342" s="1" t="str">
        <f>IF([1]SCHEDULE!D342="","",[1]SCHEDULE!D342)</f>
        <v>FC Barcelona</v>
      </c>
      <c r="E342" s="1" t="str">
        <f>IF([1]SCHEDULE!E342="","",[1]SCHEDULE!E342)</f>
        <v>LDLC ASVEL Villeurbanne</v>
      </c>
      <c r="F342" s="6">
        <f>IF([1]SCHEDULE!F342="","",[1]SCHEDULE!F342)</f>
        <v>45394</v>
      </c>
      <c r="G342" s="3" t="str">
        <f>IF([1]SCHEDULE!G342="","",[1]SCHEDULE!G342)</f>
        <v>A</v>
      </c>
      <c r="H342" s="3" t="str">
        <f>IF([1]SCHEDULE!H342="","",[1]SCHEDULE!H342)</f>
        <v>ASV</v>
      </c>
      <c r="I342" s="3" t="str">
        <f>IF([1]SCHEDULE!I342="","",[1]SCHEDULE!I342)</f>
        <v>34.FCB</v>
      </c>
      <c r="J342" s="3" t="str">
        <f>IF([1]SCHEDULE!J342="","",[1]SCHEDULE!J342)</f>
        <v>34.ASV</v>
      </c>
    </row>
    <row r="343" spans="2:10" x14ac:dyDescent="0.25">
      <c r="B343" s="3" t="str">
        <f>IF([1]SCHEDULE!B343="","",[1]SCHEDULE!B343)</f>
        <v>FCB</v>
      </c>
      <c r="C343" s="3">
        <f>IF([1]SCHEDULE!C343="","",[1]SCHEDULE!C343)</f>
        <v>35</v>
      </c>
      <c r="D343" s="1" t="str">
        <f>IF([1]SCHEDULE!D343="","",[1]SCHEDULE!D343)</f>
        <v>FC Barcelona</v>
      </c>
      <c r="E343" s="1" t="str">
        <f>IF([1]SCHEDULE!E343="","",[1]SCHEDULE!E343)</f>
        <v/>
      </c>
      <c r="F343" s="6" t="str">
        <f>IF([1]SCHEDULE!F343="","",[1]SCHEDULE!F343)</f>
        <v/>
      </c>
      <c r="G343" s="3" t="str">
        <f>IF([1]SCHEDULE!G343="","",[1]SCHEDULE!G343)</f>
        <v/>
      </c>
      <c r="H343" s="3" t="str">
        <f>IF([1]SCHEDULE!H343="","",[1]SCHEDULE!H343)</f>
        <v/>
      </c>
      <c r="I343" s="3" t="str">
        <f>IF([1]SCHEDULE!I343="","",[1]SCHEDULE!I343)</f>
        <v/>
      </c>
      <c r="J343" s="3" t="str">
        <f>IF([1]SCHEDULE!J343="","",[1]SCHEDULE!J343)</f>
        <v/>
      </c>
    </row>
    <row r="344" spans="2:10" x14ac:dyDescent="0.25">
      <c r="B344" s="3" t="str">
        <f>IF([1]SCHEDULE!B344="","",[1]SCHEDULE!B344)</f>
        <v>FCB</v>
      </c>
      <c r="C344" s="3">
        <f>IF([1]SCHEDULE!C344="","",[1]SCHEDULE!C344)</f>
        <v>36</v>
      </c>
      <c r="D344" s="1" t="str">
        <f>IF([1]SCHEDULE!D344="","",[1]SCHEDULE!D344)</f>
        <v>FC Barcelona</v>
      </c>
      <c r="E344" s="1" t="str">
        <f>IF([1]SCHEDULE!E344="","",[1]SCHEDULE!E344)</f>
        <v/>
      </c>
      <c r="F344" s="6" t="str">
        <f>IF([1]SCHEDULE!F344="","",[1]SCHEDULE!F344)</f>
        <v/>
      </c>
      <c r="G344" s="3" t="str">
        <f>IF([1]SCHEDULE!G344="","",[1]SCHEDULE!G344)</f>
        <v/>
      </c>
      <c r="H344" s="3" t="str">
        <f>IF([1]SCHEDULE!H344="","",[1]SCHEDULE!H344)</f>
        <v/>
      </c>
      <c r="I344" s="3" t="str">
        <f>IF([1]SCHEDULE!I344="","",[1]SCHEDULE!I344)</f>
        <v/>
      </c>
      <c r="J344" s="3" t="str">
        <f>IF([1]SCHEDULE!J344="","",[1]SCHEDULE!J344)</f>
        <v/>
      </c>
    </row>
    <row r="345" spans="2:10" x14ac:dyDescent="0.25">
      <c r="B345" s="3" t="str">
        <f>IF([1]SCHEDULE!B345="","",[1]SCHEDULE!B345)</f>
        <v>FCB</v>
      </c>
      <c r="C345" s="3">
        <f>IF([1]SCHEDULE!C345="","",[1]SCHEDULE!C345)</f>
        <v>37</v>
      </c>
      <c r="D345" s="1" t="str">
        <f>IF([1]SCHEDULE!D345="","",[1]SCHEDULE!D345)</f>
        <v>FC Barcelona</v>
      </c>
      <c r="E345" s="1" t="str">
        <f>IF([1]SCHEDULE!E345="","",[1]SCHEDULE!E345)</f>
        <v/>
      </c>
      <c r="F345" s="6" t="str">
        <f>IF([1]SCHEDULE!F345="","",[1]SCHEDULE!F345)</f>
        <v/>
      </c>
      <c r="G345" s="3" t="str">
        <f>IF([1]SCHEDULE!G345="","",[1]SCHEDULE!G345)</f>
        <v/>
      </c>
      <c r="H345" s="3" t="str">
        <f>IF([1]SCHEDULE!H345="","",[1]SCHEDULE!H345)</f>
        <v/>
      </c>
      <c r="I345" s="3" t="str">
        <f>IF([1]SCHEDULE!I345="","",[1]SCHEDULE!I345)</f>
        <v/>
      </c>
      <c r="J345" s="3" t="str">
        <f>IF([1]SCHEDULE!J345="","",[1]SCHEDULE!J345)</f>
        <v/>
      </c>
    </row>
    <row r="346" spans="2:10" x14ac:dyDescent="0.25">
      <c r="B346" s="3" t="str">
        <f>IF([1]SCHEDULE!B346="","",[1]SCHEDULE!B346)</f>
        <v>FCB</v>
      </c>
      <c r="C346" s="3">
        <f>IF([1]SCHEDULE!C346="","",[1]SCHEDULE!C346)</f>
        <v>38</v>
      </c>
      <c r="D346" s="1" t="str">
        <f>IF([1]SCHEDULE!D346="","",[1]SCHEDULE!D346)</f>
        <v>FC Barcelona</v>
      </c>
      <c r="E346" s="1" t="str">
        <f>IF([1]SCHEDULE!E346="","",[1]SCHEDULE!E346)</f>
        <v/>
      </c>
      <c r="F346" s="6" t="str">
        <f>IF([1]SCHEDULE!F346="","",[1]SCHEDULE!F346)</f>
        <v/>
      </c>
      <c r="G346" s="3" t="str">
        <f>IF([1]SCHEDULE!G346="","",[1]SCHEDULE!G346)</f>
        <v/>
      </c>
      <c r="H346" s="3" t="str">
        <f>IF([1]SCHEDULE!H346="","",[1]SCHEDULE!H346)</f>
        <v/>
      </c>
      <c r="I346" s="3" t="str">
        <f>IF([1]SCHEDULE!I346="","",[1]SCHEDULE!I346)</f>
        <v/>
      </c>
      <c r="J346" s="3" t="str">
        <f>IF([1]SCHEDULE!J346="","",[1]SCHEDULE!J346)</f>
        <v/>
      </c>
    </row>
    <row r="347" spans="2:10" x14ac:dyDescent="0.25">
      <c r="B347" s="3" t="str">
        <f>IF([1]SCHEDULE!B347="","",[1]SCHEDULE!B347)</f>
        <v>FCB</v>
      </c>
      <c r="C347" s="3">
        <f>IF([1]SCHEDULE!C347="","",[1]SCHEDULE!C347)</f>
        <v>39</v>
      </c>
      <c r="D347" s="1" t="str">
        <f>IF([1]SCHEDULE!D347="","",[1]SCHEDULE!D347)</f>
        <v>FC Barcelona</v>
      </c>
      <c r="E347" s="1" t="str">
        <f>IF([1]SCHEDULE!E347="","",[1]SCHEDULE!E347)</f>
        <v/>
      </c>
      <c r="F347" s="6" t="str">
        <f>IF([1]SCHEDULE!F347="","",[1]SCHEDULE!F347)</f>
        <v/>
      </c>
      <c r="G347" s="3" t="str">
        <f>IF([1]SCHEDULE!G347="","",[1]SCHEDULE!G347)</f>
        <v/>
      </c>
      <c r="H347" s="3" t="str">
        <f>IF([1]SCHEDULE!H347="","",[1]SCHEDULE!H347)</f>
        <v/>
      </c>
      <c r="I347" s="3" t="str">
        <f>IF([1]SCHEDULE!I347="","",[1]SCHEDULE!I347)</f>
        <v/>
      </c>
      <c r="J347" s="3" t="str">
        <f>IF([1]SCHEDULE!J347="","",[1]SCHEDULE!J347)</f>
        <v/>
      </c>
    </row>
    <row r="348" spans="2:10" x14ac:dyDescent="0.25">
      <c r="B348" s="3" t="str">
        <f>IF([1]SCHEDULE!B348="","",[1]SCHEDULE!B348)</f>
        <v>FCB</v>
      </c>
      <c r="C348" s="3">
        <f>IF([1]SCHEDULE!C348="","",[1]SCHEDULE!C348)</f>
        <v>40</v>
      </c>
      <c r="D348" s="1" t="str">
        <f>IF([1]SCHEDULE!D348="","",[1]SCHEDULE!D348)</f>
        <v>FC Barcelona</v>
      </c>
      <c r="E348" s="1" t="str">
        <f>IF([1]SCHEDULE!E348="","",[1]SCHEDULE!E348)</f>
        <v/>
      </c>
      <c r="F348" s="6" t="str">
        <f>IF([1]SCHEDULE!F348="","",[1]SCHEDULE!F348)</f>
        <v/>
      </c>
      <c r="G348" s="3" t="str">
        <f>IF([1]SCHEDULE!G348="","",[1]SCHEDULE!G348)</f>
        <v/>
      </c>
      <c r="H348" s="3" t="str">
        <f>IF([1]SCHEDULE!H348="","",[1]SCHEDULE!H348)</f>
        <v/>
      </c>
      <c r="I348" s="3" t="str">
        <f>IF([1]SCHEDULE!I348="","",[1]SCHEDULE!I348)</f>
        <v/>
      </c>
      <c r="J348" s="3" t="str">
        <f>IF([1]SCHEDULE!J348="","",[1]SCHEDULE!J348)</f>
        <v/>
      </c>
    </row>
    <row r="349" spans="2:10" x14ac:dyDescent="0.25">
      <c r="B349" s="3" t="str">
        <f>IF([1]SCHEDULE!B349="","",[1]SCHEDULE!B349)</f>
        <v>FCB</v>
      </c>
      <c r="C349" s="3">
        <f>IF([1]SCHEDULE!C349="","",[1]SCHEDULE!C349)</f>
        <v>41</v>
      </c>
      <c r="D349" s="1" t="str">
        <f>IF([1]SCHEDULE!D349="","",[1]SCHEDULE!D349)</f>
        <v>FC Barcelona</v>
      </c>
      <c r="E349" s="1" t="str">
        <f>IF([1]SCHEDULE!E349="","",[1]SCHEDULE!E349)</f>
        <v/>
      </c>
      <c r="F349" s="6" t="str">
        <f>IF([1]SCHEDULE!F349="","",[1]SCHEDULE!F349)</f>
        <v/>
      </c>
      <c r="G349" s="3" t="str">
        <f>IF([1]SCHEDULE!G349="","",[1]SCHEDULE!G349)</f>
        <v/>
      </c>
      <c r="H349" s="3" t="str">
        <f>IF([1]SCHEDULE!H349="","",[1]SCHEDULE!H349)</f>
        <v/>
      </c>
      <c r="I349" s="3" t="str">
        <f>IF([1]SCHEDULE!I349="","",[1]SCHEDULE!I349)</f>
        <v/>
      </c>
      <c r="J349" s="3" t="str">
        <f>IF([1]SCHEDULE!J349="","",[1]SCHEDULE!J349)</f>
        <v/>
      </c>
    </row>
    <row r="350" spans="2:10" x14ac:dyDescent="0.25">
      <c r="B350" s="3" t="str">
        <f>IF([1]SCHEDULE!B350="","",[1]SCHEDULE!B350)</f>
        <v>FCB</v>
      </c>
      <c r="C350" s="3">
        <f>IF([1]SCHEDULE!C350="","",[1]SCHEDULE!C350)</f>
        <v>42</v>
      </c>
      <c r="D350" s="1" t="str">
        <f>IF([1]SCHEDULE!D350="","",[1]SCHEDULE!D350)</f>
        <v>FC Barcelona</v>
      </c>
      <c r="E350" s="1" t="str">
        <f>IF([1]SCHEDULE!E350="","",[1]SCHEDULE!E350)</f>
        <v/>
      </c>
      <c r="F350" s="6" t="str">
        <f>IF([1]SCHEDULE!F350="","",[1]SCHEDULE!F350)</f>
        <v/>
      </c>
      <c r="G350" s="3" t="str">
        <f>IF([1]SCHEDULE!G350="","",[1]SCHEDULE!G350)</f>
        <v/>
      </c>
      <c r="H350" s="3" t="str">
        <f>IF([1]SCHEDULE!H350="","",[1]SCHEDULE!H350)</f>
        <v/>
      </c>
      <c r="I350" s="3" t="str">
        <f>IF([1]SCHEDULE!I350="","",[1]SCHEDULE!I350)</f>
        <v/>
      </c>
      <c r="J350" s="3" t="str">
        <f>IF([1]SCHEDULE!J350="","",[1]SCHEDULE!J350)</f>
        <v/>
      </c>
    </row>
    <row r="351" spans="2:10" x14ac:dyDescent="0.25">
      <c r="B351" s="3" t="str">
        <f>IF([1]SCHEDULE!B351="","",[1]SCHEDULE!B351)</f>
        <v>FCB</v>
      </c>
      <c r="C351" s="3">
        <f>IF([1]SCHEDULE!C351="","",[1]SCHEDULE!C351)</f>
        <v>43</v>
      </c>
      <c r="D351" s="1" t="str">
        <f>IF([1]SCHEDULE!D351="","",[1]SCHEDULE!D351)</f>
        <v>FC Barcelona</v>
      </c>
      <c r="E351" s="1" t="str">
        <f>IF([1]SCHEDULE!E351="","",[1]SCHEDULE!E351)</f>
        <v/>
      </c>
      <c r="F351" s="6" t="str">
        <f>IF([1]SCHEDULE!F351="","",[1]SCHEDULE!F351)</f>
        <v/>
      </c>
      <c r="G351" s="3" t="str">
        <f>IF([1]SCHEDULE!G351="","",[1]SCHEDULE!G351)</f>
        <v/>
      </c>
      <c r="H351" s="3" t="str">
        <f>IF([1]SCHEDULE!H351="","",[1]SCHEDULE!H351)</f>
        <v/>
      </c>
      <c r="I351" s="3" t="str">
        <f>IF([1]SCHEDULE!I351="","",[1]SCHEDULE!I351)</f>
        <v/>
      </c>
      <c r="J351" s="3" t="str">
        <f>IF([1]SCHEDULE!J351="","",[1]SCHEDULE!J351)</f>
        <v/>
      </c>
    </row>
    <row r="352" spans="2:10" x14ac:dyDescent="0.25">
      <c r="B352" s="3" t="str">
        <f>IF([1]SCHEDULE!B352="","",[1]SCHEDULE!B352)</f>
        <v>FCB</v>
      </c>
      <c r="C352" s="3">
        <f>IF([1]SCHEDULE!C352="","",[1]SCHEDULE!C352)</f>
        <v>44</v>
      </c>
      <c r="D352" s="1" t="str">
        <f>IF([1]SCHEDULE!D352="","",[1]SCHEDULE!D352)</f>
        <v>FC Barcelona</v>
      </c>
      <c r="E352" s="1" t="str">
        <f>IF([1]SCHEDULE!E352="","",[1]SCHEDULE!E352)</f>
        <v/>
      </c>
      <c r="F352" s="6" t="str">
        <f>IF([1]SCHEDULE!F352="","",[1]SCHEDULE!F352)</f>
        <v/>
      </c>
      <c r="G352" s="3" t="str">
        <f>IF([1]SCHEDULE!G352="","",[1]SCHEDULE!G352)</f>
        <v/>
      </c>
      <c r="H352" s="3" t="str">
        <f>IF([1]SCHEDULE!H352="","",[1]SCHEDULE!H352)</f>
        <v/>
      </c>
      <c r="I352" s="3" t="str">
        <f>IF([1]SCHEDULE!I352="","",[1]SCHEDULE!I352)</f>
        <v/>
      </c>
      <c r="J352" s="3" t="str">
        <f>IF([1]SCHEDULE!J352="","",[1]SCHEDULE!J352)</f>
        <v/>
      </c>
    </row>
    <row r="353" spans="2:10" x14ac:dyDescent="0.25">
      <c r="B353" s="3" t="str">
        <f>IF([1]SCHEDULE!B353="","",[1]SCHEDULE!B353)</f>
        <v>FCB</v>
      </c>
      <c r="C353" s="3">
        <f>IF([1]SCHEDULE!C353="","",[1]SCHEDULE!C353)</f>
        <v>45</v>
      </c>
      <c r="D353" s="1" t="str">
        <f>IF([1]SCHEDULE!D353="","",[1]SCHEDULE!D353)</f>
        <v>FC Barcelona</v>
      </c>
      <c r="E353" s="1" t="str">
        <f>IF([1]SCHEDULE!E353="","",[1]SCHEDULE!E353)</f>
        <v/>
      </c>
      <c r="F353" s="6" t="str">
        <f>IF([1]SCHEDULE!F353="","",[1]SCHEDULE!F353)</f>
        <v/>
      </c>
      <c r="G353" s="3" t="str">
        <f>IF([1]SCHEDULE!G353="","",[1]SCHEDULE!G353)</f>
        <v/>
      </c>
      <c r="H353" s="3" t="str">
        <f>IF([1]SCHEDULE!H353="","",[1]SCHEDULE!H353)</f>
        <v/>
      </c>
      <c r="I353" s="3" t="str">
        <f>IF([1]SCHEDULE!I353="","",[1]SCHEDULE!I353)</f>
        <v/>
      </c>
      <c r="J353" s="3" t="str">
        <f>IF([1]SCHEDULE!J353="","",[1]SCHEDULE!J353)</f>
        <v/>
      </c>
    </row>
    <row r="354" spans="2:10" x14ac:dyDescent="0.25">
      <c r="B354" s="3" t="str">
        <f>IF([1]SCHEDULE!B354="","",[1]SCHEDULE!B354)</f>
        <v>FCB</v>
      </c>
      <c r="C354" s="3">
        <f>IF([1]SCHEDULE!C354="","",[1]SCHEDULE!C354)</f>
        <v>46</v>
      </c>
      <c r="D354" s="1" t="str">
        <f>IF([1]SCHEDULE!D354="","",[1]SCHEDULE!D354)</f>
        <v>FC Barcelona</v>
      </c>
      <c r="E354" s="1" t="str">
        <f>IF([1]SCHEDULE!E354="","",[1]SCHEDULE!E354)</f>
        <v/>
      </c>
      <c r="F354" s="6" t="str">
        <f>IF([1]SCHEDULE!F354="","",[1]SCHEDULE!F354)</f>
        <v/>
      </c>
      <c r="G354" s="3" t="str">
        <f>IF([1]SCHEDULE!G354="","",[1]SCHEDULE!G354)</f>
        <v/>
      </c>
      <c r="H354" s="3" t="str">
        <f>IF([1]SCHEDULE!H354="","",[1]SCHEDULE!H354)</f>
        <v/>
      </c>
      <c r="I354" s="3" t="str">
        <f>IF([1]SCHEDULE!I354="","",[1]SCHEDULE!I354)</f>
        <v/>
      </c>
      <c r="J354" s="3" t="str">
        <f>IF([1]SCHEDULE!J354="","",[1]SCHEDULE!J354)</f>
        <v/>
      </c>
    </row>
    <row r="355" spans="2:10" x14ac:dyDescent="0.25">
      <c r="B355" s="3" t="str">
        <f>IF([1]SCHEDULE!B355="","",[1]SCHEDULE!B355)</f>
        <v>FCB</v>
      </c>
      <c r="C355" s="3">
        <f>IF([1]SCHEDULE!C355="","",[1]SCHEDULE!C355)</f>
        <v>47</v>
      </c>
      <c r="D355" s="1" t="str">
        <f>IF([1]SCHEDULE!D355="","",[1]SCHEDULE!D355)</f>
        <v>FC Barcelona</v>
      </c>
      <c r="E355" s="1" t="str">
        <f>IF([1]SCHEDULE!E355="","",[1]SCHEDULE!E355)</f>
        <v/>
      </c>
      <c r="F355" s="6" t="str">
        <f>IF([1]SCHEDULE!F355="","",[1]SCHEDULE!F355)</f>
        <v/>
      </c>
      <c r="G355" s="3" t="str">
        <f>IF([1]SCHEDULE!G355="","",[1]SCHEDULE!G355)</f>
        <v/>
      </c>
      <c r="H355" s="3" t="str">
        <f>IF([1]SCHEDULE!H355="","",[1]SCHEDULE!H355)</f>
        <v/>
      </c>
      <c r="I355" s="3" t="str">
        <f>IF([1]SCHEDULE!I355="","",[1]SCHEDULE!I355)</f>
        <v/>
      </c>
      <c r="J355" s="3" t="str">
        <f>IF([1]SCHEDULE!J355="","",[1]SCHEDULE!J355)</f>
        <v/>
      </c>
    </row>
    <row r="356" spans="2:10" x14ac:dyDescent="0.25">
      <c r="B356" s="3" t="str">
        <f>IF([1]SCHEDULE!B356="","",[1]SCHEDULE!B356)</f>
        <v>FCB</v>
      </c>
      <c r="C356" s="3">
        <f>IF([1]SCHEDULE!C356="","",[1]SCHEDULE!C356)</f>
        <v>48</v>
      </c>
      <c r="D356" s="1" t="str">
        <f>IF([1]SCHEDULE!D356="","",[1]SCHEDULE!D356)</f>
        <v>FC Barcelona</v>
      </c>
      <c r="E356" s="1" t="str">
        <f>IF([1]SCHEDULE!E356="","",[1]SCHEDULE!E356)</f>
        <v/>
      </c>
      <c r="F356" s="6" t="str">
        <f>IF([1]SCHEDULE!F356="","",[1]SCHEDULE!F356)</f>
        <v/>
      </c>
      <c r="G356" s="3" t="str">
        <f>IF([1]SCHEDULE!G356="","",[1]SCHEDULE!G356)</f>
        <v/>
      </c>
      <c r="H356" s="3" t="str">
        <f>IF([1]SCHEDULE!H356="","",[1]SCHEDULE!H356)</f>
        <v/>
      </c>
      <c r="I356" s="3" t="str">
        <f>IF([1]SCHEDULE!I356="","",[1]SCHEDULE!I356)</f>
        <v/>
      </c>
      <c r="J356" s="3" t="str">
        <f>IF([1]SCHEDULE!J356="","",[1]SCHEDULE!J356)</f>
        <v/>
      </c>
    </row>
    <row r="357" spans="2:10" x14ac:dyDescent="0.25">
      <c r="B357" s="3" t="str">
        <f>IF([1]SCHEDULE!B357="","",[1]SCHEDULE!B357)</f>
        <v>FCB</v>
      </c>
      <c r="C357" s="3">
        <f>IF([1]SCHEDULE!C357="","",[1]SCHEDULE!C357)</f>
        <v>49</v>
      </c>
      <c r="D357" s="1" t="str">
        <f>IF([1]SCHEDULE!D357="","",[1]SCHEDULE!D357)</f>
        <v>FC Barcelona</v>
      </c>
      <c r="E357" s="1" t="str">
        <f>IF([1]SCHEDULE!E357="","",[1]SCHEDULE!E357)</f>
        <v/>
      </c>
      <c r="F357" s="6" t="str">
        <f>IF([1]SCHEDULE!F357="","",[1]SCHEDULE!F357)</f>
        <v/>
      </c>
      <c r="G357" s="3" t="str">
        <f>IF([1]SCHEDULE!G357="","",[1]SCHEDULE!G357)</f>
        <v/>
      </c>
      <c r="H357" s="3" t="str">
        <f>IF([1]SCHEDULE!H357="","",[1]SCHEDULE!H357)</f>
        <v/>
      </c>
      <c r="I357" s="3" t="str">
        <f>IF([1]SCHEDULE!I357="","",[1]SCHEDULE!I357)</f>
        <v/>
      </c>
      <c r="J357" s="3" t="str">
        <f>IF([1]SCHEDULE!J357="","",[1]SCHEDULE!J357)</f>
        <v/>
      </c>
    </row>
    <row r="358" spans="2:10" x14ac:dyDescent="0.25">
      <c r="B358" s="3" t="str">
        <f>IF([1]SCHEDULE!B358="","",[1]SCHEDULE!B358)</f>
        <v>FCB</v>
      </c>
      <c r="C358" s="3">
        <f>IF([1]SCHEDULE!C358="","",[1]SCHEDULE!C358)</f>
        <v>50</v>
      </c>
      <c r="D358" s="1" t="str">
        <f>IF([1]SCHEDULE!D358="","",[1]SCHEDULE!D358)</f>
        <v>FC Barcelona</v>
      </c>
      <c r="E358" s="1" t="str">
        <f>IF([1]SCHEDULE!E358="","",[1]SCHEDULE!E358)</f>
        <v/>
      </c>
      <c r="F358" s="6" t="str">
        <f>IF([1]SCHEDULE!F358="","",[1]SCHEDULE!F358)</f>
        <v/>
      </c>
      <c r="G358" s="3" t="str">
        <f>IF([1]SCHEDULE!G358="","",[1]SCHEDULE!G358)</f>
        <v/>
      </c>
      <c r="H358" s="3" t="str">
        <f>IF([1]SCHEDULE!H358="","",[1]SCHEDULE!H358)</f>
        <v/>
      </c>
      <c r="I358" s="3" t="str">
        <f>IF([1]SCHEDULE!I358="","",[1]SCHEDULE!I358)</f>
        <v/>
      </c>
      <c r="J358" s="3" t="str">
        <f>IF([1]SCHEDULE!J358="","",[1]SCHEDULE!J358)</f>
        <v/>
      </c>
    </row>
    <row r="359" spans="2:10" x14ac:dyDescent="0.25">
      <c r="B359" s="3" t="str">
        <f>IF([1]SCHEDULE!B359="","",[1]SCHEDULE!B359)</f>
        <v>FCB</v>
      </c>
      <c r="C359" s="3">
        <f>IF([1]SCHEDULE!C359="","",[1]SCHEDULE!C359)</f>
        <v>51</v>
      </c>
      <c r="D359" s="1" t="str">
        <f>IF([1]SCHEDULE!D359="","",[1]SCHEDULE!D359)</f>
        <v>FC Barcelona</v>
      </c>
      <c r="E359" s="1" t="str">
        <f>IF([1]SCHEDULE!E359="","",[1]SCHEDULE!E359)</f>
        <v/>
      </c>
      <c r="F359" s="6" t="str">
        <f>IF([1]SCHEDULE!F359="","",[1]SCHEDULE!F359)</f>
        <v/>
      </c>
      <c r="G359" s="3" t="str">
        <f>IF([1]SCHEDULE!G359="","",[1]SCHEDULE!G359)</f>
        <v/>
      </c>
      <c r="H359" s="3" t="str">
        <f>IF([1]SCHEDULE!H359="","",[1]SCHEDULE!H359)</f>
        <v/>
      </c>
      <c r="I359" s="3" t="str">
        <f>IF([1]SCHEDULE!I359="","",[1]SCHEDULE!I359)</f>
        <v/>
      </c>
      <c r="J359" s="3" t="str">
        <f>IF([1]SCHEDULE!J359="","",[1]SCHEDULE!J359)</f>
        <v/>
      </c>
    </row>
    <row r="360" spans="2:10" x14ac:dyDescent="0.25">
      <c r="B360" s="3" t="str">
        <f>IF([1]SCHEDULE!B360="","",[1]SCHEDULE!B360)</f>
        <v>BAY</v>
      </c>
      <c r="C360" s="3">
        <f>IF([1]SCHEDULE!C360="","",[1]SCHEDULE!C360)</f>
        <v>1</v>
      </c>
      <c r="D360" s="1" t="str">
        <f>IF([1]SCHEDULE!D360="","",[1]SCHEDULE!D360)</f>
        <v>FC Bayern Munich</v>
      </c>
      <c r="E360" s="1" t="str">
        <f>IF([1]SCHEDULE!E360="","",[1]SCHEDULE!E360)</f>
        <v>ALBA Berlin</v>
      </c>
      <c r="F360" s="6">
        <f>IF([1]SCHEDULE!F360="","",[1]SCHEDULE!F360)</f>
        <v>45204</v>
      </c>
      <c r="G360" s="3" t="str">
        <f>IF([1]SCHEDULE!G360="","",[1]SCHEDULE!G360)</f>
        <v>H</v>
      </c>
      <c r="H360" s="3" t="str">
        <f>IF([1]SCHEDULE!H360="","",[1]SCHEDULE!H360)</f>
        <v>BER</v>
      </c>
      <c r="I360" s="3" t="str">
        <f>IF([1]SCHEDULE!I360="","",[1]SCHEDULE!I360)</f>
        <v>1.BAY</v>
      </c>
      <c r="J360" s="3" t="str">
        <f>IF([1]SCHEDULE!J360="","",[1]SCHEDULE!J360)</f>
        <v>1.BER</v>
      </c>
    </row>
    <row r="361" spans="2:10" x14ac:dyDescent="0.25">
      <c r="B361" s="3" t="str">
        <f>IF([1]SCHEDULE!B361="","",[1]SCHEDULE!B361)</f>
        <v>BAY</v>
      </c>
      <c r="C361" s="3">
        <f>IF([1]SCHEDULE!C361="","",[1]SCHEDULE!C361)</f>
        <v>2</v>
      </c>
      <c r="D361" s="1" t="str">
        <f>IF([1]SCHEDULE!D361="","",[1]SCHEDULE!D361)</f>
        <v>FC Bayern Munich</v>
      </c>
      <c r="E361" s="1" t="str">
        <f>IF([1]SCHEDULE!E361="","",[1]SCHEDULE!E361)</f>
        <v>Panathinaikos Athens</v>
      </c>
      <c r="F361" s="6">
        <f>IF([1]SCHEDULE!F361="","",[1]SCHEDULE!F361)</f>
        <v>45211</v>
      </c>
      <c r="G361" s="3" t="str">
        <f>IF([1]SCHEDULE!G361="","",[1]SCHEDULE!G361)</f>
        <v>A</v>
      </c>
      <c r="H361" s="3" t="str">
        <f>IF([1]SCHEDULE!H361="","",[1]SCHEDULE!H361)</f>
        <v>PAN</v>
      </c>
      <c r="I361" s="3" t="str">
        <f>IF([1]SCHEDULE!I361="","",[1]SCHEDULE!I361)</f>
        <v>2.BAY</v>
      </c>
      <c r="J361" s="3" t="str">
        <f>IF([1]SCHEDULE!J361="","",[1]SCHEDULE!J361)</f>
        <v>2.PAN</v>
      </c>
    </row>
    <row r="362" spans="2:10" x14ac:dyDescent="0.25">
      <c r="B362" s="3" t="str">
        <f>IF([1]SCHEDULE!B362="","",[1]SCHEDULE!B362)</f>
        <v>BAY</v>
      </c>
      <c r="C362" s="3">
        <f>IF([1]SCHEDULE!C362="","",[1]SCHEDULE!C362)</f>
        <v>3</v>
      </c>
      <c r="D362" s="1" t="str">
        <f>IF([1]SCHEDULE!D362="","",[1]SCHEDULE!D362)</f>
        <v>FC Bayern Munich</v>
      </c>
      <c r="E362" s="1" t="str">
        <f>IF([1]SCHEDULE!E362="","",[1]SCHEDULE!E362)</f>
        <v>Baskonia Vitoria-Gasteiz</v>
      </c>
      <c r="F362" s="6">
        <f>IF([1]SCHEDULE!F362="","",[1]SCHEDULE!F362)</f>
        <v>45216</v>
      </c>
      <c r="G362" s="3" t="str">
        <f>IF([1]SCHEDULE!G362="","",[1]SCHEDULE!G362)</f>
        <v>A</v>
      </c>
      <c r="H362" s="3" t="str">
        <f>IF([1]SCHEDULE!H362="","",[1]SCHEDULE!H362)</f>
        <v>BAS</v>
      </c>
      <c r="I362" s="3" t="str">
        <f>IF([1]SCHEDULE!I362="","",[1]SCHEDULE!I362)</f>
        <v>3.BAY</v>
      </c>
      <c r="J362" s="3" t="str">
        <f>IF([1]SCHEDULE!J362="","",[1]SCHEDULE!J362)</f>
        <v>3.BAS</v>
      </c>
    </row>
    <row r="363" spans="2:10" x14ac:dyDescent="0.25">
      <c r="B363" s="3" t="str">
        <f>IF([1]SCHEDULE!B363="","",[1]SCHEDULE!B363)</f>
        <v>BAY</v>
      </c>
      <c r="C363" s="3">
        <f>IF([1]SCHEDULE!C363="","",[1]SCHEDULE!C363)</f>
        <v>4</v>
      </c>
      <c r="D363" s="1" t="str">
        <f>IF([1]SCHEDULE!D363="","",[1]SCHEDULE!D363)</f>
        <v>FC Bayern Munich</v>
      </c>
      <c r="E363" s="1" t="str">
        <f>IF([1]SCHEDULE!E363="","",[1]SCHEDULE!E363)</f>
        <v>FC Barcelona</v>
      </c>
      <c r="F363" s="6">
        <f>IF([1]SCHEDULE!F363="","",[1]SCHEDULE!F363)</f>
        <v>45219</v>
      </c>
      <c r="G363" s="3" t="str">
        <f>IF([1]SCHEDULE!G363="","",[1]SCHEDULE!G363)</f>
        <v>A</v>
      </c>
      <c r="H363" s="3" t="str">
        <f>IF([1]SCHEDULE!H363="","",[1]SCHEDULE!H363)</f>
        <v>FCB</v>
      </c>
      <c r="I363" s="3" t="str">
        <f>IF([1]SCHEDULE!I363="","",[1]SCHEDULE!I363)</f>
        <v>4.BAY</v>
      </c>
      <c r="J363" s="3" t="str">
        <f>IF([1]SCHEDULE!J363="","",[1]SCHEDULE!J363)</f>
        <v>4.FCB</v>
      </c>
    </row>
    <row r="364" spans="2:10" x14ac:dyDescent="0.25">
      <c r="B364" s="3" t="str">
        <f>IF([1]SCHEDULE!B364="","",[1]SCHEDULE!B364)</f>
        <v>BAY</v>
      </c>
      <c r="C364" s="3">
        <f>IF([1]SCHEDULE!C364="","",[1]SCHEDULE!C364)</f>
        <v>5</v>
      </c>
      <c r="D364" s="1" t="str">
        <f>IF([1]SCHEDULE!D364="","",[1]SCHEDULE!D364)</f>
        <v>FC Bayern Munich</v>
      </c>
      <c r="E364" s="1" t="str">
        <f>IF([1]SCHEDULE!E364="","",[1]SCHEDULE!E364)</f>
        <v>Fenerbahce Beko Istanbul</v>
      </c>
      <c r="F364" s="6">
        <f>IF([1]SCHEDULE!F364="","",[1]SCHEDULE!F364)</f>
        <v>45226</v>
      </c>
      <c r="G364" s="3" t="str">
        <f>IF([1]SCHEDULE!G364="","",[1]SCHEDULE!G364)</f>
        <v>H</v>
      </c>
      <c r="H364" s="3" t="str">
        <f>IF([1]SCHEDULE!H364="","",[1]SCHEDULE!H364)</f>
        <v>FEN</v>
      </c>
      <c r="I364" s="3" t="str">
        <f>IF([1]SCHEDULE!I364="","",[1]SCHEDULE!I364)</f>
        <v>5.BAY</v>
      </c>
      <c r="J364" s="3" t="str">
        <f>IF([1]SCHEDULE!J364="","",[1]SCHEDULE!J364)</f>
        <v>5.FEN</v>
      </c>
    </row>
    <row r="365" spans="2:10" x14ac:dyDescent="0.25">
      <c r="B365" s="3" t="str">
        <f>IF([1]SCHEDULE!B365="","",[1]SCHEDULE!B365)</f>
        <v>BAY</v>
      </c>
      <c r="C365" s="3">
        <f>IF([1]SCHEDULE!C365="","",[1]SCHEDULE!C365)</f>
        <v>6</v>
      </c>
      <c r="D365" s="1" t="str">
        <f>IF([1]SCHEDULE!D365="","",[1]SCHEDULE!D365)</f>
        <v>FC Bayern Munich</v>
      </c>
      <c r="E365" s="1" t="str">
        <f>IF([1]SCHEDULE!E365="","",[1]SCHEDULE!E365)</f>
        <v>Crvena Zvezda Meridianbet Belgrade</v>
      </c>
      <c r="F365" s="6">
        <f>IF([1]SCHEDULE!F365="","",[1]SCHEDULE!F365)</f>
        <v>45232</v>
      </c>
      <c r="G365" s="3" t="str">
        <f>IF([1]SCHEDULE!G365="","",[1]SCHEDULE!G365)</f>
        <v>A</v>
      </c>
      <c r="H365" s="3" t="str">
        <f>IF([1]SCHEDULE!H365="","",[1]SCHEDULE!H365)</f>
        <v>CZB</v>
      </c>
      <c r="I365" s="3" t="str">
        <f>IF([1]SCHEDULE!I365="","",[1]SCHEDULE!I365)</f>
        <v>6.BAY</v>
      </c>
      <c r="J365" s="3" t="str">
        <f>IF([1]SCHEDULE!J365="","",[1]SCHEDULE!J365)</f>
        <v>6.CZB</v>
      </c>
    </row>
    <row r="366" spans="2:10" x14ac:dyDescent="0.25">
      <c r="B366" s="3" t="str">
        <f>IF([1]SCHEDULE!B366="","",[1]SCHEDULE!B366)</f>
        <v>BAY</v>
      </c>
      <c r="C366" s="3">
        <f>IF([1]SCHEDULE!C366="","",[1]SCHEDULE!C366)</f>
        <v>7</v>
      </c>
      <c r="D366" s="1" t="str">
        <f>IF([1]SCHEDULE!D366="","",[1]SCHEDULE!D366)</f>
        <v>FC Bayern Munich</v>
      </c>
      <c r="E366" s="1" t="str">
        <f>IF([1]SCHEDULE!E366="","",[1]SCHEDULE!E366)</f>
        <v>Maccabi Playtika Tel Aviv</v>
      </c>
      <c r="F366" s="6">
        <f>IF([1]SCHEDULE!F366="","",[1]SCHEDULE!F366)</f>
        <v>45239</v>
      </c>
      <c r="G366" s="3" t="str">
        <f>IF([1]SCHEDULE!G366="","",[1]SCHEDULE!G366)</f>
        <v>A</v>
      </c>
      <c r="H366" s="3" t="str">
        <f>IF([1]SCHEDULE!H366="","",[1]SCHEDULE!H366)</f>
        <v>MTA</v>
      </c>
      <c r="I366" s="3" t="str">
        <f>IF([1]SCHEDULE!I366="","",[1]SCHEDULE!I366)</f>
        <v>7.BAY</v>
      </c>
      <c r="J366" s="3" t="str">
        <f>IF([1]SCHEDULE!J366="","",[1]SCHEDULE!J366)</f>
        <v>7.MTA</v>
      </c>
    </row>
    <row r="367" spans="2:10" x14ac:dyDescent="0.25">
      <c r="B367" s="3" t="str">
        <f>IF([1]SCHEDULE!B367="","",[1]SCHEDULE!B367)</f>
        <v>BAY</v>
      </c>
      <c r="C367" s="3">
        <f>IF([1]SCHEDULE!C367="","",[1]SCHEDULE!C367)</f>
        <v>8</v>
      </c>
      <c r="D367" s="1" t="str">
        <f>IF([1]SCHEDULE!D367="","",[1]SCHEDULE!D367)</f>
        <v>FC Bayern Munich</v>
      </c>
      <c r="E367" s="1" t="str">
        <f>IF([1]SCHEDULE!E367="","",[1]SCHEDULE!E367)</f>
        <v>Partizan Mozzart Bet Belgrade</v>
      </c>
      <c r="F367" s="6">
        <f>IF([1]SCHEDULE!F367="","",[1]SCHEDULE!F367)</f>
        <v>45245</v>
      </c>
      <c r="G367" s="3" t="str">
        <f>IF([1]SCHEDULE!G367="","",[1]SCHEDULE!G367)</f>
        <v>H</v>
      </c>
      <c r="H367" s="3" t="str">
        <f>IF([1]SCHEDULE!H367="","",[1]SCHEDULE!H367)</f>
        <v>PAR</v>
      </c>
      <c r="I367" s="3" t="str">
        <f>IF([1]SCHEDULE!I367="","",[1]SCHEDULE!I367)</f>
        <v>8.BAY</v>
      </c>
      <c r="J367" s="3" t="str">
        <f>IF([1]SCHEDULE!J367="","",[1]SCHEDULE!J367)</f>
        <v>8.PAR</v>
      </c>
    </row>
    <row r="368" spans="2:10" x14ac:dyDescent="0.25">
      <c r="B368" s="3" t="str">
        <f>IF([1]SCHEDULE!B368="","",[1]SCHEDULE!B368)</f>
        <v>BAY</v>
      </c>
      <c r="C368" s="3">
        <f>IF([1]SCHEDULE!C368="","",[1]SCHEDULE!C368)</f>
        <v>9</v>
      </c>
      <c r="D368" s="1" t="str">
        <f>IF([1]SCHEDULE!D368="","",[1]SCHEDULE!D368)</f>
        <v>FC Bayern Munich</v>
      </c>
      <c r="E368" s="1" t="str">
        <f>IF([1]SCHEDULE!E368="","",[1]SCHEDULE!E368)</f>
        <v>Zalgiris Kaunas</v>
      </c>
      <c r="F368" s="6">
        <f>IF([1]SCHEDULE!F368="","",[1]SCHEDULE!F368)</f>
        <v>45247</v>
      </c>
      <c r="G368" s="3" t="str">
        <f>IF([1]SCHEDULE!G368="","",[1]SCHEDULE!G368)</f>
        <v>A</v>
      </c>
      <c r="H368" s="3" t="str">
        <f>IF([1]SCHEDULE!H368="","",[1]SCHEDULE!H368)</f>
        <v>ZAL</v>
      </c>
      <c r="I368" s="3" t="str">
        <f>IF([1]SCHEDULE!I368="","",[1]SCHEDULE!I368)</f>
        <v>9.BAY</v>
      </c>
      <c r="J368" s="3" t="str">
        <f>IF([1]SCHEDULE!J368="","",[1]SCHEDULE!J368)</f>
        <v>9.ZAL</v>
      </c>
    </row>
    <row r="369" spans="2:10" x14ac:dyDescent="0.25">
      <c r="B369" s="3" t="str">
        <f>IF([1]SCHEDULE!B369="","",[1]SCHEDULE!B369)</f>
        <v>BAY</v>
      </c>
      <c r="C369" s="3">
        <f>IF([1]SCHEDULE!C369="","",[1]SCHEDULE!C369)</f>
        <v>10</v>
      </c>
      <c r="D369" s="1" t="str">
        <f>IF([1]SCHEDULE!D369="","",[1]SCHEDULE!D369)</f>
        <v>FC Bayern Munich</v>
      </c>
      <c r="E369" s="1" t="str">
        <f>IF([1]SCHEDULE!E369="","",[1]SCHEDULE!E369)</f>
        <v>LDLC ASVEL Villeurbanne</v>
      </c>
      <c r="F369" s="6">
        <f>IF([1]SCHEDULE!F369="","",[1]SCHEDULE!F369)</f>
        <v>45253</v>
      </c>
      <c r="G369" s="3" t="str">
        <f>IF([1]SCHEDULE!G369="","",[1]SCHEDULE!G369)</f>
        <v>A</v>
      </c>
      <c r="H369" s="3" t="str">
        <f>IF([1]SCHEDULE!H369="","",[1]SCHEDULE!H369)</f>
        <v>ASV</v>
      </c>
      <c r="I369" s="3" t="str">
        <f>IF([1]SCHEDULE!I369="","",[1]SCHEDULE!I369)</f>
        <v>10.BAY</v>
      </c>
      <c r="J369" s="3" t="str">
        <f>IF([1]SCHEDULE!J369="","",[1]SCHEDULE!J369)</f>
        <v>10.ASV</v>
      </c>
    </row>
    <row r="370" spans="2:10" x14ac:dyDescent="0.25">
      <c r="B370" s="3" t="str">
        <f>IF([1]SCHEDULE!B370="","",[1]SCHEDULE!B370)</f>
        <v>BAY</v>
      </c>
      <c r="C370" s="3">
        <f>IF([1]SCHEDULE!C370="","",[1]SCHEDULE!C370)</f>
        <v>11</v>
      </c>
      <c r="D370" s="1" t="str">
        <f>IF([1]SCHEDULE!D370="","",[1]SCHEDULE!D370)</f>
        <v>FC Bayern Munich</v>
      </c>
      <c r="E370" s="1" t="str">
        <f>IF([1]SCHEDULE!E370="","",[1]SCHEDULE!E370)</f>
        <v>Virtus Segafredo Bologna</v>
      </c>
      <c r="F370" s="6">
        <f>IF([1]SCHEDULE!F370="","",[1]SCHEDULE!F370)</f>
        <v>45260</v>
      </c>
      <c r="G370" s="3" t="str">
        <f>IF([1]SCHEDULE!G370="","",[1]SCHEDULE!G370)</f>
        <v>H</v>
      </c>
      <c r="H370" s="3" t="str">
        <f>IF([1]SCHEDULE!H370="","",[1]SCHEDULE!H370)</f>
        <v>VIR</v>
      </c>
      <c r="I370" s="3" t="str">
        <f>IF([1]SCHEDULE!I370="","",[1]SCHEDULE!I370)</f>
        <v>11.BAY</v>
      </c>
      <c r="J370" s="3" t="str">
        <f>IF([1]SCHEDULE!J370="","",[1]SCHEDULE!J370)</f>
        <v>11.VIR</v>
      </c>
    </row>
    <row r="371" spans="2:10" x14ac:dyDescent="0.25">
      <c r="B371" s="3" t="str">
        <f>IF([1]SCHEDULE!B371="","",[1]SCHEDULE!B371)</f>
        <v>BAY</v>
      </c>
      <c r="C371" s="3">
        <f>IF([1]SCHEDULE!C371="","",[1]SCHEDULE!C371)</f>
        <v>12</v>
      </c>
      <c r="D371" s="1" t="str">
        <f>IF([1]SCHEDULE!D371="","",[1]SCHEDULE!D371)</f>
        <v>FC Bayern Munich</v>
      </c>
      <c r="E371" s="1" t="str">
        <f>IF([1]SCHEDULE!E371="","",[1]SCHEDULE!E371)</f>
        <v>EA7 Emporio Armani Milan</v>
      </c>
      <c r="F371" s="6">
        <f>IF([1]SCHEDULE!F371="","",[1]SCHEDULE!F371)</f>
        <v>45265</v>
      </c>
      <c r="G371" s="3" t="str">
        <f>IF([1]SCHEDULE!G371="","",[1]SCHEDULE!G371)</f>
        <v>H</v>
      </c>
      <c r="H371" s="3" t="str">
        <f>IF([1]SCHEDULE!H371="","",[1]SCHEDULE!H371)</f>
        <v>MIL</v>
      </c>
      <c r="I371" s="3" t="str">
        <f>IF([1]SCHEDULE!I371="","",[1]SCHEDULE!I371)</f>
        <v>12.BAY</v>
      </c>
      <c r="J371" s="3" t="str">
        <f>IF([1]SCHEDULE!J371="","",[1]SCHEDULE!J371)</f>
        <v>12.MIL</v>
      </c>
    </row>
    <row r="372" spans="2:10" x14ac:dyDescent="0.25">
      <c r="B372" s="3" t="str">
        <f>IF([1]SCHEDULE!B372="","",[1]SCHEDULE!B372)</f>
        <v>BAY</v>
      </c>
      <c r="C372" s="3">
        <f>IF([1]SCHEDULE!C372="","",[1]SCHEDULE!C372)</f>
        <v>13</v>
      </c>
      <c r="D372" s="1" t="str">
        <f>IF([1]SCHEDULE!D372="","",[1]SCHEDULE!D372)</f>
        <v>FC Bayern Munich</v>
      </c>
      <c r="E372" s="1" t="str">
        <f>IF([1]SCHEDULE!E372="","",[1]SCHEDULE!E372)</f>
        <v>Olympiacos Piraeus</v>
      </c>
      <c r="F372" s="6">
        <f>IF([1]SCHEDULE!F372="","",[1]SCHEDULE!F372)</f>
        <v>45268</v>
      </c>
      <c r="G372" s="3" t="str">
        <f>IF([1]SCHEDULE!G372="","",[1]SCHEDULE!G372)</f>
        <v>A</v>
      </c>
      <c r="H372" s="3" t="str">
        <f>IF([1]SCHEDULE!H372="","",[1]SCHEDULE!H372)</f>
        <v>OLY</v>
      </c>
      <c r="I372" s="3" t="str">
        <f>IF([1]SCHEDULE!I372="","",[1]SCHEDULE!I372)</f>
        <v>13.BAY</v>
      </c>
      <c r="J372" s="3" t="str">
        <f>IF([1]SCHEDULE!J372="","",[1]SCHEDULE!J372)</f>
        <v>13.OLY</v>
      </c>
    </row>
    <row r="373" spans="2:10" x14ac:dyDescent="0.25">
      <c r="B373" s="3" t="str">
        <f>IF([1]SCHEDULE!B373="","",[1]SCHEDULE!B373)</f>
        <v>BAY</v>
      </c>
      <c r="C373" s="3">
        <f>IF([1]SCHEDULE!C373="","",[1]SCHEDULE!C373)</f>
        <v>14</v>
      </c>
      <c r="D373" s="1" t="str">
        <f>IF([1]SCHEDULE!D373="","",[1]SCHEDULE!D373)</f>
        <v>FC Bayern Munich</v>
      </c>
      <c r="E373" s="1" t="str">
        <f>IF([1]SCHEDULE!E373="","",[1]SCHEDULE!E373)</f>
        <v>Real Madrid</v>
      </c>
      <c r="F373" s="6">
        <f>IF([1]SCHEDULE!F373="","",[1]SCHEDULE!F373)</f>
        <v>45274</v>
      </c>
      <c r="G373" s="3" t="str">
        <f>IF([1]SCHEDULE!G373="","",[1]SCHEDULE!G373)</f>
        <v>A</v>
      </c>
      <c r="H373" s="3" t="str">
        <f>IF([1]SCHEDULE!H373="","",[1]SCHEDULE!H373)</f>
        <v>RMB</v>
      </c>
      <c r="I373" s="3" t="str">
        <f>IF([1]SCHEDULE!I373="","",[1]SCHEDULE!I373)</f>
        <v>14.BAY</v>
      </c>
      <c r="J373" s="3" t="str">
        <f>IF([1]SCHEDULE!J373="","",[1]SCHEDULE!J373)</f>
        <v>14.RMB</v>
      </c>
    </row>
    <row r="374" spans="2:10" x14ac:dyDescent="0.25">
      <c r="B374" s="3" t="str">
        <f>IF([1]SCHEDULE!B374="","",[1]SCHEDULE!B374)</f>
        <v>BAY</v>
      </c>
      <c r="C374" s="3">
        <f>IF([1]SCHEDULE!C374="","",[1]SCHEDULE!C374)</f>
        <v>15</v>
      </c>
      <c r="D374" s="1" t="str">
        <f>IF([1]SCHEDULE!D374="","",[1]SCHEDULE!D374)</f>
        <v>FC Bayern Munich</v>
      </c>
      <c r="E374" s="1" t="str">
        <f>IF([1]SCHEDULE!E374="","",[1]SCHEDULE!E374)</f>
        <v>Anadolu Efes Istanbul</v>
      </c>
      <c r="F374" s="6">
        <f>IF([1]SCHEDULE!F374="","",[1]SCHEDULE!F374)</f>
        <v>45280</v>
      </c>
      <c r="G374" s="3" t="str">
        <f>IF([1]SCHEDULE!G374="","",[1]SCHEDULE!G374)</f>
        <v>H</v>
      </c>
      <c r="H374" s="3" t="str">
        <f>IF([1]SCHEDULE!H374="","",[1]SCHEDULE!H374)</f>
        <v>EFE</v>
      </c>
      <c r="I374" s="3" t="str">
        <f>IF([1]SCHEDULE!I374="","",[1]SCHEDULE!I374)</f>
        <v>15.BAY</v>
      </c>
      <c r="J374" s="3" t="str">
        <f>IF([1]SCHEDULE!J374="","",[1]SCHEDULE!J374)</f>
        <v>15.EFE</v>
      </c>
    </row>
    <row r="375" spans="2:10" x14ac:dyDescent="0.25">
      <c r="B375" s="3" t="str">
        <f>IF([1]SCHEDULE!B375="","",[1]SCHEDULE!B375)</f>
        <v>BAY</v>
      </c>
      <c r="C375" s="3">
        <f>IF([1]SCHEDULE!C375="","",[1]SCHEDULE!C375)</f>
        <v>16</v>
      </c>
      <c r="D375" s="1" t="str">
        <f>IF([1]SCHEDULE!D375="","",[1]SCHEDULE!D375)</f>
        <v>FC Bayern Munich</v>
      </c>
      <c r="E375" s="1" t="str">
        <f>IF([1]SCHEDULE!E375="","",[1]SCHEDULE!E375)</f>
        <v>AS Monaco</v>
      </c>
      <c r="F375" s="6">
        <f>IF([1]SCHEDULE!F375="","",[1]SCHEDULE!F375)</f>
        <v>45282</v>
      </c>
      <c r="G375" s="3" t="str">
        <f>IF([1]SCHEDULE!G375="","",[1]SCHEDULE!G375)</f>
        <v>H</v>
      </c>
      <c r="H375" s="3" t="str">
        <f>IF([1]SCHEDULE!H375="","",[1]SCHEDULE!H375)</f>
        <v>ASM</v>
      </c>
      <c r="I375" s="3" t="str">
        <f>IF([1]SCHEDULE!I375="","",[1]SCHEDULE!I375)</f>
        <v>16.BAY</v>
      </c>
      <c r="J375" s="3" t="str">
        <f>IF([1]SCHEDULE!J375="","",[1]SCHEDULE!J375)</f>
        <v>16.ASM</v>
      </c>
    </row>
    <row r="376" spans="2:10" x14ac:dyDescent="0.25">
      <c r="B376" s="3" t="str">
        <f>IF([1]SCHEDULE!B376="","",[1]SCHEDULE!B376)</f>
        <v>BAY</v>
      </c>
      <c r="C376" s="3">
        <f>IF([1]SCHEDULE!C376="","",[1]SCHEDULE!C376)</f>
        <v>17</v>
      </c>
      <c r="D376" s="1" t="str">
        <f>IF([1]SCHEDULE!D376="","",[1]SCHEDULE!D376)</f>
        <v>FC Bayern Munich</v>
      </c>
      <c r="E376" s="1" t="str">
        <f>IF([1]SCHEDULE!E376="","",[1]SCHEDULE!E376)</f>
        <v>Valencia Basket</v>
      </c>
      <c r="F376" s="6">
        <f>IF([1]SCHEDULE!F376="","",[1]SCHEDULE!F376)</f>
        <v>45288</v>
      </c>
      <c r="G376" s="3" t="str">
        <f>IF([1]SCHEDULE!G376="","",[1]SCHEDULE!G376)</f>
        <v>H</v>
      </c>
      <c r="H376" s="3" t="str">
        <f>IF([1]SCHEDULE!H376="","",[1]SCHEDULE!H376)</f>
        <v>VAL</v>
      </c>
      <c r="I376" s="3" t="str">
        <f>IF([1]SCHEDULE!I376="","",[1]SCHEDULE!I376)</f>
        <v>17.BAY</v>
      </c>
      <c r="J376" s="3" t="str">
        <f>IF([1]SCHEDULE!J376="","",[1]SCHEDULE!J376)</f>
        <v>17.VAL</v>
      </c>
    </row>
    <row r="377" spans="2:10" x14ac:dyDescent="0.25">
      <c r="B377" s="3" t="str">
        <f>IF([1]SCHEDULE!B377="","",[1]SCHEDULE!B377)</f>
        <v>BAY</v>
      </c>
      <c r="C377" s="3">
        <f>IF([1]SCHEDULE!C377="","",[1]SCHEDULE!C377)</f>
        <v>18</v>
      </c>
      <c r="D377" s="1" t="str">
        <f>IF([1]SCHEDULE!D377="","",[1]SCHEDULE!D377)</f>
        <v>FC Bayern Munich</v>
      </c>
      <c r="E377" s="1" t="str">
        <f>IF([1]SCHEDULE!E377="","",[1]SCHEDULE!E377)</f>
        <v>Virtus Segafredo Bologna</v>
      </c>
      <c r="F377" s="6">
        <f>IF([1]SCHEDULE!F377="","",[1]SCHEDULE!F377)</f>
        <v>45294</v>
      </c>
      <c r="G377" s="3" t="str">
        <f>IF([1]SCHEDULE!G377="","",[1]SCHEDULE!G377)</f>
        <v>A</v>
      </c>
      <c r="H377" s="3" t="str">
        <f>IF([1]SCHEDULE!H377="","",[1]SCHEDULE!H377)</f>
        <v>VIR</v>
      </c>
      <c r="I377" s="3" t="str">
        <f>IF([1]SCHEDULE!I377="","",[1]SCHEDULE!I377)</f>
        <v>18.BAY</v>
      </c>
      <c r="J377" s="3" t="str">
        <f>IF([1]SCHEDULE!J377="","",[1]SCHEDULE!J377)</f>
        <v>18.VIR</v>
      </c>
    </row>
    <row r="378" spans="2:10" x14ac:dyDescent="0.25">
      <c r="B378" s="3" t="str">
        <f>IF([1]SCHEDULE!B378="","",[1]SCHEDULE!B378)</f>
        <v>BAY</v>
      </c>
      <c r="C378" s="3">
        <f>IF([1]SCHEDULE!C378="","",[1]SCHEDULE!C378)</f>
        <v>19</v>
      </c>
      <c r="D378" s="1" t="str">
        <f>IF([1]SCHEDULE!D378="","",[1]SCHEDULE!D378)</f>
        <v>FC Bayern Munich</v>
      </c>
      <c r="E378" s="1" t="str">
        <f>IF([1]SCHEDULE!E378="","",[1]SCHEDULE!E378)</f>
        <v>EA7 Emporio Armani Milan</v>
      </c>
      <c r="F378" s="6">
        <f>IF([1]SCHEDULE!F378="","",[1]SCHEDULE!F378)</f>
        <v>45296</v>
      </c>
      <c r="G378" s="3" t="str">
        <f>IF([1]SCHEDULE!G378="","",[1]SCHEDULE!G378)</f>
        <v>A</v>
      </c>
      <c r="H378" s="3" t="str">
        <f>IF([1]SCHEDULE!H378="","",[1]SCHEDULE!H378)</f>
        <v>MIL</v>
      </c>
      <c r="I378" s="3" t="str">
        <f>IF([1]SCHEDULE!I378="","",[1]SCHEDULE!I378)</f>
        <v>19.BAY</v>
      </c>
      <c r="J378" s="3" t="str">
        <f>IF([1]SCHEDULE!J378="","",[1]SCHEDULE!J378)</f>
        <v>19.MIL</v>
      </c>
    </row>
    <row r="379" spans="2:10" x14ac:dyDescent="0.25">
      <c r="B379" s="3" t="str">
        <f>IF([1]SCHEDULE!B379="","",[1]SCHEDULE!B379)</f>
        <v>BAY</v>
      </c>
      <c r="C379" s="3">
        <f>IF([1]SCHEDULE!C379="","",[1]SCHEDULE!C379)</f>
        <v>20</v>
      </c>
      <c r="D379" s="1" t="str">
        <f>IF([1]SCHEDULE!D379="","",[1]SCHEDULE!D379)</f>
        <v>FC Bayern Munich</v>
      </c>
      <c r="E379" s="1" t="str">
        <f>IF([1]SCHEDULE!E379="","",[1]SCHEDULE!E379)</f>
        <v>Real Madrid</v>
      </c>
      <c r="F379" s="6">
        <f>IF([1]SCHEDULE!F379="","",[1]SCHEDULE!F379)</f>
        <v>45300</v>
      </c>
      <c r="G379" s="3" t="str">
        <f>IF([1]SCHEDULE!G379="","",[1]SCHEDULE!G379)</f>
        <v>H</v>
      </c>
      <c r="H379" s="3" t="str">
        <f>IF([1]SCHEDULE!H379="","",[1]SCHEDULE!H379)</f>
        <v>RMB</v>
      </c>
      <c r="I379" s="3" t="str">
        <f>IF([1]SCHEDULE!I379="","",[1]SCHEDULE!I379)</f>
        <v>20.BAY</v>
      </c>
      <c r="J379" s="3" t="str">
        <f>IF([1]SCHEDULE!J379="","",[1]SCHEDULE!J379)</f>
        <v>20.RMB</v>
      </c>
    </row>
    <row r="380" spans="2:10" x14ac:dyDescent="0.25">
      <c r="B380" s="3" t="str">
        <f>IF([1]SCHEDULE!B380="","",[1]SCHEDULE!B380)</f>
        <v>BAY</v>
      </c>
      <c r="C380" s="3">
        <f>IF([1]SCHEDULE!C380="","",[1]SCHEDULE!C380)</f>
        <v>21</v>
      </c>
      <c r="D380" s="1" t="str">
        <f>IF([1]SCHEDULE!D380="","",[1]SCHEDULE!D380)</f>
        <v>FC Bayern Munich</v>
      </c>
      <c r="E380" s="1" t="str">
        <f>IF([1]SCHEDULE!E380="","",[1]SCHEDULE!E380)</f>
        <v>Fenerbahce Beko Istanbul</v>
      </c>
      <c r="F380" s="6">
        <f>IF([1]SCHEDULE!F380="","",[1]SCHEDULE!F380)</f>
        <v>45302</v>
      </c>
      <c r="G380" s="3" t="str">
        <f>IF([1]SCHEDULE!G380="","",[1]SCHEDULE!G380)</f>
        <v>A</v>
      </c>
      <c r="H380" s="3" t="str">
        <f>IF([1]SCHEDULE!H380="","",[1]SCHEDULE!H380)</f>
        <v>FEN</v>
      </c>
      <c r="I380" s="3" t="str">
        <f>IF([1]SCHEDULE!I380="","",[1]SCHEDULE!I380)</f>
        <v>21.BAY</v>
      </c>
      <c r="J380" s="3" t="str">
        <f>IF([1]SCHEDULE!J380="","",[1]SCHEDULE!J380)</f>
        <v>21.FEN</v>
      </c>
    </row>
    <row r="381" spans="2:10" x14ac:dyDescent="0.25">
      <c r="B381" s="3" t="str">
        <f>IF([1]SCHEDULE!B381="","",[1]SCHEDULE!B381)</f>
        <v>BAY</v>
      </c>
      <c r="C381" s="3">
        <f>IF([1]SCHEDULE!C381="","",[1]SCHEDULE!C381)</f>
        <v>22</v>
      </c>
      <c r="D381" s="1" t="str">
        <f>IF([1]SCHEDULE!D381="","",[1]SCHEDULE!D381)</f>
        <v>FC Bayern Munich</v>
      </c>
      <c r="E381" s="1" t="str">
        <f>IF([1]SCHEDULE!E381="","",[1]SCHEDULE!E381)</f>
        <v>ALBA Berlin</v>
      </c>
      <c r="F381" s="6">
        <f>IF([1]SCHEDULE!F381="","",[1]SCHEDULE!F381)</f>
        <v>45309</v>
      </c>
      <c r="G381" s="3" t="str">
        <f>IF([1]SCHEDULE!G381="","",[1]SCHEDULE!G381)</f>
        <v>A</v>
      </c>
      <c r="H381" s="3" t="str">
        <f>IF([1]SCHEDULE!H381="","",[1]SCHEDULE!H381)</f>
        <v>BER</v>
      </c>
      <c r="I381" s="3" t="str">
        <f>IF([1]SCHEDULE!I381="","",[1]SCHEDULE!I381)</f>
        <v>22.BAY</v>
      </c>
      <c r="J381" s="3" t="str">
        <f>IF([1]SCHEDULE!J381="","",[1]SCHEDULE!J381)</f>
        <v>22.BER</v>
      </c>
    </row>
    <row r="382" spans="2:10" x14ac:dyDescent="0.25">
      <c r="B382" s="3" t="str">
        <f>IF([1]SCHEDULE!B382="","",[1]SCHEDULE!B382)</f>
        <v>BAY</v>
      </c>
      <c r="C382" s="3">
        <f>IF([1]SCHEDULE!C382="","",[1]SCHEDULE!C382)</f>
        <v>23</v>
      </c>
      <c r="D382" s="1" t="str">
        <f>IF([1]SCHEDULE!D382="","",[1]SCHEDULE!D382)</f>
        <v>FC Bayern Munich</v>
      </c>
      <c r="E382" s="1" t="str">
        <f>IF([1]SCHEDULE!E382="","",[1]SCHEDULE!E382)</f>
        <v>LDLC ASVEL Villeurbanne</v>
      </c>
      <c r="F382" s="6">
        <f>IF([1]SCHEDULE!F382="","",[1]SCHEDULE!F382)</f>
        <v>45316</v>
      </c>
      <c r="G382" s="3" t="str">
        <f>IF([1]SCHEDULE!G382="","",[1]SCHEDULE!G382)</f>
        <v>H</v>
      </c>
      <c r="H382" s="3" t="str">
        <f>IF([1]SCHEDULE!H382="","",[1]SCHEDULE!H382)</f>
        <v>ASV</v>
      </c>
      <c r="I382" s="3" t="str">
        <f>IF([1]SCHEDULE!I382="","",[1]SCHEDULE!I382)</f>
        <v>23.BAY</v>
      </c>
      <c r="J382" s="3" t="str">
        <f>IF([1]SCHEDULE!J382="","",[1]SCHEDULE!J382)</f>
        <v>23.ASV</v>
      </c>
    </row>
    <row r="383" spans="2:10" x14ac:dyDescent="0.25">
      <c r="B383" s="3" t="str">
        <f>IF([1]SCHEDULE!B383="","",[1]SCHEDULE!B383)</f>
        <v>BAY</v>
      </c>
      <c r="C383" s="3">
        <f>IF([1]SCHEDULE!C383="","",[1]SCHEDULE!C383)</f>
        <v>24</v>
      </c>
      <c r="D383" s="1" t="str">
        <f>IF([1]SCHEDULE!D383="","",[1]SCHEDULE!D383)</f>
        <v>FC Bayern Munich</v>
      </c>
      <c r="E383" s="1" t="str">
        <f>IF([1]SCHEDULE!E383="","",[1]SCHEDULE!E383)</f>
        <v>Baskonia Vitoria-Gasteiz</v>
      </c>
      <c r="F383" s="6">
        <f>IF([1]SCHEDULE!F383="","",[1]SCHEDULE!F383)</f>
        <v>45321</v>
      </c>
      <c r="G383" s="3" t="str">
        <f>IF([1]SCHEDULE!G383="","",[1]SCHEDULE!G383)</f>
        <v>H</v>
      </c>
      <c r="H383" s="3" t="str">
        <f>IF([1]SCHEDULE!H383="","",[1]SCHEDULE!H383)</f>
        <v>BAS</v>
      </c>
      <c r="I383" s="3" t="str">
        <f>IF([1]SCHEDULE!I383="","",[1]SCHEDULE!I383)</f>
        <v>24.BAY</v>
      </c>
      <c r="J383" s="3" t="str">
        <f>IF([1]SCHEDULE!J383="","",[1]SCHEDULE!J383)</f>
        <v>24.BAS</v>
      </c>
    </row>
    <row r="384" spans="2:10" x14ac:dyDescent="0.25">
      <c r="B384" s="3" t="str">
        <f>IF([1]SCHEDULE!B384="","",[1]SCHEDULE!B384)</f>
        <v>BAY</v>
      </c>
      <c r="C384" s="3">
        <f>IF([1]SCHEDULE!C384="","",[1]SCHEDULE!C384)</f>
        <v>25</v>
      </c>
      <c r="D384" s="1" t="str">
        <f>IF([1]SCHEDULE!D384="","",[1]SCHEDULE!D384)</f>
        <v>FC Bayern Munich</v>
      </c>
      <c r="E384" s="1" t="str">
        <f>IF([1]SCHEDULE!E384="","",[1]SCHEDULE!E384)</f>
        <v>Olympiacos Piraeus</v>
      </c>
      <c r="F384" s="6">
        <f>IF([1]SCHEDULE!F384="","",[1]SCHEDULE!F384)</f>
        <v>45323</v>
      </c>
      <c r="G384" s="3" t="str">
        <f>IF([1]SCHEDULE!G384="","",[1]SCHEDULE!G384)</f>
        <v>H</v>
      </c>
      <c r="H384" s="3" t="str">
        <f>IF([1]SCHEDULE!H384="","",[1]SCHEDULE!H384)</f>
        <v>OLY</v>
      </c>
      <c r="I384" s="3" t="str">
        <f>IF([1]SCHEDULE!I384="","",[1]SCHEDULE!I384)</f>
        <v>25.BAY</v>
      </c>
      <c r="J384" s="3" t="str">
        <f>IF([1]SCHEDULE!J384="","",[1]SCHEDULE!J384)</f>
        <v>25.OLY</v>
      </c>
    </row>
    <row r="385" spans="2:10" x14ac:dyDescent="0.25">
      <c r="B385" s="3" t="str">
        <f>IF([1]SCHEDULE!B385="","",[1]SCHEDULE!B385)</f>
        <v>BAY</v>
      </c>
      <c r="C385" s="3">
        <f>IF([1]SCHEDULE!C385="","",[1]SCHEDULE!C385)</f>
        <v>26</v>
      </c>
      <c r="D385" s="1" t="str">
        <f>IF([1]SCHEDULE!D385="","",[1]SCHEDULE!D385)</f>
        <v>FC Bayern Munich</v>
      </c>
      <c r="E385" s="1" t="str">
        <f>IF([1]SCHEDULE!E385="","",[1]SCHEDULE!E385)</f>
        <v>Partizan Mozzart Bet Belgrade</v>
      </c>
      <c r="F385" s="6">
        <f>IF([1]SCHEDULE!F385="","",[1]SCHEDULE!F385)</f>
        <v>45330</v>
      </c>
      <c r="G385" s="3" t="str">
        <f>IF([1]SCHEDULE!G385="","",[1]SCHEDULE!G385)</f>
        <v>A</v>
      </c>
      <c r="H385" s="3" t="str">
        <f>IF([1]SCHEDULE!H385="","",[1]SCHEDULE!H385)</f>
        <v>PAR</v>
      </c>
      <c r="I385" s="3" t="str">
        <f>IF([1]SCHEDULE!I385="","",[1]SCHEDULE!I385)</f>
        <v>26.BAY</v>
      </c>
      <c r="J385" s="3" t="str">
        <f>IF([1]SCHEDULE!J385="","",[1]SCHEDULE!J385)</f>
        <v>26.PAR</v>
      </c>
    </row>
    <row r="386" spans="2:10" x14ac:dyDescent="0.25">
      <c r="B386" s="3" t="str">
        <f>IF([1]SCHEDULE!B386="","",[1]SCHEDULE!B386)</f>
        <v>BAY</v>
      </c>
      <c r="C386" s="3">
        <f>IF([1]SCHEDULE!C386="","",[1]SCHEDULE!C386)</f>
        <v>27</v>
      </c>
      <c r="D386" s="1" t="str">
        <f>IF([1]SCHEDULE!D386="","",[1]SCHEDULE!D386)</f>
        <v>FC Bayern Munich</v>
      </c>
      <c r="E386" s="1" t="str">
        <f>IF([1]SCHEDULE!E386="","",[1]SCHEDULE!E386)</f>
        <v>Crvena Zvezda Meridianbet Belgrade</v>
      </c>
      <c r="F386" s="6">
        <f>IF([1]SCHEDULE!F386="","",[1]SCHEDULE!F386)</f>
        <v>45352</v>
      </c>
      <c r="G386" s="3" t="str">
        <f>IF([1]SCHEDULE!G386="","",[1]SCHEDULE!G386)</f>
        <v>H</v>
      </c>
      <c r="H386" s="3" t="str">
        <f>IF([1]SCHEDULE!H386="","",[1]SCHEDULE!H386)</f>
        <v>CZB</v>
      </c>
      <c r="I386" s="3" t="str">
        <f>IF([1]SCHEDULE!I386="","",[1]SCHEDULE!I386)</f>
        <v>27.BAY</v>
      </c>
      <c r="J386" s="3" t="str">
        <f>IF([1]SCHEDULE!J386="","",[1]SCHEDULE!J386)</f>
        <v>27.CZB</v>
      </c>
    </row>
    <row r="387" spans="2:10" x14ac:dyDescent="0.25">
      <c r="B387" s="3" t="str">
        <f>IF([1]SCHEDULE!B387="","",[1]SCHEDULE!B387)</f>
        <v>BAY</v>
      </c>
      <c r="C387" s="3">
        <f>IF([1]SCHEDULE!C387="","",[1]SCHEDULE!C387)</f>
        <v>28</v>
      </c>
      <c r="D387" s="1" t="str">
        <f>IF([1]SCHEDULE!D387="","",[1]SCHEDULE!D387)</f>
        <v>FC Bayern Munich</v>
      </c>
      <c r="E387" s="1" t="str">
        <f>IF([1]SCHEDULE!E387="","",[1]SCHEDULE!E387)</f>
        <v>Anadolu Efes Istanbul</v>
      </c>
      <c r="F387" s="6">
        <f>IF([1]SCHEDULE!F387="","",[1]SCHEDULE!F387)</f>
        <v>45358</v>
      </c>
      <c r="G387" s="3" t="str">
        <f>IF([1]SCHEDULE!G387="","",[1]SCHEDULE!G387)</f>
        <v>A</v>
      </c>
      <c r="H387" s="3" t="str">
        <f>IF([1]SCHEDULE!H387="","",[1]SCHEDULE!H387)</f>
        <v>EFE</v>
      </c>
      <c r="I387" s="3" t="str">
        <f>IF([1]SCHEDULE!I387="","",[1]SCHEDULE!I387)</f>
        <v>28.BAY</v>
      </c>
      <c r="J387" s="3" t="str">
        <f>IF([1]SCHEDULE!J387="","",[1]SCHEDULE!J387)</f>
        <v>28.EFE</v>
      </c>
    </row>
    <row r="388" spans="2:10" x14ac:dyDescent="0.25">
      <c r="B388" s="3" t="str">
        <f>IF([1]SCHEDULE!B388="","",[1]SCHEDULE!B388)</f>
        <v>BAY</v>
      </c>
      <c r="C388" s="3">
        <f>IF([1]SCHEDULE!C388="","",[1]SCHEDULE!C388)</f>
        <v>29</v>
      </c>
      <c r="D388" s="1" t="str">
        <f>IF([1]SCHEDULE!D388="","",[1]SCHEDULE!D388)</f>
        <v>FC Bayern Munich</v>
      </c>
      <c r="E388" s="1" t="str">
        <f>IF([1]SCHEDULE!E388="","",[1]SCHEDULE!E388)</f>
        <v>Zalgiris Kaunas</v>
      </c>
      <c r="F388" s="6">
        <f>IF([1]SCHEDULE!F388="","",[1]SCHEDULE!F388)</f>
        <v>45366</v>
      </c>
      <c r="G388" s="3" t="str">
        <f>IF([1]SCHEDULE!G388="","",[1]SCHEDULE!G388)</f>
        <v>H</v>
      </c>
      <c r="H388" s="3" t="str">
        <f>IF([1]SCHEDULE!H388="","",[1]SCHEDULE!H388)</f>
        <v>ZAL</v>
      </c>
      <c r="I388" s="3" t="str">
        <f>IF([1]SCHEDULE!I388="","",[1]SCHEDULE!I388)</f>
        <v>29.BAY</v>
      </c>
      <c r="J388" s="3" t="str">
        <f>IF([1]SCHEDULE!J388="","",[1]SCHEDULE!J388)</f>
        <v>29.ZAL</v>
      </c>
    </row>
    <row r="389" spans="2:10" x14ac:dyDescent="0.25">
      <c r="B389" s="3" t="str">
        <f>IF([1]SCHEDULE!B389="","",[1]SCHEDULE!B389)</f>
        <v>BAY</v>
      </c>
      <c r="C389" s="3">
        <f>IF([1]SCHEDULE!C389="","",[1]SCHEDULE!C389)</f>
        <v>30</v>
      </c>
      <c r="D389" s="1" t="str">
        <f>IF([1]SCHEDULE!D389="","",[1]SCHEDULE!D389)</f>
        <v>FC Bayern Munich</v>
      </c>
      <c r="E389" s="1" t="str">
        <f>IF([1]SCHEDULE!E389="","",[1]SCHEDULE!E389)</f>
        <v>Valencia Basket</v>
      </c>
      <c r="F389" s="6">
        <f>IF([1]SCHEDULE!F389="","",[1]SCHEDULE!F389)</f>
        <v>45371</v>
      </c>
      <c r="G389" s="3" t="str">
        <f>IF([1]SCHEDULE!G389="","",[1]SCHEDULE!G389)</f>
        <v>A</v>
      </c>
      <c r="H389" s="3" t="str">
        <f>IF([1]SCHEDULE!H389="","",[1]SCHEDULE!H389)</f>
        <v>VAL</v>
      </c>
      <c r="I389" s="3" t="str">
        <f>IF([1]SCHEDULE!I389="","",[1]SCHEDULE!I389)</f>
        <v>30.BAY</v>
      </c>
      <c r="J389" s="3" t="str">
        <f>IF([1]SCHEDULE!J389="","",[1]SCHEDULE!J389)</f>
        <v>30.VAL</v>
      </c>
    </row>
    <row r="390" spans="2:10" x14ac:dyDescent="0.25">
      <c r="B390" s="3" t="str">
        <f>IF([1]SCHEDULE!B390="","",[1]SCHEDULE!B390)</f>
        <v>BAY</v>
      </c>
      <c r="C390" s="3">
        <f>IF([1]SCHEDULE!C390="","",[1]SCHEDULE!C390)</f>
        <v>31</v>
      </c>
      <c r="D390" s="1" t="str">
        <f>IF([1]SCHEDULE!D390="","",[1]SCHEDULE!D390)</f>
        <v>FC Bayern Munich</v>
      </c>
      <c r="E390" s="1" t="str">
        <f>IF([1]SCHEDULE!E390="","",[1]SCHEDULE!E390)</f>
        <v>Maccabi Playtika Tel Aviv</v>
      </c>
      <c r="F390" s="6">
        <f>IF([1]SCHEDULE!F390="","",[1]SCHEDULE!F390)</f>
        <v>45373</v>
      </c>
      <c r="G390" s="3" t="str">
        <f>IF([1]SCHEDULE!G390="","",[1]SCHEDULE!G390)</f>
        <v>H</v>
      </c>
      <c r="H390" s="3" t="str">
        <f>IF([1]SCHEDULE!H390="","",[1]SCHEDULE!H390)</f>
        <v>MTA</v>
      </c>
      <c r="I390" s="3" t="str">
        <f>IF([1]SCHEDULE!I390="","",[1]SCHEDULE!I390)</f>
        <v>31.BAY</v>
      </c>
      <c r="J390" s="3" t="str">
        <f>IF([1]SCHEDULE!J390="","",[1]SCHEDULE!J390)</f>
        <v>31.MTA</v>
      </c>
    </row>
    <row r="391" spans="2:10" x14ac:dyDescent="0.25">
      <c r="B391" s="3" t="str">
        <f>IF([1]SCHEDULE!B391="","",[1]SCHEDULE!B391)</f>
        <v>BAY</v>
      </c>
      <c r="C391" s="3">
        <f>IF([1]SCHEDULE!C391="","",[1]SCHEDULE!C391)</f>
        <v>32</v>
      </c>
      <c r="D391" s="1" t="str">
        <f>IF([1]SCHEDULE!D391="","",[1]SCHEDULE!D391)</f>
        <v>FC Bayern Munich</v>
      </c>
      <c r="E391" s="1" t="str">
        <f>IF([1]SCHEDULE!E391="","",[1]SCHEDULE!E391)</f>
        <v>FC Barcelona</v>
      </c>
      <c r="F391" s="6">
        <f>IF([1]SCHEDULE!F391="","",[1]SCHEDULE!F391)</f>
        <v>45379</v>
      </c>
      <c r="G391" s="3" t="str">
        <f>IF([1]SCHEDULE!G391="","",[1]SCHEDULE!G391)</f>
        <v>H</v>
      </c>
      <c r="H391" s="3" t="str">
        <f>IF([1]SCHEDULE!H391="","",[1]SCHEDULE!H391)</f>
        <v>FCB</v>
      </c>
      <c r="I391" s="3" t="str">
        <f>IF([1]SCHEDULE!I391="","",[1]SCHEDULE!I391)</f>
        <v>32.BAY</v>
      </c>
      <c r="J391" s="3" t="str">
        <f>IF([1]SCHEDULE!J391="","",[1]SCHEDULE!J391)</f>
        <v>32.FCB</v>
      </c>
    </row>
    <row r="392" spans="2:10" x14ac:dyDescent="0.25">
      <c r="B392" s="3" t="str">
        <f>IF([1]SCHEDULE!B392="","",[1]SCHEDULE!B392)</f>
        <v>BAY</v>
      </c>
      <c r="C392" s="3">
        <f>IF([1]SCHEDULE!C392="","",[1]SCHEDULE!C392)</f>
        <v>33</v>
      </c>
      <c r="D392" s="1" t="str">
        <f>IF([1]SCHEDULE!D392="","",[1]SCHEDULE!D392)</f>
        <v>FC Bayern Munich</v>
      </c>
      <c r="E392" s="1" t="str">
        <f>IF([1]SCHEDULE!E392="","",[1]SCHEDULE!E392)</f>
        <v>Panathinaikos Athens</v>
      </c>
      <c r="F392" s="6">
        <f>IF([1]SCHEDULE!F392="","",[1]SCHEDULE!F392)</f>
        <v>45387</v>
      </c>
      <c r="G392" s="3" t="str">
        <f>IF([1]SCHEDULE!G392="","",[1]SCHEDULE!G392)</f>
        <v>H</v>
      </c>
      <c r="H392" s="3" t="str">
        <f>IF([1]SCHEDULE!H392="","",[1]SCHEDULE!H392)</f>
        <v>PAN</v>
      </c>
      <c r="I392" s="3" t="str">
        <f>IF([1]SCHEDULE!I392="","",[1]SCHEDULE!I392)</f>
        <v>33.BAY</v>
      </c>
      <c r="J392" s="3" t="str">
        <f>IF([1]SCHEDULE!J392="","",[1]SCHEDULE!J392)</f>
        <v>33.PAN</v>
      </c>
    </row>
    <row r="393" spans="2:10" x14ac:dyDescent="0.25">
      <c r="B393" s="3" t="str">
        <f>IF([1]SCHEDULE!B393="","",[1]SCHEDULE!B393)</f>
        <v>BAY</v>
      </c>
      <c r="C393" s="3">
        <f>IF([1]SCHEDULE!C393="","",[1]SCHEDULE!C393)</f>
        <v>34</v>
      </c>
      <c r="D393" s="1" t="str">
        <f>IF([1]SCHEDULE!D393="","",[1]SCHEDULE!D393)</f>
        <v>FC Bayern Munich</v>
      </c>
      <c r="E393" s="1" t="str">
        <f>IF([1]SCHEDULE!E393="","",[1]SCHEDULE!E393)</f>
        <v>AS Monaco</v>
      </c>
      <c r="F393" s="6">
        <f>IF([1]SCHEDULE!F393="","",[1]SCHEDULE!F393)</f>
        <v>45393</v>
      </c>
      <c r="G393" s="3" t="str">
        <f>IF([1]SCHEDULE!G393="","",[1]SCHEDULE!G393)</f>
        <v>A</v>
      </c>
      <c r="H393" s="3" t="str">
        <f>IF([1]SCHEDULE!H393="","",[1]SCHEDULE!H393)</f>
        <v>ASM</v>
      </c>
      <c r="I393" s="3" t="str">
        <f>IF([1]SCHEDULE!I393="","",[1]SCHEDULE!I393)</f>
        <v>34.BAY</v>
      </c>
      <c r="J393" s="3" t="str">
        <f>IF([1]SCHEDULE!J393="","",[1]SCHEDULE!J393)</f>
        <v>34.ASM</v>
      </c>
    </row>
    <row r="394" spans="2:10" x14ac:dyDescent="0.25">
      <c r="B394" s="3" t="str">
        <f>IF([1]SCHEDULE!B394="","",[1]SCHEDULE!B394)</f>
        <v>BAY</v>
      </c>
      <c r="C394" s="3">
        <f>IF([1]SCHEDULE!C394="","",[1]SCHEDULE!C394)</f>
        <v>35</v>
      </c>
      <c r="D394" s="1" t="str">
        <f>IF([1]SCHEDULE!D394="","",[1]SCHEDULE!D394)</f>
        <v>FC Bayern Munich</v>
      </c>
      <c r="E394" s="1" t="str">
        <f>IF([1]SCHEDULE!E394="","",[1]SCHEDULE!E394)</f>
        <v/>
      </c>
      <c r="F394" s="6" t="str">
        <f>IF([1]SCHEDULE!F394="","",[1]SCHEDULE!F394)</f>
        <v/>
      </c>
      <c r="G394" s="3" t="str">
        <f>IF([1]SCHEDULE!G394="","",[1]SCHEDULE!G394)</f>
        <v/>
      </c>
      <c r="H394" s="3" t="str">
        <f>IF([1]SCHEDULE!H394="","",[1]SCHEDULE!H394)</f>
        <v/>
      </c>
      <c r="I394" s="3" t="str">
        <f>IF([1]SCHEDULE!I394="","",[1]SCHEDULE!I394)</f>
        <v/>
      </c>
      <c r="J394" s="3" t="str">
        <f>IF([1]SCHEDULE!J394="","",[1]SCHEDULE!J394)</f>
        <v/>
      </c>
    </row>
    <row r="395" spans="2:10" x14ac:dyDescent="0.25">
      <c r="B395" s="3" t="str">
        <f>IF([1]SCHEDULE!B395="","",[1]SCHEDULE!B395)</f>
        <v>BAY</v>
      </c>
      <c r="C395" s="3">
        <f>IF([1]SCHEDULE!C395="","",[1]SCHEDULE!C395)</f>
        <v>36</v>
      </c>
      <c r="D395" s="1" t="str">
        <f>IF([1]SCHEDULE!D395="","",[1]SCHEDULE!D395)</f>
        <v>FC Bayern Munich</v>
      </c>
      <c r="E395" s="1" t="str">
        <f>IF([1]SCHEDULE!E395="","",[1]SCHEDULE!E395)</f>
        <v/>
      </c>
      <c r="F395" s="6" t="str">
        <f>IF([1]SCHEDULE!F395="","",[1]SCHEDULE!F395)</f>
        <v/>
      </c>
      <c r="G395" s="3" t="str">
        <f>IF([1]SCHEDULE!G395="","",[1]SCHEDULE!G395)</f>
        <v/>
      </c>
      <c r="H395" s="3" t="str">
        <f>IF([1]SCHEDULE!H395="","",[1]SCHEDULE!H395)</f>
        <v/>
      </c>
      <c r="I395" s="3" t="str">
        <f>IF([1]SCHEDULE!I395="","",[1]SCHEDULE!I395)</f>
        <v/>
      </c>
      <c r="J395" s="3" t="str">
        <f>IF([1]SCHEDULE!J395="","",[1]SCHEDULE!J395)</f>
        <v/>
      </c>
    </row>
    <row r="396" spans="2:10" x14ac:dyDescent="0.25">
      <c r="B396" s="3" t="str">
        <f>IF([1]SCHEDULE!B396="","",[1]SCHEDULE!B396)</f>
        <v>BAY</v>
      </c>
      <c r="C396" s="3">
        <f>IF([1]SCHEDULE!C396="","",[1]SCHEDULE!C396)</f>
        <v>37</v>
      </c>
      <c r="D396" s="1" t="str">
        <f>IF([1]SCHEDULE!D396="","",[1]SCHEDULE!D396)</f>
        <v>FC Bayern Munich</v>
      </c>
      <c r="E396" s="1" t="str">
        <f>IF([1]SCHEDULE!E396="","",[1]SCHEDULE!E396)</f>
        <v/>
      </c>
      <c r="F396" s="6" t="str">
        <f>IF([1]SCHEDULE!F396="","",[1]SCHEDULE!F396)</f>
        <v/>
      </c>
      <c r="G396" s="3" t="str">
        <f>IF([1]SCHEDULE!G396="","",[1]SCHEDULE!G396)</f>
        <v/>
      </c>
      <c r="H396" s="3" t="str">
        <f>IF([1]SCHEDULE!H396="","",[1]SCHEDULE!H396)</f>
        <v/>
      </c>
      <c r="I396" s="3" t="str">
        <f>IF([1]SCHEDULE!I396="","",[1]SCHEDULE!I396)</f>
        <v/>
      </c>
      <c r="J396" s="3" t="str">
        <f>IF([1]SCHEDULE!J396="","",[1]SCHEDULE!J396)</f>
        <v/>
      </c>
    </row>
    <row r="397" spans="2:10" x14ac:dyDescent="0.25">
      <c r="B397" s="3" t="str">
        <f>IF([1]SCHEDULE!B397="","",[1]SCHEDULE!B397)</f>
        <v>BAY</v>
      </c>
      <c r="C397" s="3">
        <f>IF([1]SCHEDULE!C397="","",[1]SCHEDULE!C397)</f>
        <v>38</v>
      </c>
      <c r="D397" s="1" t="str">
        <f>IF([1]SCHEDULE!D397="","",[1]SCHEDULE!D397)</f>
        <v>FC Bayern Munich</v>
      </c>
      <c r="E397" s="1" t="str">
        <f>IF([1]SCHEDULE!E397="","",[1]SCHEDULE!E397)</f>
        <v/>
      </c>
      <c r="F397" s="6" t="str">
        <f>IF([1]SCHEDULE!F397="","",[1]SCHEDULE!F397)</f>
        <v/>
      </c>
      <c r="G397" s="3" t="str">
        <f>IF([1]SCHEDULE!G397="","",[1]SCHEDULE!G397)</f>
        <v/>
      </c>
      <c r="H397" s="3" t="str">
        <f>IF([1]SCHEDULE!H397="","",[1]SCHEDULE!H397)</f>
        <v/>
      </c>
      <c r="I397" s="3" t="str">
        <f>IF([1]SCHEDULE!I397="","",[1]SCHEDULE!I397)</f>
        <v/>
      </c>
      <c r="J397" s="3" t="str">
        <f>IF([1]SCHEDULE!J397="","",[1]SCHEDULE!J397)</f>
        <v/>
      </c>
    </row>
    <row r="398" spans="2:10" x14ac:dyDescent="0.25">
      <c r="B398" s="3" t="str">
        <f>IF([1]SCHEDULE!B398="","",[1]SCHEDULE!B398)</f>
        <v>BAY</v>
      </c>
      <c r="C398" s="3">
        <f>IF([1]SCHEDULE!C398="","",[1]SCHEDULE!C398)</f>
        <v>39</v>
      </c>
      <c r="D398" s="1" t="str">
        <f>IF([1]SCHEDULE!D398="","",[1]SCHEDULE!D398)</f>
        <v>FC Bayern Munich</v>
      </c>
      <c r="E398" s="1" t="str">
        <f>IF([1]SCHEDULE!E398="","",[1]SCHEDULE!E398)</f>
        <v/>
      </c>
      <c r="F398" s="6" t="str">
        <f>IF([1]SCHEDULE!F398="","",[1]SCHEDULE!F398)</f>
        <v/>
      </c>
      <c r="G398" s="3" t="str">
        <f>IF([1]SCHEDULE!G398="","",[1]SCHEDULE!G398)</f>
        <v/>
      </c>
      <c r="H398" s="3" t="str">
        <f>IF([1]SCHEDULE!H398="","",[1]SCHEDULE!H398)</f>
        <v/>
      </c>
      <c r="I398" s="3" t="str">
        <f>IF([1]SCHEDULE!I398="","",[1]SCHEDULE!I398)</f>
        <v/>
      </c>
      <c r="J398" s="3" t="str">
        <f>IF([1]SCHEDULE!J398="","",[1]SCHEDULE!J398)</f>
        <v/>
      </c>
    </row>
    <row r="399" spans="2:10" x14ac:dyDescent="0.25">
      <c r="B399" s="3" t="str">
        <f>IF([1]SCHEDULE!B399="","",[1]SCHEDULE!B399)</f>
        <v>BAY</v>
      </c>
      <c r="C399" s="3">
        <f>IF([1]SCHEDULE!C399="","",[1]SCHEDULE!C399)</f>
        <v>40</v>
      </c>
      <c r="D399" s="1" t="str">
        <f>IF([1]SCHEDULE!D399="","",[1]SCHEDULE!D399)</f>
        <v>FC Bayern Munich</v>
      </c>
      <c r="E399" s="1" t="str">
        <f>IF([1]SCHEDULE!E399="","",[1]SCHEDULE!E399)</f>
        <v/>
      </c>
      <c r="F399" s="6" t="str">
        <f>IF([1]SCHEDULE!F399="","",[1]SCHEDULE!F399)</f>
        <v/>
      </c>
      <c r="G399" s="3" t="str">
        <f>IF([1]SCHEDULE!G399="","",[1]SCHEDULE!G399)</f>
        <v/>
      </c>
      <c r="H399" s="3" t="str">
        <f>IF([1]SCHEDULE!H399="","",[1]SCHEDULE!H399)</f>
        <v/>
      </c>
      <c r="I399" s="3" t="str">
        <f>IF([1]SCHEDULE!I399="","",[1]SCHEDULE!I399)</f>
        <v/>
      </c>
      <c r="J399" s="3" t="str">
        <f>IF([1]SCHEDULE!J399="","",[1]SCHEDULE!J399)</f>
        <v/>
      </c>
    </row>
    <row r="400" spans="2:10" x14ac:dyDescent="0.25">
      <c r="B400" s="3" t="str">
        <f>IF([1]SCHEDULE!B400="","",[1]SCHEDULE!B400)</f>
        <v>BAY</v>
      </c>
      <c r="C400" s="3">
        <f>IF([1]SCHEDULE!C400="","",[1]SCHEDULE!C400)</f>
        <v>41</v>
      </c>
      <c r="D400" s="1" t="str">
        <f>IF([1]SCHEDULE!D400="","",[1]SCHEDULE!D400)</f>
        <v>FC Bayern Munich</v>
      </c>
      <c r="E400" s="1" t="str">
        <f>IF([1]SCHEDULE!E400="","",[1]SCHEDULE!E400)</f>
        <v/>
      </c>
      <c r="F400" s="6" t="str">
        <f>IF([1]SCHEDULE!F400="","",[1]SCHEDULE!F400)</f>
        <v/>
      </c>
      <c r="G400" s="3" t="str">
        <f>IF([1]SCHEDULE!G400="","",[1]SCHEDULE!G400)</f>
        <v/>
      </c>
      <c r="H400" s="3" t="str">
        <f>IF([1]SCHEDULE!H400="","",[1]SCHEDULE!H400)</f>
        <v/>
      </c>
      <c r="I400" s="3" t="str">
        <f>IF([1]SCHEDULE!I400="","",[1]SCHEDULE!I400)</f>
        <v/>
      </c>
      <c r="J400" s="3" t="str">
        <f>IF([1]SCHEDULE!J400="","",[1]SCHEDULE!J400)</f>
        <v/>
      </c>
    </row>
    <row r="401" spans="2:10" x14ac:dyDescent="0.25">
      <c r="B401" s="3" t="str">
        <f>IF([1]SCHEDULE!B401="","",[1]SCHEDULE!B401)</f>
        <v>BAY</v>
      </c>
      <c r="C401" s="3">
        <f>IF([1]SCHEDULE!C401="","",[1]SCHEDULE!C401)</f>
        <v>42</v>
      </c>
      <c r="D401" s="1" t="str">
        <f>IF([1]SCHEDULE!D401="","",[1]SCHEDULE!D401)</f>
        <v>FC Bayern Munich</v>
      </c>
      <c r="E401" s="1" t="str">
        <f>IF([1]SCHEDULE!E401="","",[1]SCHEDULE!E401)</f>
        <v/>
      </c>
      <c r="F401" s="6" t="str">
        <f>IF([1]SCHEDULE!F401="","",[1]SCHEDULE!F401)</f>
        <v/>
      </c>
      <c r="G401" s="3" t="str">
        <f>IF([1]SCHEDULE!G401="","",[1]SCHEDULE!G401)</f>
        <v/>
      </c>
      <c r="H401" s="3" t="str">
        <f>IF([1]SCHEDULE!H401="","",[1]SCHEDULE!H401)</f>
        <v/>
      </c>
      <c r="I401" s="3" t="str">
        <f>IF([1]SCHEDULE!I401="","",[1]SCHEDULE!I401)</f>
        <v/>
      </c>
      <c r="J401" s="3" t="str">
        <f>IF([1]SCHEDULE!J401="","",[1]SCHEDULE!J401)</f>
        <v/>
      </c>
    </row>
    <row r="402" spans="2:10" x14ac:dyDescent="0.25">
      <c r="B402" s="3" t="str">
        <f>IF([1]SCHEDULE!B402="","",[1]SCHEDULE!B402)</f>
        <v>BAY</v>
      </c>
      <c r="C402" s="3">
        <f>IF([1]SCHEDULE!C402="","",[1]SCHEDULE!C402)</f>
        <v>43</v>
      </c>
      <c r="D402" s="1" t="str">
        <f>IF([1]SCHEDULE!D402="","",[1]SCHEDULE!D402)</f>
        <v>FC Bayern Munich</v>
      </c>
      <c r="E402" s="1" t="str">
        <f>IF([1]SCHEDULE!E402="","",[1]SCHEDULE!E402)</f>
        <v/>
      </c>
      <c r="F402" s="6" t="str">
        <f>IF([1]SCHEDULE!F402="","",[1]SCHEDULE!F402)</f>
        <v/>
      </c>
      <c r="G402" s="3" t="str">
        <f>IF([1]SCHEDULE!G402="","",[1]SCHEDULE!G402)</f>
        <v/>
      </c>
      <c r="H402" s="3" t="str">
        <f>IF([1]SCHEDULE!H402="","",[1]SCHEDULE!H402)</f>
        <v/>
      </c>
      <c r="I402" s="3" t="str">
        <f>IF([1]SCHEDULE!I402="","",[1]SCHEDULE!I402)</f>
        <v/>
      </c>
      <c r="J402" s="3" t="str">
        <f>IF([1]SCHEDULE!J402="","",[1]SCHEDULE!J402)</f>
        <v/>
      </c>
    </row>
    <row r="403" spans="2:10" x14ac:dyDescent="0.25">
      <c r="B403" s="3" t="str">
        <f>IF([1]SCHEDULE!B403="","",[1]SCHEDULE!B403)</f>
        <v>BAY</v>
      </c>
      <c r="C403" s="3">
        <f>IF([1]SCHEDULE!C403="","",[1]SCHEDULE!C403)</f>
        <v>44</v>
      </c>
      <c r="D403" s="1" t="str">
        <f>IF([1]SCHEDULE!D403="","",[1]SCHEDULE!D403)</f>
        <v>FC Bayern Munich</v>
      </c>
      <c r="E403" s="1" t="str">
        <f>IF([1]SCHEDULE!E403="","",[1]SCHEDULE!E403)</f>
        <v/>
      </c>
      <c r="F403" s="6" t="str">
        <f>IF([1]SCHEDULE!F403="","",[1]SCHEDULE!F403)</f>
        <v/>
      </c>
      <c r="G403" s="3" t="str">
        <f>IF([1]SCHEDULE!G403="","",[1]SCHEDULE!G403)</f>
        <v/>
      </c>
      <c r="H403" s="3" t="str">
        <f>IF([1]SCHEDULE!H403="","",[1]SCHEDULE!H403)</f>
        <v/>
      </c>
      <c r="I403" s="3" t="str">
        <f>IF([1]SCHEDULE!I403="","",[1]SCHEDULE!I403)</f>
        <v/>
      </c>
      <c r="J403" s="3" t="str">
        <f>IF([1]SCHEDULE!J403="","",[1]SCHEDULE!J403)</f>
        <v/>
      </c>
    </row>
    <row r="404" spans="2:10" x14ac:dyDescent="0.25">
      <c r="B404" s="3" t="str">
        <f>IF([1]SCHEDULE!B404="","",[1]SCHEDULE!B404)</f>
        <v>BAY</v>
      </c>
      <c r="C404" s="3">
        <f>IF([1]SCHEDULE!C404="","",[1]SCHEDULE!C404)</f>
        <v>45</v>
      </c>
      <c r="D404" s="1" t="str">
        <f>IF([1]SCHEDULE!D404="","",[1]SCHEDULE!D404)</f>
        <v>FC Bayern Munich</v>
      </c>
      <c r="E404" s="1" t="str">
        <f>IF([1]SCHEDULE!E404="","",[1]SCHEDULE!E404)</f>
        <v/>
      </c>
      <c r="F404" s="6" t="str">
        <f>IF([1]SCHEDULE!F404="","",[1]SCHEDULE!F404)</f>
        <v/>
      </c>
      <c r="G404" s="3" t="str">
        <f>IF([1]SCHEDULE!G404="","",[1]SCHEDULE!G404)</f>
        <v/>
      </c>
      <c r="H404" s="3" t="str">
        <f>IF([1]SCHEDULE!H404="","",[1]SCHEDULE!H404)</f>
        <v/>
      </c>
      <c r="I404" s="3" t="str">
        <f>IF([1]SCHEDULE!I404="","",[1]SCHEDULE!I404)</f>
        <v/>
      </c>
      <c r="J404" s="3" t="str">
        <f>IF([1]SCHEDULE!J404="","",[1]SCHEDULE!J404)</f>
        <v/>
      </c>
    </row>
    <row r="405" spans="2:10" x14ac:dyDescent="0.25">
      <c r="B405" s="3" t="str">
        <f>IF([1]SCHEDULE!B405="","",[1]SCHEDULE!B405)</f>
        <v>BAY</v>
      </c>
      <c r="C405" s="3">
        <f>IF([1]SCHEDULE!C405="","",[1]SCHEDULE!C405)</f>
        <v>46</v>
      </c>
      <c r="D405" s="1" t="str">
        <f>IF([1]SCHEDULE!D405="","",[1]SCHEDULE!D405)</f>
        <v>FC Bayern Munich</v>
      </c>
      <c r="E405" s="1" t="str">
        <f>IF([1]SCHEDULE!E405="","",[1]SCHEDULE!E405)</f>
        <v/>
      </c>
      <c r="F405" s="6" t="str">
        <f>IF([1]SCHEDULE!F405="","",[1]SCHEDULE!F405)</f>
        <v/>
      </c>
      <c r="G405" s="3" t="str">
        <f>IF([1]SCHEDULE!G405="","",[1]SCHEDULE!G405)</f>
        <v/>
      </c>
      <c r="H405" s="3" t="str">
        <f>IF([1]SCHEDULE!H405="","",[1]SCHEDULE!H405)</f>
        <v/>
      </c>
      <c r="I405" s="3" t="str">
        <f>IF([1]SCHEDULE!I405="","",[1]SCHEDULE!I405)</f>
        <v/>
      </c>
      <c r="J405" s="3" t="str">
        <f>IF([1]SCHEDULE!J405="","",[1]SCHEDULE!J405)</f>
        <v/>
      </c>
    </row>
    <row r="406" spans="2:10" x14ac:dyDescent="0.25">
      <c r="B406" s="3" t="str">
        <f>IF([1]SCHEDULE!B406="","",[1]SCHEDULE!B406)</f>
        <v>BAY</v>
      </c>
      <c r="C406" s="3">
        <f>IF([1]SCHEDULE!C406="","",[1]SCHEDULE!C406)</f>
        <v>47</v>
      </c>
      <c r="D406" s="1" t="str">
        <f>IF([1]SCHEDULE!D406="","",[1]SCHEDULE!D406)</f>
        <v>FC Bayern Munich</v>
      </c>
      <c r="E406" s="1" t="str">
        <f>IF([1]SCHEDULE!E406="","",[1]SCHEDULE!E406)</f>
        <v/>
      </c>
      <c r="F406" s="6" t="str">
        <f>IF([1]SCHEDULE!F406="","",[1]SCHEDULE!F406)</f>
        <v/>
      </c>
      <c r="G406" s="3" t="str">
        <f>IF([1]SCHEDULE!G406="","",[1]SCHEDULE!G406)</f>
        <v/>
      </c>
      <c r="H406" s="3" t="str">
        <f>IF([1]SCHEDULE!H406="","",[1]SCHEDULE!H406)</f>
        <v/>
      </c>
      <c r="I406" s="3" t="str">
        <f>IF([1]SCHEDULE!I406="","",[1]SCHEDULE!I406)</f>
        <v/>
      </c>
      <c r="J406" s="3" t="str">
        <f>IF([1]SCHEDULE!J406="","",[1]SCHEDULE!J406)</f>
        <v/>
      </c>
    </row>
    <row r="407" spans="2:10" x14ac:dyDescent="0.25">
      <c r="B407" s="3" t="str">
        <f>IF([1]SCHEDULE!B407="","",[1]SCHEDULE!B407)</f>
        <v>BAY</v>
      </c>
      <c r="C407" s="3">
        <f>IF([1]SCHEDULE!C407="","",[1]SCHEDULE!C407)</f>
        <v>48</v>
      </c>
      <c r="D407" s="1" t="str">
        <f>IF([1]SCHEDULE!D407="","",[1]SCHEDULE!D407)</f>
        <v>FC Bayern Munich</v>
      </c>
      <c r="E407" s="1" t="str">
        <f>IF([1]SCHEDULE!E407="","",[1]SCHEDULE!E407)</f>
        <v/>
      </c>
      <c r="F407" s="6" t="str">
        <f>IF([1]SCHEDULE!F407="","",[1]SCHEDULE!F407)</f>
        <v/>
      </c>
      <c r="G407" s="3" t="str">
        <f>IF([1]SCHEDULE!G407="","",[1]SCHEDULE!G407)</f>
        <v/>
      </c>
      <c r="H407" s="3" t="str">
        <f>IF([1]SCHEDULE!H407="","",[1]SCHEDULE!H407)</f>
        <v/>
      </c>
      <c r="I407" s="3" t="str">
        <f>IF([1]SCHEDULE!I407="","",[1]SCHEDULE!I407)</f>
        <v/>
      </c>
      <c r="J407" s="3" t="str">
        <f>IF([1]SCHEDULE!J407="","",[1]SCHEDULE!J407)</f>
        <v/>
      </c>
    </row>
    <row r="408" spans="2:10" x14ac:dyDescent="0.25">
      <c r="B408" s="3" t="str">
        <f>IF([1]SCHEDULE!B408="","",[1]SCHEDULE!B408)</f>
        <v>BAY</v>
      </c>
      <c r="C408" s="3">
        <f>IF([1]SCHEDULE!C408="","",[1]SCHEDULE!C408)</f>
        <v>49</v>
      </c>
      <c r="D408" s="1" t="str">
        <f>IF([1]SCHEDULE!D408="","",[1]SCHEDULE!D408)</f>
        <v>FC Bayern Munich</v>
      </c>
      <c r="E408" s="1" t="str">
        <f>IF([1]SCHEDULE!E408="","",[1]SCHEDULE!E408)</f>
        <v/>
      </c>
      <c r="F408" s="6" t="str">
        <f>IF([1]SCHEDULE!F408="","",[1]SCHEDULE!F408)</f>
        <v/>
      </c>
      <c r="G408" s="3" t="str">
        <f>IF([1]SCHEDULE!G408="","",[1]SCHEDULE!G408)</f>
        <v/>
      </c>
      <c r="H408" s="3" t="str">
        <f>IF([1]SCHEDULE!H408="","",[1]SCHEDULE!H408)</f>
        <v/>
      </c>
      <c r="I408" s="3" t="str">
        <f>IF([1]SCHEDULE!I408="","",[1]SCHEDULE!I408)</f>
        <v/>
      </c>
      <c r="J408" s="3" t="str">
        <f>IF([1]SCHEDULE!J408="","",[1]SCHEDULE!J408)</f>
        <v/>
      </c>
    </row>
    <row r="409" spans="2:10" x14ac:dyDescent="0.25">
      <c r="B409" s="3" t="str">
        <f>IF([1]SCHEDULE!B409="","",[1]SCHEDULE!B409)</f>
        <v>BAY</v>
      </c>
      <c r="C409" s="3">
        <f>IF([1]SCHEDULE!C409="","",[1]SCHEDULE!C409)</f>
        <v>50</v>
      </c>
      <c r="D409" s="1" t="str">
        <f>IF([1]SCHEDULE!D409="","",[1]SCHEDULE!D409)</f>
        <v>FC Bayern Munich</v>
      </c>
      <c r="E409" s="1" t="str">
        <f>IF([1]SCHEDULE!E409="","",[1]SCHEDULE!E409)</f>
        <v/>
      </c>
      <c r="F409" s="6" t="str">
        <f>IF([1]SCHEDULE!F409="","",[1]SCHEDULE!F409)</f>
        <v/>
      </c>
      <c r="G409" s="3" t="str">
        <f>IF([1]SCHEDULE!G409="","",[1]SCHEDULE!G409)</f>
        <v/>
      </c>
      <c r="H409" s="3" t="str">
        <f>IF([1]SCHEDULE!H409="","",[1]SCHEDULE!H409)</f>
        <v/>
      </c>
      <c r="I409" s="3" t="str">
        <f>IF([1]SCHEDULE!I409="","",[1]SCHEDULE!I409)</f>
        <v/>
      </c>
      <c r="J409" s="3" t="str">
        <f>IF([1]SCHEDULE!J409="","",[1]SCHEDULE!J409)</f>
        <v/>
      </c>
    </row>
    <row r="410" spans="2:10" x14ac:dyDescent="0.25">
      <c r="B410" s="3" t="str">
        <f>IF([1]SCHEDULE!B410="","",[1]SCHEDULE!B410)</f>
        <v>BAY</v>
      </c>
      <c r="C410" s="3">
        <f>IF([1]SCHEDULE!C410="","",[1]SCHEDULE!C410)</f>
        <v>51</v>
      </c>
      <c r="D410" s="1" t="str">
        <f>IF([1]SCHEDULE!D410="","",[1]SCHEDULE!D410)</f>
        <v>FC Bayern Munich</v>
      </c>
      <c r="E410" s="1" t="str">
        <f>IF([1]SCHEDULE!E410="","",[1]SCHEDULE!E410)</f>
        <v/>
      </c>
      <c r="F410" s="6" t="str">
        <f>IF([1]SCHEDULE!F410="","",[1]SCHEDULE!F410)</f>
        <v/>
      </c>
      <c r="G410" s="3" t="str">
        <f>IF([1]SCHEDULE!G410="","",[1]SCHEDULE!G410)</f>
        <v/>
      </c>
      <c r="H410" s="3" t="str">
        <f>IF([1]SCHEDULE!H410="","",[1]SCHEDULE!H410)</f>
        <v/>
      </c>
      <c r="I410" s="3" t="str">
        <f>IF([1]SCHEDULE!I410="","",[1]SCHEDULE!I410)</f>
        <v/>
      </c>
      <c r="J410" s="3" t="str">
        <f>IF([1]SCHEDULE!J410="","",[1]SCHEDULE!J410)</f>
        <v/>
      </c>
    </row>
    <row r="411" spans="2:10" x14ac:dyDescent="0.25">
      <c r="B411" s="3" t="str">
        <f>IF([1]SCHEDULE!B411="","",[1]SCHEDULE!B411)</f>
        <v>FEN</v>
      </c>
      <c r="C411" s="3">
        <f>IF([1]SCHEDULE!C411="","",[1]SCHEDULE!C411)</f>
        <v>1</v>
      </c>
      <c r="D411" s="1" t="str">
        <f>IF([1]SCHEDULE!D411="","",[1]SCHEDULE!D411)</f>
        <v>Fenerbahce Beko Istanbul</v>
      </c>
      <c r="E411" s="1" t="str">
        <f>IF([1]SCHEDULE!E411="","",[1]SCHEDULE!E411)</f>
        <v>EA7 Emporio Armani Milan</v>
      </c>
      <c r="F411" s="6">
        <f>IF([1]SCHEDULE!F411="","",[1]SCHEDULE!F411)</f>
        <v>45205</v>
      </c>
      <c r="G411" s="3" t="str">
        <f>IF([1]SCHEDULE!G411="","",[1]SCHEDULE!G411)</f>
        <v>H</v>
      </c>
      <c r="H411" s="3" t="str">
        <f>IF([1]SCHEDULE!H411="","",[1]SCHEDULE!H411)</f>
        <v>MIL</v>
      </c>
      <c r="I411" s="3" t="str">
        <f>IF([1]SCHEDULE!I411="","",[1]SCHEDULE!I411)</f>
        <v>1.FEN</v>
      </c>
      <c r="J411" s="3" t="str">
        <f>IF([1]SCHEDULE!J411="","",[1]SCHEDULE!J411)</f>
        <v>1.MIL</v>
      </c>
    </row>
    <row r="412" spans="2:10" x14ac:dyDescent="0.25">
      <c r="B412" s="3" t="str">
        <f>IF([1]SCHEDULE!B412="","",[1]SCHEDULE!B412)</f>
        <v>FEN</v>
      </c>
      <c r="C412" s="3">
        <f>IF([1]SCHEDULE!C412="","",[1]SCHEDULE!C412)</f>
        <v>2</v>
      </c>
      <c r="D412" s="1" t="str">
        <f>IF([1]SCHEDULE!D412="","",[1]SCHEDULE!D412)</f>
        <v>Fenerbahce Beko Istanbul</v>
      </c>
      <c r="E412" s="1" t="str">
        <f>IF([1]SCHEDULE!E412="","",[1]SCHEDULE!E412)</f>
        <v>Valencia Basket</v>
      </c>
      <c r="F412" s="6">
        <f>IF([1]SCHEDULE!F412="","",[1]SCHEDULE!F412)</f>
        <v>45212</v>
      </c>
      <c r="G412" s="3" t="str">
        <f>IF([1]SCHEDULE!G412="","",[1]SCHEDULE!G412)</f>
        <v>A</v>
      </c>
      <c r="H412" s="3" t="str">
        <f>IF([1]SCHEDULE!H412="","",[1]SCHEDULE!H412)</f>
        <v>VAL</v>
      </c>
      <c r="I412" s="3" t="str">
        <f>IF([1]SCHEDULE!I412="","",[1]SCHEDULE!I412)</f>
        <v>2.FEN</v>
      </c>
      <c r="J412" s="3" t="str">
        <f>IF([1]SCHEDULE!J412="","",[1]SCHEDULE!J412)</f>
        <v>2.VAL</v>
      </c>
    </row>
    <row r="413" spans="2:10" x14ac:dyDescent="0.25">
      <c r="B413" s="3" t="str">
        <f>IF([1]SCHEDULE!B413="","",[1]SCHEDULE!B413)</f>
        <v>FEN</v>
      </c>
      <c r="C413" s="3">
        <f>IF([1]SCHEDULE!C413="","",[1]SCHEDULE!C413)</f>
        <v>3</v>
      </c>
      <c r="D413" s="1" t="str">
        <f>IF([1]SCHEDULE!D413="","",[1]SCHEDULE!D413)</f>
        <v>Fenerbahce Beko Istanbul</v>
      </c>
      <c r="E413" s="1" t="str">
        <f>IF([1]SCHEDULE!E413="","",[1]SCHEDULE!E413)</f>
        <v>Panathinaikos Athens</v>
      </c>
      <c r="F413" s="6">
        <f>IF([1]SCHEDULE!F413="","",[1]SCHEDULE!F413)</f>
        <v>45216</v>
      </c>
      <c r="G413" s="3" t="str">
        <f>IF([1]SCHEDULE!G413="","",[1]SCHEDULE!G413)</f>
        <v>H</v>
      </c>
      <c r="H413" s="3" t="str">
        <f>IF([1]SCHEDULE!H413="","",[1]SCHEDULE!H413)</f>
        <v>PAN</v>
      </c>
      <c r="I413" s="3" t="str">
        <f>IF([1]SCHEDULE!I413="","",[1]SCHEDULE!I413)</f>
        <v>3.FEN</v>
      </c>
      <c r="J413" s="3" t="str">
        <f>IF([1]SCHEDULE!J413="","",[1]SCHEDULE!J413)</f>
        <v>3.PAN</v>
      </c>
    </row>
    <row r="414" spans="2:10" x14ac:dyDescent="0.25">
      <c r="B414" s="3" t="str">
        <f>IF([1]SCHEDULE!B414="","",[1]SCHEDULE!B414)</f>
        <v>FEN</v>
      </c>
      <c r="C414" s="3">
        <f>IF([1]SCHEDULE!C414="","",[1]SCHEDULE!C414)</f>
        <v>4</v>
      </c>
      <c r="D414" s="1" t="str">
        <f>IF([1]SCHEDULE!D414="","",[1]SCHEDULE!D414)</f>
        <v>Fenerbahce Beko Istanbul</v>
      </c>
      <c r="E414" s="1" t="str">
        <f>IF([1]SCHEDULE!E414="","",[1]SCHEDULE!E414)</f>
        <v>LDLC ASVEL Villeurbanne</v>
      </c>
      <c r="F414" s="6">
        <f>IF([1]SCHEDULE!F414="","",[1]SCHEDULE!F414)</f>
        <v>45218</v>
      </c>
      <c r="G414" s="3" t="str">
        <f>IF([1]SCHEDULE!G414="","",[1]SCHEDULE!G414)</f>
        <v>H</v>
      </c>
      <c r="H414" s="3" t="str">
        <f>IF([1]SCHEDULE!H414="","",[1]SCHEDULE!H414)</f>
        <v>ASV</v>
      </c>
      <c r="I414" s="3" t="str">
        <f>IF([1]SCHEDULE!I414="","",[1]SCHEDULE!I414)</f>
        <v>4.FEN</v>
      </c>
      <c r="J414" s="3" t="str">
        <f>IF([1]SCHEDULE!J414="","",[1]SCHEDULE!J414)</f>
        <v>4.ASV</v>
      </c>
    </row>
    <row r="415" spans="2:10" x14ac:dyDescent="0.25">
      <c r="B415" s="3" t="str">
        <f>IF([1]SCHEDULE!B415="","",[1]SCHEDULE!B415)</f>
        <v>FEN</v>
      </c>
      <c r="C415" s="3">
        <f>IF([1]SCHEDULE!C415="","",[1]SCHEDULE!C415)</f>
        <v>5</v>
      </c>
      <c r="D415" s="1" t="str">
        <f>IF([1]SCHEDULE!D415="","",[1]SCHEDULE!D415)</f>
        <v>Fenerbahce Beko Istanbul</v>
      </c>
      <c r="E415" s="1" t="str">
        <f>IF([1]SCHEDULE!E415="","",[1]SCHEDULE!E415)</f>
        <v>FC Bayern Munich</v>
      </c>
      <c r="F415" s="6">
        <f>IF([1]SCHEDULE!F415="","",[1]SCHEDULE!F415)</f>
        <v>45226</v>
      </c>
      <c r="G415" s="3" t="str">
        <f>IF([1]SCHEDULE!G415="","",[1]SCHEDULE!G415)</f>
        <v>A</v>
      </c>
      <c r="H415" s="3" t="str">
        <f>IF([1]SCHEDULE!H415="","",[1]SCHEDULE!H415)</f>
        <v>BAY</v>
      </c>
      <c r="I415" s="3" t="str">
        <f>IF([1]SCHEDULE!I415="","",[1]SCHEDULE!I415)</f>
        <v>5.FEN</v>
      </c>
      <c r="J415" s="3" t="str">
        <f>IF([1]SCHEDULE!J415="","",[1]SCHEDULE!J415)</f>
        <v>5.BAY</v>
      </c>
    </row>
    <row r="416" spans="2:10" x14ac:dyDescent="0.25">
      <c r="B416" s="3" t="str">
        <f>IF([1]SCHEDULE!B416="","",[1]SCHEDULE!B416)</f>
        <v>FEN</v>
      </c>
      <c r="C416" s="3">
        <f>IF([1]SCHEDULE!C416="","",[1]SCHEDULE!C416)</f>
        <v>6</v>
      </c>
      <c r="D416" s="1" t="str">
        <f>IF([1]SCHEDULE!D416="","",[1]SCHEDULE!D416)</f>
        <v>Fenerbahce Beko Istanbul</v>
      </c>
      <c r="E416" s="1" t="str">
        <f>IF([1]SCHEDULE!E416="","",[1]SCHEDULE!E416)</f>
        <v>Olympiacos Piraeus</v>
      </c>
      <c r="F416" s="6">
        <f>IF([1]SCHEDULE!F416="","",[1]SCHEDULE!F416)</f>
        <v>45232</v>
      </c>
      <c r="G416" s="3" t="str">
        <f>IF([1]SCHEDULE!G416="","",[1]SCHEDULE!G416)</f>
        <v>H</v>
      </c>
      <c r="H416" s="3" t="str">
        <f>IF([1]SCHEDULE!H416="","",[1]SCHEDULE!H416)</f>
        <v>OLY</v>
      </c>
      <c r="I416" s="3" t="str">
        <f>IF([1]SCHEDULE!I416="","",[1]SCHEDULE!I416)</f>
        <v>6.FEN</v>
      </c>
      <c r="J416" s="3" t="str">
        <f>IF([1]SCHEDULE!J416="","",[1]SCHEDULE!J416)</f>
        <v>6.OLY</v>
      </c>
    </row>
    <row r="417" spans="2:10" x14ac:dyDescent="0.25">
      <c r="B417" s="3" t="str">
        <f>IF([1]SCHEDULE!B417="","",[1]SCHEDULE!B417)</f>
        <v>FEN</v>
      </c>
      <c r="C417" s="3">
        <f>IF([1]SCHEDULE!C417="","",[1]SCHEDULE!C417)</f>
        <v>7</v>
      </c>
      <c r="D417" s="1" t="str">
        <f>IF([1]SCHEDULE!D417="","",[1]SCHEDULE!D417)</f>
        <v>Fenerbahce Beko Istanbul</v>
      </c>
      <c r="E417" s="1" t="str">
        <f>IF([1]SCHEDULE!E417="","",[1]SCHEDULE!E417)</f>
        <v>Partizan Mozzart Bet Belgrade</v>
      </c>
      <c r="F417" s="6">
        <f>IF([1]SCHEDULE!F417="","",[1]SCHEDULE!F417)</f>
        <v>45239</v>
      </c>
      <c r="G417" s="3" t="str">
        <f>IF([1]SCHEDULE!G417="","",[1]SCHEDULE!G417)</f>
        <v>A</v>
      </c>
      <c r="H417" s="3" t="str">
        <f>IF([1]SCHEDULE!H417="","",[1]SCHEDULE!H417)</f>
        <v>PAR</v>
      </c>
      <c r="I417" s="3" t="str">
        <f>IF([1]SCHEDULE!I417="","",[1]SCHEDULE!I417)</f>
        <v>7.FEN</v>
      </c>
      <c r="J417" s="3" t="str">
        <f>IF([1]SCHEDULE!J417="","",[1]SCHEDULE!J417)</f>
        <v>7.PAR</v>
      </c>
    </row>
    <row r="418" spans="2:10" x14ac:dyDescent="0.25">
      <c r="B418" s="3" t="str">
        <f>IF([1]SCHEDULE!B418="","",[1]SCHEDULE!B418)</f>
        <v>FEN</v>
      </c>
      <c r="C418" s="3">
        <f>IF([1]SCHEDULE!C418="","",[1]SCHEDULE!C418)</f>
        <v>8</v>
      </c>
      <c r="D418" s="1" t="str">
        <f>IF([1]SCHEDULE!D418="","",[1]SCHEDULE!D418)</f>
        <v>Fenerbahce Beko Istanbul</v>
      </c>
      <c r="E418" s="1" t="str">
        <f>IF([1]SCHEDULE!E418="","",[1]SCHEDULE!E418)</f>
        <v>Crvena Zvezda Meridianbet Belgrade</v>
      </c>
      <c r="F418" s="6">
        <f>IF([1]SCHEDULE!F418="","",[1]SCHEDULE!F418)</f>
        <v>45244</v>
      </c>
      <c r="G418" s="3" t="str">
        <f>IF([1]SCHEDULE!G418="","",[1]SCHEDULE!G418)</f>
        <v>A</v>
      </c>
      <c r="H418" s="3" t="str">
        <f>IF([1]SCHEDULE!H418="","",[1]SCHEDULE!H418)</f>
        <v>CZB</v>
      </c>
      <c r="I418" s="3" t="str">
        <f>IF([1]SCHEDULE!I418="","",[1]SCHEDULE!I418)</f>
        <v>8.FEN</v>
      </c>
      <c r="J418" s="3" t="str">
        <f>IF([1]SCHEDULE!J418="","",[1]SCHEDULE!J418)</f>
        <v>8.CZB</v>
      </c>
    </row>
    <row r="419" spans="2:10" x14ac:dyDescent="0.25">
      <c r="B419" s="3" t="str">
        <f>IF([1]SCHEDULE!B419="","",[1]SCHEDULE!B419)</f>
        <v>FEN</v>
      </c>
      <c r="C419" s="3">
        <f>IF([1]SCHEDULE!C419="","",[1]SCHEDULE!C419)</f>
        <v>9</v>
      </c>
      <c r="D419" s="1" t="str">
        <f>IF([1]SCHEDULE!D419="","",[1]SCHEDULE!D419)</f>
        <v>Fenerbahce Beko Istanbul</v>
      </c>
      <c r="E419" s="1" t="str">
        <f>IF([1]SCHEDULE!E419="","",[1]SCHEDULE!E419)</f>
        <v>Maccabi Playtika Tel Aviv</v>
      </c>
      <c r="F419" s="6">
        <f>IF([1]SCHEDULE!F419="","",[1]SCHEDULE!F419)</f>
        <v>45246</v>
      </c>
      <c r="G419" s="3" t="str">
        <f>IF([1]SCHEDULE!G419="","",[1]SCHEDULE!G419)</f>
        <v>H</v>
      </c>
      <c r="H419" s="3" t="str">
        <f>IF([1]SCHEDULE!H419="","",[1]SCHEDULE!H419)</f>
        <v>MTA</v>
      </c>
      <c r="I419" s="3" t="str">
        <f>IF([1]SCHEDULE!I419="","",[1]SCHEDULE!I419)</f>
        <v>9.FEN</v>
      </c>
      <c r="J419" s="3" t="str">
        <f>IF([1]SCHEDULE!J419="","",[1]SCHEDULE!J419)</f>
        <v>9.MTA</v>
      </c>
    </row>
    <row r="420" spans="2:10" x14ac:dyDescent="0.25">
      <c r="B420" s="3" t="str">
        <f>IF([1]SCHEDULE!B420="","",[1]SCHEDULE!B420)</f>
        <v>FEN</v>
      </c>
      <c r="C420" s="3">
        <f>IF([1]SCHEDULE!C420="","",[1]SCHEDULE!C420)</f>
        <v>10</v>
      </c>
      <c r="D420" s="1" t="str">
        <f>IF([1]SCHEDULE!D420="","",[1]SCHEDULE!D420)</f>
        <v>Fenerbahce Beko Istanbul</v>
      </c>
      <c r="E420" s="1" t="str">
        <f>IF([1]SCHEDULE!E420="","",[1]SCHEDULE!E420)</f>
        <v>Virtus Segafredo Bologna</v>
      </c>
      <c r="F420" s="6">
        <f>IF([1]SCHEDULE!F420="","",[1]SCHEDULE!F420)</f>
        <v>45253</v>
      </c>
      <c r="G420" s="3" t="str">
        <f>IF([1]SCHEDULE!G420="","",[1]SCHEDULE!G420)</f>
        <v>A</v>
      </c>
      <c r="H420" s="3" t="str">
        <f>IF([1]SCHEDULE!H420="","",[1]SCHEDULE!H420)</f>
        <v>VIR</v>
      </c>
      <c r="I420" s="3" t="str">
        <f>IF([1]SCHEDULE!I420="","",[1]SCHEDULE!I420)</f>
        <v>10.FEN</v>
      </c>
      <c r="J420" s="3" t="str">
        <f>IF([1]SCHEDULE!J420="","",[1]SCHEDULE!J420)</f>
        <v>10.VIR</v>
      </c>
    </row>
    <row r="421" spans="2:10" x14ac:dyDescent="0.25">
      <c r="B421" s="3" t="str">
        <f>IF([1]SCHEDULE!B421="","",[1]SCHEDULE!B421)</f>
        <v>FEN</v>
      </c>
      <c r="C421" s="3">
        <f>IF([1]SCHEDULE!C421="","",[1]SCHEDULE!C421)</f>
        <v>11</v>
      </c>
      <c r="D421" s="1" t="str">
        <f>IF([1]SCHEDULE!D421="","",[1]SCHEDULE!D421)</f>
        <v>Fenerbahce Beko Istanbul</v>
      </c>
      <c r="E421" s="1" t="str">
        <f>IF([1]SCHEDULE!E421="","",[1]SCHEDULE!E421)</f>
        <v>Real Madrid</v>
      </c>
      <c r="F421" s="6">
        <f>IF([1]SCHEDULE!F421="","",[1]SCHEDULE!F421)</f>
        <v>45260</v>
      </c>
      <c r="G421" s="3" t="str">
        <f>IF([1]SCHEDULE!G421="","",[1]SCHEDULE!G421)</f>
        <v>H</v>
      </c>
      <c r="H421" s="3" t="str">
        <f>IF([1]SCHEDULE!H421="","",[1]SCHEDULE!H421)</f>
        <v>RMB</v>
      </c>
      <c r="I421" s="3" t="str">
        <f>IF([1]SCHEDULE!I421="","",[1]SCHEDULE!I421)</f>
        <v>11.FEN</v>
      </c>
      <c r="J421" s="3" t="str">
        <f>IF([1]SCHEDULE!J421="","",[1]SCHEDULE!J421)</f>
        <v>11.RMB</v>
      </c>
    </row>
    <row r="422" spans="2:10" x14ac:dyDescent="0.25">
      <c r="B422" s="3" t="str">
        <f>IF([1]SCHEDULE!B422="","",[1]SCHEDULE!B422)</f>
        <v>FEN</v>
      </c>
      <c r="C422" s="3">
        <f>IF([1]SCHEDULE!C422="","",[1]SCHEDULE!C422)</f>
        <v>12</v>
      </c>
      <c r="D422" s="1" t="str">
        <f>IF([1]SCHEDULE!D422="","",[1]SCHEDULE!D422)</f>
        <v>Fenerbahce Beko Istanbul</v>
      </c>
      <c r="E422" s="1" t="str">
        <f>IF([1]SCHEDULE!E422="","",[1]SCHEDULE!E422)</f>
        <v>Baskonia Vitoria-Gasteiz</v>
      </c>
      <c r="F422" s="6">
        <f>IF([1]SCHEDULE!F422="","",[1]SCHEDULE!F422)</f>
        <v>45266</v>
      </c>
      <c r="G422" s="3" t="str">
        <f>IF([1]SCHEDULE!G422="","",[1]SCHEDULE!G422)</f>
        <v>A</v>
      </c>
      <c r="H422" s="3" t="str">
        <f>IF([1]SCHEDULE!H422="","",[1]SCHEDULE!H422)</f>
        <v>BAS</v>
      </c>
      <c r="I422" s="3" t="str">
        <f>IF([1]SCHEDULE!I422="","",[1]SCHEDULE!I422)</f>
        <v>12.FEN</v>
      </c>
      <c r="J422" s="3" t="str">
        <f>IF([1]SCHEDULE!J422="","",[1]SCHEDULE!J422)</f>
        <v>12.BAS</v>
      </c>
    </row>
    <row r="423" spans="2:10" x14ac:dyDescent="0.25">
      <c r="B423" s="3" t="str">
        <f>IF([1]SCHEDULE!B423="","",[1]SCHEDULE!B423)</f>
        <v>FEN</v>
      </c>
      <c r="C423" s="3">
        <f>IF([1]SCHEDULE!C423="","",[1]SCHEDULE!C423)</f>
        <v>13</v>
      </c>
      <c r="D423" s="1" t="str">
        <f>IF([1]SCHEDULE!D423="","",[1]SCHEDULE!D423)</f>
        <v>Fenerbahce Beko Istanbul</v>
      </c>
      <c r="E423" s="1" t="str">
        <f>IF([1]SCHEDULE!E423="","",[1]SCHEDULE!E423)</f>
        <v>FC Barcelona</v>
      </c>
      <c r="F423" s="6">
        <f>IF([1]SCHEDULE!F423="","",[1]SCHEDULE!F423)</f>
        <v>45268</v>
      </c>
      <c r="G423" s="3" t="str">
        <f>IF([1]SCHEDULE!G423="","",[1]SCHEDULE!G423)</f>
        <v>A</v>
      </c>
      <c r="H423" s="3" t="str">
        <f>IF([1]SCHEDULE!H423="","",[1]SCHEDULE!H423)</f>
        <v>FCB</v>
      </c>
      <c r="I423" s="3" t="str">
        <f>IF([1]SCHEDULE!I423="","",[1]SCHEDULE!I423)</f>
        <v>13.FEN</v>
      </c>
      <c r="J423" s="3" t="str">
        <f>IF([1]SCHEDULE!J423="","",[1]SCHEDULE!J423)</f>
        <v>13.FCB</v>
      </c>
    </row>
    <row r="424" spans="2:10" x14ac:dyDescent="0.25">
      <c r="B424" s="3" t="str">
        <f>IF([1]SCHEDULE!B424="","",[1]SCHEDULE!B424)</f>
        <v>FEN</v>
      </c>
      <c r="C424" s="3">
        <f>IF([1]SCHEDULE!C424="","",[1]SCHEDULE!C424)</f>
        <v>14</v>
      </c>
      <c r="D424" s="1" t="str">
        <f>IF([1]SCHEDULE!D424="","",[1]SCHEDULE!D424)</f>
        <v>Fenerbahce Beko Istanbul</v>
      </c>
      <c r="E424" s="1" t="str">
        <f>IF([1]SCHEDULE!E424="","",[1]SCHEDULE!E424)</f>
        <v>AS Monaco</v>
      </c>
      <c r="F424" s="6">
        <f>IF([1]SCHEDULE!F424="","",[1]SCHEDULE!F424)</f>
        <v>45275</v>
      </c>
      <c r="G424" s="3" t="str">
        <f>IF([1]SCHEDULE!G424="","",[1]SCHEDULE!G424)</f>
        <v>H</v>
      </c>
      <c r="H424" s="3" t="str">
        <f>IF([1]SCHEDULE!H424="","",[1]SCHEDULE!H424)</f>
        <v>ASM</v>
      </c>
      <c r="I424" s="3" t="str">
        <f>IF([1]SCHEDULE!I424="","",[1]SCHEDULE!I424)</f>
        <v>14.FEN</v>
      </c>
      <c r="J424" s="3" t="str">
        <f>IF([1]SCHEDULE!J424="","",[1]SCHEDULE!J424)</f>
        <v>14.ASM</v>
      </c>
    </row>
    <row r="425" spans="2:10" x14ac:dyDescent="0.25">
      <c r="B425" s="3" t="str">
        <f>IF([1]SCHEDULE!B425="","",[1]SCHEDULE!B425)</f>
        <v>FEN</v>
      </c>
      <c r="C425" s="3">
        <f>IF([1]SCHEDULE!C425="","",[1]SCHEDULE!C425)</f>
        <v>15</v>
      </c>
      <c r="D425" s="1" t="str">
        <f>IF([1]SCHEDULE!D425="","",[1]SCHEDULE!D425)</f>
        <v>Fenerbahce Beko Istanbul</v>
      </c>
      <c r="E425" s="1" t="str">
        <f>IF([1]SCHEDULE!E425="","",[1]SCHEDULE!E425)</f>
        <v>Zalgiris Kaunas</v>
      </c>
      <c r="F425" s="6">
        <f>IF([1]SCHEDULE!F425="","",[1]SCHEDULE!F425)</f>
        <v>45280</v>
      </c>
      <c r="G425" s="3" t="str">
        <f>IF([1]SCHEDULE!G425="","",[1]SCHEDULE!G425)</f>
        <v>H</v>
      </c>
      <c r="H425" s="3" t="str">
        <f>IF([1]SCHEDULE!H425="","",[1]SCHEDULE!H425)</f>
        <v>ZAL</v>
      </c>
      <c r="I425" s="3" t="str">
        <f>IF([1]SCHEDULE!I425="","",[1]SCHEDULE!I425)</f>
        <v>15.FEN</v>
      </c>
      <c r="J425" s="3" t="str">
        <f>IF([1]SCHEDULE!J425="","",[1]SCHEDULE!J425)</f>
        <v>15.ZAL</v>
      </c>
    </row>
    <row r="426" spans="2:10" x14ac:dyDescent="0.25">
      <c r="B426" s="3" t="str">
        <f>IF([1]SCHEDULE!B426="","",[1]SCHEDULE!B426)</f>
        <v>FEN</v>
      </c>
      <c r="C426" s="3">
        <f>IF([1]SCHEDULE!C426="","",[1]SCHEDULE!C426)</f>
        <v>16</v>
      </c>
      <c r="D426" s="1" t="str">
        <f>IF([1]SCHEDULE!D426="","",[1]SCHEDULE!D426)</f>
        <v>Fenerbahce Beko Istanbul</v>
      </c>
      <c r="E426" s="1" t="str">
        <f>IF([1]SCHEDULE!E426="","",[1]SCHEDULE!E426)</f>
        <v>ALBA Berlin</v>
      </c>
      <c r="F426" s="6">
        <f>IF([1]SCHEDULE!F426="","",[1]SCHEDULE!F426)</f>
        <v>45282</v>
      </c>
      <c r="G426" s="3" t="str">
        <f>IF([1]SCHEDULE!G426="","",[1]SCHEDULE!G426)</f>
        <v>A</v>
      </c>
      <c r="H426" s="3" t="str">
        <f>IF([1]SCHEDULE!H426="","",[1]SCHEDULE!H426)</f>
        <v>BER</v>
      </c>
      <c r="I426" s="3" t="str">
        <f>IF([1]SCHEDULE!I426="","",[1]SCHEDULE!I426)</f>
        <v>16.FEN</v>
      </c>
      <c r="J426" s="3" t="str">
        <f>IF([1]SCHEDULE!J426="","",[1]SCHEDULE!J426)</f>
        <v>16.BER</v>
      </c>
    </row>
    <row r="427" spans="2:10" x14ac:dyDescent="0.25">
      <c r="B427" s="3" t="str">
        <f>IF([1]SCHEDULE!B427="","",[1]SCHEDULE!B427)</f>
        <v>FEN</v>
      </c>
      <c r="C427" s="3">
        <f>IF([1]SCHEDULE!C427="","",[1]SCHEDULE!C427)</f>
        <v>17</v>
      </c>
      <c r="D427" s="1" t="str">
        <f>IF([1]SCHEDULE!D427="","",[1]SCHEDULE!D427)</f>
        <v>Fenerbahce Beko Istanbul</v>
      </c>
      <c r="E427" s="1" t="str">
        <f>IF([1]SCHEDULE!E427="","",[1]SCHEDULE!E427)</f>
        <v>Anadolu Efes Istanbul</v>
      </c>
      <c r="F427" s="6">
        <f>IF([1]SCHEDULE!F427="","",[1]SCHEDULE!F427)</f>
        <v>45288</v>
      </c>
      <c r="G427" s="3" t="str">
        <f>IF([1]SCHEDULE!G427="","",[1]SCHEDULE!G427)</f>
        <v>A</v>
      </c>
      <c r="H427" s="3" t="str">
        <f>IF([1]SCHEDULE!H427="","",[1]SCHEDULE!H427)</f>
        <v>EFE</v>
      </c>
      <c r="I427" s="3" t="str">
        <f>IF([1]SCHEDULE!I427="","",[1]SCHEDULE!I427)</f>
        <v>17.FEN</v>
      </c>
      <c r="J427" s="3" t="str">
        <f>IF([1]SCHEDULE!J427="","",[1]SCHEDULE!J427)</f>
        <v>17.EFE</v>
      </c>
    </row>
    <row r="428" spans="2:10" x14ac:dyDescent="0.25">
      <c r="B428" s="3" t="str">
        <f>IF([1]SCHEDULE!B428="","",[1]SCHEDULE!B428)</f>
        <v>FEN</v>
      </c>
      <c r="C428" s="3">
        <f>IF([1]SCHEDULE!C428="","",[1]SCHEDULE!C428)</f>
        <v>18</v>
      </c>
      <c r="D428" s="1" t="str">
        <f>IF([1]SCHEDULE!D428="","",[1]SCHEDULE!D428)</f>
        <v>Fenerbahce Beko Istanbul</v>
      </c>
      <c r="E428" s="1" t="str">
        <f>IF([1]SCHEDULE!E428="","",[1]SCHEDULE!E428)</f>
        <v>Crvena Zvezda Meridianbet Belgrade</v>
      </c>
      <c r="F428" s="6">
        <f>IF([1]SCHEDULE!F428="","",[1]SCHEDULE!F428)</f>
        <v>45293</v>
      </c>
      <c r="G428" s="3" t="str">
        <f>IF([1]SCHEDULE!G428="","",[1]SCHEDULE!G428)</f>
        <v>H</v>
      </c>
      <c r="H428" s="3" t="str">
        <f>IF([1]SCHEDULE!H428="","",[1]SCHEDULE!H428)</f>
        <v>CZB</v>
      </c>
      <c r="I428" s="3" t="str">
        <f>IF([1]SCHEDULE!I428="","",[1]SCHEDULE!I428)</f>
        <v>18.FEN</v>
      </c>
      <c r="J428" s="3" t="str">
        <f>IF([1]SCHEDULE!J428="","",[1]SCHEDULE!J428)</f>
        <v>18.CZB</v>
      </c>
    </row>
    <row r="429" spans="2:10" x14ac:dyDescent="0.25">
      <c r="B429" s="3" t="str">
        <f>IF([1]SCHEDULE!B429="","",[1]SCHEDULE!B429)</f>
        <v>FEN</v>
      </c>
      <c r="C429" s="3">
        <f>IF([1]SCHEDULE!C429="","",[1]SCHEDULE!C429)</f>
        <v>19</v>
      </c>
      <c r="D429" s="1" t="str">
        <f>IF([1]SCHEDULE!D429="","",[1]SCHEDULE!D429)</f>
        <v>Fenerbahce Beko Istanbul</v>
      </c>
      <c r="E429" s="1" t="str">
        <f>IF([1]SCHEDULE!E429="","",[1]SCHEDULE!E429)</f>
        <v>Maccabi Playtika Tel Aviv</v>
      </c>
      <c r="F429" s="6">
        <f>IF([1]SCHEDULE!F429="","",[1]SCHEDULE!F429)</f>
        <v>45295</v>
      </c>
      <c r="G429" s="3" t="str">
        <f>IF([1]SCHEDULE!G429="","",[1]SCHEDULE!G429)</f>
        <v>A</v>
      </c>
      <c r="H429" s="3" t="str">
        <f>IF([1]SCHEDULE!H429="","",[1]SCHEDULE!H429)</f>
        <v>MTA</v>
      </c>
      <c r="I429" s="3" t="str">
        <f>IF([1]SCHEDULE!I429="","",[1]SCHEDULE!I429)</f>
        <v>19.FEN</v>
      </c>
      <c r="J429" s="3" t="str">
        <f>IF([1]SCHEDULE!J429="","",[1]SCHEDULE!J429)</f>
        <v>19.MTA</v>
      </c>
    </row>
    <row r="430" spans="2:10" x14ac:dyDescent="0.25">
      <c r="B430" s="3" t="str">
        <f>IF([1]SCHEDULE!B430="","",[1]SCHEDULE!B430)</f>
        <v>FEN</v>
      </c>
      <c r="C430" s="3">
        <f>IF([1]SCHEDULE!C430="","",[1]SCHEDULE!C430)</f>
        <v>20</v>
      </c>
      <c r="D430" s="1" t="str">
        <f>IF([1]SCHEDULE!D430="","",[1]SCHEDULE!D430)</f>
        <v>Fenerbahce Beko Istanbul</v>
      </c>
      <c r="E430" s="1" t="str">
        <f>IF([1]SCHEDULE!E430="","",[1]SCHEDULE!E430)</f>
        <v>Partizan Mozzart Bet Belgrade</v>
      </c>
      <c r="F430" s="6">
        <f>IF([1]SCHEDULE!F430="","",[1]SCHEDULE!F430)</f>
        <v>45300</v>
      </c>
      <c r="G430" s="3" t="str">
        <f>IF([1]SCHEDULE!G430="","",[1]SCHEDULE!G430)</f>
        <v>H</v>
      </c>
      <c r="H430" s="3" t="str">
        <f>IF([1]SCHEDULE!H430="","",[1]SCHEDULE!H430)</f>
        <v>PAR</v>
      </c>
      <c r="I430" s="3" t="str">
        <f>IF([1]SCHEDULE!I430="","",[1]SCHEDULE!I430)</f>
        <v>20.FEN</v>
      </c>
      <c r="J430" s="3" t="str">
        <f>IF([1]SCHEDULE!J430="","",[1]SCHEDULE!J430)</f>
        <v>20.PAR</v>
      </c>
    </row>
    <row r="431" spans="2:10" x14ac:dyDescent="0.25">
      <c r="B431" s="3" t="str">
        <f>IF([1]SCHEDULE!B431="","",[1]SCHEDULE!B431)</f>
        <v>FEN</v>
      </c>
      <c r="C431" s="3">
        <f>IF([1]SCHEDULE!C431="","",[1]SCHEDULE!C431)</f>
        <v>21</v>
      </c>
      <c r="D431" s="1" t="str">
        <f>IF([1]SCHEDULE!D431="","",[1]SCHEDULE!D431)</f>
        <v>Fenerbahce Beko Istanbul</v>
      </c>
      <c r="E431" s="1" t="str">
        <f>IF([1]SCHEDULE!E431="","",[1]SCHEDULE!E431)</f>
        <v>FC Bayern Munich</v>
      </c>
      <c r="F431" s="6">
        <f>IF([1]SCHEDULE!F431="","",[1]SCHEDULE!F431)</f>
        <v>45302</v>
      </c>
      <c r="G431" s="3" t="str">
        <f>IF([1]SCHEDULE!G431="","",[1]SCHEDULE!G431)</f>
        <v>H</v>
      </c>
      <c r="H431" s="3" t="str">
        <f>IF([1]SCHEDULE!H431="","",[1]SCHEDULE!H431)</f>
        <v>BAY</v>
      </c>
      <c r="I431" s="3" t="str">
        <f>IF([1]SCHEDULE!I431="","",[1]SCHEDULE!I431)</f>
        <v>21.FEN</v>
      </c>
      <c r="J431" s="3" t="str">
        <f>IF([1]SCHEDULE!J431="","",[1]SCHEDULE!J431)</f>
        <v>21.BAY</v>
      </c>
    </row>
    <row r="432" spans="2:10" x14ac:dyDescent="0.25">
      <c r="B432" s="3" t="str">
        <f>IF([1]SCHEDULE!B432="","",[1]SCHEDULE!B432)</f>
        <v>FEN</v>
      </c>
      <c r="C432" s="3">
        <f>IF([1]SCHEDULE!C432="","",[1]SCHEDULE!C432)</f>
        <v>22</v>
      </c>
      <c r="D432" s="1" t="str">
        <f>IF([1]SCHEDULE!D432="","",[1]SCHEDULE!D432)</f>
        <v>Fenerbahce Beko Istanbul</v>
      </c>
      <c r="E432" s="1" t="str">
        <f>IF([1]SCHEDULE!E432="","",[1]SCHEDULE!E432)</f>
        <v>Zalgiris Kaunas</v>
      </c>
      <c r="F432" s="6">
        <f>IF([1]SCHEDULE!F432="","",[1]SCHEDULE!F432)</f>
        <v>45310</v>
      </c>
      <c r="G432" s="3" t="str">
        <f>IF([1]SCHEDULE!G432="","",[1]SCHEDULE!G432)</f>
        <v>A</v>
      </c>
      <c r="H432" s="3" t="str">
        <f>IF([1]SCHEDULE!H432="","",[1]SCHEDULE!H432)</f>
        <v>ZAL</v>
      </c>
      <c r="I432" s="3" t="str">
        <f>IF([1]SCHEDULE!I432="","",[1]SCHEDULE!I432)</f>
        <v>22.FEN</v>
      </c>
      <c r="J432" s="3" t="str">
        <f>IF([1]SCHEDULE!J432="","",[1]SCHEDULE!J432)</f>
        <v>22.ZAL</v>
      </c>
    </row>
    <row r="433" spans="2:10" x14ac:dyDescent="0.25">
      <c r="B433" s="3" t="str">
        <f>IF([1]SCHEDULE!B433="","",[1]SCHEDULE!B433)</f>
        <v>FEN</v>
      </c>
      <c r="C433" s="3">
        <f>IF([1]SCHEDULE!C433="","",[1]SCHEDULE!C433)</f>
        <v>23</v>
      </c>
      <c r="D433" s="1" t="str">
        <f>IF([1]SCHEDULE!D433="","",[1]SCHEDULE!D433)</f>
        <v>Fenerbahce Beko Istanbul</v>
      </c>
      <c r="E433" s="1" t="str">
        <f>IF([1]SCHEDULE!E433="","",[1]SCHEDULE!E433)</f>
        <v>Virtus Segafredo Bologna</v>
      </c>
      <c r="F433" s="6">
        <f>IF([1]SCHEDULE!F433="","",[1]SCHEDULE!F433)</f>
        <v>45316</v>
      </c>
      <c r="G433" s="3" t="str">
        <f>IF([1]SCHEDULE!G433="","",[1]SCHEDULE!G433)</f>
        <v>H</v>
      </c>
      <c r="H433" s="3" t="str">
        <f>IF([1]SCHEDULE!H433="","",[1]SCHEDULE!H433)</f>
        <v>VIR</v>
      </c>
      <c r="I433" s="3" t="str">
        <f>IF([1]SCHEDULE!I433="","",[1]SCHEDULE!I433)</f>
        <v>23.FEN</v>
      </c>
      <c r="J433" s="3" t="str">
        <f>IF([1]SCHEDULE!J433="","",[1]SCHEDULE!J433)</f>
        <v>23.VIR</v>
      </c>
    </row>
    <row r="434" spans="2:10" x14ac:dyDescent="0.25">
      <c r="B434" s="3" t="str">
        <f>IF([1]SCHEDULE!B434="","",[1]SCHEDULE!B434)</f>
        <v>FEN</v>
      </c>
      <c r="C434" s="3">
        <f>IF([1]SCHEDULE!C434="","",[1]SCHEDULE!C434)</f>
        <v>24</v>
      </c>
      <c r="D434" s="1" t="str">
        <f>IF([1]SCHEDULE!D434="","",[1]SCHEDULE!D434)</f>
        <v>Fenerbahce Beko Istanbul</v>
      </c>
      <c r="E434" s="1" t="str">
        <f>IF([1]SCHEDULE!E434="","",[1]SCHEDULE!E434)</f>
        <v>LDLC ASVEL Villeurbanne</v>
      </c>
      <c r="F434" s="6">
        <f>IF([1]SCHEDULE!F434="","",[1]SCHEDULE!F434)</f>
        <v>45321</v>
      </c>
      <c r="G434" s="3" t="str">
        <f>IF([1]SCHEDULE!G434="","",[1]SCHEDULE!G434)</f>
        <v>A</v>
      </c>
      <c r="H434" s="3" t="str">
        <f>IF([1]SCHEDULE!H434="","",[1]SCHEDULE!H434)</f>
        <v>ASV</v>
      </c>
      <c r="I434" s="3" t="str">
        <f>IF([1]SCHEDULE!I434="","",[1]SCHEDULE!I434)</f>
        <v>24.FEN</v>
      </c>
      <c r="J434" s="3" t="str">
        <f>IF([1]SCHEDULE!J434="","",[1]SCHEDULE!J434)</f>
        <v>24.ASV</v>
      </c>
    </row>
    <row r="435" spans="2:10" x14ac:dyDescent="0.25">
      <c r="B435" s="3" t="str">
        <f>IF([1]SCHEDULE!B435="","",[1]SCHEDULE!B435)</f>
        <v>FEN</v>
      </c>
      <c r="C435" s="3">
        <f>IF([1]SCHEDULE!C435="","",[1]SCHEDULE!C435)</f>
        <v>25</v>
      </c>
      <c r="D435" s="1" t="str">
        <f>IF([1]SCHEDULE!D435="","",[1]SCHEDULE!D435)</f>
        <v>Fenerbahce Beko Istanbul</v>
      </c>
      <c r="E435" s="1" t="str">
        <f>IF([1]SCHEDULE!E435="","",[1]SCHEDULE!E435)</f>
        <v>AS Monaco</v>
      </c>
      <c r="F435" s="6">
        <f>IF([1]SCHEDULE!F435="","",[1]SCHEDULE!F435)</f>
        <v>45324</v>
      </c>
      <c r="G435" s="3" t="str">
        <f>IF([1]SCHEDULE!G435="","",[1]SCHEDULE!G435)</f>
        <v>A</v>
      </c>
      <c r="H435" s="3" t="str">
        <f>IF([1]SCHEDULE!H435="","",[1]SCHEDULE!H435)</f>
        <v>ASM</v>
      </c>
      <c r="I435" s="3" t="str">
        <f>IF([1]SCHEDULE!I435="","",[1]SCHEDULE!I435)</f>
        <v>25.FEN</v>
      </c>
      <c r="J435" s="3" t="str">
        <f>IF([1]SCHEDULE!J435="","",[1]SCHEDULE!J435)</f>
        <v>25.ASM</v>
      </c>
    </row>
    <row r="436" spans="2:10" x14ac:dyDescent="0.25">
      <c r="B436" s="3" t="str">
        <f>IF([1]SCHEDULE!B436="","",[1]SCHEDULE!B436)</f>
        <v>FEN</v>
      </c>
      <c r="C436" s="3">
        <f>IF([1]SCHEDULE!C436="","",[1]SCHEDULE!C436)</f>
        <v>26</v>
      </c>
      <c r="D436" s="1" t="str">
        <f>IF([1]SCHEDULE!D436="","",[1]SCHEDULE!D436)</f>
        <v>Fenerbahce Beko Istanbul</v>
      </c>
      <c r="E436" s="1" t="str">
        <f>IF([1]SCHEDULE!E436="","",[1]SCHEDULE!E436)</f>
        <v>Panathinaikos Athens</v>
      </c>
      <c r="F436" s="6">
        <f>IF([1]SCHEDULE!F436="","",[1]SCHEDULE!F436)</f>
        <v>45331</v>
      </c>
      <c r="G436" s="3" t="str">
        <f>IF([1]SCHEDULE!G436="","",[1]SCHEDULE!G436)</f>
        <v>A</v>
      </c>
      <c r="H436" s="3" t="str">
        <f>IF([1]SCHEDULE!H436="","",[1]SCHEDULE!H436)</f>
        <v>PAN</v>
      </c>
      <c r="I436" s="3" t="str">
        <f>IF([1]SCHEDULE!I436="","",[1]SCHEDULE!I436)</f>
        <v>26.FEN</v>
      </c>
      <c r="J436" s="3" t="str">
        <f>IF([1]SCHEDULE!J436="","",[1]SCHEDULE!J436)</f>
        <v>26.PAN</v>
      </c>
    </row>
    <row r="437" spans="2:10" x14ac:dyDescent="0.25">
      <c r="B437" s="3" t="str">
        <f>IF([1]SCHEDULE!B437="","",[1]SCHEDULE!B437)</f>
        <v>FEN</v>
      </c>
      <c r="C437" s="3">
        <f>IF([1]SCHEDULE!C437="","",[1]SCHEDULE!C437)</f>
        <v>27</v>
      </c>
      <c r="D437" s="1" t="str">
        <f>IF([1]SCHEDULE!D437="","",[1]SCHEDULE!D437)</f>
        <v>Fenerbahce Beko Istanbul</v>
      </c>
      <c r="E437" s="1" t="str">
        <f>IF([1]SCHEDULE!E437="","",[1]SCHEDULE!E437)</f>
        <v>Baskonia Vitoria-Gasteiz</v>
      </c>
      <c r="F437" s="6">
        <f>IF([1]SCHEDULE!F437="","",[1]SCHEDULE!F437)</f>
        <v>45352</v>
      </c>
      <c r="G437" s="3" t="str">
        <f>IF([1]SCHEDULE!G437="","",[1]SCHEDULE!G437)</f>
        <v>H</v>
      </c>
      <c r="H437" s="3" t="str">
        <f>IF([1]SCHEDULE!H437="","",[1]SCHEDULE!H437)</f>
        <v>BAS</v>
      </c>
      <c r="I437" s="3" t="str">
        <f>IF([1]SCHEDULE!I437="","",[1]SCHEDULE!I437)</f>
        <v>27.FEN</v>
      </c>
      <c r="J437" s="3" t="str">
        <f>IF([1]SCHEDULE!J437="","",[1]SCHEDULE!J437)</f>
        <v>27.BAS</v>
      </c>
    </row>
    <row r="438" spans="2:10" x14ac:dyDescent="0.25">
      <c r="B438" s="3" t="str">
        <f>IF([1]SCHEDULE!B438="","",[1]SCHEDULE!B438)</f>
        <v>FEN</v>
      </c>
      <c r="C438" s="3">
        <f>IF([1]SCHEDULE!C438="","",[1]SCHEDULE!C438)</f>
        <v>28</v>
      </c>
      <c r="D438" s="1" t="str">
        <f>IF([1]SCHEDULE!D438="","",[1]SCHEDULE!D438)</f>
        <v>Fenerbahce Beko Istanbul</v>
      </c>
      <c r="E438" s="1" t="str">
        <f>IF([1]SCHEDULE!E438="","",[1]SCHEDULE!E438)</f>
        <v>Real Madrid</v>
      </c>
      <c r="F438" s="6">
        <f>IF([1]SCHEDULE!F438="","",[1]SCHEDULE!F438)</f>
        <v>45358</v>
      </c>
      <c r="G438" s="3" t="str">
        <f>IF([1]SCHEDULE!G438="","",[1]SCHEDULE!G438)</f>
        <v>A</v>
      </c>
      <c r="H438" s="3" t="str">
        <f>IF([1]SCHEDULE!H438="","",[1]SCHEDULE!H438)</f>
        <v>RMB</v>
      </c>
      <c r="I438" s="3" t="str">
        <f>IF([1]SCHEDULE!I438="","",[1]SCHEDULE!I438)</f>
        <v>28.FEN</v>
      </c>
      <c r="J438" s="3" t="str">
        <f>IF([1]SCHEDULE!J438="","",[1]SCHEDULE!J438)</f>
        <v>28.RMB</v>
      </c>
    </row>
    <row r="439" spans="2:10" x14ac:dyDescent="0.25">
      <c r="B439" s="3" t="str">
        <f>IF([1]SCHEDULE!B439="","",[1]SCHEDULE!B439)</f>
        <v>FEN</v>
      </c>
      <c r="C439" s="3">
        <f>IF([1]SCHEDULE!C439="","",[1]SCHEDULE!C439)</f>
        <v>29</v>
      </c>
      <c r="D439" s="1" t="str">
        <f>IF([1]SCHEDULE!D439="","",[1]SCHEDULE!D439)</f>
        <v>Fenerbahce Beko Istanbul</v>
      </c>
      <c r="E439" s="1" t="str">
        <f>IF([1]SCHEDULE!E439="","",[1]SCHEDULE!E439)</f>
        <v>Valencia Basket</v>
      </c>
      <c r="F439" s="6">
        <f>IF([1]SCHEDULE!F439="","",[1]SCHEDULE!F439)</f>
        <v>45365</v>
      </c>
      <c r="G439" s="3" t="str">
        <f>IF([1]SCHEDULE!G439="","",[1]SCHEDULE!G439)</f>
        <v>H</v>
      </c>
      <c r="H439" s="3" t="str">
        <f>IF([1]SCHEDULE!H439="","",[1]SCHEDULE!H439)</f>
        <v>VAL</v>
      </c>
      <c r="I439" s="3" t="str">
        <f>IF([1]SCHEDULE!I439="","",[1]SCHEDULE!I439)</f>
        <v>29.FEN</v>
      </c>
      <c r="J439" s="3" t="str">
        <f>IF([1]SCHEDULE!J439="","",[1]SCHEDULE!J439)</f>
        <v>29.VAL</v>
      </c>
    </row>
    <row r="440" spans="2:10" x14ac:dyDescent="0.25">
      <c r="B440" s="3" t="str">
        <f>IF([1]SCHEDULE!B440="","",[1]SCHEDULE!B440)</f>
        <v>FEN</v>
      </c>
      <c r="C440" s="3">
        <f>IF([1]SCHEDULE!C440="","",[1]SCHEDULE!C440)</f>
        <v>30</v>
      </c>
      <c r="D440" s="1" t="str">
        <f>IF([1]SCHEDULE!D440="","",[1]SCHEDULE!D440)</f>
        <v>Fenerbahce Beko Istanbul</v>
      </c>
      <c r="E440" s="1" t="str">
        <f>IF([1]SCHEDULE!E440="","",[1]SCHEDULE!E440)</f>
        <v>FC Barcelona</v>
      </c>
      <c r="F440" s="6">
        <f>IF([1]SCHEDULE!F440="","",[1]SCHEDULE!F440)</f>
        <v>45371</v>
      </c>
      <c r="G440" s="3" t="str">
        <f>IF([1]SCHEDULE!G440="","",[1]SCHEDULE!G440)</f>
        <v>H</v>
      </c>
      <c r="H440" s="3" t="str">
        <f>IF([1]SCHEDULE!H440="","",[1]SCHEDULE!H440)</f>
        <v>FCB</v>
      </c>
      <c r="I440" s="3" t="str">
        <f>IF([1]SCHEDULE!I440="","",[1]SCHEDULE!I440)</f>
        <v>30.FEN</v>
      </c>
      <c r="J440" s="3" t="str">
        <f>IF([1]SCHEDULE!J440="","",[1]SCHEDULE!J440)</f>
        <v>30.FCB</v>
      </c>
    </row>
    <row r="441" spans="2:10" x14ac:dyDescent="0.25">
      <c r="B441" s="3" t="str">
        <f>IF([1]SCHEDULE!B441="","",[1]SCHEDULE!B441)</f>
        <v>FEN</v>
      </c>
      <c r="C441" s="3">
        <f>IF([1]SCHEDULE!C441="","",[1]SCHEDULE!C441)</f>
        <v>31</v>
      </c>
      <c r="D441" s="1" t="str">
        <f>IF([1]SCHEDULE!D441="","",[1]SCHEDULE!D441)</f>
        <v>Fenerbahce Beko Istanbul</v>
      </c>
      <c r="E441" s="1" t="str">
        <f>IF([1]SCHEDULE!E441="","",[1]SCHEDULE!E441)</f>
        <v>EA7 Emporio Armani Milan</v>
      </c>
      <c r="F441" s="6">
        <f>IF([1]SCHEDULE!F441="","",[1]SCHEDULE!F441)</f>
        <v>45373</v>
      </c>
      <c r="G441" s="3" t="str">
        <f>IF([1]SCHEDULE!G441="","",[1]SCHEDULE!G441)</f>
        <v>A</v>
      </c>
      <c r="H441" s="3" t="str">
        <f>IF([1]SCHEDULE!H441="","",[1]SCHEDULE!H441)</f>
        <v>MIL</v>
      </c>
      <c r="I441" s="3" t="str">
        <f>IF([1]SCHEDULE!I441="","",[1]SCHEDULE!I441)</f>
        <v>31.FEN</v>
      </c>
      <c r="J441" s="3" t="str">
        <f>IF([1]SCHEDULE!J441="","",[1]SCHEDULE!J441)</f>
        <v>31.MIL</v>
      </c>
    </row>
    <row r="442" spans="2:10" x14ac:dyDescent="0.25">
      <c r="B442" s="3" t="str">
        <f>IF([1]SCHEDULE!B442="","",[1]SCHEDULE!B442)</f>
        <v>FEN</v>
      </c>
      <c r="C442" s="3">
        <f>IF([1]SCHEDULE!C442="","",[1]SCHEDULE!C442)</f>
        <v>32</v>
      </c>
      <c r="D442" s="1" t="str">
        <f>IF([1]SCHEDULE!D442="","",[1]SCHEDULE!D442)</f>
        <v>Fenerbahce Beko Istanbul</v>
      </c>
      <c r="E442" s="1" t="str">
        <f>IF([1]SCHEDULE!E442="","",[1]SCHEDULE!E442)</f>
        <v>ALBA Berlin</v>
      </c>
      <c r="F442" s="6">
        <f>IF([1]SCHEDULE!F442="","",[1]SCHEDULE!F442)</f>
        <v>45380</v>
      </c>
      <c r="G442" s="3" t="str">
        <f>IF([1]SCHEDULE!G442="","",[1]SCHEDULE!G442)</f>
        <v>H</v>
      </c>
      <c r="H442" s="3" t="str">
        <f>IF([1]SCHEDULE!H442="","",[1]SCHEDULE!H442)</f>
        <v>BER</v>
      </c>
      <c r="I442" s="3" t="str">
        <f>IF([1]SCHEDULE!I442="","",[1]SCHEDULE!I442)</f>
        <v>32.FEN</v>
      </c>
      <c r="J442" s="3" t="str">
        <f>IF([1]SCHEDULE!J442="","",[1]SCHEDULE!J442)</f>
        <v>32.BER</v>
      </c>
    </row>
    <row r="443" spans="2:10" x14ac:dyDescent="0.25">
      <c r="B443" s="3" t="str">
        <f>IF([1]SCHEDULE!B443="","",[1]SCHEDULE!B443)</f>
        <v>FEN</v>
      </c>
      <c r="C443" s="3">
        <f>IF([1]SCHEDULE!C443="","",[1]SCHEDULE!C443)</f>
        <v>33</v>
      </c>
      <c r="D443" s="1" t="str">
        <f>IF([1]SCHEDULE!D443="","",[1]SCHEDULE!D443)</f>
        <v>Fenerbahce Beko Istanbul</v>
      </c>
      <c r="E443" s="1" t="str">
        <f>IF([1]SCHEDULE!E443="","",[1]SCHEDULE!E443)</f>
        <v>Anadolu Efes Istanbul</v>
      </c>
      <c r="F443" s="6">
        <f>IF([1]SCHEDULE!F443="","",[1]SCHEDULE!F443)</f>
        <v>45387</v>
      </c>
      <c r="G443" s="3" t="str">
        <f>IF([1]SCHEDULE!G443="","",[1]SCHEDULE!G443)</f>
        <v>H</v>
      </c>
      <c r="H443" s="3" t="str">
        <f>IF([1]SCHEDULE!H443="","",[1]SCHEDULE!H443)</f>
        <v>EFE</v>
      </c>
      <c r="I443" s="3" t="str">
        <f>IF([1]SCHEDULE!I443="","",[1]SCHEDULE!I443)</f>
        <v>33.FEN</v>
      </c>
      <c r="J443" s="3" t="str">
        <f>IF([1]SCHEDULE!J443="","",[1]SCHEDULE!J443)</f>
        <v>33.EFE</v>
      </c>
    </row>
    <row r="444" spans="2:10" x14ac:dyDescent="0.25">
      <c r="B444" s="3" t="str">
        <f>IF([1]SCHEDULE!B444="","",[1]SCHEDULE!B444)</f>
        <v>FEN</v>
      </c>
      <c r="C444" s="3">
        <f>IF([1]SCHEDULE!C444="","",[1]SCHEDULE!C444)</f>
        <v>34</v>
      </c>
      <c r="D444" s="1" t="str">
        <f>IF([1]SCHEDULE!D444="","",[1]SCHEDULE!D444)</f>
        <v>Fenerbahce Beko Istanbul</v>
      </c>
      <c r="E444" s="1" t="str">
        <f>IF([1]SCHEDULE!E444="","",[1]SCHEDULE!E444)</f>
        <v>Olympiacos Piraeus</v>
      </c>
      <c r="F444" s="6">
        <f>IF([1]SCHEDULE!F444="","",[1]SCHEDULE!F444)</f>
        <v>45394</v>
      </c>
      <c r="G444" s="3" t="str">
        <f>IF([1]SCHEDULE!G444="","",[1]SCHEDULE!G444)</f>
        <v>A</v>
      </c>
      <c r="H444" s="3" t="str">
        <f>IF([1]SCHEDULE!H444="","",[1]SCHEDULE!H444)</f>
        <v>OLY</v>
      </c>
      <c r="I444" s="3" t="str">
        <f>IF([1]SCHEDULE!I444="","",[1]SCHEDULE!I444)</f>
        <v>34.FEN</v>
      </c>
      <c r="J444" s="3" t="str">
        <f>IF([1]SCHEDULE!J444="","",[1]SCHEDULE!J444)</f>
        <v>34.OLY</v>
      </c>
    </row>
    <row r="445" spans="2:10" x14ac:dyDescent="0.25">
      <c r="B445" s="3" t="str">
        <f>IF([1]SCHEDULE!B445="","",[1]SCHEDULE!B445)</f>
        <v>FEN</v>
      </c>
      <c r="C445" s="3">
        <f>IF([1]SCHEDULE!C445="","",[1]SCHEDULE!C445)</f>
        <v>35</v>
      </c>
      <c r="D445" s="1" t="str">
        <f>IF([1]SCHEDULE!D445="","",[1]SCHEDULE!D445)</f>
        <v>Fenerbahce Beko Istanbul</v>
      </c>
      <c r="E445" s="1" t="str">
        <f>IF([1]SCHEDULE!E445="","",[1]SCHEDULE!E445)</f>
        <v/>
      </c>
      <c r="F445" s="6" t="str">
        <f>IF([1]SCHEDULE!F445="","",[1]SCHEDULE!F445)</f>
        <v/>
      </c>
      <c r="G445" s="3" t="str">
        <f>IF([1]SCHEDULE!G445="","",[1]SCHEDULE!G445)</f>
        <v/>
      </c>
      <c r="H445" s="3" t="str">
        <f>IF([1]SCHEDULE!H445="","",[1]SCHEDULE!H445)</f>
        <v/>
      </c>
      <c r="I445" s="3" t="str">
        <f>IF([1]SCHEDULE!I445="","",[1]SCHEDULE!I445)</f>
        <v/>
      </c>
      <c r="J445" s="3" t="str">
        <f>IF([1]SCHEDULE!J445="","",[1]SCHEDULE!J445)</f>
        <v/>
      </c>
    </row>
    <row r="446" spans="2:10" x14ac:dyDescent="0.25">
      <c r="B446" s="3" t="str">
        <f>IF([1]SCHEDULE!B446="","",[1]SCHEDULE!B446)</f>
        <v>FEN</v>
      </c>
      <c r="C446" s="3">
        <f>IF([1]SCHEDULE!C446="","",[1]SCHEDULE!C446)</f>
        <v>36</v>
      </c>
      <c r="D446" s="1" t="str">
        <f>IF([1]SCHEDULE!D446="","",[1]SCHEDULE!D446)</f>
        <v>Fenerbahce Beko Istanbul</v>
      </c>
      <c r="E446" s="1" t="str">
        <f>IF([1]SCHEDULE!E446="","",[1]SCHEDULE!E446)</f>
        <v/>
      </c>
      <c r="F446" s="6" t="str">
        <f>IF([1]SCHEDULE!F446="","",[1]SCHEDULE!F446)</f>
        <v/>
      </c>
      <c r="G446" s="3" t="str">
        <f>IF([1]SCHEDULE!G446="","",[1]SCHEDULE!G446)</f>
        <v/>
      </c>
      <c r="H446" s="3" t="str">
        <f>IF([1]SCHEDULE!H446="","",[1]SCHEDULE!H446)</f>
        <v/>
      </c>
      <c r="I446" s="3" t="str">
        <f>IF([1]SCHEDULE!I446="","",[1]SCHEDULE!I446)</f>
        <v/>
      </c>
      <c r="J446" s="3" t="str">
        <f>IF([1]SCHEDULE!J446="","",[1]SCHEDULE!J446)</f>
        <v/>
      </c>
    </row>
    <row r="447" spans="2:10" x14ac:dyDescent="0.25">
      <c r="B447" s="3" t="str">
        <f>IF([1]SCHEDULE!B447="","",[1]SCHEDULE!B447)</f>
        <v>FEN</v>
      </c>
      <c r="C447" s="3">
        <f>IF([1]SCHEDULE!C447="","",[1]SCHEDULE!C447)</f>
        <v>37</v>
      </c>
      <c r="D447" s="1" t="str">
        <f>IF([1]SCHEDULE!D447="","",[1]SCHEDULE!D447)</f>
        <v>Fenerbahce Beko Istanbul</v>
      </c>
      <c r="E447" s="1" t="str">
        <f>IF([1]SCHEDULE!E447="","",[1]SCHEDULE!E447)</f>
        <v/>
      </c>
      <c r="F447" s="6" t="str">
        <f>IF([1]SCHEDULE!F447="","",[1]SCHEDULE!F447)</f>
        <v/>
      </c>
      <c r="G447" s="3" t="str">
        <f>IF([1]SCHEDULE!G447="","",[1]SCHEDULE!G447)</f>
        <v/>
      </c>
      <c r="H447" s="3" t="str">
        <f>IF([1]SCHEDULE!H447="","",[1]SCHEDULE!H447)</f>
        <v/>
      </c>
      <c r="I447" s="3" t="str">
        <f>IF([1]SCHEDULE!I447="","",[1]SCHEDULE!I447)</f>
        <v/>
      </c>
      <c r="J447" s="3" t="str">
        <f>IF([1]SCHEDULE!J447="","",[1]SCHEDULE!J447)</f>
        <v/>
      </c>
    </row>
    <row r="448" spans="2:10" x14ac:dyDescent="0.25">
      <c r="B448" s="3" t="str">
        <f>IF([1]SCHEDULE!B448="","",[1]SCHEDULE!B448)</f>
        <v>FEN</v>
      </c>
      <c r="C448" s="3">
        <f>IF([1]SCHEDULE!C448="","",[1]SCHEDULE!C448)</f>
        <v>38</v>
      </c>
      <c r="D448" s="1" t="str">
        <f>IF([1]SCHEDULE!D448="","",[1]SCHEDULE!D448)</f>
        <v>Fenerbahce Beko Istanbul</v>
      </c>
      <c r="E448" s="1" t="str">
        <f>IF([1]SCHEDULE!E448="","",[1]SCHEDULE!E448)</f>
        <v/>
      </c>
      <c r="F448" s="6" t="str">
        <f>IF([1]SCHEDULE!F448="","",[1]SCHEDULE!F448)</f>
        <v/>
      </c>
      <c r="G448" s="3" t="str">
        <f>IF([1]SCHEDULE!G448="","",[1]SCHEDULE!G448)</f>
        <v/>
      </c>
      <c r="H448" s="3" t="str">
        <f>IF([1]SCHEDULE!H448="","",[1]SCHEDULE!H448)</f>
        <v/>
      </c>
      <c r="I448" s="3" t="str">
        <f>IF([1]SCHEDULE!I448="","",[1]SCHEDULE!I448)</f>
        <v/>
      </c>
      <c r="J448" s="3" t="str">
        <f>IF([1]SCHEDULE!J448="","",[1]SCHEDULE!J448)</f>
        <v/>
      </c>
    </row>
    <row r="449" spans="2:10" x14ac:dyDescent="0.25">
      <c r="B449" s="3" t="str">
        <f>IF([1]SCHEDULE!B449="","",[1]SCHEDULE!B449)</f>
        <v>FEN</v>
      </c>
      <c r="C449" s="3">
        <f>IF([1]SCHEDULE!C449="","",[1]SCHEDULE!C449)</f>
        <v>39</v>
      </c>
      <c r="D449" s="1" t="str">
        <f>IF([1]SCHEDULE!D449="","",[1]SCHEDULE!D449)</f>
        <v>Fenerbahce Beko Istanbul</v>
      </c>
      <c r="E449" s="1" t="str">
        <f>IF([1]SCHEDULE!E449="","",[1]SCHEDULE!E449)</f>
        <v/>
      </c>
      <c r="F449" s="6" t="str">
        <f>IF([1]SCHEDULE!F449="","",[1]SCHEDULE!F449)</f>
        <v/>
      </c>
      <c r="G449" s="3" t="str">
        <f>IF([1]SCHEDULE!G449="","",[1]SCHEDULE!G449)</f>
        <v/>
      </c>
      <c r="H449" s="3" t="str">
        <f>IF([1]SCHEDULE!H449="","",[1]SCHEDULE!H449)</f>
        <v/>
      </c>
      <c r="I449" s="3" t="str">
        <f>IF([1]SCHEDULE!I449="","",[1]SCHEDULE!I449)</f>
        <v/>
      </c>
      <c r="J449" s="3" t="str">
        <f>IF([1]SCHEDULE!J449="","",[1]SCHEDULE!J449)</f>
        <v/>
      </c>
    </row>
    <row r="450" spans="2:10" x14ac:dyDescent="0.25">
      <c r="B450" s="3" t="str">
        <f>IF([1]SCHEDULE!B450="","",[1]SCHEDULE!B450)</f>
        <v>FEN</v>
      </c>
      <c r="C450" s="3">
        <f>IF([1]SCHEDULE!C450="","",[1]SCHEDULE!C450)</f>
        <v>40</v>
      </c>
      <c r="D450" s="1" t="str">
        <f>IF([1]SCHEDULE!D450="","",[1]SCHEDULE!D450)</f>
        <v>Fenerbahce Beko Istanbul</v>
      </c>
      <c r="E450" s="1" t="str">
        <f>IF([1]SCHEDULE!E450="","",[1]SCHEDULE!E450)</f>
        <v/>
      </c>
      <c r="F450" s="6" t="str">
        <f>IF([1]SCHEDULE!F450="","",[1]SCHEDULE!F450)</f>
        <v/>
      </c>
      <c r="G450" s="3" t="str">
        <f>IF([1]SCHEDULE!G450="","",[1]SCHEDULE!G450)</f>
        <v/>
      </c>
      <c r="H450" s="3" t="str">
        <f>IF([1]SCHEDULE!H450="","",[1]SCHEDULE!H450)</f>
        <v/>
      </c>
      <c r="I450" s="3" t="str">
        <f>IF([1]SCHEDULE!I450="","",[1]SCHEDULE!I450)</f>
        <v/>
      </c>
      <c r="J450" s="3" t="str">
        <f>IF([1]SCHEDULE!J450="","",[1]SCHEDULE!J450)</f>
        <v/>
      </c>
    </row>
    <row r="451" spans="2:10" x14ac:dyDescent="0.25">
      <c r="B451" s="3" t="str">
        <f>IF([1]SCHEDULE!B451="","",[1]SCHEDULE!B451)</f>
        <v>FEN</v>
      </c>
      <c r="C451" s="3">
        <f>IF([1]SCHEDULE!C451="","",[1]SCHEDULE!C451)</f>
        <v>41</v>
      </c>
      <c r="D451" s="1" t="str">
        <f>IF([1]SCHEDULE!D451="","",[1]SCHEDULE!D451)</f>
        <v>Fenerbahce Beko Istanbul</v>
      </c>
      <c r="E451" s="1" t="str">
        <f>IF([1]SCHEDULE!E451="","",[1]SCHEDULE!E451)</f>
        <v/>
      </c>
      <c r="F451" s="6" t="str">
        <f>IF([1]SCHEDULE!F451="","",[1]SCHEDULE!F451)</f>
        <v/>
      </c>
      <c r="G451" s="3" t="str">
        <f>IF([1]SCHEDULE!G451="","",[1]SCHEDULE!G451)</f>
        <v/>
      </c>
      <c r="H451" s="3" t="str">
        <f>IF([1]SCHEDULE!H451="","",[1]SCHEDULE!H451)</f>
        <v/>
      </c>
      <c r="I451" s="3" t="str">
        <f>IF([1]SCHEDULE!I451="","",[1]SCHEDULE!I451)</f>
        <v/>
      </c>
      <c r="J451" s="3" t="str">
        <f>IF([1]SCHEDULE!J451="","",[1]SCHEDULE!J451)</f>
        <v/>
      </c>
    </row>
    <row r="452" spans="2:10" x14ac:dyDescent="0.25">
      <c r="B452" s="3" t="str">
        <f>IF([1]SCHEDULE!B452="","",[1]SCHEDULE!B452)</f>
        <v>FEN</v>
      </c>
      <c r="C452" s="3">
        <f>IF([1]SCHEDULE!C452="","",[1]SCHEDULE!C452)</f>
        <v>42</v>
      </c>
      <c r="D452" s="1" t="str">
        <f>IF([1]SCHEDULE!D452="","",[1]SCHEDULE!D452)</f>
        <v>Fenerbahce Beko Istanbul</v>
      </c>
      <c r="E452" s="1" t="str">
        <f>IF([1]SCHEDULE!E452="","",[1]SCHEDULE!E452)</f>
        <v/>
      </c>
      <c r="F452" s="6" t="str">
        <f>IF([1]SCHEDULE!F452="","",[1]SCHEDULE!F452)</f>
        <v/>
      </c>
      <c r="G452" s="3" t="str">
        <f>IF([1]SCHEDULE!G452="","",[1]SCHEDULE!G452)</f>
        <v/>
      </c>
      <c r="H452" s="3" t="str">
        <f>IF([1]SCHEDULE!H452="","",[1]SCHEDULE!H452)</f>
        <v/>
      </c>
      <c r="I452" s="3" t="str">
        <f>IF([1]SCHEDULE!I452="","",[1]SCHEDULE!I452)</f>
        <v/>
      </c>
      <c r="J452" s="3" t="str">
        <f>IF([1]SCHEDULE!J452="","",[1]SCHEDULE!J452)</f>
        <v/>
      </c>
    </row>
    <row r="453" spans="2:10" x14ac:dyDescent="0.25">
      <c r="B453" s="3" t="str">
        <f>IF([1]SCHEDULE!B453="","",[1]SCHEDULE!B453)</f>
        <v>FEN</v>
      </c>
      <c r="C453" s="3">
        <f>IF([1]SCHEDULE!C453="","",[1]SCHEDULE!C453)</f>
        <v>43</v>
      </c>
      <c r="D453" s="1" t="str">
        <f>IF([1]SCHEDULE!D453="","",[1]SCHEDULE!D453)</f>
        <v>Fenerbahce Beko Istanbul</v>
      </c>
      <c r="E453" s="1" t="str">
        <f>IF([1]SCHEDULE!E453="","",[1]SCHEDULE!E453)</f>
        <v/>
      </c>
      <c r="F453" s="6" t="str">
        <f>IF([1]SCHEDULE!F453="","",[1]SCHEDULE!F453)</f>
        <v/>
      </c>
      <c r="G453" s="3" t="str">
        <f>IF([1]SCHEDULE!G453="","",[1]SCHEDULE!G453)</f>
        <v/>
      </c>
      <c r="H453" s="3" t="str">
        <f>IF([1]SCHEDULE!H453="","",[1]SCHEDULE!H453)</f>
        <v/>
      </c>
      <c r="I453" s="3" t="str">
        <f>IF([1]SCHEDULE!I453="","",[1]SCHEDULE!I453)</f>
        <v/>
      </c>
      <c r="J453" s="3" t="str">
        <f>IF([1]SCHEDULE!J453="","",[1]SCHEDULE!J453)</f>
        <v/>
      </c>
    </row>
    <row r="454" spans="2:10" x14ac:dyDescent="0.25">
      <c r="B454" s="3" t="str">
        <f>IF([1]SCHEDULE!B454="","",[1]SCHEDULE!B454)</f>
        <v>FEN</v>
      </c>
      <c r="C454" s="3">
        <f>IF([1]SCHEDULE!C454="","",[1]SCHEDULE!C454)</f>
        <v>44</v>
      </c>
      <c r="D454" s="1" t="str">
        <f>IF([1]SCHEDULE!D454="","",[1]SCHEDULE!D454)</f>
        <v>Fenerbahce Beko Istanbul</v>
      </c>
      <c r="E454" s="1" t="str">
        <f>IF([1]SCHEDULE!E454="","",[1]SCHEDULE!E454)</f>
        <v/>
      </c>
      <c r="F454" s="6" t="str">
        <f>IF([1]SCHEDULE!F454="","",[1]SCHEDULE!F454)</f>
        <v/>
      </c>
      <c r="G454" s="3" t="str">
        <f>IF([1]SCHEDULE!G454="","",[1]SCHEDULE!G454)</f>
        <v/>
      </c>
      <c r="H454" s="3" t="str">
        <f>IF([1]SCHEDULE!H454="","",[1]SCHEDULE!H454)</f>
        <v/>
      </c>
      <c r="I454" s="3" t="str">
        <f>IF([1]SCHEDULE!I454="","",[1]SCHEDULE!I454)</f>
        <v/>
      </c>
      <c r="J454" s="3" t="str">
        <f>IF([1]SCHEDULE!J454="","",[1]SCHEDULE!J454)</f>
        <v/>
      </c>
    </row>
    <row r="455" spans="2:10" x14ac:dyDescent="0.25">
      <c r="B455" s="3" t="str">
        <f>IF([1]SCHEDULE!B455="","",[1]SCHEDULE!B455)</f>
        <v>FEN</v>
      </c>
      <c r="C455" s="3">
        <f>IF([1]SCHEDULE!C455="","",[1]SCHEDULE!C455)</f>
        <v>45</v>
      </c>
      <c r="D455" s="1" t="str">
        <f>IF([1]SCHEDULE!D455="","",[1]SCHEDULE!D455)</f>
        <v>Fenerbahce Beko Istanbul</v>
      </c>
      <c r="E455" s="1" t="str">
        <f>IF([1]SCHEDULE!E455="","",[1]SCHEDULE!E455)</f>
        <v/>
      </c>
      <c r="F455" s="6" t="str">
        <f>IF([1]SCHEDULE!F455="","",[1]SCHEDULE!F455)</f>
        <v/>
      </c>
      <c r="G455" s="3" t="str">
        <f>IF([1]SCHEDULE!G455="","",[1]SCHEDULE!G455)</f>
        <v/>
      </c>
      <c r="H455" s="3" t="str">
        <f>IF([1]SCHEDULE!H455="","",[1]SCHEDULE!H455)</f>
        <v/>
      </c>
      <c r="I455" s="3" t="str">
        <f>IF([1]SCHEDULE!I455="","",[1]SCHEDULE!I455)</f>
        <v/>
      </c>
      <c r="J455" s="3" t="str">
        <f>IF([1]SCHEDULE!J455="","",[1]SCHEDULE!J455)</f>
        <v/>
      </c>
    </row>
    <row r="456" spans="2:10" x14ac:dyDescent="0.25">
      <c r="B456" s="3" t="str">
        <f>IF([1]SCHEDULE!B456="","",[1]SCHEDULE!B456)</f>
        <v>FEN</v>
      </c>
      <c r="C456" s="3">
        <f>IF([1]SCHEDULE!C456="","",[1]SCHEDULE!C456)</f>
        <v>46</v>
      </c>
      <c r="D456" s="1" t="str">
        <f>IF([1]SCHEDULE!D456="","",[1]SCHEDULE!D456)</f>
        <v>Fenerbahce Beko Istanbul</v>
      </c>
      <c r="E456" s="1" t="str">
        <f>IF([1]SCHEDULE!E456="","",[1]SCHEDULE!E456)</f>
        <v/>
      </c>
      <c r="F456" s="6" t="str">
        <f>IF([1]SCHEDULE!F456="","",[1]SCHEDULE!F456)</f>
        <v/>
      </c>
      <c r="G456" s="3" t="str">
        <f>IF([1]SCHEDULE!G456="","",[1]SCHEDULE!G456)</f>
        <v/>
      </c>
      <c r="H456" s="3" t="str">
        <f>IF([1]SCHEDULE!H456="","",[1]SCHEDULE!H456)</f>
        <v/>
      </c>
      <c r="I456" s="3" t="str">
        <f>IF([1]SCHEDULE!I456="","",[1]SCHEDULE!I456)</f>
        <v/>
      </c>
      <c r="J456" s="3" t="str">
        <f>IF([1]SCHEDULE!J456="","",[1]SCHEDULE!J456)</f>
        <v/>
      </c>
    </row>
    <row r="457" spans="2:10" x14ac:dyDescent="0.25">
      <c r="B457" s="3" t="str">
        <f>IF([1]SCHEDULE!B457="","",[1]SCHEDULE!B457)</f>
        <v>FEN</v>
      </c>
      <c r="C457" s="3">
        <f>IF([1]SCHEDULE!C457="","",[1]SCHEDULE!C457)</f>
        <v>47</v>
      </c>
      <c r="D457" s="1" t="str">
        <f>IF([1]SCHEDULE!D457="","",[1]SCHEDULE!D457)</f>
        <v>Fenerbahce Beko Istanbul</v>
      </c>
      <c r="E457" s="1" t="str">
        <f>IF([1]SCHEDULE!E457="","",[1]SCHEDULE!E457)</f>
        <v/>
      </c>
      <c r="F457" s="6" t="str">
        <f>IF([1]SCHEDULE!F457="","",[1]SCHEDULE!F457)</f>
        <v/>
      </c>
      <c r="G457" s="3" t="str">
        <f>IF([1]SCHEDULE!G457="","",[1]SCHEDULE!G457)</f>
        <v/>
      </c>
      <c r="H457" s="3" t="str">
        <f>IF([1]SCHEDULE!H457="","",[1]SCHEDULE!H457)</f>
        <v/>
      </c>
      <c r="I457" s="3" t="str">
        <f>IF([1]SCHEDULE!I457="","",[1]SCHEDULE!I457)</f>
        <v/>
      </c>
      <c r="J457" s="3" t="str">
        <f>IF([1]SCHEDULE!J457="","",[1]SCHEDULE!J457)</f>
        <v/>
      </c>
    </row>
    <row r="458" spans="2:10" x14ac:dyDescent="0.25">
      <c r="B458" s="3" t="str">
        <f>IF([1]SCHEDULE!B458="","",[1]SCHEDULE!B458)</f>
        <v>FEN</v>
      </c>
      <c r="C458" s="3">
        <f>IF([1]SCHEDULE!C458="","",[1]SCHEDULE!C458)</f>
        <v>48</v>
      </c>
      <c r="D458" s="1" t="str">
        <f>IF([1]SCHEDULE!D458="","",[1]SCHEDULE!D458)</f>
        <v>Fenerbahce Beko Istanbul</v>
      </c>
      <c r="E458" s="1" t="str">
        <f>IF([1]SCHEDULE!E458="","",[1]SCHEDULE!E458)</f>
        <v/>
      </c>
      <c r="F458" s="6" t="str">
        <f>IF([1]SCHEDULE!F458="","",[1]SCHEDULE!F458)</f>
        <v/>
      </c>
      <c r="G458" s="3" t="str">
        <f>IF([1]SCHEDULE!G458="","",[1]SCHEDULE!G458)</f>
        <v/>
      </c>
      <c r="H458" s="3" t="str">
        <f>IF([1]SCHEDULE!H458="","",[1]SCHEDULE!H458)</f>
        <v/>
      </c>
      <c r="I458" s="3" t="str">
        <f>IF([1]SCHEDULE!I458="","",[1]SCHEDULE!I458)</f>
        <v/>
      </c>
      <c r="J458" s="3" t="str">
        <f>IF([1]SCHEDULE!J458="","",[1]SCHEDULE!J458)</f>
        <v/>
      </c>
    </row>
    <row r="459" spans="2:10" x14ac:dyDescent="0.25">
      <c r="B459" s="3" t="str">
        <f>IF([1]SCHEDULE!B459="","",[1]SCHEDULE!B459)</f>
        <v>FEN</v>
      </c>
      <c r="C459" s="3">
        <f>IF([1]SCHEDULE!C459="","",[1]SCHEDULE!C459)</f>
        <v>49</v>
      </c>
      <c r="D459" s="1" t="str">
        <f>IF([1]SCHEDULE!D459="","",[1]SCHEDULE!D459)</f>
        <v>Fenerbahce Beko Istanbul</v>
      </c>
      <c r="E459" s="1" t="str">
        <f>IF([1]SCHEDULE!E459="","",[1]SCHEDULE!E459)</f>
        <v/>
      </c>
      <c r="F459" s="6" t="str">
        <f>IF([1]SCHEDULE!F459="","",[1]SCHEDULE!F459)</f>
        <v/>
      </c>
      <c r="G459" s="3" t="str">
        <f>IF([1]SCHEDULE!G459="","",[1]SCHEDULE!G459)</f>
        <v/>
      </c>
      <c r="H459" s="3" t="str">
        <f>IF([1]SCHEDULE!H459="","",[1]SCHEDULE!H459)</f>
        <v/>
      </c>
      <c r="I459" s="3" t="str">
        <f>IF([1]SCHEDULE!I459="","",[1]SCHEDULE!I459)</f>
        <v/>
      </c>
      <c r="J459" s="3" t="str">
        <f>IF([1]SCHEDULE!J459="","",[1]SCHEDULE!J459)</f>
        <v/>
      </c>
    </row>
    <row r="460" spans="2:10" x14ac:dyDescent="0.25">
      <c r="B460" s="3" t="str">
        <f>IF([1]SCHEDULE!B460="","",[1]SCHEDULE!B460)</f>
        <v>FEN</v>
      </c>
      <c r="C460" s="3">
        <f>IF([1]SCHEDULE!C460="","",[1]SCHEDULE!C460)</f>
        <v>50</v>
      </c>
      <c r="D460" s="1" t="str">
        <f>IF([1]SCHEDULE!D460="","",[1]SCHEDULE!D460)</f>
        <v>Fenerbahce Beko Istanbul</v>
      </c>
      <c r="E460" s="1" t="str">
        <f>IF([1]SCHEDULE!E460="","",[1]SCHEDULE!E460)</f>
        <v/>
      </c>
      <c r="F460" s="6" t="str">
        <f>IF([1]SCHEDULE!F460="","",[1]SCHEDULE!F460)</f>
        <v/>
      </c>
      <c r="G460" s="3" t="str">
        <f>IF([1]SCHEDULE!G460="","",[1]SCHEDULE!G460)</f>
        <v/>
      </c>
      <c r="H460" s="3" t="str">
        <f>IF([1]SCHEDULE!H460="","",[1]SCHEDULE!H460)</f>
        <v/>
      </c>
      <c r="I460" s="3" t="str">
        <f>IF([1]SCHEDULE!I460="","",[1]SCHEDULE!I460)</f>
        <v/>
      </c>
      <c r="J460" s="3" t="str">
        <f>IF([1]SCHEDULE!J460="","",[1]SCHEDULE!J460)</f>
        <v/>
      </c>
    </row>
    <row r="461" spans="2:10" x14ac:dyDescent="0.25">
      <c r="B461" s="3" t="str">
        <f>IF([1]SCHEDULE!B461="","",[1]SCHEDULE!B461)</f>
        <v>FEN</v>
      </c>
      <c r="C461" s="3">
        <f>IF([1]SCHEDULE!C461="","",[1]SCHEDULE!C461)</f>
        <v>51</v>
      </c>
      <c r="D461" s="1" t="str">
        <f>IF([1]SCHEDULE!D461="","",[1]SCHEDULE!D461)</f>
        <v>Fenerbahce Beko Istanbul</v>
      </c>
      <c r="E461" s="1" t="str">
        <f>IF([1]SCHEDULE!E461="","",[1]SCHEDULE!E461)</f>
        <v/>
      </c>
      <c r="F461" s="6" t="str">
        <f>IF([1]SCHEDULE!F461="","",[1]SCHEDULE!F461)</f>
        <v/>
      </c>
      <c r="G461" s="3" t="str">
        <f>IF([1]SCHEDULE!G461="","",[1]SCHEDULE!G461)</f>
        <v/>
      </c>
      <c r="H461" s="3" t="str">
        <f>IF([1]SCHEDULE!H461="","",[1]SCHEDULE!H461)</f>
        <v/>
      </c>
      <c r="I461" s="3" t="str">
        <f>IF([1]SCHEDULE!I461="","",[1]SCHEDULE!I461)</f>
        <v/>
      </c>
      <c r="J461" s="3" t="str">
        <f>IF([1]SCHEDULE!J461="","",[1]SCHEDULE!J461)</f>
        <v/>
      </c>
    </row>
    <row r="462" spans="2:10" x14ac:dyDescent="0.25">
      <c r="B462" s="3" t="str">
        <f>IF([1]SCHEDULE!B462="","",[1]SCHEDULE!B462)</f>
        <v>ASV</v>
      </c>
      <c r="C462" s="3">
        <f>IF([1]SCHEDULE!C462="","",[1]SCHEDULE!C462)</f>
        <v>1</v>
      </c>
      <c r="D462" s="1" t="str">
        <f>IF([1]SCHEDULE!D462="","",[1]SCHEDULE!D462)</f>
        <v>LDLC ASVEL Villeurbanne</v>
      </c>
      <c r="E462" s="1" t="str">
        <f>IF([1]SCHEDULE!E462="","",[1]SCHEDULE!E462)</f>
        <v>Crvena Zvezda Meridianbet Belgrade</v>
      </c>
      <c r="F462" s="6">
        <f>IF([1]SCHEDULE!F462="","",[1]SCHEDULE!F462)</f>
        <v>45204</v>
      </c>
      <c r="G462" s="3" t="str">
        <f>IF([1]SCHEDULE!G462="","",[1]SCHEDULE!G462)</f>
        <v>A</v>
      </c>
      <c r="H462" s="3" t="str">
        <f>IF([1]SCHEDULE!H462="","",[1]SCHEDULE!H462)</f>
        <v>CZB</v>
      </c>
      <c r="I462" s="3" t="str">
        <f>IF([1]SCHEDULE!I462="","",[1]SCHEDULE!I462)</f>
        <v>1.ASV</v>
      </c>
      <c r="J462" s="3" t="str">
        <f>IF([1]SCHEDULE!J462="","",[1]SCHEDULE!J462)</f>
        <v>1.CZB</v>
      </c>
    </row>
    <row r="463" spans="2:10" x14ac:dyDescent="0.25">
      <c r="B463" s="3" t="str">
        <f>IF([1]SCHEDULE!B463="","",[1]SCHEDULE!B463)</f>
        <v>ASV</v>
      </c>
      <c r="C463" s="3">
        <f>IF([1]SCHEDULE!C463="","",[1]SCHEDULE!C463)</f>
        <v>2</v>
      </c>
      <c r="D463" s="1" t="str">
        <f>IF([1]SCHEDULE!D463="","",[1]SCHEDULE!D463)</f>
        <v>LDLC ASVEL Villeurbanne</v>
      </c>
      <c r="E463" s="1" t="str">
        <f>IF([1]SCHEDULE!E463="","",[1]SCHEDULE!E463)</f>
        <v>Partizan Mozzart Bet Belgrade</v>
      </c>
      <c r="F463" s="6">
        <f>IF([1]SCHEDULE!F463="","",[1]SCHEDULE!F463)</f>
        <v>45211</v>
      </c>
      <c r="G463" s="3" t="str">
        <f>IF([1]SCHEDULE!G463="","",[1]SCHEDULE!G463)</f>
        <v>H</v>
      </c>
      <c r="H463" s="3" t="str">
        <f>IF([1]SCHEDULE!H463="","",[1]SCHEDULE!H463)</f>
        <v>PAR</v>
      </c>
      <c r="I463" s="3" t="str">
        <f>IF([1]SCHEDULE!I463="","",[1]SCHEDULE!I463)</f>
        <v>2.ASV</v>
      </c>
      <c r="J463" s="3" t="str">
        <f>IF([1]SCHEDULE!J463="","",[1]SCHEDULE!J463)</f>
        <v>2.PAR</v>
      </c>
    </row>
    <row r="464" spans="2:10" x14ac:dyDescent="0.25">
      <c r="B464" s="3" t="str">
        <f>IF([1]SCHEDULE!B464="","",[1]SCHEDULE!B464)</f>
        <v>ASV</v>
      </c>
      <c r="C464" s="3">
        <f>IF([1]SCHEDULE!C464="","",[1]SCHEDULE!C464)</f>
        <v>3</v>
      </c>
      <c r="D464" s="1" t="str">
        <f>IF([1]SCHEDULE!D464="","",[1]SCHEDULE!D464)</f>
        <v>LDLC ASVEL Villeurbanne</v>
      </c>
      <c r="E464" s="1" t="str">
        <f>IF([1]SCHEDULE!E464="","",[1]SCHEDULE!E464)</f>
        <v>Anadolu Efes Istanbul</v>
      </c>
      <c r="F464" s="6">
        <f>IF([1]SCHEDULE!F464="","",[1]SCHEDULE!F464)</f>
        <v>45216</v>
      </c>
      <c r="G464" s="3" t="str">
        <f>IF([1]SCHEDULE!G464="","",[1]SCHEDULE!G464)</f>
        <v>A</v>
      </c>
      <c r="H464" s="3" t="str">
        <f>IF([1]SCHEDULE!H464="","",[1]SCHEDULE!H464)</f>
        <v>EFE</v>
      </c>
      <c r="I464" s="3" t="str">
        <f>IF([1]SCHEDULE!I464="","",[1]SCHEDULE!I464)</f>
        <v>3.ASV</v>
      </c>
      <c r="J464" s="3" t="str">
        <f>IF([1]SCHEDULE!J464="","",[1]SCHEDULE!J464)</f>
        <v>3.EFE</v>
      </c>
    </row>
    <row r="465" spans="2:10" x14ac:dyDescent="0.25">
      <c r="B465" s="3" t="str">
        <f>IF([1]SCHEDULE!B465="","",[1]SCHEDULE!B465)</f>
        <v>ASV</v>
      </c>
      <c r="C465" s="3">
        <f>IF([1]SCHEDULE!C465="","",[1]SCHEDULE!C465)</f>
        <v>4</v>
      </c>
      <c r="D465" s="1" t="str">
        <f>IF([1]SCHEDULE!D465="","",[1]SCHEDULE!D465)</f>
        <v>LDLC ASVEL Villeurbanne</v>
      </c>
      <c r="E465" s="1" t="str">
        <f>IF([1]SCHEDULE!E465="","",[1]SCHEDULE!E465)</f>
        <v>Fenerbahce Beko Istanbul</v>
      </c>
      <c r="F465" s="6">
        <f>IF([1]SCHEDULE!F465="","",[1]SCHEDULE!F465)</f>
        <v>45218</v>
      </c>
      <c r="G465" s="3" t="str">
        <f>IF([1]SCHEDULE!G465="","",[1]SCHEDULE!G465)</f>
        <v>A</v>
      </c>
      <c r="H465" s="3" t="str">
        <f>IF([1]SCHEDULE!H465="","",[1]SCHEDULE!H465)</f>
        <v>FEN</v>
      </c>
      <c r="I465" s="3" t="str">
        <f>IF([1]SCHEDULE!I465="","",[1]SCHEDULE!I465)</f>
        <v>4.ASV</v>
      </c>
      <c r="J465" s="3" t="str">
        <f>IF([1]SCHEDULE!J465="","",[1]SCHEDULE!J465)</f>
        <v>4.FEN</v>
      </c>
    </row>
    <row r="466" spans="2:10" x14ac:dyDescent="0.25">
      <c r="B466" s="3" t="str">
        <f>IF([1]SCHEDULE!B466="","",[1]SCHEDULE!B466)</f>
        <v>ASV</v>
      </c>
      <c r="C466" s="3">
        <f>IF([1]SCHEDULE!C466="","",[1]SCHEDULE!C466)</f>
        <v>5</v>
      </c>
      <c r="D466" s="1" t="str">
        <f>IF([1]SCHEDULE!D466="","",[1]SCHEDULE!D466)</f>
        <v>LDLC ASVEL Villeurbanne</v>
      </c>
      <c r="E466" s="1" t="str">
        <f>IF([1]SCHEDULE!E466="","",[1]SCHEDULE!E466)</f>
        <v>Virtus Segafredo Bologna</v>
      </c>
      <c r="F466" s="6">
        <f>IF([1]SCHEDULE!F466="","",[1]SCHEDULE!F466)</f>
        <v>45226</v>
      </c>
      <c r="G466" s="3" t="str">
        <f>IF([1]SCHEDULE!G466="","",[1]SCHEDULE!G466)</f>
        <v>H</v>
      </c>
      <c r="H466" s="3" t="str">
        <f>IF([1]SCHEDULE!H466="","",[1]SCHEDULE!H466)</f>
        <v>VIR</v>
      </c>
      <c r="I466" s="3" t="str">
        <f>IF([1]SCHEDULE!I466="","",[1]SCHEDULE!I466)</f>
        <v>5.ASV</v>
      </c>
      <c r="J466" s="3" t="str">
        <f>IF([1]SCHEDULE!J466="","",[1]SCHEDULE!J466)</f>
        <v>5.VIR</v>
      </c>
    </row>
    <row r="467" spans="2:10" x14ac:dyDescent="0.25">
      <c r="B467" s="3" t="str">
        <f>IF([1]SCHEDULE!B467="","",[1]SCHEDULE!B467)</f>
        <v>ASV</v>
      </c>
      <c r="C467" s="3">
        <f>IF([1]SCHEDULE!C467="","",[1]SCHEDULE!C467)</f>
        <v>6</v>
      </c>
      <c r="D467" s="1" t="str">
        <f>IF([1]SCHEDULE!D467="","",[1]SCHEDULE!D467)</f>
        <v>LDLC ASVEL Villeurbanne</v>
      </c>
      <c r="E467" s="1" t="str">
        <f>IF([1]SCHEDULE!E467="","",[1]SCHEDULE!E467)</f>
        <v>Zalgiris Kaunas</v>
      </c>
      <c r="F467" s="6">
        <f>IF([1]SCHEDULE!F467="","",[1]SCHEDULE!F467)</f>
        <v>45232</v>
      </c>
      <c r="G467" s="3" t="str">
        <f>IF([1]SCHEDULE!G467="","",[1]SCHEDULE!G467)</f>
        <v>A</v>
      </c>
      <c r="H467" s="3" t="str">
        <f>IF([1]SCHEDULE!H467="","",[1]SCHEDULE!H467)</f>
        <v>ZAL</v>
      </c>
      <c r="I467" s="3" t="str">
        <f>IF([1]SCHEDULE!I467="","",[1]SCHEDULE!I467)</f>
        <v>6.ASV</v>
      </c>
      <c r="J467" s="3" t="str">
        <f>IF([1]SCHEDULE!J467="","",[1]SCHEDULE!J467)</f>
        <v>6.ZAL</v>
      </c>
    </row>
    <row r="468" spans="2:10" x14ac:dyDescent="0.25">
      <c r="B468" s="3" t="str">
        <f>IF([1]SCHEDULE!B468="","",[1]SCHEDULE!B468)</f>
        <v>ASV</v>
      </c>
      <c r="C468" s="3">
        <f>IF([1]SCHEDULE!C468="","",[1]SCHEDULE!C468)</f>
        <v>7</v>
      </c>
      <c r="D468" s="1" t="str">
        <f>IF([1]SCHEDULE!D468="","",[1]SCHEDULE!D468)</f>
        <v>LDLC ASVEL Villeurbanne</v>
      </c>
      <c r="E468" s="1" t="str">
        <f>IF([1]SCHEDULE!E468="","",[1]SCHEDULE!E468)</f>
        <v>AS Monaco</v>
      </c>
      <c r="F468" s="6">
        <f>IF([1]SCHEDULE!F468="","",[1]SCHEDULE!F468)</f>
        <v>45240</v>
      </c>
      <c r="G468" s="3" t="str">
        <f>IF([1]SCHEDULE!G468="","",[1]SCHEDULE!G468)</f>
        <v>A</v>
      </c>
      <c r="H468" s="3" t="str">
        <f>IF([1]SCHEDULE!H468="","",[1]SCHEDULE!H468)</f>
        <v>ASM</v>
      </c>
      <c r="I468" s="3" t="str">
        <f>IF([1]SCHEDULE!I468="","",[1]SCHEDULE!I468)</f>
        <v>7.ASV</v>
      </c>
      <c r="J468" s="3" t="str">
        <f>IF([1]SCHEDULE!J468="","",[1]SCHEDULE!J468)</f>
        <v>7.ASM</v>
      </c>
    </row>
    <row r="469" spans="2:10" x14ac:dyDescent="0.25">
      <c r="B469" s="3" t="str">
        <f>IF([1]SCHEDULE!B469="","",[1]SCHEDULE!B469)</f>
        <v>ASV</v>
      </c>
      <c r="C469" s="3">
        <f>IF([1]SCHEDULE!C469="","",[1]SCHEDULE!C469)</f>
        <v>8</v>
      </c>
      <c r="D469" s="1" t="str">
        <f>IF([1]SCHEDULE!D469="","",[1]SCHEDULE!D469)</f>
        <v>LDLC ASVEL Villeurbanne</v>
      </c>
      <c r="E469" s="1" t="str">
        <f>IF([1]SCHEDULE!E469="","",[1]SCHEDULE!E469)</f>
        <v>ALBA Berlin</v>
      </c>
      <c r="F469" s="6">
        <f>IF([1]SCHEDULE!F469="","",[1]SCHEDULE!F469)</f>
        <v>45245</v>
      </c>
      <c r="G469" s="3" t="str">
        <f>IF([1]SCHEDULE!G469="","",[1]SCHEDULE!G469)</f>
        <v>A</v>
      </c>
      <c r="H469" s="3" t="str">
        <f>IF([1]SCHEDULE!H469="","",[1]SCHEDULE!H469)</f>
        <v>BER</v>
      </c>
      <c r="I469" s="3" t="str">
        <f>IF([1]SCHEDULE!I469="","",[1]SCHEDULE!I469)</f>
        <v>8.ASV</v>
      </c>
      <c r="J469" s="3" t="str">
        <f>IF([1]SCHEDULE!J469="","",[1]SCHEDULE!J469)</f>
        <v>8.BER</v>
      </c>
    </row>
    <row r="470" spans="2:10" x14ac:dyDescent="0.25">
      <c r="B470" s="3" t="str">
        <f>IF([1]SCHEDULE!B470="","",[1]SCHEDULE!B470)</f>
        <v>ASV</v>
      </c>
      <c r="C470" s="3">
        <f>IF([1]SCHEDULE!C470="","",[1]SCHEDULE!C470)</f>
        <v>9</v>
      </c>
      <c r="D470" s="1" t="str">
        <f>IF([1]SCHEDULE!D470="","",[1]SCHEDULE!D470)</f>
        <v>LDLC ASVEL Villeurbanne</v>
      </c>
      <c r="E470" s="10" t="str">
        <f>IF([1]SCHEDULE!E470="","",[1]SCHEDULE!E470)</f>
        <v>Baskonia Vitoria-Gasteiz</v>
      </c>
      <c r="F470" s="6">
        <f>IF([1]SCHEDULE!F470="","",[1]SCHEDULE!F470)</f>
        <v>45247</v>
      </c>
      <c r="G470" s="3" t="str">
        <f>IF([1]SCHEDULE!G470="","",[1]SCHEDULE!G470)</f>
        <v>H</v>
      </c>
      <c r="H470" s="3" t="str">
        <f>IF([1]SCHEDULE!H470="","",[1]SCHEDULE!H470)</f>
        <v>BAS</v>
      </c>
      <c r="I470" s="3" t="str">
        <f>IF([1]SCHEDULE!I470="","",[1]SCHEDULE!I470)</f>
        <v>9.ASV</v>
      </c>
      <c r="J470" s="3" t="str">
        <f>IF([1]SCHEDULE!J470="","",[1]SCHEDULE!J470)</f>
        <v>9.BAS</v>
      </c>
    </row>
    <row r="471" spans="2:10" x14ac:dyDescent="0.25">
      <c r="B471" s="3" t="str">
        <f>IF([1]SCHEDULE!B471="","",[1]SCHEDULE!B471)</f>
        <v>ASV</v>
      </c>
      <c r="C471" s="3">
        <f>IF([1]SCHEDULE!C471="","",[1]SCHEDULE!C471)</f>
        <v>10</v>
      </c>
      <c r="D471" s="1" t="str">
        <f>IF([1]SCHEDULE!D471="","",[1]SCHEDULE!D471)</f>
        <v>LDLC ASVEL Villeurbanne</v>
      </c>
      <c r="E471" s="1" t="str">
        <f>IF([1]SCHEDULE!E471="","",[1]SCHEDULE!E471)</f>
        <v>FC Bayern Munich</v>
      </c>
      <c r="F471" s="6">
        <f>IF([1]SCHEDULE!F471="","",[1]SCHEDULE!F471)</f>
        <v>45253</v>
      </c>
      <c r="G471" s="3" t="str">
        <f>IF([1]SCHEDULE!G471="","",[1]SCHEDULE!G471)</f>
        <v>H</v>
      </c>
      <c r="H471" s="3" t="str">
        <f>IF([1]SCHEDULE!H471="","",[1]SCHEDULE!H471)</f>
        <v>BAY</v>
      </c>
      <c r="I471" s="3" t="str">
        <f>IF([1]SCHEDULE!I471="","",[1]SCHEDULE!I471)</f>
        <v>10.ASV</v>
      </c>
      <c r="J471" s="3" t="str">
        <f>IF([1]SCHEDULE!J471="","",[1]SCHEDULE!J471)</f>
        <v>10.BAY</v>
      </c>
    </row>
    <row r="472" spans="2:10" x14ac:dyDescent="0.25">
      <c r="B472" s="3" t="str">
        <f>IF([1]SCHEDULE!B472="","",[1]SCHEDULE!B472)</f>
        <v>ASV</v>
      </c>
      <c r="C472" s="3">
        <f>IF([1]SCHEDULE!C472="","",[1]SCHEDULE!C472)</f>
        <v>11</v>
      </c>
      <c r="D472" s="1" t="str">
        <f>IF([1]SCHEDULE!D472="","",[1]SCHEDULE!D472)</f>
        <v>LDLC ASVEL Villeurbanne</v>
      </c>
      <c r="E472" s="1" t="str">
        <f>IF([1]SCHEDULE!E472="","",[1]SCHEDULE!E472)</f>
        <v>FC Barcelona</v>
      </c>
      <c r="F472" s="6">
        <f>IF([1]SCHEDULE!F472="","",[1]SCHEDULE!F472)</f>
        <v>45261</v>
      </c>
      <c r="G472" s="3" t="str">
        <f>IF([1]SCHEDULE!G472="","",[1]SCHEDULE!G472)</f>
        <v>A</v>
      </c>
      <c r="H472" s="3" t="str">
        <f>IF([1]SCHEDULE!H472="","",[1]SCHEDULE!H472)</f>
        <v>FCB</v>
      </c>
      <c r="I472" s="3" t="str">
        <f>IF([1]SCHEDULE!I472="","",[1]SCHEDULE!I472)</f>
        <v>11.ASV</v>
      </c>
      <c r="J472" s="3" t="str">
        <f>IF([1]SCHEDULE!J472="","",[1]SCHEDULE!J472)</f>
        <v>11.FCB</v>
      </c>
    </row>
    <row r="473" spans="2:10" x14ac:dyDescent="0.25">
      <c r="B473" s="3" t="str">
        <f>IF([1]SCHEDULE!B473="","",[1]SCHEDULE!B473)</f>
        <v>ASV</v>
      </c>
      <c r="C473" s="3">
        <f>IF([1]SCHEDULE!C473="","",[1]SCHEDULE!C473)</f>
        <v>12</v>
      </c>
      <c r="D473" s="1" t="str">
        <f>IF([1]SCHEDULE!D473="","",[1]SCHEDULE!D473)</f>
        <v>LDLC ASVEL Villeurbanne</v>
      </c>
      <c r="E473" s="1" t="str">
        <f>IF([1]SCHEDULE!E473="","",[1]SCHEDULE!E473)</f>
        <v>Maccabi Playtika Tel Aviv</v>
      </c>
      <c r="F473" s="6">
        <f>IF([1]SCHEDULE!F473="","",[1]SCHEDULE!F473)</f>
        <v>45266</v>
      </c>
      <c r="G473" s="3" t="str">
        <f>IF([1]SCHEDULE!G473="","",[1]SCHEDULE!G473)</f>
        <v>H</v>
      </c>
      <c r="H473" s="3" t="str">
        <f>IF([1]SCHEDULE!H473="","",[1]SCHEDULE!H473)</f>
        <v>MTA</v>
      </c>
      <c r="I473" s="3" t="str">
        <f>IF([1]SCHEDULE!I473="","",[1]SCHEDULE!I473)</f>
        <v>12.ASV</v>
      </c>
      <c r="J473" s="3" t="str">
        <f>IF([1]SCHEDULE!J473="","",[1]SCHEDULE!J473)</f>
        <v>12.MTA</v>
      </c>
    </row>
    <row r="474" spans="2:10" x14ac:dyDescent="0.25">
      <c r="B474" s="3" t="str">
        <f>IF([1]SCHEDULE!B474="","",[1]SCHEDULE!B474)</f>
        <v>ASV</v>
      </c>
      <c r="C474" s="3">
        <f>IF([1]SCHEDULE!C474="","",[1]SCHEDULE!C474)</f>
        <v>13</v>
      </c>
      <c r="D474" s="1" t="str">
        <f>IF([1]SCHEDULE!D474="","",[1]SCHEDULE!D474)</f>
        <v>LDLC ASVEL Villeurbanne</v>
      </c>
      <c r="E474" s="1" t="str">
        <f>IF([1]SCHEDULE!E474="","",[1]SCHEDULE!E474)</f>
        <v>Valencia Basket</v>
      </c>
      <c r="F474" s="6">
        <f>IF([1]SCHEDULE!F474="","",[1]SCHEDULE!F474)</f>
        <v>45268</v>
      </c>
      <c r="G474" s="3" t="str">
        <f>IF([1]SCHEDULE!G474="","",[1]SCHEDULE!G474)</f>
        <v>H</v>
      </c>
      <c r="H474" s="3" t="str">
        <f>IF([1]SCHEDULE!H474="","",[1]SCHEDULE!H474)</f>
        <v>VAL</v>
      </c>
      <c r="I474" s="3" t="str">
        <f>IF([1]SCHEDULE!I474="","",[1]SCHEDULE!I474)</f>
        <v>13.ASV</v>
      </c>
      <c r="J474" s="3" t="str">
        <f>IF([1]SCHEDULE!J474="","",[1]SCHEDULE!J474)</f>
        <v>13.VAL</v>
      </c>
    </row>
    <row r="475" spans="2:10" x14ac:dyDescent="0.25">
      <c r="B475" s="3" t="str">
        <f>IF([1]SCHEDULE!B475="","",[1]SCHEDULE!B475)</f>
        <v>ASV</v>
      </c>
      <c r="C475" s="3">
        <f>IF([1]SCHEDULE!C475="","",[1]SCHEDULE!C475)</f>
        <v>14</v>
      </c>
      <c r="D475" s="1" t="str">
        <f>IF([1]SCHEDULE!D475="","",[1]SCHEDULE!D475)</f>
        <v>LDLC ASVEL Villeurbanne</v>
      </c>
      <c r="E475" s="1" t="str">
        <f>IF([1]SCHEDULE!E475="","",[1]SCHEDULE!E475)</f>
        <v>Panathinaikos Athens</v>
      </c>
      <c r="F475" s="6">
        <f>IF([1]SCHEDULE!F475="","",[1]SCHEDULE!F475)</f>
        <v>45274</v>
      </c>
      <c r="G475" s="3" t="str">
        <f>IF([1]SCHEDULE!G475="","",[1]SCHEDULE!G475)</f>
        <v>H</v>
      </c>
      <c r="H475" s="3" t="str">
        <f>IF([1]SCHEDULE!H475="","",[1]SCHEDULE!H475)</f>
        <v>PAN</v>
      </c>
      <c r="I475" s="3" t="str">
        <f>IF([1]SCHEDULE!I475="","",[1]SCHEDULE!I475)</f>
        <v>14.ASV</v>
      </c>
      <c r="J475" s="3" t="str">
        <f>IF([1]SCHEDULE!J475="","",[1]SCHEDULE!J475)</f>
        <v>14.PAN</v>
      </c>
    </row>
    <row r="476" spans="2:10" x14ac:dyDescent="0.25">
      <c r="B476" s="3" t="str">
        <f>IF([1]SCHEDULE!B476="","",[1]SCHEDULE!B476)</f>
        <v>ASV</v>
      </c>
      <c r="C476" s="3">
        <f>IF([1]SCHEDULE!C476="","",[1]SCHEDULE!C476)</f>
        <v>15</v>
      </c>
      <c r="D476" s="1" t="str">
        <f>IF([1]SCHEDULE!D476="","",[1]SCHEDULE!D476)</f>
        <v>LDLC ASVEL Villeurbanne</v>
      </c>
      <c r="E476" s="1" t="str">
        <f>IF([1]SCHEDULE!E476="","",[1]SCHEDULE!E476)</f>
        <v>EA7 Emporio Armani Milan</v>
      </c>
      <c r="F476" s="6">
        <f>IF([1]SCHEDULE!F476="","",[1]SCHEDULE!F476)</f>
        <v>45280</v>
      </c>
      <c r="G476" s="3" t="str">
        <f>IF([1]SCHEDULE!G476="","",[1]SCHEDULE!G476)</f>
        <v>A</v>
      </c>
      <c r="H476" s="3" t="str">
        <f>IF([1]SCHEDULE!H476="","",[1]SCHEDULE!H476)</f>
        <v>MIL</v>
      </c>
      <c r="I476" s="3" t="str">
        <f>IF([1]SCHEDULE!I476="","",[1]SCHEDULE!I476)</f>
        <v>15.ASV</v>
      </c>
      <c r="J476" s="3" t="str">
        <f>IF([1]SCHEDULE!J476="","",[1]SCHEDULE!J476)</f>
        <v>15.MIL</v>
      </c>
    </row>
    <row r="477" spans="2:10" x14ac:dyDescent="0.25">
      <c r="B477" s="3" t="str">
        <f>IF([1]SCHEDULE!B477="","",[1]SCHEDULE!B477)</f>
        <v>ASV</v>
      </c>
      <c r="C477" s="3">
        <f>IF([1]SCHEDULE!C477="","",[1]SCHEDULE!C477)</f>
        <v>16</v>
      </c>
      <c r="D477" s="1" t="str">
        <f>IF([1]SCHEDULE!D477="","",[1]SCHEDULE!D477)</f>
        <v>LDLC ASVEL Villeurbanne</v>
      </c>
      <c r="E477" s="1" t="str">
        <f>IF([1]SCHEDULE!E477="","",[1]SCHEDULE!E477)</f>
        <v>Olympiacos Piraeus</v>
      </c>
      <c r="F477" s="6">
        <f>IF([1]SCHEDULE!F477="","",[1]SCHEDULE!F477)</f>
        <v>45282</v>
      </c>
      <c r="G477" s="3" t="str">
        <f>IF([1]SCHEDULE!G477="","",[1]SCHEDULE!G477)</f>
        <v>H</v>
      </c>
      <c r="H477" s="3" t="str">
        <f>IF([1]SCHEDULE!H477="","",[1]SCHEDULE!H477)</f>
        <v>OLY</v>
      </c>
      <c r="I477" s="3" t="str">
        <f>IF([1]SCHEDULE!I477="","",[1]SCHEDULE!I477)</f>
        <v>16.ASV</v>
      </c>
      <c r="J477" s="3" t="str">
        <f>IF([1]SCHEDULE!J477="","",[1]SCHEDULE!J477)</f>
        <v>16.OLY</v>
      </c>
    </row>
    <row r="478" spans="2:10" x14ac:dyDescent="0.25">
      <c r="B478" s="3" t="str">
        <f>IF([1]SCHEDULE!B478="","",[1]SCHEDULE!B478)</f>
        <v>ASV</v>
      </c>
      <c r="C478" s="3">
        <f>IF([1]SCHEDULE!C478="","",[1]SCHEDULE!C478)</f>
        <v>17</v>
      </c>
      <c r="D478" s="1" t="str">
        <f>IF([1]SCHEDULE!D478="","",[1]SCHEDULE!D478)</f>
        <v>LDLC ASVEL Villeurbanne</v>
      </c>
      <c r="E478" s="1" t="str">
        <f>IF([1]SCHEDULE!E478="","",[1]SCHEDULE!E478)</f>
        <v>Real Madrid</v>
      </c>
      <c r="F478" s="6">
        <f>IF([1]SCHEDULE!F478="","",[1]SCHEDULE!F478)</f>
        <v>45288</v>
      </c>
      <c r="G478" s="3" t="str">
        <f>IF([1]SCHEDULE!G478="","",[1]SCHEDULE!G478)</f>
        <v>H</v>
      </c>
      <c r="H478" s="3" t="str">
        <f>IF([1]SCHEDULE!H478="","",[1]SCHEDULE!H478)</f>
        <v>RMB</v>
      </c>
      <c r="I478" s="3" t="str">
        <f>IF([1]SCHEDULE!I478="","",[1]SCHEDULE!I478)</f>
        <v>17.ASV</v>
      </c>
      <c r="J478" s="3" t="str">
        <f>IF([1]SCHEDULE!J478="","",[1]SCHEDULE!J478)</f>
        <v>17.RMB</v>
      </c>
    </row>
    <row r="479" spans="2:10" x14ac:dyDescent="0.25">
      <c r="B479" s="3" t="str">
        <f>IF([1]SCHEDULE!B479="","",[1]SCHEDULE!B479)</f>
        <v>ASV</v>
      </c>
      <c r="C479" s="3">
        <f>IF([1]SCHEDULE!C479="","",[1]SCHEDULE!C479)</f>
        <v>18</v>
      </c>
      <c r="D479" s="1" t="str">
        <f>IF([1]SCHEDULE!D479="","",[1]SCHEDULE!D479)</f>
        <v>LDLC ASVEL Villeurbanne</v>
      </c>
      <c r="E479" s="1" t="str">
        <f>IF([1]SCHEDULE!E479="","",[1]SCHEDULE!E479)</f>
        <v>Partizan Mozzart Bet Belgrade</v>
      </c>
      <c r="F479" s="6">
        <f>IF([1]SCHEDULE!F479="","",[1]SCHEDULE!F479)</f>
        <v>45293</v>
      </c>
      <c r="G479" s="3" t="str">
        <f>IF([1]SCHEDULE!G479="","",[1]SCHEDULE!G479)</f>
        <v>A</v>
      </c>
      <c r="H479" s="3" t="str">
        <f>IF([1]SCHEDULE!H479="","",[1]SCHEDULE!H479)</f>
        <v>PAR</v>
      </c>
      <c r="I479" s="3" t="str">
        <f>IF([1]SCHEDULE!I479="","",[1]SCHEDULE!I479)</f>
        <v>18.ASV</v>
      </c>
      <c r="J479" s="3" t="str">
        <f>IF([1]SCHEDULE!J479="","",[1]SCHEDULE!J479)</f>
        <v>18.PAR</v>
      </c>
    </row>
    <row r="480" spans="2:10" x14ac:dyDescent="0.25">
      <c r="B480" s="3" t="str">
        <f>IF([1]SCHEDULE!B480="","",[1]SCHEDULE!B480)</f>
        <v>ASV</v>
      </c>
      <c r="C480" s="3">
        <f>IF([1]SCHEDULE!C480="","",[1]SCHEDULE!C480)</f>
        <v>19</v>
      </c>
      <c r="D480" s="1" t="str">
        <f>IF([1]SCHEDULE!D480="","",[1]SCHEDULE!D480)</f>
        <v>LDLC ASVEL Villeurbanne</v>
      </c>
      <c r="E480" s="1" t="str">
        <f>IF([1]SCHEDULE!E480="","",[1]SCHEDULE!E480)</f>
        <v>Zalgiris Kaunas</v>
      </c>
      <c r="F480" s="6">
        <f>IF([1]SCHEDULE!F480="","",[1]SCHEDULE!F480)</f>
        <v>45295</v>
      </c>
      <c r="G480" s="3" t="str">
        <f>IF([1]SCHEDULE!G480="","",[1]SCHEDULE!G480)</f>
        <v>H</v>
      </c>
      <c r="H480" s="3" t="str">
        <f>IF([1]SCHEDULE!H480="","",[1]SCHEDULE!H480)</f>
        <v>ZAL</v>
      </c>
      <c r="I480" s="3" t="str">
        <f>IF([1]SCHEDULE!I480="","",[1]SCHEDULE!I480)</f>
        <v>19.ASV</v>
      </c>
      <c r="J480" s="3" t="str">
        <f>IF([1]SCHEDULE!J480="","",[1]SCHEDULE!J480)</f>
        <v>19.ZAL</v>
      </c>
    </row>
    <row r="481" spans="2:10" x14ac:dyDescent="0.25">
      <c r="B481" s="3" t="str">
        <f>IF([1]SCHEDULE!B481="","",[1]SCHEDULE!B481)</f>
        <v>ASV</v>
      </c>
      <c r="C481" s="3">
        <f>IF([1]SCHEDULE!C481="","",[1]SCHEDULE!C481)</f>
        <v>20</v>
      </c>
      <c r="D481" s="1" t="str">
        <f>IF([1]SCHEDULE!D481="","",[1]SCHEDULE!D481)</f>
        <v>LDLC ASVEL Villeurbanne</v>
      </c>
      <c r="E481" s="1" t="str">
        <f>IF([1]SCHEDULE!E481="","",[1]SCHEDULE!E481)</f>
        <v>Crvena Zvezda Meridianbet Belgrade</v>
      </c>
      <c r="F481" s="6">
        <f>IF([1]SCHEDULE!F481="","",[1]SCHEDULE!F481)</f>
        <v>45300</v>
      </c>
      <c r="G481" s="3" t="str">
        <f>IF([1]SCHEDULE!G481="","",[1]SCHEDULE!G481)</f>
        <v>H</v>
      </c>
      <c r="H481" s="3" t="str">
        <f>IF([1]SCHEDULE!H481="","",[1]SCHEDULE!H481)</f>
        <v>CZB</v>
      </c>
      <c r="I481" s="3" t="str">
        <f>IF([1]SCHEDULE!I481="","",[1]SCHEDULE!I481)</f>
        <v>20.ASV</v>
      </c>
      <c r="J481" s="3" t="str">
        <f>IF([1]SCHEDULE!J481="","",[1]SCHEDULE!J481)</f>
        <v>20.CZB</v>
      </c>
    </row>
    <row r="482" spans="2:10" x14ac:dyDescent="0.25">
      <c r="B482" s="3" t="str">
        <f>IF([1]SCHEDULE!B482="","",[1]SCHEDULE!B482)</f>
        <v>ASV</v>
      </c>
      <c r="C482" s="3">
        <f>IF([1]SCHEDULE!C482="","",[1]SCHEDULE!C482)</f>
        <v>21</v>
      </c>
      <c r="D482" s="1" t="str">
        <f>IF([1]SCHEDULE!D482="","",[1]SCHEDULE!D482)</f>
        <v>LDLC ASVEL Villeurbanne</v>
      </c>
      <c r="E482" s="1" t="str">
        <f>IF([1]SCHEDULE!E482="","",[1]SCHEDULE!E482)</f>
        <v>ALBA Berlin</v>
      </c>
      <c r="F482" s="6">
        <f>IF([1]SCHEDULE!F482="","",[1]SCHEDULE!F482)</f>
        <v>45303</v>
      </c>
      <c r="G482" s="3" t="str">
        <f>IF([1]SCHEDULE!G482="","",[1]SCHEDULE!G482)</f>
        <v>H</v>
      </c>
      <c r="H482" s="3" t="str">
        <f>IF([1]SCHEDULE!H482="","",[1]SCHEDULE!H482)</f>
        <v>BER</v>
      </c>
      <c r="I482" s="3" t="str">
        <f>IF([1]SCHEDULE!I482="","",[1]SCHEDULE!I482)</f>
        <v>21.ASV</v>
      </c>
      <c r="J482" s="3" t="str">
        <f>IF([1]SCHEDULE!J482="","",[1]SCHEDULE!J482)</f>
        <v>21.BER</v>
      </c>
    </row>
    <row r="483" spans="2:10" x14ac:dyDescent="0.25">
      <c r="B483" s="3" t="str">
        <f>IF([1]SCHEDULE!B483="","",[1]SCHEDULE!B483)</f>
        <v>ASV</v>
      </c>
      <c r="C483" s="3">
        <f>IF([1]SCHEDULE!C483="","",[1]SCHEDULE!C483)</f>
        <v>22</v>
      </c>
      <c r="D483" s="1" t="str">
        <f>IF([1]SCHEDULE!D483="","",[1]SCHEDULE!D483)</f>
        <v>LDLC ASVEL Villeurbanne</v>
      </c>
      <c r="E483" s="1" t="str">
        <f>IF([1]SCHEDULE!E483="","",[1]SCHEDULE!E483)</f>
        <v>Virtus Segafredo Bologna</v>
      </c>
      <c r="F483" s="6">
        <f>IF([1]SCHEDULE!F483="","",[1]SCHEDULE!F483)</f>
        <v>45309</v>
      </c>
      <c r="G483" s="3" t="str">
        <f>IF([1]SCHEDULE!G483="","",[1]SCHEDULE!G483)</f>
        <v>A</v>
      </c>
      <c r="H483" s="3" t="str">
        <f>IF([1]SCHEDULE!H483="","",[1]SCHEDULE!H483)</f>
        <v>VIR</v>
      </c>
      <c r="I483" s="3" t="str">
        <f>IF([1]SCHEDULE!I483="","",[1]SCHEDULE!I483)</f>
        <v>22.ASV</v>
      </c>
      <c r="J483" s="3" t="str">
        <f>IF([1]SCHEDULE!J483="","",[1]SCHEDULE!J483)</f>
        <v>22.VIR</v>
      </c>
    </row>
    <row r="484" spans="2:10" x14ac:dyDescent="0.25">
      <c r="B484" s="3" t="str">
        <f>IF([1]SCHEDULE!B484="","",[1]SCHEDULE!B484)</f>
        <v>ASV</v>
      </c>
      <c r="C484" s="3">
        <f>IF([1]SCHEDULE!C484="","",[1]SCHEDULE!C484)</f>
        <v>23</v>
      </c>
      <c r="D484" s="1" t="str">
        <f>IF([1]SCHEDULE!D484="","",[1]SCHEDULE!D484)</f>
        <v>LDLC ASVEL Villeurbanne</v>
      </c>
      <c r="E484" s="1" t="str">
        <f>IF([1]SCHEDULE!E484="","",[1]SCHEDULE!E484)</f>
        <v>FC Bayern Munich</v>
      </c>
      <c r="F484" s="6">
        <f>IF([1]SCHEDULE!F484="","",[1]SCHEDULE!F484)</f>
        <v>45316</v>
      </c>
      <c r="G484" s="3" t="str">
        <f>IF([1]SCHEDULE!G484="","",[1]SCHEDULE!G484)</f>
        <v>A</v>
      </c>
      <c r="H484" s="3" t="str">
        <f>IF([1]SCHEDULE!H484="","",[1]SCHEDULE!H484)</f>
        <v>BAY</v>
      </c>
      <c r="I484" s="3" t="str">
        <f>IF([1]SCHEDULE!I484="","",[1]SCHEDULE!I484)</f>
        <v>23.ASV</v>
      </c>
      <c r="J484" s="3" t="str">
        <f>IF([1]SCHEDULE!J484="","",[1]SCHEDULE!J484)</f>
        <v>23.BAY</v>
      </c>
    </row>
    <row r="485" spans="2:10" x14ac:dyDescent="0.25">
      <c r="B485" s="3" t="str">
        <f>IF([1]SCHEDULE!B485="","",[1]SCHEDULE!B485)</f>
        <v>ASV</v>
      </c>
      <c r="C485" s="3">
        <f>IF([1]SCHEDULE!C485="","",[1]SCHEDULE!C485)</f>
        <v>24</v>
      </c>
      <c r="D485" s="1" t="str">
        <f>IF([1]SCHEDULE!D485="","",[1]SCHEDULE!D485)</f>
        <v>LDLC ASVEL Villeurbanne</v>
      </c>
      <c r="E485" s="1" t="str">
        <f>IF([1]SCHEDULE!E485="","",[1]SCHEDULE!E485)</f>
        <v>Fenerbahce Beko Istanbul</v>
      </c>
      <c r="F485" s="6">
        <f>IF([1]SCHEDULE!F485="","",[1]SCHEDULE!F485)</f>
        <v>45321</v>
      </c>
      <c r="G485" s="3" t="str">
        <f>IF([1]SCHEDULE!G485="","",[1]SCHEDULE!G485)</f>
        <v>H</v>
      </c>
      <c r="H485" s="3" t="str">
        <f>IF([1]SCHEDULE!H485="","",[1]SCHEDULE!H485)</f>
        <v>FEN</v>
      </c>
      <c r="I485" s="3" t="str">
        <f>IF([1]SCHEDULE!I485="","",[1]SCHEDULE!I485)</f>
        <v>24.ASV</v>
      </c>
      <c r="J485" s="3" t="str">
        <f>IF([1]SCHEDULE!J485="","",[1]SCHEDULE!J485)</f>
        <v>24.FEN</v>
      </c>
    </row>
    <row r="486" spans="2:10" x14ac:dyDescent="0.25">
      <c r="B486" s="3" t="str">
        <f>IF([1]SCHEDULE!B486="","",[1]SCHEDULE!B486)</f>
        <v>ASV</v>
      </c>
      <c r="C486" s="3">
        <f>IF([1]SCHEDULE!C486="","",[1]SCHEDULE!C486)</f>
        <v>25</v>
      </c>
      <c r="D486" s="1" t="str">
        <f>IF([1]SCHEDULE!D486="","",[1]SCHEDULE!D486)</f>
        <v>LDLC ASVEL Villeurbanne</v>
      </c>
      <c r="E486" s="1" t="str">
        <f>IF([1]SCHEDULE!E486="","",[1]SCHEDULE!E486)</f>
        <v>Real Madrid</v>
      </c>
      <c r="F486" s="6">
        <f>IF([1]SCHEDULE!F486="","",[1]SCHEDULE!F486)</f>
        <v>45323</v>
      </c>
      <c r="G486" s="3" t="str">
        <f>IF([1]SCHEDULE!G486="","",[1]SCHEDULE!G486)</f>
        <v>A</v>
      </c>
      <c r="H486" s="3" t="str">
        <f>IF([1]SCHEDULE!H486="","",[1]SCHEDULE!H486)</f>
        <v>RMB</v>
      </c>
      <c r="I486" s="3" t="str">
        <f>IF([1]SCHEDULE!I486="","",[1]SCHEDULE!I486)</f>
        <v>25.ASV</v>
      </c>
      <c r="J486" s="3" t="str">
        <f>IF([1]SCHEDULE!J486="","",[1]SCHEDULE!J486)</f>
        <v>25.RMB</v>
      </c>
    </row>
    <row r="487" spans="2:10" x14ac:dyDescent="0.25">
      <c r="B487" s="3" t="str">
        <f>IF([1]SCHEDULE!B487="","",[1]SCHEDULE!B487)</f>
        <v>ASV</v>
      </c>
      <c r="C487" s="3">
        <f>IF([1]SCHEDULE!C487="","",[1]SCHEDULE!C487)</f>
        <v>26</v>
      </c>
      <c r="D487" s="1" t="str">
        <f>IF([1]SCHEDULE!D487="","",[1]SCHEDULE!D487)</f>
        <v>LDLC ASVEL Villeurbanne</v>
      </c>
      <c r="E487" s="1" t="str">
        <f>IF([1]SCHEDULE!E487="","",[1]SCHEDULE!E487)</f>
        <v>Baskonia Vitoria-Gasteiz</v>
      </c>
      <c r="F487" s="6">
        <f>IF([1]SCHEDULE!F487="","",[1]SCHEDULE!F487)</f>
        <v>45330</v>
      </c>
      <c r="G487" s="3" t="str">
        <f>IF([1]SCHEDULE!G487="","",[1]SCHEDULE!G487)</f>
        <v>A</v>
      </c>
      <c r="H487" s="3" t="str">
        <f>IF([1]SCHEDULE!H487="","",[1]SCHEDULE!H487)</f>
        <v>BAS</v>
      </c>
      <c r="I487" s="3" t="str">
        <f>IF([1]SCHEDULE!I487="","",[1]SCHEDULE!I487)</f>
        <v>26.ASV</v>
      </c>
      <c r="J487" s="3" t="str">
        <f>IF([1]SCHEDULE!J487="","",[1]SCHEDULE!J487)</f>
        <v>26.BAS</v>
      </c>
    </row>
    <row r="488" spans="2:10" x14ac:dyDescent="0.25">
      <c r="B488" s="3" t="str">
        <f>IF([1]SCHEDULE!B488="","",[1]SCHEDULE!B488)</f>
        <v>ASV</v>
      </c>
      <c r="C488" s="3">
        <f>IF([1]SCHEDULE!C488="","",[1]SCHEDULE!C488)</f>
        <v>27</v>
      </c>
      <c r="D488" s="1" t="str">
        <f>IF([1]SCHEDULE!D488="","",[1]SCHEDULE!D488)</f>
        <v>LDLC ASVEL Villeurbanne</v>
      </c>
      <c r="E488" s="1" t="str">
        <f>IF([1]SCHEDULE!E488="","",[1]SCHEDULE!E488)</f>
        <v>EA7 Emporio Armani Milan</v>
      </c>
      <c r="F488" s="6">
        <f>IF([1]SCHEDULE!F488="","",[1]SCHEDULE!F488)</f>
        <v>45352</v>
      </c>
      <c r="G488" s="3" t="str">
        <f>IF([1]SCHEDULE!G488="","",[1]SCHEDULE!G488)</f>
        <v>H</v>
      </c>
      <c r="H488" s="3" t="str">
        <f>IF([1]SCHEDULE!H488="","",[1]SCHEDULE!H488)</f>
        <v>MIL</v>
      </c>
      <c r="I488" s="3" t="str">
        <f>IF([1]SCHEDULE!I488="","",[1]SCHEDULE!I488)</f>
        <v>27.ASV</v>
      </c>
      <c r="J488" s="3" t="str">
        <f>IF([1]SCHEDULE!J488="","",[1]SCHEDULE!J488)</f>
        <v>27.MIL</v>
      </c>
    </row>
    <row r="489" spans="2:10" x14ac:dyDescent="0.25">
      <c r="B489" s="3" t="str">
        <f>IF([1]SCHEDULE!B489="","",[1]SCHEDULE!B489)</f>
        <v>ASV</v>
      </c>
      <c r="C489" s="3">
        <f>IF([1]SCHEDULE!C489="","",[1]SCHEDULE!C489)</f>
        <v>28</v>
      </c>
      <c r="D489" s="1" t="str">
        <f>IF([1]SCHEDULE!D489="","",[1]SCHEDULE!D489)</f>
        <v>LDLC ASVEL Villeurbanne</v>
      </c>
      <c r="E489" s="1" t="str">
        <f>IF([1]SCHEDULE!E489="","",[1]SCHEDULE!E489)</f>
        <v>Panathinaikos Athens</v>
      </c>
      <c r="F489" s="6">
        <f>IF([1]SCHEDULE!F489="","",[1]SCHEDULE!F489)</f>
        <v>45359</v>
      </c>
      <c r="G489" s="3" t="str">
        <f>IF([1]SCHEDULE!G489="","",[1]SCHEDULE!G489)</f>
        <v>A</v>
      </c>
      <c r="H489" s="3" t="str">
        <f>IF([1]SCHEDULE!H489="","",[1]SCHEDULE!H489)</f>
        <v>PAN</v>
      </c>
      <c r="I489" s="3" t="str">
        <f>IF([1]SCHEDULE!I489="","",[1]SCHEDULE!I489)</f>
        <v>28.ASV</v>
      </c>
      <c r="J489" s="3" t="str">
        <f>IF([1]SCHEDULE!J489="","",[1]SCHEDULE!J489)</f>
        <v>28.PAN</v>
      </c>
    </row>
    <row r="490" spans="2:10" x14ac:dyDescent="0.25">
      <c r="B490" s="3" t="str">
        <f>IF([1]SCHEDULE!B490="","",[1]SCHEDULE!B490)</f>
        <v>ASV</v>
      </c>
      <c r="C490" s="3">
        <f>IF([1]SCHEDULE!C490="","",[1]SCHEDULE!C490)</f>
        <v>29</v>
      </c>
      <c r="D490" s="1" t="str">
        <f>IF([1]SCHEDULE!D490="","",[1]SCHEDULE!D490)</f>
        <v>LDLC ASVEL Villeurbanne</v>
      </c>
      <c r="E490" s="1" t="str">
        <f>IF([1]SCHEDULE!E490="","",[1]SCHEDULE!E490)</f>
        <v>Anadolu Efes Istanbul</v>
      </c>
      <c r="F490" s="6">
        <f>IF([1]SCHEDULE!F490="","",[1]SCHEDULE!F490)</f>
        <v>45366</v>
      </c>
      <c r="G490" s="3" t="str">
        <f>IF([1]SCHEDULE!G490="","",[1]SCHEDULE!G490)</f>
        <v>H</v>
      </c>
      <c r="H490" s="3" t="str">
        <f>IF([1]SCHEDULE!H490="","",[1]SCHEDULE!H490)</f>
        <v>EFE</v>
      </c>
      <c r="I490" s="3" t="str">
        <f>IF([1]SCHEDULE!I490="","",[1]SCHEDULE!I490)</f>
        <v>29.ASV</v>
      </c>
      <c r="J490" s="3" t="str">
        <f>IF([1]SCHEDULE!J490="","",[1]SCHEDULE!J490)</f>
        <v>29.EFE</v>
      </c>
    </row>
    <row r="491" spans="2:10" x14ac:dyDescent="0.25">
      <c r="B491" s="3" t="str">
        <f>IF([1]SCHEDULE!B491="","",[1]SCHEDULE!B491)</f>
        <v>ASV</v>
      </c>
      <c r="C491" s="3">
        <f>IF([1]SCHEDULE!C491="","",[1]SCHEDULE!C491)</f>
        <v>30</v>
      </c>
      <c r="D491" s="1" t="str">
        <f>IF([1]SCHEDULE!D491="","",[1]SCHEDULE!D491)</f>
        <v>LDLC ASVEL Villeurbanne</v>
      </c>
      <c r="E491" s="1" t="str">
        <f>IF([1]SCHEDULE!E491="","",[1]SCHEDULE!E491)</f>
        <v>Maccabi Playtika Tel Aviv</v>
      </c>
      <c r="F491" s="6">
        <f>IF([1]SCHEDULE!F491="","",[1]SCHEDULE!F491)</f>
        <v>45370</v>
      </c>
      <c r="G491" s="3" t="str">
        <f>IF([1]SCHEDULE!G491="","",[1]SCHEDULE!G491)</f>
        <v>A</v>
      </c>
      <c r="H491" s="3" t="str">
        <f>IF([1]SCHEDULE!H491="","",[1]SCHEDULE!H491)</f>
        <v>MTA</v>
      </c>
      <c r="I491" s="3" t="str">
        <f>IF([1]SCHEDULE!I491="","",[1]SCHEDULE!I491)</f>
        <v>30.ASV</v>
      </c>
      <c r="J491" s="3" t="str">
        <f>IF([1]SCHEDULE!J491="","",[1]SCHEDULE!J491)</f>
        <v>30.MTA</v>
      </c>
    </row>
    <row r="492" spans="2:10" x14ac:dyDescent="0.25">
      <c r="B492" s="3" t="str">
        <f>IF([1]SCHEDULE!B492="","",[1]SCHEDULE!B492)</f>
        <v>ASV</v>
      </c>
      <c r="C492" s="3">
        <f>IF([1]SCHEDULE!C492="","",[1]SCHEDULE!C492)</f>
        <v>31</v>
      </c>
      <c r="D492" s="1" t="str">
        <f>IF([1]SCHEDULE!D492="","",[1]SCHEDULE!D492)</f>
        <v>LDLC ASVEL Villeurbanne</v>
      </c>
      <c r="E492" s="1" t="str">
        <f>IF([1]SCHEDULE!E492="","",[1]SCHEDULE!E492)</f>
        <v>Olympiacos Piraeus</v>
      </c>
      <c r="F492" s="6">
        <f>IF([1]SCHEDULE!F492="","",[1]SCHEDULE!F492)</f>
        <v>45372</v>
      </c>
      <c r="G492" s="3" t="str">
        <f>IF([1]SCHEDULE!G492="","",[1]SCHEDULE!G492)</f>
        <v>A</v>
      </c>
      <c r="H492" s="3" t="str">
        <f>IF([1]SCHEDULE!H492="","",[1]SCHEDULE!H492)</f>
        <v>OLY</v>
      </c>
      <c r="I492" s="3" t="str">
        <f>IF([1]SCHEDULE!I492="","",[1]SCHEDULE!I492)</f>
        <v>31.ASV</v>
      </c>
      <c r="J492" s="3" t="str">
        <f>IF([1]SCHEDULE!J492="","",[1]SCHEDULE!J492)</f>
        <v>31.OLY</v>
      </c>
    </row>
    <row r="493" spans="2:10" x14ac:dyDescent="0.25">
      <c r="B493" s="3" t="str">
        <f>IF([1]SCHEDULE!B493="","",[1]SCHEDULE!B493)</f>
        <v>ASV</v>
      </c>
      <c r="C493" s="3">
        <f>IF([1]SCHEDULE!C493="","",[1]SCHEDULE!C493)</f>
        <v>32</v>
      </c>
      <c r="D493" s="1" t="str">
        <f>IF([1]SCHEDULE!D493="","",[1]SCHEDULE!D493)</f>
        <v>LDLC ASVEL Villeurbanne</v>
      </c>
      <c r="E493" s="1" t="str">
        <f>IF([1]SCHEDULE!E493="","",[1]SCHEDULE!E493)</f>
        <v>AS Monaco</v>
      </c>
      <c r="F493" s="6">
        <f>IF([1]SCHEDULE!F493="","",[1]SCHEDULE!F493)</f>
        <v>45379</v>
      </c>
      <c r="G493" s="3" t="str">
        <f>IF([1]SCHEDULE!G493="","",[1]SCHEDULE!G493)</f>
        <v>H</v>
      </c>
      <c r="H493" s="3" t="str">
        <f>IF([1]SCHEDULE!H493="","",[1]SCHEDULE!H493)</f>
        <v>ASM</v>
      </c>
      <c r="I493" s="3" t="str">
        <f>IF([1]SCHEDULE!I493="","",[1]SCHEDULE!I493)</f>
        <v>32.ASV</v>
      </c>
      <c r="J493" s="3" t="str">
        <f>IF([1]SCHEDULE!J493="","",[1]SCHEDULE!J493)</f>
        <v>32.ASM</v>
      </c>
    </row>
    <row r="494" spans="2:10" x14ac:dyDescent="0.25">
      <c r="B494" s="3" t="str">
        <f>IF([1]SCHEDULE!B494="","",[1]SCHEDULE!B494)</f>
        <v>ASV</v>
      </c>
      <c r="C494" s="3">
        <f>IF([1]SCHEDULE!C494="","",[1]SCHEDULE!C494)</f>
        <v>33</v>
      </c>
      <c r="D494" s="1" t="str">
        <f>IF([1]SCHEDULE!D494="","",[1]SCHEDULE!D494)</f>
        <v>LDLC ASVEL Villeurbanne</v>
      </c>
      <c r="E494" s="1" t="str">
        <f>IF([1]SCHEDULE!E494="","",[1]SCHEDULE!E494)</f>
        <v>Valencia Basket</v>
      </c>
      <c r="F494" s="6">
        <f>IF([1]SCHEDULE!F494="","",[1]SCHEDULE!F494)</f>
        <v>45386</v>
      </c>
      <c r="G494" s="3" t="str">
        <f>IF([1]SCHEDULE!G494="","",[1]SCHEDULE!G494)</f>
        <v>A</v>
      </c>
      <c r="H494" s="3" t="str">
        <f>IF([1]SCHEDULE!H494="","",[1]SCHEDULE!H494)</f>
        <v>VAL</v>
      </c>
      <c r="I494" s="3" t="str">
        <f>IF([1]SCHEDULE!I494="","",[1]SCHEDULE!I494)</f>
        <v>33.ASV</v>
      </c>
      <c r="J494" s="3" t="str">
        <f>IF([1]SCHEDULE!J494="","",[1]SCHEDULE!J494)</f>
        <v>33.VAL</v>
      </c>
    </row>
    <row r="495" spans="2:10" x14ac:dyDescent="0.25">
      <c r="B495" s="3" t="str">
        <f>IF([1]SCHEDULE!B495="","",[1]SCHEDULE!B495)</f>
        <v>ASV</v>
      </c>
      <c r="C495" s="3">
        <f>IF([1]SCHEDULE!C495="","",[1]SCHEDULE!C495)</f>
        <v>34</v>
      </c>
      <c r="D495" s="1" t="str">
        <f>IF([1]SCHEDULE!D495="","",[1]SCHEDULE!D495)</f>
        <v>LDLC ASVEL Villeurbanne</v>
      </c>
      <c r="E495" s="1" t="str">
        <f>IF([1]SCHEDULE!E495="","",[1]SCHEDULE!E495)</f>
        <v>FC Barcelona</v>
      </c>
      <c r="F495" s="6">
        <f>IF([1]SCHEDULE!F495="","",[1]SCHEDULE!F495)</f>
        <v>45394</v>
      </c>
      <c r="G495" s="3" t="str">
        <f>IF([1]SCHEDULE!G495="","",[1]SCHEDULE!G495)</f>
        <v>H</v>
      </c>
      <c r="H495" s="3" t="str">
        <f>IF([1]SCHEDULE!H495="","",[1]SCHEDULE!H495)</f>
        <v>FCB</v>
      </c>
      <c r="I495" s="3" t="str">
        <f>IF([1]SCHEDULE!I495="","",[1]SCHEDULE!I495)</f>
        <v>34.ASV</v>
      </c>
      <c r="J495" s="3" t="str">
        <f>IF([1]SCHEDULE!J495="","",[1]SCHEDULE!J495)</f>
        <v>34.FCB</v>
      </c>
    </row>
    <row r="496" spans="2:10" x14ac:dyDescent="0.25">
      <c r="B496" s="3" t="str">
        <f>IF([1]SCHEDULE!B496="","",[1]SCHEDULE!B496)</f>
        <v>ASV</v>
      </c>
      <c r="C496" s="3">
        <f>IF([1]SCHEDULE!C496="","",[1]SCHEDULE!C496)</f>
        <v>35</v>
      </c>
      <c r="D496" s="1" t="str">
        <f>IF([1]SCHEDULE!D496="","",[1]SCHEDULE!D496)</f>
        <v>LDLC ASVEL Villeurbanne</v>
      </c>
      <c r="E496" s="1" t="str">
        <f>IF([1]SCHEDULE!E496="","",[1]SCHEDULE!E496)</f>
        <v/>
      </c>
      <c r="F496" s="6" t="str">
        <f>IF([1]SCHEDULE!F496="","",[1]SCHEDULE!F496)</f>
        <v/>
      </c>
      <c r="G496" s="3" t="str">
        <f>IF([1]SCHEDULE!G496="","",[1]SCHEDULE!G496)</f>
        <v/>
      </c>
      <c r="H496" s="3" t="str">
        <f>IF([1]SCHEDULE!H496="","",[1]SCHEDULE!H496)</f>
        <v/>
      </c>
      <c r="I496" s="3" t="str">
        <f>IF([1]SCHEDULE!I496="","",[1]SCHEDULE!I496)</f>
        <v/>
      </c>
      <c r="J496" s="3" t="str">
        <f>IF([1]SCHEDULE!J496="","",[1]SCHEDULE!J496)</f>
        <v/>
      </c>
    </row>
    <row r="497" spans="2:10" x14ac:dyDescent="0.25">
      <c r="B497" s="3" t="str">
        <f>IF([1]SCHEDULE!B497="","",[1]SCHEDULE!B497)</f>
        <v>ASV</v>
      </c>
      <c r="C497" s="3">
        <f>IF([1]SCHEDULE!C497="","",[1]SCHEDULE!C497)</f>
        <v>36</v>
      </c>
      <c r="D497" s="1" t="str">
        <f>IF([1]SCHEDULE!D497="","",[1]SCHEDULE!D497)</f>
        <v>LDLC ASVEL Villeurbanne</v>
      </c>
      <c r="E497" s="1" t="str">
        <f>IF([1]SCHEDULE!E497="","",[1]SCHEDULE!E497)</f>
        <v/>
      </c>
      <c r="F497" s="6" t="str">
        <f>IF([1]SCHEDULE!F497="","",[1]SCHEDULE!F497)</f>
        <v/>
      </c>
      <c r="G497" s="3" t="str">
        <f>IF([1]SCHEDULE!G497="","",[1]SCHEDULE!G497)</f>
        <v/>
      </c>
      <c r="H497" s="3" t="str">
        <f>IF([1]SCHEDULE!H497="","",[1]SCHEDULE!H497)</f>
        <v/>
      </c>
      <c r="I497" s="3" t="str">
        <f>IF([1]SCHEDULE!I497="","",[1]SCHEDULE!I497)</f>
        <v/>
      </c>
      <c r="J497" s="3" t="str">
        <f>IF([1]SCHEDULE!J497="","",[1]SCHEDULE!J497)</f>
        <v/>
      </c>
    </row>
    <row r="498" spans="2:10" x14ac:dyDescent="0.25">
      <c r="B498" s="3" t="str">
        <f>IF([1]SCHEDULE!B498="","",[1]SCHEDULE!B498)</f>
        <v>ASV</v>
      </c>
      <c r="C498" s="3">
        <f>IF([1]SCHEDULE!C498="","",[1]SCHEDULE!C498)</f>
        <v>37</v>
      </c>
      <c r="D498" s="1" t="str">
        <f>IF([1]SCHEDULE!D498="","",[1]SCHEDULE!D498)</f>
        <v>LDLC ASVEL Villeurbanne</v>
      </c>
      <c r="E498" s="1" t="str">
        <f>IF([1]SCHEDULE!E498="","",[1]SCHEDULE!E498)</f>
        <v/>
      </c>
      <c r="F498" s="6" t="str">
        <f>IF([1]SCHEDULE!F498="","",[1]SCHEDULE!F498)</f>
        <v/>
      </c>
      <c r="G498" s="3" t="str">
        <f>IF([1]SCHEDULE!G498="","",[1]SCHEDULE!G498)</f>
        <v/>
      </c>
      <c r="H498" s="3" t="str">
        <f>IF([1]SCHEDULE!H498="","",[1]SCHEDULE!H498)</f>
        <v/>
      </c>
      <c r="I498" s="3" t="str">
        <f>IF([1]SCHEDULE!I498="","",[1]SCHEDULE!I498)</f>
        <v/>
      </c>
      <c r="J498" s="3" t="str">
        <f>IF([1]SCHEDULE!J498="","",[1]SCHEDULE!J498)</f>
        <v/>
      </c>
    </row>
    <row r="499" spans="2:10" x14ac:dyDescent="0.25">
      <c r="B499" s="3" t="str">
        <f>IF([1]SCHEDULE!B499="","",[1]SCHEDULE!B499)</f>
        <v>ASV</v>
      </c>
      <c r="C499" s="3">
        <f>IF([1]SCHEDULE!C499="","",[1]SCHEDULE!C499)</f>
        <v>38</v>
      </c>
      <c r="D499" s="1" t="str">
        <f>IF([1]SCHEDULE!D499="","",[1]SCHEDULE!D499)</f>
        <v>LDLC ASVEL Villeurbanne</v>
      </c>
      <c r="E499" s="1" t="str">
        <f>IF([1]SCHEDULE!E499="","",[1]SCHEDULE!E499)</f>
        <v/>
      </c>
      <c r="F499" s="6" t="str">
        <f>IF([1]SCHEDULE!F499="","",[1]SCHEDULE!F499)</f>
        <v/>
      </c>
      <c r="G499" s="3" t="str">
        <f>IF([1]SCHEDULE!G499="","",[1]SCHEDULE!G499)</f>
        <v/>
      </c>
      <c r="H499" s="3" t="str">
        <f>IF([1]SCHEDULE!H499="","",[1]SCHEDULE!H499)</f>
        <v/>
      </c>
      <c r="I499" s="3" t="str">
        <f>IF([1]SCHEDULE!I499="","",[1]SCHEDULE!I499)</f>
        <v/>
      </c>
      <c r="J499" s="3" t="str">
        <f>IF([1]SCHEDULE!J499="","",[1]SCHEDULE!J499)</f>
        <v/>
      </c>
    </row>
    <row r="500" spans="2:10" x14ac:dyDescent="0.25">
      <c r="B500" s="3" t="str">
        <f>IF([1]SCHEDULE!B500="","",[1]SCHEDULE!B500)</f>
        <v>ASV</v>
      </c>
      <c r="C500" s="3">
        <f>IF([1]SCHEDULE!C500="","",[1]SCHEDULE!C500)</f>
        <v>39</v>
      </c>
      <c r="D500" s="1" t="str">
        <f>IF([1]SCHEDULE!D500="","",[1]SCHEDULE!D500)</f>
        <v>LDLC ASVEL Villeurbanne</v>
      </c>
      <c r="E500" s="1" t="str">
        <f>IF([1]SCHEDULE!E500="","",[1]SCHEDULE!E500)</f>
        <v/>
      </c>
      <c r="F500" s="6" t="str">
        <f>IF([1]SCHEDULE!F500="","",[1]SCHEDULE!F500)</f>
        <v/>
      </c>
      <c r="G500" s="3" t="str">
        <f>IF([1]SCHEDULE!G500="","",[1]SCHEDULE!G500)</f>
        <v/>
      </c>
      <c r="H500" s="3" t="str">
        <f>IF([1]SCHEDULE!H500="","",[1]SCHEDULE!H500)</f>
        <v/>
      </c>
      <c r="I500" s="3" t="str">
        <f>IF([1]SCHEDULE!I500="","",[1]SCHEDULE!I500)</f>
        <v/>
      </c>
      <c r="J500" s="3" t="str">
        <f>IF([1]SCHEDULE!J500="","",[1]SCHEDULE!J500)</f>
        <v/>
      </c>
    </row>
    <row r="501" spans="2:10" x14ac:dyDescent="0.25">
      <c r="B501" s="3" t="str">
        <f>IF([1]SCHEDULE!B501="","",[1]SCHEDULE!B501)</f>
        <v>ASV</v>
      </c>
      <c r="C501" s="3">
        <f>IF([1]SCHEDULE!C501="","",[1]SCHEDULE!C501)</f>
        <v>40</v>
      </c>
      <c r="D501" s="1" t="str">
        <f>IF([1]SCHEDULE!D501="","",[1]SCHEDULE!D501)</f>
        <v>LDLC ASVEL Villeurbanne</v>
      </c>
      <c r="E501" s="1" t="str">
        <f>IF([1]SCHEDULE!E501="","",[1]SCHEDULE!E501)</f>
        <v/>
      </c>
      <c r="F501" s="6" t="str">
        <f>IF([1]SCHEDULE!F501="","",[1]SCHEDULE!F501)</f>
        <v/>
      </c>
      <c r="G501" s="3" t="str">
        <f>IF([1]SCHEDULE!G501="","",[1]SCHEDULE!G501)</f>
        <v/>
      </c>
      <c r="H501" s="3" t="str">
        <f>IF([1]SCHEDULE!H501="","",[1]SCHEDULE!H501)</f>
        <v/>
      </c>
      <c r="I501" s="3" t="str">
        <f>IF([1]SCHEDULE!I501="","",[1]SCHEDULE!I501)</f>
        <v/>
      </c>
      <c r="J501" s="3" t="str">
        <f>IF([1]SCHEDULE!J501="","",[1]SCHEDULE!J501)</f>
        <v/>
      </c>
    </row>
    <row r="502" spans="2:10" x14ac:dyDescent="0.25">
      <c r="B502" s="3" t="str">
        <f>IF([1]SCHEDULE!B502="","",[1]SCHEDULE!B502)</f>
        <v>ASV</v>
      </c>
      <c r="C502" s="3">
        <f>IF([1]SCHEDULE!C502="","",[1]SCHEDULE!C502)</f>
        <v>41</v>
      </c>
      <c r="D502" s="1" t="str">
        <f>IF([1]SCHEDULE!D502="","",[1]SCHEDULE!D502)</f>
        <v>LDLC ASVEL Villeurbanne</v>
      </c>
      <c r="E502" s="1" t="str">
        <f>IF([1]SCHEDULE!E502="","",[1]SCHEDULE!E502)</f>
        <v/>
      </c>
      <c r="F502" s="6" t="str">
        <f>IF([1]SCHEDULE!F502="","",[1]SCHEDULE!F502)</f>
        <v/>
      </c>
      <c r="G502" s="3" t="str">
        <f>IF([1]SCHEDULE!G502="","",[1]SCHEDULE!G502)</f>
        <v/>
      </c>
      <c r="H502" s="3" t="str">
        <f>IF([1]SCHEDULE!H502="","",[1]SCHEDULE!H502)</f>
        <v/>
      </c>
      <c r="I502" s="3" t="str">
        <f>IF([1]SCHEDULE!I502="","",[1]SCHEDULE!I502)</f>
        <v/>
      </c>
      <c r="J502" s="3" t="str">
        <f>IF([1]SCHEDULE!J502="","",[1]SCHEDULE!J502)</f>
        <v/>
      </c>
    </row>
    <row r="503" spans="2:10" x14ac:dyDescent="0.25">
      <c r="B503" s="3" t="str">
        <f>IF([1]SCHEDULE!B503="","",[1]SCHEDULE!B503)</f>
        <v>ASV</v>
      </c>
      <c r="C503" s="3">
        <f>IF([1]SCHEDULE!C503="","",[1]SCHEDULE!C503)</f>
        <v>42</v>
      </c>
      <c r="D503" s="1" t="str">
        <f>IF([1]SCHEDULE!D503="","",[1]SCHEDULE!D503)</f>
        <v>LDLC ASVEL Villeurbanne</v>
      </c>
      <c r="E503" s="1" t="str">
        <f>IF([1]SCHEDULE!E503="","",[1]SCHEDULE!E503)</f>
        <v/>
      </c>
      <c r="F503" s="6" t="str">
        <f>IF([1]SCHEDULE!F503="","",[1]SCHEDULE!F503)</f>
        <v/>
      </c>
      <c r="G503" s="3" t="str">
        <f>IF([1]SCHEDULE!G503="","",[1]SCHEDULE!G503)</f>
        <v/>
      </c>
      <c r="H503" s="3" t="str">
        <f>IF([1]SCHEDULE!H503="","",[1]SCHEDULE!H503)</f>
        <v/>
      </c>
      <c r="I503" s="3" t="str">
        <f>IF([1]SCHEDULE!I503="","",[1]SCHEDULE!I503)</f>
        <v/>
      </c>
      <c r="J503" s="3" t="str">
        <f>IF([1]SCHEDULE!J503="","",[1]SCHEDULE!J503)</f>
        <v/>
      </c>
    </row>
    <row r="504" spans="2:10" x14ac:dyDescent="0.25">
      <c r="B504" s="3" t="str">
        <f>IF([1]SCHEDULE!B504="","",[1]SCHEDULE!B504)</f>
        <v>ASV</v>
      </c>
      <c r="C504" s="3">
        <f>IF([1]SCHEDULE!C504="","",[1]SCHEDULE!C504)</f>
        <v>43</v>
      </c>
      <c r="D504" s="1" t="str">
        <f>IF([1]SCHEDULE!D504="","",[1]SCHEDULE!D504)</f>
        <v>LDLC ASVEL Villeurbanne</v>
      </c>
      <c r="E504" s="1" t="str">
        <f>IF([1]SCHEDULE!E504="","",[1]SCHEDULE!E504)</f>
        <v/>
      </c>
      <c r="F504" s="6" t="str">
        <f>IF([1]SCHEDULE!F504="","",[1]SCHEDULE!F504)</f>
        <v/>
      </c>
      <c r="G504" s="3" t="str">
        <f>IF([1]SCHEDULE!G504="","",[1]SCHEDULE!G504)</f>
        <v/>
      </c>
      <c r="H504" s="3" t="str">
        <f>IF([1]SCHEDULE!H504="","",[1]SCHEDULE!H504)</f>
        <v/>
      </c>
      <c r="I504" s="3" t="str">
        <f>IF([1]SCHEDULE!I504="","",[1]SCHEDULE!I504)</f>
        <v/>
      </c>
      <c r="J504" s="3" t="str">
        <f>IF([1]SCHEDULE!J504="","",[1]SCHEDULE!J504)</f>
        <v/>
      </c>
    </row>
    <row r="505" spans="2:10" x14ac:dyDescent="0.25">
      <c r="B505" s="3" t="str">
        <f>IF([1]SCHEDULE!B505="","",[1]SCHEDULE!B505)</f>
        <v>ASV</v>
      </c>
      <c r="C505" s="3">
        <f>IF([1]SCHEDULE!C505="","",[1]SCHEDULE!C505)</f>
        <v>44</v>
      </c>
      <c r="D505" s="1" t="str">
        <f>IF([1]SCHEDULE!D505="","",[1]SCHEDULE!D505)</f>
        <v>LDLC ASVEL Villeurbanne</v>
      </c>
      <c r="E505" s="1" t="str">
        <f>IF([1]SCHEDULE!E505="","",[1]SCHEDULE!E505)</f>
        <v/>
      </c>
      <c r="F505" s="6" t="str">
        <f>IF([1]SCHEDULE!F505="","",[1]SCHEDULE!F505)</f>
        <v/>
      </c>
      <c r="G505" s="3" t="str">
        <f>IF([1]SCHEDULE!G505="","",[1]SCHEDULE!G505)</f>
        <v/>
      </c>
      <c r="H505" s="3" t="str">
        <f>IF([1]SCHEDULE!H505="","",[1]SCHEDULE!H505)</f>
        <v/>
      </c>
      <c r="I505" s="3" t="str">
        <f>IF([1]SCHEDULE!I505="","",[1]SCHEDULE!I505)</f>
        <v/>
      </c>
      <c r="J505" s="3" t="str">
        <f>IF([1]SCHEDULE!J505="","",[1]SCHEDULE!J505)</f>
        <v/>
      </c>
    </row>
    <row r="506" spans="2:10" x14ac:dyDescent="0.25">
      <c r="B506" s="3" t="str">
        <f>IF([1]SCHEDULE!B506="","",[1]SCHEDULE!B506)</f>
        <v>ASV</v>
      </c>
      <c r="C506" s="3">
        <f>IF([1]SCHEDULE!C506="","",[1]SCHEDULE!C506)</f>
        <v>45</v>
      </c>
      <c r="D506" s="1" t="str">
        <f>IF([1]SCHEDULE!D506="","",[1]SCHEDULE!D506)</f>
        <v>LDLC ASVEL Villeurbanne</v>
      </c>
      <c r="E506" s="1" t="str">
        <f>IF([1]SCHEDULE!E506="","",[1]SCHEDULE!E506)</f>
        <v/>
      </c>
      <c r="F506" s="6" t="str">
        <f>IF([1]SCHEDULE!F506="","",[1]SCHEDULE!F506)</f>
        <v/>
      </c>
      <c r="G506" s="3" t="str">
        <f>IF([1]SCHEDULE!G506="","",[1]SCHEDULE!G506)</f>
        <v/>
      </c>
      <c r="H506" s="3" t="str">
        <f>IF([1]SCHEDULE!H506="","",[1]SCHEDULE!H506)</f>
        <v/>
      </c>
      <c r="I506" s="3" t="str">
        <f>IF([1]SCHEDULE!I506="","",[1]SCHEDULE!I506)</f>
        <v/>
      </c>
      <c r="J506" s="3" t="str">
        <f>IF([1]SCHEDULE!J506="","",[1]SCHEDULE!J506)</f>
        <v/>
      </c>
    </row>
    <row r="507" spans="2:10" x14ac:dyDescent="0.25">
      <c r="B507" s="3" t="str">
        <f>IF([1]SCHEDULE!B507="","",[1]SCHEDULE!B507)</f>
        <v>ASV</v>
      </c>
      <c r="C507" s="3">
        <f>IF([1]SCHEDULE!C507="","",[1]SCHEDULE!C507)</f>
        <v>46</v>
      </c>
      <c r="D507" s="1" t="str">
        <f>IF([1]SCHEDULE!D507="","",[1]SCHEDULE!D507)</f>
        <v>LDLC ASVEL Villeurbanne</v>
      </c>
      <c r="E507" s="1" t="str">
        <f>IF([1]SCHEDULE!E507="","",[1]SCHEDULE!E507)</f>
        <v/>
      </c>
      <c r="F507" s="6" t="str">
        <f>IF([1]SCHEDULE!F507="","",[1]SCHEDULE!F507)</f>
        <v/>
      </c>
      <c r="G507" s="3" t="str">
        <f>IF([1]SCHEDULE!G507="","",[1]SCHEDULE!G507)</f>
        <v/>
      </c>
      <c r="H507" s="3" t="str">
        <f>IF([1]SCHEDULE!H507="","",[1]SCHEDULE!H507)</f>
        <v/>
      </c>
      <c r="I507" s="3" t="str">
        <f>IF([1]SCHEDULE!I507="","",[1]SCHEDULE!I507)</f>
        <v/>
      </c>
      <c r="J507" s="3" t="str">
        <f>IF([1]SCHEDULE!J507="","",[1]SCHEDULE!J507)</f>
        <v/>
      </c>
    </row>
    <row r="508" spans="2:10" x14ac:dyDescent="0.25">
      <c r="B508" s="3" t="str">
        <f>IF([1]SCHEDULE!B508="","",[1]SCHEDULE!B508)</f>
        <v>ASV</v>
      </c>
      <c r="C508" s="3">
        <f>IF([1]SCHEDULE!C508="","",[1]SCHEDULE!C508)</f>
        <v>47</v>
      </c>
      <c r="D508" s="1" t="str">
        <f>IF([1]SCHEDULE!D508="","",[1]SCHEDULE!D508)</f>
        <v>LDLC ASVEL Villeurbanne</v>
      </c>
      <c r="E508" s="1" t="str">
        <f>IF([1]SCHEDULE!E508="","",[1]SCHEDULE!E508)</f>
        <v/>
      </c>
      <c r="F508" s="6" t="str">
        <f>IF([1]SCHEDULE!F508="","",[1]SCHEDULE!F508)</f>
        <v/>
      </c>
      <c r="G508" s="3" t="str">
        <f>IF([1]SCHEDULE!G508="","",[1]SCHEDULE!G508)</f>
        <v/>
      </c>
      <c r="H508" s="3" t="str">
        <f>IF([1]SCHEDULE!H508="","",[1]SCHEDULE!H508)</f>
        <v/>
      </c>
      <c r="I508" s="3" t="str">
        <f>IF([1]SCHEDULE!I508="","",[1]SCHEDULE!I508)</f>
        <v/>
      </c>
      <c r="J508" s="3" t="str">
        <f>IF([1]SCHEDULE!J508="","",[1]SCHEDULE!J508)</f>
        <v/>
      </c>
    </row>
    <row r="509" spans="2:10" x14ac:dyDescent="0.25">
      <c r="B509" s="3" t="str">
        <f>IF([1]SCHEDULE!B509="","",[1]SCHEDULE!B509)</f>
        <v>ASV</v>
      </c>
      <c r="C509" s="3">
        <f>IF([1]SCHEDULE!C509="","",[1]SCHEDULE!C509)</f>
        <v>48</v>
      </c>
      <c r="D509" s="1" t="str">
        <f>IF([1]SCHEDULE!D509="","",[1]SCHEDULE!D509)</f>
        <v>LDLC ASVEL Villeurbanne</v>
      </c>
      <c r="E509" s="1" t="str">
        <f>IF([1]SCHEDULE!E509="","",[1]SCHEDULE!E509)</f>
        <v/>
      </c>
      <c r="F509" s="6" t="str">
        <f>IF([1]SCHEDULE!F509="","",[1]SCHEDULE!F509)</f>
        <v/>
      </c>
      <c r="G509" s="3" t="str">
        <f>IF([1]SCHEDULE!G509="","",[1]SCHEDULE!G509)</f>
        <v/>
      </c>
      <c r="H509" s="3" t="str">
        <f>IF([1]SCHEDULE!H509="","",[1]SCHEDULE!H509)</f>
        <v/>
      </c>
      <c r="I509" s="3" t="str">
        <f>IF([1]SCHEDULE!I509="","",[1]SCHEDULE!I509)</f>
        <v/>
      </c>
      <c r="J509" s="3" t="str">
        <f>IF([1]SCHEDULE!J509="","",[1]SCHEDULE!J509)</f>
        <v/>
      </c>
    </row>
    <row r="510" spans="2:10" x14ac:dyDescent="0.25">
      <c r="B510" s="3" t="str">
        <f>IF([1]SCHEDULE!B510="","",[1]SCHEDULE!B510)</f>
        <v>ASV</v>
      </c>
      <c r="C510" s="3">
        <f>IF([1]SCHEDULE!C510="","",[1]SCHEDULE!C510)</f>
        <v>49</v>
      </c>
      <c r="D510" s="1" t="str">
        <f>IF([1]SCHEDULE!D510="","",[1]SCHEDULE!D510)</f>
        <v>LDLC ASVEL Villeurbanne</v>
      </c>
      <c r="E510" s="1" t="str">
        <f>IF([1]SCHEDULE!E510="","",[1]SCHEDULE!E510)</f>
        <v/>
      </c>
      <c r="F510" s="6" t="str">
        <f>IF([1]SCHEDULE!F510="","",[1]SCHEDULE!F510)</f>
        <v/>
      </c>
      <c r="G510" s="3" t="str">
        <f>IF([1]SCHEDULE!G510="","",[1]SCHEDULE!G510)</f>
        <v/>
      </c>
      <c r="H510" s="3" t="str">
        <f>IF([1]SCHEDULE!H510="","",[1]SCHEDULE!H510)</f>
        <v/>
      </c>
      <c r="I510" s="3" t="str">
        <f>IF([1]SCHEDULE!I510="","",[1]SCHEDULE!I510)</f>
        <v/>
      </c>
      <c r="J510" s="3" t="str">
        <f>IF([1]SCHEDULE!J510="","",[1]SCHEDULE!J510)</f>
        <v/>
      </c>
    </row>
    <row r="511" spans="2:10" x14ac:dyDescent="0.25">
      <c r="B511" s="3" t="str">
        <f>IF([1]SCHEDULE!B511="","",[1]SCHEDULE!B511)</f>
        <v>ASV</v>
      </c>
      <c r="C511" s="3">
        <f>IF([1]SCHEDULE!C511="","",[1]SCHEDULE!C511)</f>
        <v>50</v>
      </c>
      <c r="D511" s="1" t="str">
        <f>IF([1]SCHEDULE!D511="","",[1]SCHEDULE!D511)</f>
        <v>LDLC ASVEL Villeurbanne</v>
      </c>
      <c r="E511" s="1" t="str">
        <f>IF([1]SCHEDULE!E511="","",[1]SCHEDULE!E511)</f>
        <v/>
      </c>
      <c r="F511" s="6" t="str">
        <f>IF([1]SCHEDULE!F511="","",[1]SCHEDULE!F511)</f>
        <v/>
      </c>
      <c r="G511" s="3" t="str">
        <f>IF([1]SCHEDULE!G511="","",[1]SCHEDULE!G511)</f>
        <v/>
      </c>
      <c r="H511" s="3" t="str">
        <f>IF([1]SCHEDULE!H511="","",[1]SCHEDULE!H511)</f>
        <v/>
      </c>
      <c r="I511" s="3" t="str">
        <f>IF([1]SCHEDULE!I511="","",[1]SCHEDULE!I511)</f>
        <v/>
      </c>
      <c r="J511" s="3" t="str">
        <f>IF([1]SCHEDULE!J511="","",[1]SCHEDULE!J511)</f>
        <v/>
      </c>
    </row>
    <row r="512" spans="2:10" x14ac:dyDescent="0.25">
      <c r="B512" s="3" t="str">
        <f>IF([1]SCHEDULE!B512="","",[1]SCHEDULE!B512)</f>
        <v>ASV</v>
      </c>
      <c r="C512" s="3">
        <f>IF([1]SCHEDULE!C512="","",[1]SCHEDULE!C512)</f>
        <v>51</v>
      </c>
      <c r="D512" s="1" t="str">
        <f>IF([1]SCHEDULE!D512="","",[1]SCHEDULE!D512)</f>
        <v>LDLC ASVEL Villeurbanne</v>
      </c>
      <c r="E512" s="1" t="str">
        <f>IF([1]SCHEDULE!E512="","",[1]SCHEDULE!E512)</f>
        <v/>
      </c>
      <c r="F512" s="6" t="str">
        <f>IF([1]SCHEDULE!F512="","",[1]SCHEDULE!F512)</f>
        <v/>
      </c>
      <c r="G512" s="3" t="str">
        <f>IF([1]SCHEDULE!G512="","",[1]SCHEDULE!G512)</f>
        <v/>
      </c>
      <c r="H512" s="3" t="str">
        <f>IF([1]SCHEDULE!H512="","",[1]SCHEDULE!H512)</f>
        <v/>
      </c>
      <c r="I512" s="3" t="str">
        <f>IF([1]SCHEDULE!I512="","",[1]SCHEDULE!I512)</f>
        <v/>
      </c>
      <c r="J512" s="3" t="str">
        <f>IF([1]SCHEDULE!J512="","",[1]SCHEDULE!J512)</f>
        <v/>
      </c>
    </row>
    <row r="513" spans="2:10" x14ac:dyDescent="0.25">
      <c r="B513" s="3" t="str">
        <f>IF([1]SCHEDULE!B513="","",[1]SCHEDULE!B513)</f>
        <v>MTA</v>
      </c>
      <c r="C513" s="3">
        <f>IF([1]SCHEDULE!C513="","",[1]SCHEDULE!C513)</f>
        <v>1</v>
      </c>
      <c r="D513" s="1" t="str">
        <f>IF([1]SCHEDULE!D513="","",[1]SCHEDULE!D513)</f>
        <v>Maccabi Playtika Tel Aviv</v>
      </c>
      <c r="E513" s="1" t="str">
        <f>IF([1]SCHEDULE!E513="","",[1]SCHEDULE!E513)</f>
        <v>Partizan Mozzart Bet Belgrade</v>
      </c>
      <c r="F513" s="6">
        <f>IF([1]SCHEDULE!F513="","",[1]SCHEDULE!F513)</f>
        <v>45204</v>
      </c>
      <c r="G513" s="3" t="str">
        <f>IF([1]SCHEDULE!G513="","",[1]SCHEDULE!G513)</f>
        <v>H</v>
      </c>
      <c r="H513" s="3" t="str">
        <f>IF([1]SCHEDULE!H513="","",[1]SCHEDULE!H513)</f>
        <v>PAR</v>
      </c>
      <c r="I513" s="3" t="str">
        <f>IF([1]SCHEDULE!I513="","",[1]SCHEDULE!I513)</f>
        <v>1.MTA</v>
      </c>
      <c r="J513" s="3" t="str">
        <f>IF([1]SCHEDULE!J513="","",[1]SCHEDULE!J513)</f>
        <v>1.PAR</v>
      </c>
    </row>
    <row r="514" spans="2:10" x14ac:dyDescent="0.25">
      <c r="B514" s="3" t="str">
        <f>IF([1]SCHEDULE!B514="","",[1]SCHEDULE!B514)</f>
        <v>MTA</v>
      </c>
      <c r="C514" s="3">
        <f>IF([1]SCHEDULE!C514="","",[1]SCHEDULE!C514)</f>
        <v>2</v>
      </c>
      <c r="D514" s="1" t="str">
        <f>IF([1]SCHEDULE!D514="","",[1]SCHEDULE!D514)</f>
        <v>Maccabi Playtika Tel Aviv</v>
      </c>
      <c r="E514" s="1" t="str">
        <f>IF([1]SCHEDULE!E514="","",[1]SCHEDULE!E514)</f>
        <v>EA7 Emporio Armani Milan</v>
      </c>
      <c r="F514" s="6">
        <f>IF([1]SCHEDULE!F514="","",[1]SCHEDULE!F514)</f>
        <v>45230</v>
      </c>
      <c r="G514" s="3" t="str">
        <f>IF([1]SCHEDULE!G514="","",[1]SCHEDULE!G514)</f>
        <v>A</v>
      </c>
      <c r="H514" s="3" t="str">
        <f>IF([1]SCHEDULE!H514="","",[1]SCHEDULE!H514)</f>
        <v>MIL</v>
      </c>
      <c r="I514" s="3" t="str">
        <f>IF([1]SCHEDULE!I514="","",[1]SCHEDULE!I514)</f>
        <v>2.MTA</v>
      </c>
      <c r="J514" s="3" t="str">
        <f>IF([1]SCHEDULE!J514="","",[1]SCHEDULE!J514)</f>
        <v>2.MIL</v>
      </c>
    </row>
    <row r="515" spans="2:10" x14ac:dyDescent="0.25">
      <c r="B515" s="3" t="str">
        <f>IF([1]SCHEDULE!B515="","",[1]SCHEDULE!B515)</f>
        <v>MTA</v>
      </c>
      <c r="C515" s="3">
        <f>IF([1]SCHEDULE!C515="","",[1]SCHEDULE!C515)</f>
        <v>3</v>
      </c>
      <c r="D515" s="1" t="str">
        <f>IF([1]SCHEDULE!D515="","",[1]SCHEDULE!D515)</f>
        <v>Maccabi Playtika Tel Aviv</v>
      </c>
      <c r="E515" s="1" t="str">
        <f>IF([1]SCHEDULE!E515="","",[1]SCHEDULE!E515)</f>
        <v>Valencia Basket</v>
      </c>
      <c r="F515" s="6">
        <f>IF([1]SCHEDULE!F515="","",[1]SCHEDULE!F515)</f>
        <v>45217</v>
      </c>
      <c r="G515" s="3" t="str">
        <f>IF([1]SCHEDULE!G515="","",[1]SCHEDULE!G515)</f>
        <v>A</v>
      </c>
      <c r="H515" s="3" t="str">
        <f>IF([1]SCHEDULE!H515="","",[1]SCHEDULE!H515)</f>
        <v>VAL</v>
      </c>
      <c r="I515" s="3" t="str">
        <f>IF([1]SCHEDULE!I515="","",[1]SCHEDULE!I515)</f>
        <v>3.MTA</v>
      </c>
      <c r="J515" s="3" t="str">
        <f>IF([1]SCHEDULE!J515="","",[1]SCHEDULE!J515)</f>
        <v>3.VAL</v>
      </c>
    </row>
    <row r="516" spans="2:10" x14ac:dyDescent="0.25">
      <c r="B516" s="3" t="str">
        <f>IF([1]SCHEDULE!B516="","",[1]SCHEDULE!B516)</f>
        <v>MTA</v>
      </c>
      <c r="C516" s="3">
        <f>IF([1]SCHEDULE!C516="","",[1]SCHEDULE!C516)</f>
        <v>4</v>
      </c>
      <c r="D516" s="1" t="str">
        <f>IF([1]SCHEDULE!D516="","",[1]SCHEDULE!D516)</f>
        <v>Maccabi Playtika Tel Aviv</v>
      </c>
      <c r="E516" s="1" t="str">
        <f>IF([1]SCHEDULE!E516="","",[1]SCHEDULE!E516)</f>
        <v>Panathinaikos Athens</v>
      </c>
      <c r="F516" s="6">
        <f>IF([1]SCHEDULE!F516="","",[1]SCHEDULE!F516)</f>
        <v>45219</v>
      </c>
      <c r="G516" s="3" t="str">
        <f>IF([1]SCHEDULE!G516="","",[1]SCHEDULE!G516)</f>
        <v>A</v>
      </c>
      <c r="H516" s="3" t="str">
        <f>IF([1]SCHEDULE!H516="","",[1]SCHEDULE!H516)</f>
        <v>PAN</v>
      </c>
      <c r="I516" s="3" t="str">
        <f>IF([1]SCHEDULE!I516="","",[1]SCHEDULE!I516)</f>
        <v>4.MTA</v>
      </c>
      <c r="J516" s="3" t="str">
        <f>IF([1]SCHEDULE!J516="","",[1]SCHEDULE!J516)</f>
        <v>4.PAN</v>
      </c>
    </row>
    <row r="517" spans="2:10" x14ac:dyDescent="0.25">
      <c r="B517" s="3" t="str">
        <f>IF([1]SCHEDULE!B517="","",[1]SCHEDULE!B517)</f>
        <v>MTA</v>
      </c>
      <c r="C517" s="3">
        <f>IF([1]SCHEDULE!C517="","",[1]SCHEDULE!C517)</f>
        <v>5</v>
      </c>
      <c r="D517" s="1" t="str">
        <f>IF([1]SCHEDULE!D517="","",[1]SCHEDULE!D517)</f>
        <v>Maccabi Playtika Tel Aviv</v>
      </c>
      <c r="E517" s="1" t="str">
        <f>IF([1]SCHEDULE!E517="","",[1]SCHEDULE!E517)</f>
        <v>AS Monaco</v>
      </c>
      <c r="F517" s="6">
        <f>IF([1]SCHEDULE!F517="","",[1]SCHEDULE!F517)</f>
        <v>45225</v>
      </c>
      <c r="G517" s="3" t="str">
        <f>IF([1]SCHEDULE!G517="","",[1]SCHEDULE!G517)</f>
        <v>A</v>
      </c>
      <c r="H517" s="3" t="str">
        <f>IF([1]SCHEDULE!H517="","",[1]SCHEDULE!H517)</f>
        <v>ASM</v>
      </c>
      <c r="I517" s="3" t="str">
        <f>IF([1]SCHEDULE!I517="","",[1]SCHEDULE!I517)</f>
        <v>5.MTA</v>
      </c>
      <c r="J517" s="3" t="str">
        <f>IF([1]SCHEDULE!J517="","",[1]SCHEDULE!J517)</f>
        <v>5.ASM</v>
      </c>
    </row>
    <row r="518" spans="2:10" x14ac:dyDescent="0.25">
      <c r="B518" s="3" t="str">
        <f>IF([1]SCHEDULE!B518="","",[1]SCHEDULE!B518)</f>
        <v>MTA</v>
      </c>
      <c r="C518" s="3">
        <f>IF([1]SCHEDULE!C518="","",[1]SCHEDULE!C518)</f>
        <v>6</v>
      </c>
      <c r="D518" s="1" t="str">
        <f>IF([1]SCHEDULE!D518="","",[1]SCHEDULE!D518)</f>
        <v>Maccabi Playtika Tel Aviv</v>
      </c>
      <c r="E518" s="1" t="str">
        <f>IF([1]SCHEDULE!E518="","",[1]SCHEDULE!E518)</f>
        <v>Real Madrid</v>
      </c>
      <c r="F518" s="6">
        <f>IF([1]SCHEDULE!F518="","",[1]SCHEDULE!F518)</f>
        <v>45232</v>
      </c>
      <c r="G518" s="3" t="str">
        <f>IF([1]SCHEDULE!G518="","",[1]SCHEDULE!G518)</f>
        <v>H</v>
      </c>
      <c r="H518" s="3" t="str">
        <f>IF([1]SCHEDULE!H518="","",[1]SCHEDULE!H518)</f>
        <v>RMB</v>
      </c>
      <c r="I518" s="3" t="str">
        <f>IF([1]SCHEDULE!I518="","",[1]SCHEDULE!I518)</f>
        <v>6.MTA</v>
      </c>
      <c r="J518" s="3" t="str">
        <f>IF([1]SCHEDULE!J518="","",[1]SCHEDULE!J518)</f>
        <v>6.RMB</v>
      </c>
    </row>
    <row r="519" spans="2:10" x14ac:dyDescent="0.25">
      <c r="B519" s="3" t="str">
        <f>IF([1]SCHEDULE!B519="","",[1]SCHEDULE!B519)</f>
        <v>MTA</v>
      </c>
      <c r="C519" s="3">
        <f>IF([1]SCHEDULE!C519="","",[1]SCHEDULE!C519)</f>
        <v>7</v>
      </c>
      <c r="D519" s="1" t="str">
        <f>IF([1]SCHEDULE!D519="","",[1]SCHEDULE!D519)</f>
        <v>Maccabi Playtika Tel Aviv</v>
      </c>
      <c r="E519" s="1" t="str">
        <f>IF([1]SCHEDULE!E519="","",[1]SCHEDULE!E519)</f>
        <v>FC Bayern Munich</v>
      </c>
      <c r="F519" s="6">
        <f>IF([1]SCHEDULE!F519="","",[1]SCHEDULE!F519)</f>
        <v>45239</v>
      </c>
      <c r="G519" s="3" t="str">
        <f>IF([1]SCHEDULE!G519="","",[1]SCHEDULE!G519)</f>
        <v>H</v>
      </c>
      <c r="H519" s="3" t="str">
        <f>IF([1]SCHEDULE!H519="","",[1]SCHEDULE!H519)</f>
        <v>BAY</v>
      </c>
      <c r="I519" s="3" t="str">
        <f>IF([1]SCHEDULE!I519="","",[1]SCHEDULE!I519)</f>
        <v>7.MTA</v>
      </c>
      <c r="J519" s="3" t="str">
        <f>IF([1]SCHEDULE!J519="","",[1]SCHEDULE!J519)</f>
        <v>7.BAY</v>
      </c>
    </row>
    <row r="520" spans="2:10" x14ac:dyDescent="0.25">
      <c r="B520" s="3" t="str">
        <f>IF([1]SCHEDULE!B520="","",[1]SCHEDULE!B520)</f>
        <v>MTA</v>
      </c>
      <c r="C520" s="3">
        <f>IF([1]SCHEDULE!C520="","",[1]SCHEDULE!C520)</f>
        <v>8</v>
      </c>
      <c r="D520" s="1" t="str">
        <f>IF([1]SCHEDULE!D520="","",[1]SCHEDULE!D520)</f>
        <v>Maccabi Playtika Tel Aviv</v>
      </c>
      <c r="E520" s="1" t="str">
        <f>IF([1]SCHEDULE!E520="","",[1]SCHEDULE!E520)</f>
        <v>Olympiacos Piraeus</v>
      </c>
      <c r="F520" s="6">
        <f>IF([1]SCHEDULE!F520="","",[1]SCHEDULE!F520)</f>
        <v>45244</v>
      </c>
      <c r="G520" s="3" t="str">
        <f>IF([1]SCHEDULE!G520="","",[1]SCHEDULE!G520)</f>
        <v>H</v>
      </c>
      <c r="H520" s="3" t="str">
        <f>IF([1]SCHEDULE!H520="","",[1]SCHEDULE!H520)</f>
        <v>OLY</v>
      </c>
      <c r="I520" s="3" t="str">
        <f>IF([1]SCHEDULE!I520="","",[1]SCHEDULE!I520)</f>
        <v>8.MTA</v>
      </c>
      <c r="J520" s="3" t="str">
        <f>IF([1]SCHEDULE!J520="","",[1]SCHEDULE!J520)</f>
        <v>8.OLY</v>
      </c>
    </row>
    <row r="521" spans="2:10" x14ac:dyDescent="0.25">
      <c r="B521" s="3" t="str">
        <f>IF([1]SCHEDULE!B521="","",[1]SCHEDULE!B521)</f>
        <v>MTA</v>
      </c>
      <c r="C521" s="3">
        <f>IF([1]SCHEDULE!C521="","",[1]SCHEDULE!C521)</f>
        <v>9</v>
      </c>
      <c r="D521" s="1" t="str">
        <f>IF([1]SCHEDULE!D521="","",[1]SCHEDULE!D521)</f>
        <v>Maccabi Playtika Tel Aviv</v>
      </c>
      <c r="E521" s="1" t="str">
        <f>IF([1]SCHEDULE!E521="","",[1]SCHEDULE!E521)</f>
        <v>Fenerbahce Beko Istanbul</v>
      </c>
      <c r="F521" s="6">
        <f>IF([1]SCHEDULE!F521="","",[1]SCHEDULE!F521)</f>
        <v>45246</v>
      </c>
      <c r="G521" s="3" t="str">
        <f>IF([1]SCHEDULE!G521="","",[1]SCHEDULE!G521)</f>
        <v>A</v>
      </c>
      <c r="H521" s="3" t="str">
        <f>IF([1]SCHEDULE!H521="","",[1]SCHEDULE!H521)</f>
        <v>FEN</v>
      </c>
      <c r="I521" s="3" t="str">
        <f>IF([1]SCHEDULE!I521="","",[1]SCHEDULE!I521)</f>
        <v>9.MTA</v>
      </c>
      <c r="J521" s="3" t="str">
        <f>IF([1]SCHEDULE!J521="","",[1]SCHEDULE!J521)</f>
        <v>9.FEN</v>
      </c>
    </row>
    <row r="522" spans="2:10" x14ac:dyDescent="0.25">
      <c r="B522" s="3" t="str">
        <f>IF([1]SCHEDULE!B522="","",[1]SCHEDULE!B522)</f>
        <v>MTA</v>
      </c>
      <c r="C522" s="3">
        <f>IF([1]SCHEDULE!C522="","",[1]SCHEDULE!C522)</f>
        <v>10</v>
      </c>
      <c r="D522" s="1" t="str">
        <f>IF([1]SCHEDULE!D522="","",[1]SCHEDULE!D522)</f>
        <v>Maccabi Playtika Tel Aviv</v>
      </c>
      <c r="E522" s="1" t="str">
        <f>IF([1]SCHEDULE!E522="","",[1]SCHEDULE!E522)</f>
        <v>FC Barcelona</v>
      </c>
      <c r="F522" s="6">
        <f>IF([1]SCHEDULE!F522="","",[1]SCHEDULE!F522)</f>
        <v>45253</v>
      </c>
      <c r="G522" s="3" t="str">
        <f>IF([1]SCHEDULE!G522="","",[1]SCHEDULE!G522)</f>
        <v>H</v>
      </c>
      <c r="H522" s="3" t="str">
        <f>IF([1]SCHEDULE!H522="","",[1]SCHEDULE!H522)</f>
        <v>FCB</v>
      </c>
      <c r="I522" s="3" t="str">
        <f>IF([1]SCHEDULE!I522="","",[1]SCHEDULE!I522)</f>
        <v>10.MTA</v>
      </c>
      <c r="J522" s="3" t="str">
        <f>IF([1]SCHEDULE!J522="","",[1]SCHEDULE!J522)</f>
        <v>10.FCB</v>
      </c>
    </row>
    <row r="523" spans="2:10" x14ac:dyDescent="0.25">
      <c r="B523" s="3" t="str">
        <f>IF([1]SCHEDULE!B523="","",[1]SCHEDULE!B523)</f>
        <v>MTA</v>
      </c>
      <c r="C523" s="3">
        <f>IF([1]SCHEDULE!C523="","",[1]SCHEDULE!C523)</f>
        <v>11</v>
      </c>
      <c r="D523" s="1" t="str">
        <f>IF([1]SCHEDULE!D523="","",[1]SCHEDULE!D523)</f>
        <v>Maccabi Playtika Tel Aviv</v>
      </c>
      <c r="E523" s="1" t="str">
        <f>IF([1]SCHEDULE!E523="","",[1]SCHEDULE!E523)</f>
        <v>ALBA Berlin</v>
      </c>
      <c r="F523" s="6">
        <f>IF([1]SCHEDULE!F523="","",[1]SCHEDULE!F523)</f>
        <v>45260</v>
      </c>
      <c r="G523" s="3" t="str">
        <f>IF([1]SCHEDULE!G523="","",[1]SCHEDULE!G523)</f>
        <v>H</v>
      </c>
      <c r="H523" s="3" t="str">
        <f>IF([1]SCHEDULE!H523="","",[1]SCHEDULE!H523)</f>
        <v>BER</v>
      </c>
      <c r="I523" s="3" t="str">
        <f>IF([1]SCHEDULE!I523="","",[1]SCHEDULE!I523)</f>
        <v>11.MTA</v>
      </c>
      <c r="J523" s="3" t="str">
        <f>IF([1]SCHEDULE!J523="","",[1]SCHEDULE!J523)</f>
        <v>11.BER</v>
      </c>
    </row>
    <row r="524" spans="2:10" x14ac:dyDescent="0.25">
      <c r="B524" s="3" t="str">
        <f>IF([1]SCHEDULE!B524="","",[1]SCHEDULE!B524)</f>
        <v>MTA</v>
      </c>
      <c r="C524" s="3">
        <f>IF([1]SCHEDULE!C524="","",[1]SCHEDULE!C524)</f>
        <v>12</v>
      </c>
      <c r="D524" s="1" t="str">
        <f>IF([1]SCHEDULE!D524="","",[1]SCHEDULE!D524)</f>
        <v>Maccabi Playtika Tel Aviv</v>
      </c>
      <c r="E524" s="1" t="str">
        <f>IF([1]SCHEDULE!E524="","",[1]SCHEDULE!E524)</f>
        <v>LDLC ASVEL Villeurbanne</v>
      </c>
      <c r="F524" s="6">
        <f>IF([1]SCHEDULE!F524="","",[1]SCHEDULE!F524)</f>
        <v>45266</v>
      </c>
      <c r="G524" s="3" t="str">
        <f>IF([1]SCHEDULE!G524="","",[1]SCHEDULE!G524)</f>
        <v>A</v>
      </c>
      <c r="H524" s="3" t="str">
        <f>IF([1]SCHEDULE!H524="","",[1]SCHEDULE!H524)</f>
        <v>ASV</v>
      </c>
      <c r="I524" s="3" t="str">
        <f>IF([1]SCHEDULE!I524="","",[1]SCHEDULE!I524)</f>
        <v>12.MTA</v>
      </c>
      <c r="J524" s="3" t="str">
        <f>IF([1]SCHEDULE!J524="","",[1]SCHEDULE!J524)</f>
        <v>12.ASV</v>
      </c>
    </row>
    <row r="525" spans="2:10" x14ac:dyDescent="0.25">
      <c r="B525" s="3" t="str">
        <f>IF([1]SCHEDULE!B525="","",[1]SCHEDULE!B525)</f>
        <v>MTA</v>
      </c>
      <c r="C525" s="3">
        <f>IF([1]SCHEDULE!C525="","",[1]SCHEDULE!C525)</f>
        <v>13</v>
      </c>
      <c r="D525" s="1" t="str">
        <f>IF([1]SCHEDULE!D525="","",[1]SCHEDULE!D525)</f>
        <v>Maccabi Playtika Tel Aviv</v>
      </c>
      <c r="E525" s="1" t="str">
        <f>IF([1]SCHEDULE!E525="","",[1]SCHEDULE!E525)</f>
        <v>Virtus Segafredo Bologna</v>
      </c>
      <c r="F525" s="6">
        <f>IF([1]SCHEDULE!F525="","",[1]SCHEDULE!F525)</f>
        <v>45268</v>
      </c>
      <c r="G525" s="3" t="str">
        <f>IF([1]SCHEDULE!G525="","",[1]SCHEDULE!G525)</f>
        <v>A</v>
      </c>
      <c r="H525" s="3" t="str">
        <f>IF([1]SCHEDULE!H525="","",[1]SCHEDULE!H525)</f>
        <v>VIR</v>
      </c>
      <c r="I525" s="3" t="str">
        <f>IF([1]SCHEDULE!I525="","",[1]SCHEDULE!I525)</f>
        <v>13.MTA</v>
      </c>
      <c r="J525" s="3" t="str">
        <f>IF([1]SCHEDULE!J525="","",[1]SCHEDULE!J525)</f>
        <v>13.VIR</v>
      </c>
    </row>
    <row r="526" spans="2:10" x14ac:dyDescent="0.25">
      <c r="B526" s="3" t="str">
        <f>IF([1]SCHEDULE!B526="","",[1]SCHEDULE!B526)</f>
        <v>MTA</v>
      </c>
      <c r="C526" s="3">
        <f>IF([1]SCHEDULE!C526="","",[1]SCHEDULE!C526)</f>
        <v>14</v>
      </c>
      <c r="D526" s="1" t="str">
        <f>IF([1]SCHEDULE!D526="","",[1]SCHEDULE!D526)</f>
        <v>Maccabi Playtika Tel Aviv</v>
      </c>
      <c r="E526" s="1" t="str">
        <f>IF([1]SCHEDULE!E526="","",[1]SCHEDULE!E526)</f>
        <v>Anadolu Efes Istanbul</v>
      </c>
      <c r="F526" s="6">
        <f>IF([1]SCHEDULE!F526="","",[1]SCHEDULE!F526)</f>
        <v>45274</v>
      </c>
      <c r="G526" s="3" t="str">
        <f>IF([1]SCHEDULE!G526="","",[1]SCHEDULE!G526)</f>
        <v>A</v>
      </c>
      <c r="H526" s="3" t="str">
        <f>IF([1]SCHEDULE!H526="","",[1]SCHEDULE!H526)</f>
        <v>EFE</v>
      </c>
      <c r="I526" s="3" t="str">
        <f>IF([1]SCHEDULE!I526="","",[1]SCHEDULE!I526)</f>
        <v>14.MTA</v>
      </c>
      <c r="J526" s="3" t="str">
        <f>IF([1]SCHEDULE!J526="","",[1]SCHEDULE!J526)</f>
        <v>14.EFE</v>
      </c>
    </row>
    <row r="527" spans="2:10" x14ac:dyDescent="0.25">
      <c r="B527" s="3" t="str">
        <f>IF([1]SCHEDULE!B527="","",[1]SCHEDULE!B527)</f>
        <v>MTA</v>
      </c>
      <c r="C527" s="3">
        <f>IF([1]SCHEDULE!C527="","",[1]SCHEDULE!C527)</f>
        <v>15</v>
      </c>
      <c r="D527" s="1" t="str">
        <f>IF([1]SCHEDULE!D527="","",[1]SCHEDULE!D527)</f>
        <v>Maccabi Playtika Tel Aviv</v>
      </c>
      <c r="E527" s="1" t="str">
        <f>IF([1]SCHEDULE!E527="","",[1]SCHEDULE!E527)</f>
        <v>Baskonia Vitoria-Gasteiz</v>
      </c>
      <c r="F527" s="6">
        <f>IF([1]SCHEDULE!F527="","",[1]SCHEDULE!F527)</f>
        <v>45279</v>
      </c>
      <c r="G527" s="3" t="str">
        <f>IF([1]SCHEDULE!G527="","",[1]SCHEDULE!G527)</f>
        <v>H</v>
      </c>
      <c r="H527" s="3" t="str">
        <f>IF([1]SCHEDULE!H527="","",[1]SCHEDULE!H527)</f>
        <v>BAS</v>
      </c>
      <c r="I527" s="3" t="str">
        <f>IF([1]SCHEDULE!I527="","",[1]SCHEDULE!I527)</f>
        <v>15.MTA</v>
      </c>
      <c r="J527" s="3" t="str">
        <f>IF([1]SCHEDULE!J527="","",[1]SCHEDULE!J527)</f>
        <v>15.BAS</v>
      </c>
    </row>
    <row r="528" spans="2:10" x14ac:dyDescent="0.25">
      <c r="B528" s="3" t="str">
        <f>IF([1]SCHEDULE!B528="","",[1]SCHEDULE!B528)</f>
        <v>MTA</v>
      </c>
      <c r="C528" s="3">
        <f>IF([1]SCHEDULE!C528="","",[1]SCHEDULE!C528)</f>
        <v>16</v>
      </c>
      <c r="D528" s="1" t="str">
        <f>IF([1]SCHEDULE!D528="","",[1]SCHEDULE!D528)</f>
        <v>Maccabi Playtika Tel Aviv</v>
      </c>
      <c r="E528" s="1" t="str">
        <f>IF([1]SCHEDULE!E528="","",[1]SCHEDULE!E528)</f>
        <v>Crvena Zvezda Meridianbet Belgrade</v>
      </c>
      <c r="F528" s="6">
        <f>IF([1]SCHEDULE!F528="","",[1]SCHEDULE!F528)</f>
        <v>45281</v>
      </c>
      <c r="G528" s="3" t="str">
        <f>IF([1]SCHEDULE!G528="","",[1]SCHEDULE!G528)</f>
        <v>H</v>
      </c>
      <c r="H528" s="3" t="str">
        <f>IF([1]SCHEDULE!H528="","",[1]SCHEDULE!H528)</f>
        <v>CZB</v>
      </c>
      <c r="I528" s="3" t="str">
        <f>IF([1]SCHEDULE!I528="","",[1]SCHEDULE!I528)</f>
        <v>16.MTA</v>
      </c>
      <c r="J528" s="3" t="str">
        <f>IF([1]SCHEDULE!J528="","",[1]SCHEDULE!J528)</f>
        <v>16.CZB</v>
      </c>
    </row>
    <row r="529" spans="2:10" x14ac:dyDescent="0.25">
      <c r="B529" s="3" t="str">
        <f>IF([1]SCHEDULE!B529="","",[1]SCHEDULE!B529)</f>
        <v>MTA</v>
      </c>
      <c r="C529" s="3">
        <f>IF([1]SCHEDULE!C529="","",[1]SCHEDULE!C529)</f>
        <v>17</v>
      </c>
      <c r="D529" s="1" t="str">
        <f>IF([1]SCHEDULE!D529="","",[1]SCHEDULE!D529)</f>
        <v>Maccabi Playtika Tel Aviv</v>
      </c>
      <c r="E529" s="1" t="str">
        <f>IF([1]SCHEDULE!E529="","",[1]SCHEDULE!E529)</f>
        <v>Zalgiris Kaunas</v>
      </c>
      <c r="F529" s="6">
        <f>IF([1]SCHEDULE!F529="","",[1]SCHEDULE!F529)</f>
        <v>45288</v>
      </c>
      <c r="G529" s="3" t="str">
        <f>IF([1]SCHEDULE!G529="","",[1]SCHEDULE!G529)</f>
        <v>A</v>
      </c>
      <c r="H529" s="3" t="str">
        <f>IF([1]SCHEDULE!H529="","",[1]SCHEDULE!H529)</f>
        <v>ZAL</v>
      </c>
      <c r="I529" s="3" t="str">
        <f>IF([1]SCHEDULE!I529="","",[1]SCHEDULE!I529)</f>
        <v>17.MTA</v>
      </c>
      <c r="J529" s="3" t="str">
        <f>IF([1]SCHEDULE!J529="","",[1]SCHEDULE!J529)</f>
        <v>17.ZAL</v>
      </c>
    </row>
    <row r="530" spans="2:10" x14ac:dyDescent="0.25">
      <c r="B530" s="3" t="str">
        <f>IF([1]SCHEDULE!B530="","",[1]SCHEDULE!B530)</f>
        <v>MTA</v>
      </c>
      <c r="C530" s="3">
        <f>IF([1]SCHEDULE!C530="","",[1]SCHEDULE!C530)</f>
        <v>18</v>
      </c>
      <c r="D530" s="1" t="str">
        <f>IF([1]SCHEDULE!D530="","",[1]SCHEDULE!D530)</f>
        <v>Maccabi Playtika Tel Aviv</v>
      </c>
      <c r="E530" s="1" t="str">
        <f>IF([1]SCHEDULE!E530="","",[1]SCHEDULE!E530)</f>
        <v>AS Monaco</v>
      </c>
      <c r="F530" s="6">
        <f>IF([1]SCHEDULE!F530="","",[1]SCHEDULE!F530)</f>
        <v>45293</v>
      </c>
      <c r="G530" s="3" t="str">
        <f>IF([1]SCHEDULE!G530="","",[1]SCHEDULE!G530)</f>
        <v>H</v>
      </c>
      <c r="H530" s="3" t="str">
        <f>IF([1]SCHEDULE!H530="","",[1]SCHEDULE!H530)</f>
        <v>ASM</v>
      </c>
      <c r="I530" s="3" t="str">
        <f>IF([1]SCHEDULE!I530="","",[1]SCHEDULE!I530)</f>
        <v>18.MTA</v>
      </c>
      <c r="J530" s="3" t="str">
        <f>IF([1]SCHEDULE!J530="","",[1]SCHEDULE!J530)</f>
        <v>18.ASM</v>
      </c>
    </row>
    <row r="531" spans="2:10" x14ac:dyDescent="0.25">
      <c r="B531" s="3" t="str">
        <f>IF([1]SCHEDULE!B531="","",[1]SCHEDULE!B531)</f>
        <v>MTA</v>
      </c>
      <c r="C531" s="3">
        <f>IF([1]SCHEDULE!C531="","",[1]SCHEDULE!C531)</f>
        <v>19</v>
      </c>
      <c r="D531" s="1" t="str">
        <f>IF([1]SCHEDULE!D531="","",[1]SCHEDULE!D531)</f>
        <v>Maccabi Playtika Tel Aviv</v>
      </c>
      <c r="E531" s="1" t="str">
        <f>IF([1]SCHEDULE!E531="","",[1]SCHEDULE!E531)</f>
        <v>Fenerbahce Beko Istanbul</v>
      </c>
      <c r="F531" s="6">
        <f>IF([1]SCHEDULE!F531="","",[1]SCHEDULE!F531)</f>
        <v>45295</v>
      </c>
      <c r="G531" s="3" t="str">
        <f>IF([1]SCHEDULE!G531="","",[1]SCHEDULE!G531)</f>
        <v>H</v>
      </c>
      <c r="H531" s="3" t="str">
        <f>IF([1]SCHEDULE!H531="","",[1]SCHEDULE!H531)</f>
        <v>FEN</v>
      </c>
      <c r="I531" s="3" t="str">
        <f>IF([1]SCHEDULE!I531="","",[1]SCHEDULE!I531)</f>
        <v>19.MTA</v>
      </c>
      <c r="J531" s="3" t="str">
        <f>IF([1]SCHEDULE!J531="","",[1]SCHEDULE!J531)</f>
        <v>19.FEN</v>
      </c>
    </row>
    <row r="532" spans="2:10" x14ac:dyDescent="0.25">
      <c r="B532" s="3" t="str">
        <f>IF([1]SCHEDULE!B532="","",[1]SCHEDULE!B532)</f>
        <v>MTA</v>
      </c>
      <c r="C532" s="3">
        <f>IF([1]SCHEDULE!C532="","",[1]SCHEDULE!C532)</f>
        <v>20</v>
      </c>
      <c r="D532" s="1" t="str">
        <f>IF([1]SCHEDULE!D532="","",[1]SCHEDULE!D532)</f>
        <v>Maccabi Playtika Tel Aviv</v>
      </c>
      <c r="E532" s="1" t="str">
        <f>IF([1]SCHEDULE!E532="","",[1]SCHEDULE!E532)</f>
        <v>Virtus Segafredo Bologna</v>
      </c>
      <c r="F532" s="6">
        <f>IF([1]SCHEDULE!F532="","",[1]SCHEDULE!F532)</f>
        <v>45301</v>
      </c>
      <c r="G532" s="3" t="str">
        <f>IF([1]SCHEDULE!G532="","",[1]SCHEDULE!G532)</f>
        <v>H</v>
      </c>
      <c r="H532" s="3" t="str">
        <f>IF([1]SCHEDULE!H532="","",[1]SCHEDULE!H532)</f>
        <v>VIR</v>
      </c>
      <c r="I532" s="3" t="str">
        <f>IF([1]SCHEDULE!I532="","",[1]SCHEDULE!I532)</f>
        <v>20.MTA</v>
      </c>
      <c r="J532" s="3" t="str">
        <f>IF([1]SCHEDULE!J532="","",[1]SCHEDULE!J532)</f>
        <v>20.VIR</v>
      </c>
    </row>
    <row r="533" spans="2:10" x14ac:dyDescent="0.25">
      <c r="B533" s="3" t="str">
        <f>IF([1]SCHEDULE!B533="","",[1]SCHEDULE!B533)</f>
        <v>MTA</v>
      </c>
      <c r="C533" s="3">
        <f>IF([1]SCHEDULE!C533="","",[1]SCHEDULE!C533)</f>
        <v>21</v>
      </c>
      <c r="D533" s="1" t="str">
        <f>IF([1]SCHEDULE!D533="","",[1]SCHEDULE!D533)</f>
        <v>Maccabi Playtika Tel Aviv</v>
      </c>
      <c r="E533" s="1" t="str">
        <f>IF([1]SCHEDULE!E533="","",[1]SCHEDULE!E533)</f>
        <v>Partizan Mozzart Bet Belgrade</v>
      </c>
      <c r="F533" s="6">
        <f>IF([1]SCHEDULE!F533="","",[1]SCHEDULE!F533)</f>
        <v>45303</v>
      </c>
      <c r="G533" s="3" t="str">
        <f>IF([1]SCHEDULE!G533="","",[1]SCHEDULE!G533)</f>
        <v>A</v>
      </c>
      <c r="H533" s="3" t="str">
        <f>IF([1]SCHEDULE!H533="","",[1]SCHEDULE!H533)</f>
        <v>PAR</v>
      </c>
      <c r="I533" s="3" t="str">
        <f>IF([1]SCHEDULE!I533="","",[1]SCHEDULE!I533)</f>
        <v>21.MTA</v>
      </c>
      <c r="J533" s="3" t="str">
        <f>IF([1]SCHEDULE!J533="","",[1]SCHEDULE!J533)</f>
        <v>21.PAR</v>
      </c>
    </row>
    <row r="534" spans="2:10" x14ac:dyDescent="0.25">
      <c r="B534" s="3" t="str">
        <f>IF([1]SCHEDULE!B534="","",[1]SCHEDULE!B534)</f>
        <v>MTA</v>
      </c>
      <c r="C534" s="3">
        <f>IF([1]SCHEDULE!C534="","",[1]SCHEDULE!C534)</f>
        <v>22</v>
      </c>
      <c r="D534" s="1" t="str">
        <f>IF([1]SCHEDULE!D534="","",[1]SCHEDULE!D534)</f>
        <v>Maccabi Playtika Tel Aviv</v>
      </c>
      <c r="E534" s="1" t="str">
        <f>IF([1]SCHEDULE!E534="","",[1]SCHEDULE!E534)</f>
        <v>Olympiacos Piraeus</v>
      </c>
      <c r="F534" s="6">
        <f>IF([1]SCHEDULE!F534="","",[1]SCHEDULE!F534)</f>
        <v>45309</v>
      </c>
      <c r="G534" s="3" t="str">
        <f>IF([1]SCHEDULE!G534="","",[1]SCHEDULE!G534)</f>
        <v>A</v>
      </c>
      <c r="H534" s="3" t="str">
        <f>IF([1]SCHEDULE!H534="","",[1]SCHEDULE!H534)</f>
        <v>OLY</v>
      </c>
      <c r="I534" s="3" t="str">
        <f>IF([1]SCHEDULE!I534="","",[1]SCHEDULE!I534)</f>
        <v>22.MTA</v>
      </c>
      <c r="J534" s="3" t="str">
        <f>IF([1]SCHEDULE!J534="","",[1]SCHEDULE!J534)</f>
        <v>22.OLY</v>
      </c>
    </row>
    <row r="535" spans="2:10" x14ac:dyDescent="0.25">
      <c r="B535" s="3" t="str">
        <f>IF([1]SCHEDULE!B535="","",[1]SCHEDULE!B535)</f>
        <v>MTA</v>
      </c>
      <c r="C535" s="3">
        <f>IF([1]SCHEDULE!C535="","",[1]SCHEDULE!C535)</f>
        <v>23</v>
      </c>
      <c r="D535" s="1" t="str">
        <f>IF([1]SCHEDULE!D535="","",[1]SCHEDULE!D535)</f>
        <v>Maccabi Playtika Tel Aviv</v>
      </c>
      <c r="E535" s="1" t="str">
        <f>IF([1]SCHEDULE!E535="","",[1]SCHEDULE!E535)</f>
        <v>Panathinaikos Athens</v>
      </c>
      <c r="F535" s="6">
        <f>IF([1]SCHEDULE!F535="","",[1]SCHEDULE!F535)</f>
        <v>45316</v>
      </c>
      <c r="G535" s="3" t="str">
        <f>IF([1]SCHEDULE!G535="","",[1]SCHEDULE!G535)</f>
        <v>H</v>
      </c>
      <c r="H535" s="3" t="str">
        <f>IF([1]SCHEDULE!H535="","",[1]SCHEDULE!H535)</f>
        <v>PAN</v>
      </c>
      <c r="I535" s="3" t="str">
        <f>IF([1]SCHEDULE!I535="","",[1]SCHEDULE!I535)</f>
        <v>23.MTA</v>
      </c>
      <c r="J535" s="3" t="str">
        <f>IF([1]SCHEDULE!J535="","",[1]SCHEDULE!J535)</f>
        <v>23.PAN</v>
      </c>
    </row>
    <row r="536" spans="2:10" x14ac:dyDescent="0.25">
      <c r="B536" s="3" t="str">
        <f>IF([1]SCHEDULE!B536="","",[1]SCHEDULE!B536)</f>
        <v>MTA</v>
      </c>
      <c r="C536" s="3">
        <f>IF([1]SCHEDULE!C536="","",[1]SCHEDULE!C536)</f>
        <v>24</v>
      </c>
      <c r="D536" s="1" t="str">
        <f>IF([1]SCHEDULE!D536="","",[1]SCHEDULE!D536)</f>
        <v>Maccabi Playtika Tel Aviv</v>
      </c>
      <c r="E536" s="1" t="str">
        <f>IF([1]SCHEDULE!E536="","",[1]SCHEDULE!E536)</f>
        <v>Real Madrid</v>
      </c>
      <c r="F536" s="6">
        <f>IF([1]SCHEDULE!F536="","",[1]SCHEDULE!F536)</f>
        <v>45321</v>
      </c>
      <c r="G536" s="3" t="str">
        <f>IF([1]SCHEDULE!G536="","",[1]SCHEDULE!G536)</f>
        <v>A</v>
      </c>
      <c r="H536" s="3" t="str">
        <f>IF([1]SCHEDULE!H536="","",[1]SCHEDULE!H536)</f>
        <v>RMB</v>
      </c>
      <c r="I536" s="3" t="str">
        <f>IF([1]SCHEDULE!I536="","",[1]SCHEDULE!I536)</f>
        <v>24.MTA</v>
      </c>
      <c r="J536" s="3" t="str">
        <f>IF([1]SCHEDULE!J536="","",[1]SCHEDULE!J536)</f>
        <v>24.RMB</v>
      </c>
    </row>
    <row r="537" spans="2:10" x14ac:dyDescent="0.25">
      <c r="B537" s="3" t="str">
        <f>IF([1]SCHEDULE!B537="","",[1]SCHEDULE!B537)</f>
        <v>MTA</v>
      </c>
      <c r="C537" s="3">
        <f>IF([1]SCHEDULE!C537="","",[1]SCHEDULE!C537)</f>
        <v>25</v>
      </c>
      <c r="D537" s="1" t="str">
        <f>IF([1]SCHEDULE!D537="","",[1]SCHEDULE!D537)</f>
        <v>Maccabi Playtika Tel Aviv</v>
      </c>
      <c r="E537" s="1" t="str">
        <f>IF([1]SCHEDULE!E537="","",[1]SCHEDULE!E537)</f>
        <v>Baskonia Vitoria-Gasteiz</v>
      </c>
      <c r="F537" s="6">
        <f>IF([1]SCHEDULE!F537="","",[1]SCHEDULE!F537)</f>
        <v>45323</v>
      </c>
      <c r="G537" s="3" t="str">
        <f>IF([1]SCHEDULE!G537="","",[1]SCHEDULE!G537)</f>
        <v>A</v>
      </c>
      <c r="H537" s="3" t="str">
        <f>IF([1]SCHEDULE!H537="","",[1]SCHEDULE!H537)</f>
        <v>BAS</v>
      </c>
      <c r="I537" s="3" t="str">
        <f>IF([1]SCHEDULE!I537="","",[1]SCHEDULE!I537)</f>
        <v>25.MTA</v>
      </c>
      <c r="J537" s="3" t="str">
        <f>IF([1]SCHEDULE!J537="","",[1]SCHEDULE!J537)</f>
        <v>25.BAS</v>
      </c>
    </row>
    <row r="538" spans="2:10" x14ac:dyDescent="0.25">
      <c r="B538" s="3" t="str">
        <f>IF([1]SCHEDULE!B538="","",[1]SCHEDULE!B538)</f>
        <v>MTA</v>
      </c>
      <c r="C538" s="3">
        <f>IF([1]SCHEDULE!C538="","",[1]SCHEDULE!C538)</f>
        <v>26</v>
      </c>
      <c r="D538" s="1" t="str">
        <f>IF([1]SCHEDULE!D538="","",[1]SCHEDULE!D538)</f>
        <v>Maccabi Playtika Tel Aviv</v>
      </c>
      <c r="E538" s="1" t="str">
        <f>IF([1]SCHEDULE!E538="","",[1]SCHEDULE!E538)</f>
        <v>Anadolu Efes Istanbul</v>
      </c>
      <c r="F538" s="6">
        <f>IF([1]SCHEDULE!F538="","",[1]SCHEDULE!F538)</f>
        <v>45330</v>
      </c>
      <c r="G538" s="3" t="str">
        <f>IF([1]SCHEDULE!G538="","",[1]SCHEDULE!G538)</f>
        <v>H</v>
      </c>
      <c r="H538" s="3" t="str">
        <f>IF([1]SCHEDULE!H538="","",[1]SCHEDULE!H538)</f>
        <v>EFE</v>
      </c>
      <c r="I538" s="3" t="str">
        <f>IF([1]SCHEDULE!I538="","",[1]SCHEDULE!I538)</f>
        <v>26.MTA</v>
      </c>
      <c r="J538" s="3" t="str">
        <f>IF([1]SCHEDULE!J538="","",[1]SCHEDULE!J538)</f>
        <v>26.EFE</v>
      </c>
    </row>
    <row r="539" spans="2:10" x14ac:dyDescent="0.25">
      <c r="B539" s="3" t="str">
        <f>IF([1]SCHEDULE!B539="","",[1]SCHEDULE!B539)</f>
        <v>MTA</v>
      </c>
      <c r="C539" s="3">
        <f>IF([1]SCHEDULE!C539="","",[1]SCHEDULE!C539)</f>
        <v>27</v>
      </c>
      <c r="D539" s="1" t="str">
        <f>IF([1]SCHEDULE!D539="","",[1]SCHEDULE!D539)</f>
        <v>Maccabi Playtika Tel Aviv</v>
      </c>
      <c r="E539" s="1" t="str">
        <f>IF([1]SCHEDULE!E539="","",[1]SCHEDULE!E539)</f>
        <v>ALBA Berlin</v>
      </c>
      <c r="F539" s="6">
        <f>IF([1]SCHEDULE!F539="","",[1]SCHEDULE!F539)</f>
        <v>45351</v>
      </c>
      <c r="G539" s="3" t="str">
        <f>IF([1]SCHEDULE!G539="","",[1]SCHEDULE!G539)</f>
        <v>A</v>
      </c>
      <c r="H539" s="3" t="str">
        <f>IF([1]SCHEDULE!H539="","",[1]SCHEDULE!H539)</f>
        <v>BER</v>
      </c>
      <c r="I539" s="3" t="str">
        <f>IF([1]SCHEDULE!I539="","",[1]SCHEDULE!I539)</f>
        <v>27.MTA</v>
      </c>
      <c r="J539" s="3" t="str">
        <f>IF([1]SCHEDULE!J539="","",[1]SCHEDULE!J539)</f>
        <v>27.BER</v>
      </c>
    </row>
    <row r="540" spans="2:10" x14ac:dyDescent="0.25">
      <c r="B540" s="3" t="str">
        <f>IF([1]SCHEDULE!B540="","",[1]SCHEDULE!B540)</f>
        <v>MTA</v>
      </c>
      <c r="C540" s="3">
        <f>IF([1]SCHEDULE!C540="","",[1]SCHEDULE!C540)</f>
        <v>28</v>
      </c>
      <c r="D540" s="1" t="str">
        <f>IF([1]SCHEDULE!D540="","",[1]SCHEDULE!D540)</f>
        <v>Maccabi Playtika Tel Aviv</v>
      </c>
      <c r="E540" s="1" t="str">
        <f>IF([1]SCHEDULE!E540="","",[1]SCHEDULE!E540)</f>
        <v>Zalgiris Kaunas</v>
      </c>
      <c r="F540" s="6">
        <f>IF([1]SCHEDULE!F540="","",[1]SCHEDULE!F540)</f>
        <v>45358</v>
      </c>
      <c r="G540" s="3" t="str">
        <f>IF([1]SCHEDULE!G540="","",[1]SCHEDULE!G540)</f>
        <v>H</v>
      </c>
      <c r="H540" s="3" t="str">
        <f>IF([1]SCHEDULE!H540="","",[1]SCHEDULE!H540)</f>
        <v>ZAL</v>
      </c>
      <c r="I540" s="3" t="str">
        <f>IF([1]SCHEDULE!I540="","",[1]SCHEDULE!I540)</f>
        <v>28.MTA</v>
      </c>
      <c r="J540" s="3" t="str">
        <f>IF([1]SCHEDULE!J540="","",[1]SCHEDULE!J540)</f>
        <v>28.ZAL</v>
      </c>
    </row>
    <row r="541" spans="2:10" x14ac:dyDescent="0.25">
      <c r="B541" s="3" t="str">
        <f>IF([1]SCHEDULE!B541="","",[1]SCHEDULE!B541)</f>
        <v>MTA</v>
      </c>
      <c r="C541" s="3">
        <f>IF([1]SCHEDULE!C541="","",[1]SCHEDULE!C541)</f>
        <v>29</v>
      </c>
      <c r="D541" s="1" t="str">
        <f>IF([1]SCHEDULE!D541="","",[1]SCHEDULE!D541)</f>
        <v>Maccabi Playtika Tel Aviv</v>
      </c>
      <c r="E541" s="1" t="str">
        <f>IF([1]SCHEDULE!E541="","",[1]SCHEDULE!E541)</f>
        <v>Crvena Zvezda Meridianbet Belgrade</v>
      </c>
      <c r="F541" s="6">
        <f>IF([1]SCHEDULE!F541="","",[1]SCHEDULE!F541)</f>
        <v>45365</v>
      </c>
      <c r="G541" s="3" t="str">
        <f>IF([1]SCHEDULE!G541="","",[1]SCHEDULE!G541)</f>
        <v>A</v>
      </c>
      <c r="H541" s="3" t="str">
        <f>IF([1]SCHEDULE!H541="","",[1]SCHEDULE!H541)</f>
        <v>CZB</v>
      </c>
      <c r="I541" s="3" t="str">
        <f>IF([1]SCHEDULE!I541="","",[1]SCHEDULE!I541)</f>
        <v>29.MTA</v>
      </c>
      <c r="J541" s="3" t="str">
        <f>IF([1]SCHEDULE!J541="","",[1]SCHEDULE!J541)</f>
        <v>29.CZB</v>
      </c>
    </row>
    <row r="542" spans="2:10" x14ac:dyDescent="0.25">
      <c r="B542" s="3" t="str">
        <f>IF([1]SCHEDULE!B542="","",[1]SCHEDULE!B542)</f>
        <v>MTA</v>
      </c>
      <c r="C542" s="3">
        <f>IF([1]SCHEDULE!C542="","",[1]SCHEDULE!C542)</f>
        <v>30</v>
      </c>
      <c r="D542" s="1" t="str">
        <f>IF([1]SCHEDULE!D542="","",[1]SCHEDULE!D542)</f>
        <v>Maccabi Playtika Tel Aviv</v>
      </c>
      <c r="E542" s="1" t="str">
        <f>IF([1]SCHEDULE!E542="","",[1]SCHEDULE!E542)</f>
        <v>LDLC ASVEL Villeurbanne</v>
      </c>
      <c r="F542" s="6">
        <f>IF([1]SCHEDULE!F542="","",[1]SCHEDULE!F542)</f>
        <v>45370</v>
      </c>
      <c r="G542" s="3" t="str">
        <f>IF([1]SCHEDULE!G542="","",[1]SCHEDULE!G542)</f>
        <v>H</v>
      </c>
      <c r="H542" s="3" t="str">
        <f>IF([1]SCHEDULE!H542="","",[1]SCHEDULE!H542)</f>
        <v>ASV</v>
      </c>
      <c r="I542" s="3" t="str">
        <f>IF([1]SCHEDULE!I542="","",[1]SCHEDULE!I542)</f>
        <v>30.MTA</v>
      </c>
      <c r="J542" s="3" t="str">
        <f>IF([1]SCHEDULE!J542="","",[1]SCHEDULE!J542)</f>
        <v>30.ASV</v>
      </c>
    </row>
    <row r="543" spans="2:10" x14ac:dyDescent="0.25">
      <c r="B543" s="3" t="str">
        <f>IF([1]SCHEDULE!B543="","",[1]SCHEDULE!B543)</f>
        <v>MTA</v>
      </c>
      <c r="C543" s="3">
        <f>IF([1]SCHEDULE!C543="","",[1]SCHEDULE!C543)</f>
        <v>31</v>
      </c>
      <c r="D543" s="1" t="str">
        <f>IF([1]SCHEDULE!D543="","",[1]SCHEDULE!D543)</f>
        <v>Maccabi Playtika Tel Aviv</v>
      </c>
      <c r="E543" s="1" t="str">
        <f>IF([1]SCHEDULE!E543="","",[1]SCHEDULE!E543)</f>
        <v>FC Bayern Munich</v>
      </c>
      <c r="F543" s="6">
        <f>IF([1]SCHEDULE!F543="","",[1]SCHEDULE!F543)</f>
        <v>45373</v>
      </c>
      <c r="G543" s="3" t="str">
        <f>IF([1]SCHEDULE!G543="","",[1]SCHEDULE!G543)</f>
        <v>A</v>
      </c>
      <c r="H543" s="3" t="str">
        <f>IF([1]SCHEDULE!H543="","",[1]SCHEDULE!H543)</f>
        <v>BAY</v>
      </c>
      <c r="I543" s="3" t="str">
        <f>IF([1]SCHEDULE!I543="","",[1]SCHEDULE!I543)</f>
        <v>31.MTA</v>
      </c>
      <c r="J543" s="3" t="str">
        <f>IF([1]SCHEDULE!J543="","",[1]SCHEDULE!J543)</f>
        <v>31.BAY</v>
      </c>
    </row>
    <row r="544" spans="2:10" x14ac:dyDescent="0.25">
      <c r="B544" s="3" t="str">
        <f>IF([1]SCHEDULE!B544="","",[1]SCHEDULE!B544)</f>
        <v>MTA</v>
      </c>
      <c r="C544" s="3">
        <f>IF([1]SCHEDULE!C544="","",[1]SCHEDULE!C544)</f>
        <v>32</v>
      </c>
      <c r="D544" s="1" t="str">
        <f>IF([1]SCHEDULE!D544="","",[1]SCHEDULE!D544)</f>
        <v>Maccabi Playtika Tel Aviv</v>
      </c>
      <c r="E544" s="1" t="str">
        <f>IF([1]SCHEDULE!E544="","",[1]SCHEDULE!E544)</f>
        <v>Valencia Basket</v>
      </c>
      <c r="F544" s="6">
        <f>IF([1]SCHEDULE!F544="","",[1]SCHEDULE!F544)</f>
        <v>45379</v>
      </c>
      <c r="G544" s="3" t="str">
        <f>IF([1]SCHEDULE!G544="","",[1]SCHEDULE!G544)</f>
        <v>A</v>
      </c>
      <c r="H544" s="3" t="str">
        <f>IF([1]SCHEDULE!H544="","",[1]SCHEDULE!H544)</f>
        <v>VAL</v>
      </c>
      <c r="I544" s="3" t="str">
        <f>IF([1]SCHEDULE!I544="","",[1]SCHEDULE!I544)</f>
        <v>32.MTA</v>
      </c>
      <c r="J544" s="3" t="str">
        <f>IF([1]SCHEDULE!J544="","",[1]SCHEDULE!J544)</f>
        <v>32.VAL</v>
      </c>
    </row>
    <row r="545" spans="2:10" x14ac:dyDescent="0.25">
      <c r="B545" s="3" t="str">
        <f>IF([1]SCHEDULE!B545="","",[1]SCHEDULE!B545)</f>
        <v>MTA</v>
      </c>
      <c r="C545" s="3">
        <f>IF([1]SCHEDULE!C545="","",[1]SCHEDULE!C545)</f>
        <v>33</v>
      </c>
      <c r="D545" s="1" t="str">
        <f>IF([1]SCHEDULE!D545="","",[1]SCHEDULE!D545)</f>
        <v>Maccabi Playtika Tel Aviv</v>
      </c>
      <c r="E545" s="1" t="str">
        <f>IF([1]SCHEDULE!E545="","",[1]SCHEDULE!E545)</f>
        <v>FC Barcelona</v>
      </c>
      <c r="F545" s="6">
        <f>IF([1]SCHEDULE!F545="","",[1]SCHEDULE!F545)</f>
        <v>45386</v>
      </c>
      <c r="G545" s="3" t="str">
        <f>IF([1]SCHEDULE!G545="","",[1]SCHEDULE!G545)</f>
        <v>A</v>
      </c>
      <c r="H545" s="3" t="str">
        <f>IF([1]SCHEDULE!H545="","",[1]SCHEDULE!H545)</f>
        <v>FCB</v>
      </c>
      <c r="I545" s="3" t="str">
        <f>IF([1]SCHEDULE!I545="","",[1]SCHEDULE!I545)</f>
        <v>33.MTA</v>
      </c>
      <c r="J545" s="3" t="str">
        <f>IF([1]SCHEDULE!J545="","",[1]SCHEDULE!J545)</f>
        <v>33.FCB</v>
      </c>
    </row>
    <row r="546" spans="2:10" x14ac:dyDescent="0.25">
      <c r="B546" s="3" t="str">
        <f>IF([1]SCHEDULE!B546="","",[1]SCHEDULE!B546)</f>
        <v>MTA</v>
      </c>
      <c r="C546" s="3">
        <f>IF([1]SCHEDULE!C546="","",[1]SCHEDULE!C546)</f>
        <v>34</v>
      </c>
      <c r="D546" s="1" t="str">
        <f>IF([1]SCHEDULE!D546="","",[1]SCHEDULE!D546)</f>
        <v>Maccabi Playtika Tel Aviv</v>
      </c>
      <c r="E546" s="1" t="str">
        <f>IF([1]SCHEDULE!E546="","",[1]SCHEDULE!E546)</f>
        <v>EA7 Emporio Armani Milan</v>
      </c>
      <c r="F546" s="6">
        <f>IF([1]SCHEDULE!F546="","",[1]SCHEDULE!F546)</f>
        <v>45393</v>
      </c>
      <c r="G546" s="3" t="str">
        <f>IF([1]SCHEDULE!G546="","",[1]SCHEDULE!G546)</f>
        <v>H</v>
      </c>
      <c r="H546" s="3" t="str">
        <f>IF([1]SCHEDULE!H546="","",[1]SCHEDULE!H546)</f>
        <v>MIL</v>
      </c>
      <c r="I546" s="3" t="str">
        <f>IF([1]SCHEDULE!I546="","",[1]SCHEDULE!I546)</f>
        <v>34.MTA</v>
      </c>
      <c r="J546" s="3" t="str">
        <f>IF([1]SCHEDULE!J546="","",[1]SCHEDULE!J546)</f>
        <v>34.MIL</v>
      </c>
    </row>
    <row r="547" spans="2:10" x14ac:dyDescent="0.25">
      <c r="B547" s="3" t="str">
        <f>IF([1]SCHEDULE!B547="","",[1]SCHEDULE!B547)</f>
        <v>MTA</v>
      </c>
      <c r="C547" s="3">
        <f>IF([1]SCHEDULE!C547="","",[1]SCHEDULE!C547)</f>
        <v>35</v>
      </c>
      <c r="D547" s="1" t="str">
        <f>IF([1]SCHEDULE!D547="","",[1]SCHEDULE!D547)</f>
        <v>Maccabi Playtika Tel Aviv</v>
      </c>
      <c r="E547" s="1" t="str">
        <f>IF([1]SCHEDULE!E547="","",[1]SCHEDULE!E547)</f>
        <v/>
      </c>
      <c r="F547" s="6" t="str">
        <f>IF([1]SCHEDULE!F547="","",[1]SCHEDULE!F547)</f>
        <v/>
      </c>
      <c r="G547" s="3" t="str">
        <f>IF([1]SCHEDULE!G547="","",[1]SCHEDULE!G547)</f>
        <v/>
      </c>
      <c r="H547" s="3" t="str">
        <f>IF([1]SCHEDULE!H547="","",[1]SCHEDULE!H547)</f>
        <v/>
      </c>
      <c r="I547" s="3" t="str">
        <f>IF([1]SCHEDULE!I547="","",[1]SCHEDULE!I547)</f>
        <v/>
      </c>
      <c r="J547" s="3" t="str">
        <f>IF([1]SCHEDULE!J547="","",[1]SCHEDULE!J547)</f>
        <v/>
      </c>
    </row>
    <row r="548" spans="2:10" x14ac:dyDescent="0.25">
      <c r="B548" s="3" t="str">
        <f>IF([1]SCHEDULE!B548="","",[1]SCHEDULE!B548)</f>
        <v>MTA</v>
      </c>
      <c r="C548" s="3">
        <f>IF([1]SCHEDULE!C548="","",[1]SCHEDULE!C548)</f>
        <v>36</v>
      </c>
      <c r="D548" s="1" t="str">
        <f>IF([1]SCHEDULE!D548="","",[1]SCHEDULE!D548)</f>
        <v>Maccabi Playtika Tel Aviv</v>
      </c>
      <c r="E548" s="1" t="str">
        <f>IF([1]SCHEDULE!E548="","",[1]SCHEDULE!E548)</f>
        <v/>
      </c>
      <c r="F548" s="6" t="str">
        <f>IF([1]SCHEDULE!F548="","",[1]SCHEDULE!F548)</f>
        <v/>
      </c>
      <c r="G548" s="3" t="str">
        <f>IF([1]SCHEDULE!G548="","",[1]SCHEDULE!G548)</f>
        <v/>
      </c>
      <c r="H548" s="3" t="str">
        <f>IF([1]SCHEDULE!H548="","",[1]SCHEDULE!H548)</f>
        <v/>
      </c>
      <c r="I548" s="3" t="str">
        <f>IF([1]SCHEDULE!I548="","",[1]SCHEDULE!I548)</f>
        <v/>
      </c>
      <c r="J548" s="3" t="str">
        <f>IF([1]SCHEDULE!J548="","",[1]SCHEDULE!J548)</f>
        <v/>
      </c>
    </row>
    <row r="549" spans="2:10" x14ac:dyDescent="0.25">
      <c r="B549" s="3" t="str">
        <f>IF([1]SCHEDULE!B549="","",[1]SCHEDULE!B549)</f>
        <v>MTA</v>
      </c>
      <c r="C549" s="3">
        <f>IF([1]SCHEDULE!C549="","",[1]SCHEDULE!C549)</f>
        <v>37</v>
      </c>
      <c r="D549" s="1" t="str">
        <f>IF([1]SCHEDULE!D549="","",[1]SCHEDULE!D549)</f>
        <v>Maccabi Playtika Tel Aviv</v>
      </c>
      <c r="E549" s="1" t="str">
        <f>IF([1]SCHEDULE!E549="","",[1]SCHEDULE!E549)</f>
        <v/>
      </c>
      <c r="F549" s="6" t="str">
        <f>IF([1]SCHEDULE!F549="","",[1]SCHEDULE!F549)</f>
        <v/>
      </c>
      <c r="G549" s="3" t="str">
        <f>IF([1]SCHEDULE!G549="","",[1]SCHEDULE!G549)</f>
        <v/>
      </c>
      <c r="H549" s="3" t="str">
        <f>IF([1]SCHEDULE!H549="","",[1]SCHEDULE!H549)</f>
        <v/>
      </c>
      <c r="I549" s="3" t="str">
        <f>IF([1]SCHEDULE!I549="","",[1]SCHEDULE!I549)</f>
        <v/>
      </c>
      <c r="J549" s="3" t="str">
        <f>IF([1]SCHEDULE!J549="","",[1]SCHEDULE!J549)</f>
        <v/>
      </c>
    </row>
    <row r="550" spans="2:10" x14ac:dyDescent="0.25">
      <c r="B550" s="3" t="str">
        <f>IF([1]SCHEDULE!B550="","",[1]SCHEDULE!B550)</f>
        <v>MTA</v>
      </c>
      <c r="C550" s="3">
        <f>IF([1]SCHEDULE!C550="","",[1]SCHEDULE!C550)</f>
        <v>38</v>
      </c>
      <c r="D550" s="1" t="str">
        <f>IF([1]SCHEDULE!D550="","",[1]SCHEDULE!D550)</f>
        <v>Maccabi Playtika Tel Aviv</v>
      </c>
      <c r="E550" s="1" t="str">
        <f>IF([1]SCHEDULE!E550="","",[1]SCHEDULE!E550)</f>
        <v/>
      </c>
      <c r="F550" s="6" t="str">
        <f>IF([1]SCHEDULE!F550="","",[1]SCHEDULE!F550)</f>
        <v/>
      </c>
      <c r="G550" s="3" t="str">
        <f>IF([1]SCHEDULE!G550="","",[1]SCHEDULE!G550)</f>
        <v/>
      </c>
      <c r="H550" s="3" t="str">
        <f>IF([1]SCHEDULE!H550="","",[1]SCHEDULE!H550)</f>
        <v/>
      </c>
      <c r="I550" s="3" t="str">
        <f>IF([1]SCHEDULE!I550="","",[1]SCHEDULE!I550)</f>
        <v/>
      </c>
      <c r="J550" s="3" t="str">
        <f>IF([1]SCHEDULE!J550="","",[1]SCHEDULE!J550)</f>
        <v/>
      </c>
    </row>
    <row r="551" spans="2:10" x14ac:dyDescent="0.25">
      <c r="B551" s="3" t="str">
        <f>IF([1]SCHEDULE!B551="","",[1]SCHEDULE!B551)</f>
        <v>MTA</v>
      </c>
      <c r="C551" s="3">
        <f>IF([1]SCHEDULE!C551="","",[1]SCHEDULE!C551)</f>
        <v>39</v>
      </c>
      <c r="D551" s="1" t="str">
        <f>IF([1]SCHEDULE!D551="","",[1]SCHEDULE!D551)</f>
        <v>Maccabi Playtika Tel Aviv</v>
      </c>
      <c r="E551" s="1" t="str">
        <f>IF([1]SCHEDULE!E551="","",[1]SCHEDULE!E551)</f>
        <v/>
      </c>
      <c r="F551" s="6" t="str">
        <f>IF([1]SCHEDULE!F551="","",[1]SCHEDULE!F551)</f>
        <v/>
      </c>
      <c r="G551" s="3" t="str">
        <f>IF([1]SCHEDULE!G551="","",[1]SCHEDULE!G551)</f>
        <v/>
      </c>
      <c r="H551" s="3" t="str">
        <f>IF([1]SCHEDULE!H551="","",[1]SCHEDULE!H551)</f>
        <v/>
      </c>
      <c r="I551" s="3" t="str">
        <f>IF([1]SCHEDULE!I551="","",[1]SCHEDULE!I551)</f>
        <v/>
      </c>
      <c r="J551" s="3" t="str">
        <f>IF([1]SCHEDULE!J551="","",[1]SCHEDULE!J551)</f>
        <v/>
      </c>
    </row>
    <row r="552" spans="2:10" x14ac:dyDescent="0.25">
      <c r="B552" s="3" t="str">
        <f>IF([1]SCHEDULE!B552="","",[1]SCHEDULE!B552)</f>
        <v>MTA</v>
      </c>
      <c r="C552" s="3">
        <f>IF([1]SCHEDULE!C552="","",[1]SCHEDULE!C552)</f>
        <v>40</v>
      </c>
      <c r="D552" s="1" t="str">
        <f>IF([1]SCHEDULE!D552="","",[1]SCHEDULE!D552)</f>
        <v>Maccabi Playtika Tel Aviv</v>
      </c>
      <c r="E552" s="1" t="str">
        <f>IF([1]SCHEDULE!E552="","",[1]SCHEDULE!E552)</f>
        <v/>
      </c>
      <c r="F552" s="6" t="str">
        <f>IF([1]SCHEDULE!F552="","",[1]SCHEDULE!F552)</f>
        <v/>
      </c>
      <c r="G552" s="3" t="str">
        <f>IF([1]SCHEDULE!G552="","",[1]SCHEDULE!G552)</f>
        <v/>
      </c>
      <c r="H552" s="3" t="str">
        <f>IF([1]SCHEDULE!H552="","",[1]SCHEDULE!H552)</f>
        <v/>
      </c>
      <c r="I552" s="3" t="str">
        <f>IF([1]SCHEDULE!I552="","",[1]SCHEDULE!I552)</f>
        <v/>
      </c>
      <c r="J552" s="3" t="str">
        <f>IF([1]SCHEDULE!J552="","",[1]SCHEDULE!J552)</f>
        <v/>
      </c>
    </row>
    <row r="553" spans="2:10" x14ac:dyDescent="0.25">
      <c r="B553" s="3" t="str">
        <f>IF([1]SCHEDULE!B553="","",[1]SCHEDULE!B553)</f>
        <v>MTA</v>
      </c>
      <c r="C553" s="3">
        <f>IF([1]SCHEDULE!C553="","",[1]SCHEDULE!C553)</f>
        <v>41</v>
      </c>
      <c r="D553" s="1" t="str">
        <f>IF([1]SCHEDULE!D553="","",[1]SCHEDULE!D553)</f>
        <v>Maccabi Playtika Tel Aviv</v>
      </c>
      <c r="E553" s="1" t="str">
        <f>IF([1]SCHEDULE!E553="","",[1]SCHEDULE!E553)</f>
        <v/>
      </c>
      <c r="F553" s="6" t="str">
        <f>IF([1]SCHEDULE!F553="","",[1]SCHEDULE!F553)</f>
        <v/>
      </c>
      <c r="G553" s="3" t="str">
        <f>IF([1]SCHEDULE!G553="","",[1]SCHEDULE!G553)</f>
        <v/>
      </c>
      <c r="H553" s="3" t="str">
        <f>IF([1]SCHEDULE!H553="","",[1]SCHEDULE!H553)</f>
        <v/>
      </c>
      <c r="I553" s="3" t="str">
        <f>IF([1]SCHEDULE!I553="","",[1]SCHEDULE!I553)</f>
        <v/>
      </c>
      <c r="J553" s="3" t="str">
        <f>IF([1]SCHEDULE!J553="","",[1]SCHEDULE!J553)</f>
        <v/>
      </c>
    </row>
    <row r="554" spans="2:10" x14ac:dyDescent="0.25">
      <c r="B554" s="3" t="str">
        <f>IF([1]SCHEDULE!B554="","",[1]SCHEDULE!B554)</f>
        <v>MTA</v>
      </c>
      <c r="C554" s="3">
        <f>IF([1]SCHEDULE!C554="","",[1]SCHEDULE!C554)</f>
        <v>42</v>
      </c>
      <c r="D554" s="1" t="str">
        <f>IF([1]SCHEDULE!D554="","",[1]SCHEDULE!D554)</f>
        <v>Maccabi Playtika Tel Aviv</v>
      </c>
      <c r="E554" s="1" t="str">
        <f>IF([1]SCHEDULE!E554="","",[1]SCHEDULE!E554)</f>
        <v/>
      </c>
      <c r="F554" s="6" t="str">
        <f>IF([1]SCHEDULE!F554="","",[1]SCHEDULE!F554)</f>
        <v/>
      </c>
      <c r="G554" s="3" t="str">
        <f>IF([1]SCHEDULE!G554="","",[1]SCHEDULE!G554)</f>
        <v/>
      </c>
      <c r="H554" s="3" t="str">
        <f>IF([1]SCHEDULE!H554="","",[1]SCHEDULE!H554)</f>
        <v/>
      </c>
      <c r="I554" s="3" t="str">
        <f>IF([1]SCHEDULE!I554="","",[1]SCHEDULE!I554)</f>
        <v/>
      </c>
      <c r="J554" s="3" t="str">
        <f>IF([1]SCHEDULE!J554="","",[1]SCHEDULE!J554)</f>
        <v/>
      </c>
    </row>
    <row r="555" spans="2:10" x14ac:dyDescent="0.25">
      <c r="B555" s="3" t="str">
        <f>IF([1]SCHEDULE!B555="","",[1]SCHEDULE!B555)</f>
        <v>MTA</v>
      </c>
      <c r="C555" s="3">
        <f>IF([1]SCHEDULE!C555="","",[1]SCHEDULE!C555)</f>
        <v>43</v>
      </c>
      <c r="D555" s="1" t="str">
        <f>IF([1]SCHEDULE!D555="","",[1]SCHEDULE!D555)</f>
        <v>Maccabi Playtika Tel Aviv</v>
      </c>
      <c r="E555" s="1" t="str">
        <f>IF([1]SCHEDULE!E555="","",[1]SCHEDULE!E555)</f>
        <v/>
      </c>
      <c r="F555" s="6" t="str">
        <f>IF([1]SCHEDULE!F555="","",[1]SCHEDULE!F555)</f>
        <v/>
      </c>
      <c r="G555" s="3" t="str">
        <f>IF([1]SCHEDULE!G555="","",[1]SCHEDULE!G555)</f>
        <v/>
      </c>
      <c r="H555" s="3" t="str">
        <f>IF([1]SCHEDULE!H555="","",[1]SCHEDULE!H555)</f>
        <v/>
      </c>
      <c r="I555" s="3" t="str">
        <f>IF([1]SCHEDULE!I555="","",[1]SCHEDULE!I555)</f>
        <v/>
      </c>
      <c r="J555" s="3" t="str">
        <f>IF([1]SCHEDULE!J555="","",[1]SCHEDULE!J555)</f>
        <v/>
      </c>
    </row>
    <row r="556" spans="2:10" x14ac:dyDescent="0.25">
      <c r="B556" s="3" t="str">
        <f>IF([1]SCHEDULE!B556="","",[1]SCHEDULE!B556)</f>
        <v>MTA</v>
      </c>
      <c r="C556" s="3">
        <f>IF([1]SCHEDULE!C556="","",[1]SCHEDULE!C556)</f>
        <v>44</v>
      </c>
      <c r="D556" s="1" t="str">
        <f>IF([1]SCHEDULE!D556="","",[1]SCHEDULE!D556)</f>
        <v>Maccabi Playtika Tel Aviv</v>
      </c>
      <c r="E556" s="1" t="str">
        <f>IF([1]SCHEDULE!E556="","",[1]SCHEDULE!E556)</f>
        <v/>
      </c>
      <c r="F556" s="6" t="str">
        <f>IF([1]SCHEDULE!F556="","",[1]SCHEDULE!F556)</f>
        <v/>
      </c>
      <c r="G556" s="3" t="str">
        <f>IF([1]SCHEDULE!G556="","",[1]SCHEDULE!G556)</f>
        <v/>
      </c>
      <c r="H556" s="3" t="str">
        <f>IF([1]SCHEDULE!H556="","",[1]SCHEDULE!H556)</f>
        <v/>
      </c>
      <c r="I556" s="3" t="str">
        <f>IF([1]SCHEDULE!I556="","",[1]SCHEDULE!I556)</f>
        <v/>
      </c>
      <c r="J556" s="3" t="str">
        <f>IF([1]SCHEDULE!J556="","",[1]SCHEDULE!J556)</f>
        <v/>
      </c>
    </row>
    <row r="557" spans="2:10" x14ac:dyDescent="0.25">
      <c r="B557" s="3" t="str">
        <f>IF([1]SCHEDULE!B557="","",[1]SCHEDULE!B557)</f>
        <v>MTA</v>
      </c>
      <c r="C557" s="3">
        <f>IF([1]SCHEDULE!C557="","",[1]SCHEDULE!C557)</f>
        <v>45</v>
      </c>
      <c r="D557" s="1" t="str">
        <f>IF([1]SCHEDULE!D557="","",[1]SCHEDULE!D557)</f>
        <v>Maccabi Playtika Tel Aviv</v>
      </c>
      <c r="E557" s="1" t="str">
        <f>IF([1]SCHEDULE!E557="","",[1]SCHEDULE!E557)</f>
        <v/>
      </c>
      <c r="F557" s="6" t="str">
        <f>IF([1]SCHEDULE!F557="","",[1]SCHEDULE!F557)</f>
        <v/>
      </c>
      <c r="G557" s="3" t="str">
        <f>IF([1]SCHEDULE!G557="","",[1]SCHEDULE!G557)</f>
        <v/>
      </c>
      <c r="H557" s="3" t="str">
        <f>IF([1]SCHEDULE!H557="","",[1]SCHEDULE!H557)</f>
        <v/>
      </c>
      <c r="I557" s="3" t="str">
        <f>IF([1]SCHEDULE!I557="","",[1]SCHEDULE!I557)</f>
        <v/>
      </c>
      <c r="J557" s="3" t="str">
        <f>IF([1]SCHEDULE!J557="","",[1]SCHEDULE!J557)</f>
        <v/>
      </c>
    </row>
    <row r="558" spans="2:10" x14ac:dyDescent="0.25">
      <c r="B558" s="3" t="str">
        <f>IF([1]SCHEDULE!B558="","",[1]SCHEDULE!B558)</f>
        <v>MTA</v>
      </c>
      <c r="C558" s="3">
        <f>IF([1]SCHEDULE!C558="","",[1]SCHEDULE!C558)</f>
        <v>46</v>
      </c>
      <c r="D558" s="1" t="str">
        <f>IF([1]SCHEDULE!D558="","",[1]SCHEDULE!D558)</f>
        <v>Maccabi Playtika Tel Aviv</v>
      </c>
      <c r="E558" s="1" t="str">
        <f>IF([1]SCHEDULE!E558="","",[1]SCHEDULE!E558)</f>
        <v/>
      </c>
      <c r="F558" s="6" t="str">
        <f>IF([1]SCHEDULE!F558="","",[1]SCHEDULE!F558)</f>
        <v/>
      </c>
      <c r="G558" s="3" t="str">
        <f>IF([1]SCHEDULE!G558="","",[1]SCHEDULE!G558)</f>
        <v/>
      </c>
      <c r="H558" s="3" t="str">
        <f>IF([1]SCHEDULE!H558="","",[1]SCHEDULE!H558)</f>
        <v/>
      </c>
      <c r="I558" s="3" t="str">
        <f>IF([1]SCHEDULE!I558="","",[1]SCHEDULE!I558)</f>
        <v/>
      </c>
      <c r="J558" s="3" t="str">
        <f>IF([1]SCHEDULE!J558="","",[1]SCHEDULE!J558)</f>
        <v/>
      </c>
    </row>
    <row r="559" spans="2:10" x14ac:dyDescent="0.25">
      <c r="B559" s="3" t="str">
        <f>IF([1]SCHEDULE!B559="","",[1]SCHEDULE!B559)</f>
        <v>MTA</v>
      </c>
      <c r="C559" s="3">
        <f>IF([1]SCHEDULE!C559="","",[1]SCHEDULE!C559)</f>
        <v>47</v>
      </c>
      <c r="D559" s="1" t="str">
        <f>IF([1]SCHEDULE!D559="","",[1]SCHEDULE!D559)</f>
        <v>Maccabi Playtika Tel Aviv</v>
      </c>
      <c r="E559" s="1" t="str">
        <f>IF([1]SCHEDULE!E559="","",[1]SCHEDULE!E559)</f>
        <v/>
      </c>
      <c r="F559" s="6" t="str">
        <f>IF([1]SCHEDULE!F559="","",[1]SCHEDULE!F559)</f>
        <v/>
      </c>
      <c r="G559" s="3" t="str">
        <f>IF([1]SCHEDULE!G559="","",[1]SCHEDULE!G559)</f>
        <v/>
      </c>
      <c r="H559" s="3" t="str">
        <f>IF([1]SCHEDULE!H559="","",[1]SCHEDULE!H559)</f>
        <v/>
      </c>
      <c r="I559" s="3" t="str">
        <f>IF([1]SCHEDULE!I559="","",[1]SCHEDULE!I559)</f>
        <v/>
      </c>
      <c r="J559" s="3" t="str">
        <f>IF([1]SCHEDULE!J559="","",[1]SCHEDULE!J559)</f>
        <v/>
      </c>
    </row>
    <row r="560" spans="2:10" x14ac:dyDescent="0.25">
      <c r="B560" s="3" t="str">
        <f>IF([1]SCHEDULE!B560="","",[1]SCHEDULE!B560)</f>
        <v>MTA</v>
      </c>
      <c r="C560" s="3">
        <f>IF([1]SCHEDULE!C560="","",[1]SCHEDULE!C560)</f>
        <v>48</v>
      </c>
      <c r="D560" s="1" t="str">
        <f>IF([1]SCHEDULE!D560="","",[1]SCHEDULE!D560)</f>
        <v>Maccabi Playtika Tel Aviv</v>
      </c>
      <c r="E560" s="1" t="str">
        <f>IF([1]SCHEDULE!E560="","",[1]SCHEDULE!E560)</f>
        <v/>
      </c>
      <c r="F560" s="6" t="str">
        <f>IF([1]SCHEDULE!F560="","",[1]SCHEDULE!F560)</f>
        <v/>
      </c>
      <c r="G560" s="3" t="str">
        <f>IF([1]SCHEDULE!G560="","",[1]SCHEDULE!G560)</f>
        <v/>
      </c>
      <c r="H560" s="3" t="str">
        <f>IF([1]SCHEDULE!H560="","",[1]SCHEDULE!H560)</f>
        <v/>
      </c>
      <c r="I560" s="3" t="str">
        <f>IF([1]SCHEDULE!I560="","",[1]SCHEDULE!I560)</f>
        <v/>
      </c>
      <c r="J560" s="3" t="str">
        <f>IF([1]SCHEDULE!J560="","",[1]SCHEDULE!J560)</f>
        <v/>
      </c>
    </row>
    <row r="561" spans="2:10" x14ac:dyDescent="0.25">
      <c r="B561" s="3" t="str">
        <f>IF([1]SCHEDULE!B561="","",[1]SCHEDULE!B561)</f>
        <v>MTA</v>
      </c>
      <c r="C561" s="3">
        <f>IF([1]SCHEDULE!C561="","",[1]SCHEDULE!C561)</f>
        <v>49</v>
      </c>
      <c r="D561" s="1" t="str">
        <f>IF([1]SCHEDULE!D561="","",[1]SCHEDULE!D561)</f>
        <v>Maccabi Playtika Tel Aviv</v>
      </c>
      <c r="E561" s="1" t="str">
        <f>IF([1]SCHEDULE!E561="","",[1]SCHEDULE!E561)</f>
        <v/>
      </c>
      <c r="F561" s="6" t="str">
        <f>IF([1]SCHEDULE!F561="","",[1]SCHEDULE!F561)</f>
        <v/>
      </c>
      <c r="G561" s="3" t="str">
        <f>IF([1]SCHEDULE!G561="","",[1]SCHEDULE!G561)</f>
        <v/>
      </c>
      <c r="H561" s="3" t="str">
        <f>IF([1]SCHEDULE!H561="","",[1]SCHEDULE!H561)</f>
        <v/>
      </c>
      <c r="I561" s="3" t="str">
        <f>IF([1]SCHEDULE!I561="","",[1]SCHEDULE!I561)</f>
        <v/>
      </c>
      <c r="J561" s="3" t="str">
        <f>IF([1]SCHEDULE!J561="","",[1]SCHEDULE!J561)</f>
        <v/>
      </c>
    </row>
    <row r="562" spans="2:10" x14ac:dyDescent="0.25">
      <c r="B562" s="3" t="str">
        <f>IF([1]SCHEDULE!B562="","",[1]SCHEDULE!B562)</f>
        <v>MTA</v>
      </c>
      <c r="C562" s="3">
        <f>IF([1]SCHEDULE!C562="","",[1]SCHEDULE!C562)</f>
        <v>50</v>
      </c>
      <c r="D562" s="1" t="str">
        <f>IF([1]SCHEDULE!D562="","",[1]SCHEDULE!D562)</f>
        <v>Maccabi Playtika Tel Aviv</v>
      </c>
      <c r="E562" s="1" t="str">
        <f>IF([1]SCHEDULE!E562="","",[1]SCHEDULE!E562)</f>
        <v/>
      </c>
      <c r="F562" s="6" t="str">
        <f>IF([1]SCHEDULE!F562="","",[1]SCHEDULE!F562)</f>
        <v/>
      </c>
      <c r="G562" s="3" t="str">
        <f>IF([1]SCHEDULE!G562="","",[1]SCHEDULE!G562)</f>
        <v/>
      </c>
      <c r="H562" s="3" t="str">
        <f>IF([1]SCHEDULE!H562="","",[1]SCHEDULE!H562)</f>
        <v/>
      </c>
      <c r="I562" s="3" t="str">
        <f>IF([1]SCHEDULE!I562="","",[1]SCHEDULE!I562)</f>
        <v/>
      </c>
      <c r="J562" s="3" t="str">
        <f>IF([1]SCHEDULE!J562="","",[1]SCHEDULE!J562)</f>
        <v/>
      </c>
    </row>
    <row r="563" spans="2:10" x14ac:dyDescent="0.25">
      <c r="B563" s="3" t="str">
        <f>IF([1]SCHEDULE!B563="","",[1]SCHEDULE!B563)</f>
        <v>MTA</v>
      </c>
      <c r="C563" s="3">
        <f>IF([1]SCHEDULE!C563="","",[1]SCHEDULE!C563)</f>
        <v>51</v>
      </c>
      <c r="D563" s="1" t="str">
        <f>IF([1]SCHEDULE!D563="","",[1]SCHEDULE!D563)</f>
        <v>Maccabi Playtika Tel Aviv</v>
      </c>
      <c r="E563" s="1" t="str">
        <f>IF([1]SCHEDULE!E563="","",[1]SCHEDULE!E563)</f>
        <v/>
      </c>
      <c r="F563" s="6" t="str">
        <f>IF([1]SCHEDULE!F563="","",[1]SCHEDULE!F563)</f>
        <v/>
      </c>
      <c r="G563" s="3" t="str">
        <f>IF([1]SCHEDULE!G563="","",[1]SCHEDULE!G563)</f>
        <v/>
      </c>
      <c r="H563" s="3" t="str">
        <f>IF([1]SCHEDULE!H563="","",[1]SCHEDULE!H563)</f>
        <v/>
      </c>
      <c r="I563" s="3" t="str">
        <f>IF([1]SCHEDULE!I563="","",[1]SCHEDULE!I563)</f>
        <v/>
      </c>
      <c r="J563" s="3" t="str">
        <f>IF([1]SCHEDULE!J563="","",[1]SCHEDULE!J563)</f>
        <v/>
      </c>
    </row>
    <row r="564" spans="2:10" x14ac:dyDescent="0.25">
      <c r="B564" s="3" t="str">
        <f>IF([1]SCHEDULE!B564="","",[1]SCHEDULE!B564)</f>
        <v>OLY</v>
      </c>
      <c r="C564" s="3">
        <f>IF([1]SCHEDULE!C564="","",[1]SCHEDULE!C564)</f>
        <v>1</v>
      </c>
      <c r="D564" s="1" t="str">
        <f>IF([1]SCHEDULE!D564="","",[1]SCHEDULE!D564)</f>
        <v>Olympiacos Piraeus</v>
      </c>
      <c r="E564" s="1" t="str">
        <f>IF([1]SCHEDULE!E564="","",[1]SCHEDULE!E564)</f>
        <v>Panathinaikos Athens</v>
      </c>
      <c r="F564" s="6">
        <f>IF([1]SCHEDULE!F564="","",[1]SCHEDULE!F564)</f>
        <v>45205</v>
      </c>
      <c r="G564" s="3" t="str">
        <f>IF([1]SCHEDULE!G564="","",[1]SCHEDULE!G564)</f>
        <v>A</v>
      </c>
      <c r="H564" s="3" t="str">
        <f>IF([1]SCHEDULE!H564="","",[1]SCHEDULE!H564)</f>
        <v>PAN</v>
      </c>
      <c r="I564" s="3" t="str">
        <f>IF([1]SCHEDULE!I564="","",[1]SCHEDULE!I564)</f>
        <v>1.OLY</v>
      </c>
      <c r="J564" s="3" t="str">
        <f>IF([1]SCHEDULE!J564="","",[1]SCHEDULE!J564)</f>
        <v>1.PAN</v>
      </c>
    </row>
    <row r="565" spans="2:10" x14ac:dyDescent="0.25">
      <c r="B565" s="3" t="str">
        <f>IF([1]SCHEDULE!B565="","",[1]SCHEDULE!B565)</f>
        <v>OLY</v>
      </c>
      <c r="C565" s="3">
        <f>IF([1]SCHEDULE!C565="","",[1]SCHEDULE!C565)</f>
        <v>2</v>
      </c>
      <c r="D565" s="1" t="str">
        <f>IF([1]SCHEDULE!D565="","",[1]SCHEDULE!D565)</f>
        <v>Olympiacos Piraeus</v>
      </c>
      <c r="E565" s="1" t="str">
        <f>IF([1]SCHEDULE!E565="","",[1]SCHEDULE!E565)</f>
        <v>FC Barcelona</v>
      </c>
      <c r="F565" s="6">
        <f>IF([1]SCHEDULE!F565="","",[1]SCHEDULE!F565)</f>
        <v>45212</v>
      </c>
      <c r="G565" s="3" t="str">
        <f>IF([1]SCHEDULE!G565="","",[1]SCHEDULE!G565)</f>
        <v>H</v>
      </c>
      <c r="H565" s="3" t="str">
        <f>IF([1]SCHEDULE!H565="","",[1]SCHEDULE!H565)</f>
        <v>FCB</v>
      </c>
      <c r="I565" s="3" t="str">
        <f>IF([1]SCHEDULE!I565="","",[1]SCHEDULE!I565)</f>
        <v>2.OLY</v>
      </c>
      <c r="J565" s="3" t="str">
        <f>IF([1]SCHEDULE!J565="","",[1]SCHEDULE!J565)</f>
        <v>2.FCB</v>
      </c>
    </row>
    <row r="566" spans="2:10" x14ac:dyDescent="0.25">
      <c r="B566" s="3" t="str">
        <f>IF([1]SCHEDULE!B566="","",[1]SCHEDULE!B566)</f>
        <v>OLY</v>
      </c>
      <c r="C566" s="3">
        <f>IF([1]SCHEDULE!C566="","",[1]SCHEDULE!C566)</f>
        <v>3</v>
      </c>
      <c r="D566" s="1" t="str">
        <f>IF([1]SCHEDULE!D566="","",[1]SCHEDULE!D566)</f>
        <v>Olympiacos Piraeus</v>
      </c>
      <c r="E566" s="1" t="str">
        <f>IF([1]SCHEDULE!E566="","",[1]SCHEDULE!E566)</f>
        <v>EA7 Emporio Armani Milan</v>
      </c>
      <c r="F566" s="6">
        <f>IF([1]SCHEDULE!F566="","",[1]SCHEDULE!F566)</f>
        <v>45216</v>
      </c>
      <c r="G566" s="3" t="str">
        <f>IF([1]SCHEDULE!G566="","",[1]SCHEDULE!G566)</f>
        <v>A</v>
      </c>
      <c r="H566" s="3" t="str">
        <f>IF([1]SCHEDULE!H566="","",[1]SCHEDULE!H566)</f>
        <v>MIL</v>
      </c>
      <c r="I566" s="3" t="str">
        <f>IF([1]SCHEDULE!I566="","",[1]SCHEDULE!I566)</f>
        <v>3.OLY</v>
      </c>
      <c r="J566" s="3" t="str">
        <f>IF([1]SCHEDULE!J566="","",[1]SCHEDULE!J566)</f>
        <v>3.MIL</v>
      </c>
    </row>
    <row r="567" spans="2:10" x14ac:dyDescent="0.25">
      <c r="B567" s="3" t="str">
        <f>IF([1]SCHEDULE!B567="","",[1]SCHEDULE!B567)</f>
        <v>OLY</v>
      </c>
      <c r="C567" s="3">
        <f>IF([1]SCHEDULE!C567="","",[1]SCHEDULE!C567)</f>
        <v>4</v>
      </c>
      <c r="D567" s="1" t="str">
        <f>IF([1]SCHEDULE!D567="","",[1]SCHEDULE!D567)</f>
        <v>Olympiacos Piraeus</v>
      </c>
      <c r="E567" s="1" t="str">
        <f>IF([1]SCHEDULE!E567="","",[1]SCHEDULE!E567)</f>
        <v>Partizan Mozzart Bet Belgrade</v>
      </c>
      <c r="F567" s="6">
        <f>IF([1]SCHEDULE!F567="","",[1]SCHEDULE!F567)</f>
        <v>45218</v>
      </c>
      <c r="G567" s="3" t="str">
        <f>IF([1]SCHEDULE!G567="","",[1]SCHEDULE!G567)</f>
        <v>H</v>
      </c>
      <c r="H567" s="3" t="str">
        <f>IF([1]SCHEDULE!H567="","",[1]SCHEDULE!H567)</f>
        <v>PAR</v>
      </c>
      <c r="I567" s="3" t="str">
        <f>IF([1]SCHEDULE!I567="","",[1]SCHEDULE!I567)</f>
        <v>4.OLY</v>
      </c>
      <c r="J567" s="3" t="str">
        <f>IF([1]SCHEDULE!J567="","",[1]SCHEDULE!J567)</f>
        <v>4.PAR</v>
      </c>
    </row>
    <row r="568" spans="2:10" x14ac:dyDescent="0.25">
      <c r="B568" s="3" t="str">
        <f>IF([1]SCHEDULE!B568="","",[1]SCHEDULE!B568)</f>
        <v>OLY</v>
      </c>
      <c r="C568" s="3">
        <f>IF([1]SCHEDULE!C568="","",[1]SCHEDULE!C568)</f>
        <v>5</v>
      </c>
      <c r="D568" s="1" t="str">
        <f>IF([1]SCHEDULE!D568="","",[1]SCHEDULE!D568)</f>
        <v>Olympiacos Piraeus</v>
      </c>
      <c r="E568" s="1" t="str">
        <f>IF([1]SCHEDULE!E568="","",[1]SCHEDULE!E568)</f>
        <v>Anadolu Efes Istanbul</v>
      </c>
      <c r="F568" s="6">
        <f>IF([1]SCHEDULE!F568="","",[1]SCHEDULE!F568)</f>
        <v>45225</v>
      </c>
      <c r="G568" s="3" t="str">
        <f>IF([1]SCHEDULE!G568="","",[1]SCHEDULE!G568)</f>
        <v>H</v>
      </c>
      <c r="H568" s="3" t="str">
        <f>IF([1]SCHEDULE!H568="","",[1]SCHEDULE!H568)</f>
        <v>EFE</v>
      </c>
      <c r="I568" s="3" t="str">
        <f>IF([1]SCHEDULE!I568="","",[1]SCHEDULE!I568)</f>
        <v>5.OLY</v>
      </c>
      <c r="J568" s="3" t="str">
        <f>IF([1]SCHEDULE!J568="","",[1]SCHEDULE!J568)</f>
        <v>5.EFE</v>
      </c>
    </row>
    <row r="569" spans="2:10" x14ac:dyDescent="0.25">
      <c r="B569" s="3" t="str">
        <f>IF([1]SCHEDULE!B569="","",[1]SCHEDULE!B569)</f>
        <v>OLY</v>
      </c>
      <c r="C569" s="3">
        <f>IF([1]SCHEDULE!C569="","",[1]SCHEDULE!C569)</f>
        <v>6</v>
      </c>
      <c r="D569" s="1" t="str">
        <f>IF([1]SCHEDULE!D569="","",[1]SCHEDULE!D569)</f>
        <v>Olympiacos Piraeus</v>
      </c>
      <c r="E569" s="1" t="str">
        <f>IF([1]SCHEDULE!E569="","",[1]SCHEDULE!E569)</f>
        <v>Fenerbahce Beko Istanbul</v>
      </c>
      <c r="F569" s="6">
        <f>IF([1]SCHEDULE!F569="","",[1]SCHEDULE!F569)</f>
        <v>45232</v>
      </c>
      <c r="G569" s="3" t="str">
        <f>IF([1]SCHEDULE!G569="","",[1]SCHEDULE!G569)</f>
        <v>A</v>
      </c>
      <c r="H569" s="3" t="str">
        <f>IF([1]SCHEDULE!H569="","",[1]SCHEDULE!H569)</f>
        <v>FEN</v>
      </c>
      <c r="I569" s="3" t="str">
        <f>IF([1]SCHEDULE!I569="","",[1]SCHEDULE!I569)</f>
        <v>6.OLY</v>
      </c>
      <c r="J569" s="3" t="str">
        <f>IF([1]SCHEDULE!J569="","",[1]SCHEDULE!J569)</f>
        <v>6.FEN</v>
      </c>
    </row>
    <row r="570" spans="2:10" x14ac:dyDescent="0.25">
      <c r="B570" s="3" t="str">
        <f>IF([1]SCHEDULE!B570="","",[1]SCHEDULE!B570)</f>
        <v>OLY</v>
      </c>
      <c r="C570" s="3">
        <f>IF([1]SCHEDULE!C570="","",[1]SCHEDULE!C570)</f>
        <v>7</v>
      </c>
      <c r="D570" s="1" t="str">
        <f>IF([1]SCHEDULE!D570="","",[1]SCHEDULE!D570)</f>
        <v>Olympiacos Piraeus</v>
      </c>
      <c r="E570" s="1" t="str">
        <f>IF([1]SCHEDULE!E570="","",[1]SCHEDULE!E570)</f>
        <v>Baskonia Vitoria-Gasteiz</v>
      </c>
      <c r="F570" s="6">
        <f>IF([1]SCHEDULE!F570="","",[1]SCHEDULE!F570)</f>
        <v>45239</v>
      </c>
      <c r="G570" s="3" t="str">
        <f>IF([1]SCHEDULE!G570="","",[1]SCHEDULE!G570)</f>
        <v>H</v>
      </c>
      <c r="H570" s="3" t="str">
        <f>IF([1]SCHEDULE!H570="","",[1]SCHEDULE!H570)</f>
        <v>BAS</v>
      </c>
      <c r="I570" s="3" t="str">
        <f>IF([1]SCHEDULE!I570="","",[1]SCHEDULE!I570)</f>
        <v>7.OLY</v>
      </c>
      <c r="J570" s="3" t="str">
        <f>IF([1]SCHEDULE!J570="","",[1]SCHEDULE!J570)</f>
        <v>7.BAS</v>
      </c>
    </row>
    <row r="571" spans="2:10" x14ac:dyDescent="0.25">
      <c r="B571" s="3" t="str">
        <f>IF([1]SCHEDULE!B571="","",[1]SCHEDULE!B571)</f>
        <v>OLY</v>
      </c>
      <c r="C571" s="3">
        <f>IF([1]SCHEDULE!C571="","",[1]SCHEDULE!C571)</f>
        <v>8</v>
      </c>
      <c r="D571" s="1" t="str">
        <f>IF([1]SCHEDULE!D571="","",[1]SCHEDULE!D571)</f>
        <v>Olympiacos Piraeus</v>
      </c>
      <c r="E571" s="1" t="str">
        <f>IF([1]SCHEDULE!E571="","",[1]SCHEDULE!E571)</f>
        <v>Maccabi Playtika Tel Aviv</v>
      </c>
      <c r="F571" s="6">
        <f>IF([1]SCHEDULE!F571="","",[1]SCHEDULE!F571)</f>
        <v>45244</v>
      </c>
      <c r="G571" s="3" t="str">
        <f>IF([1]SCHEDULE!G571="","",[1]SCHEDULE!G571)</f>
        <v>A</v>
      </c>
      <c r="H571" s="3" t="str">
        <f>IF([1]SCHEDULE!H571="","",[1]SCHEDULE!H571)</f>
        <v>MTA</v>
      </c>
      <c r="I571" s="3" t="str">
        <f>IF([1]SCHEDULE!I571="","",[1]SCHEDULE!I571)</f>
        <v>8.OLY</v>
      </c>
      <c r="J571" s="3" t="str">
        <f>IF([1]SCHEDULE!J571="","",[1]SCHEDULE!J571)</f>
        <v>8.MTA</v>
      </c>
    </row>
    <row r="572" spans="2:10" x14ac:dyDescent="0.25">
      <c r="B572" s="3" t="str">
        <f>IF([1]SCHEDULE!B572="","",[1]SCHEDULE!B572)</f>
        <v>OLY</v>
      </c>
      <c r="C572" s="3">
        <f>IF([1]SCHEDULE!C572="","",[1]SCHEDULE!C572)</f>
        <v>9</v>
      </c>
      <c r="D572" s="1" t="str">
        <f>IF([1]SCHEDULE!D572="","",[1]SCHEDULE!D572)</f>
        <v>Olympiacos Piraeus</v>
      </c>
      <c r="E572" s="1" t="str">
        <f>IF([1]SCHEDULE!E572="","",[1]SCHEDULE!E572)</f>
        <v>Crvena Zvezda Meridianbet Belgrade</v>
      </c>
      <c r="F572" s="6">
        <f>IF([1]SCHEDULE!F572="","",[1]SCHEDULE!F572)</f>
        <v>45246</v>
      </c>
      <c r="G572" s="3" t="str">
        <f>IF([1]SCHEDULE!G572="","",[1]SCHEDULE!G572)</f>
        <v>H</v>
      </c>
      <c r="H572" s="3" t="str">
        <f>IF([1]SCHEDULE!H572="","",[1]SCHEDULE!H572)</f>
        <v>CZB</v>
      </c>
      <c r="I572" s="3" t="str">
        <f>IF([1]SCHEDULE!I572="","",[1]SCHEDULE!I572)</f>
        <v>9.OLY</v>
      </c>
      <c r="J572" s="3" t="str">
        <f>IF([1]SCHEDULE!J572="","",[1]SCHEDULE!J572)</f>
        <v>9.CZB</v>
      </c>
    </row>
    <row r="573" spans="2:10" x14ac:dyDescent="0.25">
      <c r="B573" s="3" t="str">
        <f>IF([1]SCHEDULE!B573="","",[1]SCHEDULE!B573)</f>
        <v>OLY</v>
      </c>
      <c r="C573" s="3">
        <f>IF([1]SCHEDULE!C573="","",[1]SCHEDULE!C573)</f>
        <v>10</v>
      </c>
      <c r="D573" s="1" t="str">
        <f>IF([1]SCHEDULE!D573="","",[1]SCHEDULE!D573)</f>
        <v>Olympiacos Piraeus</v>
      </c>
      <c r="E573" s="1" t="str">
        <f>IF([1]SCHEDULE!E573="","",[1]SCHEDULE!E573)</f>
        <v>Zalgiris Kaunas</v>
      </c>
      <c r="F573" s="6">
        <f>IF([1]SCHEDULE!F573="","",[1]SCHEDULE!F573)</f>
        <v>45254</v>
      </c>
      <c r="G573" s="3" t="str">
        <f>IF([1]SCHEDULE!G573="","",[1]SCHEDULE!G573)</f>
        <v>H</v>
      </c>
      <c r="H573" s="3" t="str">
        <f>IF([1]SCHEDULE!H573="","",[1]SCHEDULE!H573)</f>
        <v>ZAL</v>
      </c>
      <c r="I573" s="3" t="str">
        <f>IF([1]SCHEDULE!I573="","",[1]SCHEDULE!I573)</f>
        <v>10.OLY</v>
      </c>
      <c r="J573" s="3" t="str">
        <f>IF([1]SCHEDULE!J573="","",[1]SCHEDULE!J573)</f>
        <v>10.ZAL</v>
      </c>
    </row>
    <row r="574" spans="2:10" x14ac:dyDescent="0.25">
      <c r="B574" s="3" t="str">
        <f>IF([1]SCHEDULE!B574="","",[1]SCHEDULE!B574)</f>
        <v>OLY</v>
      </c>
      <c r="C574" s="3">
        <f>IF([1]SCHEDULE!C574="","",[1]SCHEDULE!C574)</f>
        <v>11</v>
      </c>
      <c r="D574" s="1" t="str">
        <f>IF([1]SCHEDULE!D574="","",[1]SCHEDULE!D574)</f>
        <v>Olympiacos Piraeus</v>
      </c>
      <c r="E574" s="1" t="str">
        <f>IF([1]SCHEDULE!E574="","",[1]SCHEDULE!E574)</f>
        <v>AS Monaco</v>
      </c>
      <c r="F574" s="6">
        <f>IF([1]SCHEDULE!F574="","",[1]SCHEDULE!F574)</f>
        <v>45260</v>
      </c>
      <c r="G574" s="3" t="str">
        <f>IF([1]SCHEDULE!G574="","",[1]SCHEDULE!G574)</f>
        <v>A</v>
      </c>
      <c r="H574" s="3" t="str">
        <f>IF([1]SCHEDULE!H574="","",[1]SCHEDULE!H574)</f>
        <v>ASM</v>
      </c>
      <c r="I574" s="3" t="str">
        <f>IF([1]SCHEDULE!I574="","",[1]SCHEDULE!I574)</f>
        <v>11.OLY</v>
      </c>
      <c r="J574" s="3" t="str">
        <f>IF([1]SCHEDULE!J574="","",[1]SCHEDULE!J574)</f>
        <v>11.ASM</v>
      </c>
    </row>
    <row r="575" spans="2:10" x14ac:dyDescent="0.25">
      <c r="B575" s="3" t="str">
        <f>IF([1]SCHEDULE!B575="","",[1]SCHEDULE!B575)</f>
        <v>OLY</v>
      </c>
      <c r="C575" s="3">
        <f>IF([1]SCHEDULE!C575="","",[1]SCHEDULE!C575)</f>
        <v>12</v>
      </c>
      <c r="D575" s="1" t="str">
        <f>IF([1]SCHEDULE!D575="","",[1]SCHEDULE!D575)</f>
        <v>Olympiacos Piraeus</v>
      </c>
      <c r="E575" s="1" t="str">
        <f>IF([1]SCHEDULE!E575="","",[1]SCHEDULE!E575)</f>
        <v>Real Madrid</v>
      </c>
      <c r="F575" s="6">
        <f>IF([1]SCHEDULE!F575="","",[1]SCHEDULE!F575)</f>
        <v>45265</v>
      </c>
      <c r="G575" s="3" t="str">
        <f>IF([1]SCHEDULE!G575="","",[1]SCHEDULE!G575)</f>
        <v>H</v>
      </c>
      <c r="H575" s="3" t="str">
        <f>IF([1]SCHEDULE!H575="","",[1]SCHEDULE!H575)</f>
        <v>RMB</v>
      </c>
      <c r="I575" s="3" t="str">
        <f>IF([1]SCHEDULE!I575="","",[1]SCHEDULE!I575)</f>
        <v>12.OLY</v>
      </c>
      <c r="J575" s="3" t="str">
        <f>IF([1]SCHEDULE!J575="","",[1]SCHEDULE!J575)</f>
        <v>12.RMB</v>
      </c>
    </row>
    <row r="576" spans="2:10" x14ac:dyDescent="0.25">
      <c r="B576" s="3" t="str">
        <f>IF([1]SCHEDULE!B576="","",[1]SCHEDULE!B576)</f>
        <v>OLY</v>
      </c>
      <c r="C576" s="3">
        <f>IF([1]SCHEDULE!C576="","",[1]SCHEDULE!C576)</f>
        <v>13</v>
      </c>
      <c r="D576" s="1" t="str">
        <f>IF([1]SCHEDULE!D576="","",[1]SCHEDULE!D576)</f>
        <v>Olympiacos Piraeus</v>
      </c>
      <c r="E576" s="1" t="str">
        <f>IF([1]SCHEDULE!E576="","",[1]SCHEDULE!E576)</f>
        <v>FC Bayern Munich</v>
      </c>
      <c r="F576" s="6">
        <f>IF([1]SCHEDULE!F576="","",[1]SCHEDULE!F576)</f>
        <v>45268</v>
      </c>
      <c r="G576" s="3" t="str">
        <f>IF([1]SCHEDULE!G576="","",[1]SCHEDULE!G576)</f>
        <v>H</v>
      </c>
      <c r="H576" s="3" t="str">
        <f>IF([1]SCHEDULE!H576="","",[1]SCHEDULE!H576)</f>
        <v>BAY</v>
      </c>
      <c r="I576" s="3" t="str">
        <f>IF([1]SCHEDULE!I576="","",[1]SCHEDULE!I576)</f>
        <v>13.OLY</v>
      </c>
      <c r="J576" s="3" t="str">
        <f>IF([1]SCHEDULE!J576="","",[1]SCHEDULE!J576)</f>
        <v>13.BAY</v>
      </c>
    </row>
    <row r="577" spans="2:10" x14ac:dyDescent="0.25">
      <c r="B577" s="3" t="str">
        <f>IF([1]SCHEDULE!B577="","",[1]SCHEDULE!B577)</f>
        <v>OLY</v>
      </c>
      <c r="C577" s="3">
        <f>IF([1]SCHEDULE!C577="","",[1]SCHEDULE!C577)</f>
        <v>14</v>
      </c>
      <c r="D577" s="1" t="str">
        <f>IF([1]SCHEDULE!D577="","",[1]SCHEDULE!D577)</f>
        <v>Olympiacos Piraeus</v>
      </c>
      <c r="E577" s="1" t="str">
        <f>IF([1]SCHEDULE!E577="","",[1]SCHEDULE!E577)</f>
        <v>Valencia Basket</v>
      </c>
      <c r="F577" s="6">
        <f>IF([1]SCHEDULE!F577="","",[1]SCHEDULE!F577)</f>
        <v>45275</v>
      </c>
      <c r="G577" s="3" t="str">
        <f>IF([1]SCHEDULE!G577="","",[1]SCHEDULE!G577)</f>
        <v>H</v>
      </c>
      <c r="H577" s="3" t="str">
        <f>IF([1]SCHEDULE!H577="","",[1]SCHEDULE!H577)</f>
        <v>VAL</v>
      </c>
      <c r="I577" s="3" t="str">
        <f>IF([1]SCHEDULE!I577="","",[1]SCHEDULE!I577)</f>
        <v>14.OLY</v>
      </c>
      <c r="J577" s="3" t="str">
        <f>IF([1]SCHEDULE!J577="","",[1]SCHEDULE!J577)</f>
        <v>14.VAL</v>
      </c>
    </row>
    <row r="578" spans="2:10" x14ac:dyDescent="0.25">
      <c r="B578" s="3" t="str">
        <f>IF([1]SCHEDULE!B578="","",[1]SCHEDULE!B578)</f>
        <v>OLY</v>
      </c>
      <c r="C578" s="3">
        <f>IF([1]SCHEDULE!C578="","",[1]SCHEDULE!C578)</f>
        <v>15</v>
      </c>
      <c r="D578" s="1" t="str">
        <f>IF([1]SCHEDULE!D578="","",[1]SCHEDULE!D578)</f>
        <v>Olympiacos Piraeus</v>
      </c>
      <c r="E578" s="1" t="str">
        <f>IF([1]SCHEDULE!E578="","",[1]SCHEDULE!E578)</f>
        <v>Virtus Segafredo Bologna</v>
      </c>
      <c r="F578" s="6">
        <f>IF([1]SCHEDULE!F578="","",[1]SCHEDULE!F578)</f>
        <v>45279</v>
      </c>
      <c r="G578" s="3" t="str">
        <f>IF([1]SCHEDULE!G578="","",[1]SCHEDULE!G578)</f>
        <v>A</v>
      </c>
      <c r="H578" s="3" t="str">
        <f>IF([1]SCHEDULE!H578="","",[1]SCHEDULE!H578)</f>
        <v>VIR</v>
      </c>
      <c r="I578" s="3" t="str">
        <f>IF([1]SCHEDULE!I578="","",[1]SCHEDULE!I578)</f>
        <v>15.OLY</v>
      </c>
      <c r="J578" s="3" t="str">
        <f>IF([1]SCHEDULE!J578="","",[1]SCHEDULE!J578)</f>
        <v>15.VIR</v>
      </c>
    </row>
    <row r="579" spans="2:10" x14ac:dyDescent="0.25">
      <c r="B579" s="3" t="str">
        <f>IF([1]SCHEDULE!B579="","",[1]SCHEDULE!B579)</f>
        <v>OLY</v>
      </c>
      <c r="C579" s="3">
        <f>IF([1]SCHEDULE!C579="","",[1]SCHEDULE!C579)</f>
        <v>16</v>
      </c>
      <c r="D579" s="1" t="str">
        <f>IF([1]SCHEDULE!D579="","",[1]SCHEDULE!D579)</f>
        <v>Olympiacos Piraeus</v>
      </c>
      <c r="E579" s="1" t="str">
        <f>IF([1]SCHEDULE!E579="","",[1]SCHEDULE!E579)</f>
        <v>LDLC ASVEL Villeurbanne</v>
      </c>
      <c r="F579" s="6">
        <f>IF([1]SCHEDULE!F579="","",[1]SCHEDULE!F579)</f>
        <v>45282</v>
      </c>
      <c r="G579" s="3" t="str">
        <f>IF([1]SCHEDULE!G579="","",[1]SCHEDULE!G579)</f>
        <v>A</v>
      </c>
      <c r="H579" s="3" t="str">
        <f>IF([1]SCHEDULE!H579="","",[1]SCHEDULE!H579)</f>
        <v>ASV</v>
      </c>
      <c r="I579" s="3" t="str">
        <f>IF([1]SCHEDULE!I579="","",[1]SCHEDULE!I579)</f>
        <v>16.OLY</v>
      </c>
      <c r="J579" s="3" t="str">
        <f>IF([1]SCHEDULE!J579="","",[1]SCHEDULE!J579)</f>
        <v>16.ASV</v>
      </c>
    </row>
    <row r="580" spans="2:10" x14ac:dyDescent="0.25">
      <c r="B580" s="3" t="str">
        <f>IF([1]SCHEDULE!B580="","",[1]SCHEDULE!B580)</f>
        <v>OLY</v>
      </c>
      <c r="C580" s="3">
        <f>IF([1]SCHEDULE!C580="","",[1]SCHEDULE!C580)</f>
        <v>17</v>
      </c>
      <c r="D580" s="1" t="str">
        <f>IF([1]SCHEDULE!D580="","",[1]SCHEDULE!D580)</f>
        <v>Olympiacos Piraeus</v>
      </c>
      <c r="E580" s="1" t="str">
        <f>IF([1]SCHEDULE!E580="","",[1]SCHEDULE!E580)</f>
        <v>ALBA Berlin</v>
      </c>
      <c r="F580" s="6">
        <f>IF([1]SCHEDULE!F580="","",[1]SCHEDULE!F580)</f>
        <v>45289</v>
      </c>
      <c r="G580" s="3" t="str">
        <f>IF([1]SCHEDULE!G580="","",[1]SCHEDULE!G580)</f>
        <v>A</v>
      </c>
      <c r="H580" s="3" t="str">
        <f>IF([1]SCHEDULE!H580="","",[1]SCHEDULE!H580)</f>
        <v>BER</v>
      </c>
      <c r="I580" s="3" t="str">
        <f>IF([1]SCHEDULE!I580="","",[1]SCHEDULE!I580)</f>
        <v>17.OLY</v>
      </c>
      <c r="J580" s="3" t="str">
        <f>IF([1]SCHEDULE!J580="","",[1]SCHEDULE!J580)</f>
        <v>17.BER</v>
      </c>
    </row>
    <row r="581" spans="2:10" x14ac:dyDescent="0.25">
      <c r="B581" s="3" t="str">
        <f>IF([1]SCHEDULE!B581="","",[1]SCHEDULE!B581)</f>
        <v>OLY</v>
      </c>
      <c r="C581" s="3">
        <f>IF([1]SCHEDULE!C581="","",[1]SCHEDULE!C581)</f>
        <v>18</v>
      </c>
      <c r="D581" s="1" t="str">
        <f>IF([1]SCHEDULE!D581="","",[1]SCHEDULE!D581)</f>
        <v>Olympiacos Piraeus</v>
      </c>
      <c r="E581" s="1" t="str">
        <f>IF([1]SCHEDULE!E581="","",[1]SCHEDULE!E581)</f>
        <v>EA7 Emporio Armani Milan</v>
      </c>
      <c r="F581" s="6">
        <f>IF([1]SCHEDULE!F581="","",[1]SCHEDULE!F581)</f>
        <v>45293</v>
      </c>
      <c r="G581" s="3" t="str">
        <f>IF([1]SCHEDULE!G581="","",[1]SCHEDULE!G581)</f>
        <v>H</v>
      </c>
      <c r="H581" s="3" t="str">
        <f>IF([1]SCHEDULE!H581="","",[1]SCHEDULE!H581)</f>
        <v>MIL</v>
      </c>
      <c r="I581" s="3" t="str">
        <f>IF([1]SCHEDULE!I581="","",[1]SCHEDULE!I581)</f>
        <v>18.OLY</v>
      </c>
      <c r="J581" s="3" t="str">
        <f>IF([1]SCHEDULE!J581="","",[1]SCHEDULE!J581)</f>
        <v>18.MIL</v>
      </c>
    </row>
    <row r="582" spans="2:10" x14ac:dyDescent="0.25">
      <c r="B582" s="3" t="str">
        <f>IF([1]SCHEDULE!B582="","",[1]SCHEDULE!B582)</f>
        <v>OLY</v>
      </c>
      <c r="C582" s="3">
        <f>IF([1]SCHEDULE!C582="","",[1]SCHEDULE!C582)</f>
        <v>19</v>
      </c>
      <c r="D582" s="1" t="str">
        <f>IF([1]SCHEDULE!D582="","",[1]SCHEDULE!D582)</f>
        <v>Olympiacos Piraeus</v>
      </c>
      <c r="E582" s="1" t="str">
        <f>IF([1]SCHEDULE!E582="","",[1]SCHEDULE!E582)</f>
        <v>AS Monaco</v>
      </c>
      <c r="F582" s="6">
        <f>IF([1]SCHEDULE!F582="","",[1]SCHEDULE!F582)</f>
        <v>45295</v>
      </c>
      <c r="G582" s="3" t="str">
        <f>IF([1]SCHEDULE!G582="","",[1]SCHEDULE!G582)</f>
        <v>H</v>
      </c>
      <c r="H582" s="3" t="str">
        <f>IF([1]SCHEDULE!H582="","",[1]SCHEDULE!H582)</f>
        <v>ASM</v>
      </c>
      <c r="I582" s="3" t="str">
        <f>IF([1]SCHEDULE!I582="","",[1]SCHEDULE!I582)</f>
        <v>19.OLY</v>
      </c>
      <c r="J582" s="3" t="str">
        <f>IF([1]SCHEDULE!J582="","",[1]SCHEDULE!J582)</f>
        <v>19.ASM</v>
      </c>
    </row>
    <row r="583" spans="2:10" x14ac:dyDescent="0.25">
      <c r="B583" s="3" t="str">
        <f>IF([1]SCHEDULE!B583="","",[1]SCHEDULE!B583)</f>
        <v>OLY</v>
      </c>
      <c r="C583" s="3">
        <f>IF([1]SCHEDULE!C583="","",[1]SCHEDULE!C583)</f>
        <v>20</v>
      </c>
      <c r="D583" s="1" t="str">
        <f>IF([1]SCHEDULE!D583="","",[1]SCHEDULE!D583)</f>
        <v>Olympiacos Piraeus</v>
      </c>
      <c r="E583" s="1" t="str">
        <f>IF([1]SCHEDULE!E583="","",[1]SCHEDULE!E583)</f>
        <v>FC Barcelona</v>
      </c>
      <c r="F583" s="6">
        <f>IF([1]SCHEDULE!F583="","",[1]SCHEDULE!F583)</f>
        <v>45301</v>
      </c>
      <c r="G583" s="3" t="str">
        <f>IF([1]SCHEDULE!G583="","",[1]SCHEDULE!G583)</f>
        <v>A</v>
      </c>
      <c r="H583" s="3" t="str">
        <f>IF([1]SCHEDULE!H583="","",[1]SCHEDULE!H583)</f>
        <v>FCB</v>
      </c>
      <c r="I583" s="3" t="str">
        <f>IF([1]SCHEDULE!I583="","",[1]SCHEDULE!I583)</f>
        <v>20.OLY</v>
      </c>
      <c r="J583" s="3" t="str">
        <f>IF([1]SCHEDULE!J583="","",[1]SCHEDULE!J583)</f>
        <v>20.FCB</v>
      </c>
    </row>
    <row r="584" spans="2:10" x14ac:dyDescent="0.25">
      <c r="B584" s="3" t="str">
        <f>IF([1]SCHEDULE!B584="","",[1]SCHEDULE!B584)</f>
        <v>OLY</v>
      </c>
      <c r="C584" s="3">
        <f>IF([1]SCHEDULE!C584="","",[1]SCHEDULE!C584)</f>
        <v>21</v>
      </c>
      <c r="D584" s="1" t="str">
        <f>IF([1]SCHEDULE!D584="","",[1]SCHEDULE!D584)</f>
        <v>Olympiacos Piraeus</v>
      </c>
      <c r="E584" s="1" t="str">
        <f>IF([1]SCHEDULE!E584="","",[1]SCHEDULE!E584)</f>
        <v>Baskonia Vitoria-Gasteiz</v>
      </c>
      <c r="F584" s="6">
        <f>IF([1]SCHEDULE!F584="","",[1]SCHEDULE!F584)</f>
        <v>45303</v>
      </c>
      <c r="G584" s="3" t="str">
        <f>IF([1]SCHEDULE!G584="","",[1]SCHEDULE!G584)</f>
        <v>A</v>
      </c>
      <c r="H584" s="3" t="str">
        <f>IF([1]SCHEDULE!H584="","",[1]SCHEDULE!H584)</f>
        <v>BAS</v>
      </c>
      <c r="I584" s="3" t="str">
        <f>IF([1]SCHEDULE!I584="","",[1]SCHEDULE!I584)</f>
        <v>21.OLY</v>
      </c>
      <c r="J584" s="3" t="str">
        <f>IF([1]SCHEDULE!J584="","",[1]SCHEDULE!J584)</f>
        <v>21.BAS</v>
      </c>
    </row>
    <row r="585" spans="2:10" x14ac:dyDescent="0.25">
      <c r="B585" s="3" t="str">
        <f>IF([1]SCHEDULE!B585="","",[1]SCHEDULE!B585)</f>
        <v>OLY</v>
      </c>
      <c r="C585" s="3">
        <f>IF([1]SCHEDULE!C585="","",[1]SCHEDULE!C585)</f>
        <v>22</v>
      </c>
      <c r="D585" s="1" t="str">
        <f>IF([1]SCHEDULE!D585="","",[1]SCHEDULE!D585)</f>
        <v>Olympiacos Piraeus</v>
      </c>
      <c r="E585" s="1" t="str">
        <f>IF([1]SCHEDULE!E585="","",[1]SCHEDULE!E585)</f>
        <v>Maccabi Playtika Tel Aviv</v>
      </c>
      <c r="F585" s="6">
        <f>IF([1]SCHEDULE!F585="","",[1]SCHEDULE!F585)</f>
        <v>45309</v>
      </c>
      <c r="G585" s="3" t="str">
        <f>IF([1]SCHEDULE!G585="","",[1]SCHEDULE!G585)</f>
        <v>H</v>
      </c>
      <c r="H585" s="3" t="str">
        <f>IF([1]SCHEDULE!H585="","",[1]SCHEDULE!H585)</f>
        <v>MTA</v>
      </c>
      <c r="I585" s="3" t="str">
        <f>IF([1]SCHEDULE!I585="","",[1]SCHEDULE!I585)</f>
        <v>22.OLY</v>
      </c>
      <c r="J585" s="3" t="str">
        <f>IF([1]SCHEDULE!J585="","",[1]SCHEDULE!J585)</f>
        <v>22.MTA</v>
      </c>
    </row>
    <row r="586" spans="2:10" x14ac:dyDescent="0.25">
      <c r="B586" s="3" t="str">
        <f>IF([1]SCHEDULE!B586="","",[1]SCHEDULE!B586)</f>
        <v>OLY</v>
      </c>
      <c r="C586" s="3">
        <f>IF([1]SCHEDULE!C586="","",[1]SCHEDULE!C586)</f>
        <v>23</v>
      </c>
      <c r="D586" s="1" t="str">
        <f>IF([1]SCHEDULE!D586="","",[1]SCHEDULE!D586)</f>
        <v>Olympiacos Piraeus</v>
      </c>
      <c r="E586" s="1" t="str">
        <f>IF([1]SCHEDULE!E586="","",[1]SCHEDULE!E586)</f>
        <v>Real Madrid</v>
      </c>
      <c r="F586" s="6">
        <f>IF([1]SCHEDULE!F586="","",[1]SCHEDULE!F586)</f>
        <v>45316</v>
      </c>
      <c r="G586" s="3" t="str">
        <f>IF([1]SCHEDULE!G586="","",[1]SCHEDULE!G586)</f>
        <v>A</v>
      </c>
      <c r="H586" s="3" t="str">
        <f>IF([1]SCHEDULE!H586="","",[1]SCHEDULE!H586)</f>
        <v>RMB</v>
      </c>
      <c r="I586" s="3" t="str">
        <f>IF([1]SCHEDULE!I586="","",[1]SCHEDULE!I586)</f>
        <v>23.OLY</v>
      </c>
      <c r="J586" s="3" t="str">
        <f>IF([1]SCHEDULE!J586="","",[1]SCHEDULE!J586)</f>
        <v>23.RMB</v>
      </c>
    </row>
    <row r="587" spans="2:10" x14ac:dyDescent="0.25">
      <c r="B587" s="3" t="str">
        <f>IF([1]SCHEDULE!B587="","",[1]SCHEDULE!B587)</f>
        <v>OLY</v>
      </c>
      <c r="C587" s="3">
        <f>IF([1]SCHEDULE!C587="","",[1]SCHEDULE!C587)</f>
        <v>24</v>
      </c>
      <c r="D587" s="1" t="str">
        <f>IF([1]SCHEDULE!D587="","",[1]SCHEDULE!D587)</f>
        <v>Olympiacos Piraeus</v>
      </c>
      <c r="E587" s="1" t="str">
        <f>IF([1]SCHEDULE!E587="","",[1]SCHEDULE!E587)</f>
        <v>ALBA Berlin</v>
      </c>
      <c r="F587" s="6">
        <f>IF([1]SCHEDULE!F587="","",[1]SCHEDULE!F587)</f>
        <v>45321</v>
      </c>
      <c r="G587" s="3" t="str">
        <f>IF([1]SCHEDULE!G587="","",[1]SCHEDULE!G587)</f>
        <v>H</v>
      </c>
      <c r="H587" s="3" t="str">
        <f>IF([1]SCHEDULE!H587="","",[1]SCHEDULE!H587)</f>
        <v>BER</v>
      </c>
      <c r="I587" s="3" t="str">
        <f>IF([1]SCHEDULE!I587="","",[1]SCHEDULE!I587)</f>
        <v>24.OLY</v>
      </c>
      <c r="J587" s="3" t="str">
        <f>IF([1]SCHEDULE!J587="","",[1]SCHEDULE!J587)</f>
        <v>24.BER</v>
      </c>
    </row>
    <row r="588" spans="2:10" x14ac:dyDescent="0.25">
      <c r="B588" s="3" t="str">
        <f>IF([1]SCHEDULE!B588="","",[1]SCHEDULE!B588)</f>
        <v>OLY</v>
      </c>
      <c r="C588" s="3">
        <f>IF([1]SCHEDULE!C588="","",[1]SCHEDULE!C588)</f>
        <v>25</v>
      </c>
      <c r="D588" s="1" t="str">
        <f>IF([1]SCHEDULE!D588="","",[1]SCHEDULE!D588)</f>
        <v>Olympiacos Piraeus</v>
      </c>
      <c r="E588" s="1" t="str">
        <f>IF([1]SCHEDULE!E588="","",[1]SCHEDULE!E588)</f>
        <v>FC Bayern Munich</v>
      </c>
      <c r="F588" s="6">
        <f>IF([1]SCHEDULE!F588="","",[1]SCHEDULE!F588)</f>
        <v>45323</v>
      </c>
      <c r="G588" s="3" t="str">
        <f>IF([1]SCHEDULE!G588="","",[1]SCHEDULE!G588)</f>
        <v>A</v>
      </c>
      <c r="H588" s="3" t="str">
        <f>IF([1]SCHEDULE!H588="","",[1]SCHEDULE!H588)</f>
        <v>BAY</v>
      </c>
      <c r="I588" s="3" t="str">
        <f>IF([1]SCHEDULE!I588="","",[1]SCHEDULE!I588)</f>
        <v>25.OLY</v>
      </c>
      <c r="J588" s="3" t="str">
        <f>IF([1]SCHEDULE!J588="","",[1]SCHEDULE!J588)</f>
        <v>25.BAY</v>
      </c>
    </row>
    <row r="589" spans="2:10" x14ac:dyDescent="0.25">
      <c r="B589" s="3" t="str">
        <f>IF([1]SCHEDULE!B589="","",[1]SCHEDULE!B589)</f>
        <v>OLY</v>
      </c>
      <c r="C589" s="3">
        <f>IF([1]SCHEDULE!C589="","",[1]SCHEDULE!C589)</f>
        <v>26</v>
      </c>
      <c r="D589" s="1" t="str">
        <f>IF([1]SCHEDULE!D589="","",[1]SCHEDULE!D589)</f>
        <v>Olympiacos Piraeus</v>
      </c>
      <c r="E589" s="1" t="str">
        <f>IF([1]SCHEDULE!E589="","",[1]SCHEDULE!E589)</f>
        <v>Valencia Basket</v>
      </c>
      <c r="F589" s="6">
        <f>IF([1]SCHEDULE!F589="","",[1]SCHEDULE!F589)</f>
        <v>45330</v>
      </c>
      <c r="G589" s="3" t="str">
        <f>IF([1]SCHEDULE!G589="","",[1]SCHEDULE!G589)</f>
        <v>A</v>
      </c>
      <c r="H589" s="3" t="str">
        <f>IF([1]SCHEDULE!H589="","",[1]SCHEDULE!H589)</f>
        <v>VAL</v>
      </c>
      <c r="I589" s="3" t="str">
        <f>IF([1]SCHEDULE!I589="","",[1]SCHEDULE!I589)</f>
        <v>26.OLY</v>
      </c>
      <c r="J589" s="3" t="str">
        <f>IF([1]SCHEDULE!J589="","",[1]SCHEDULE!J589)</f>
        <v>26.VAL</v>
      </c>
    </row>
    <row r="590" spans="2:10" x14ac:dyDescent="0.25">
      <c r="B590" s="3" t="str">
        <f>IF([1]SCHEDULE!B590="","",[1]SCHEDULE!B590)</f>
        <v>OLY</v>
      </c>
      <c r="C590" s="3">
        <f>IF([1]SCHEDULE!C590="","",[1]SCHEDULE!C590)</f>
        <v>27</v>
      </c>
      <c r="D590" s="1" t="str">
        <f>IF([1]SCHEDULE!D590="","",[1]SCHEDULE!D590)</f>
        <v>Olympiacos Piraeus</v>
      </c>
      <c r="E590" s="1" t="str">
        <f>IF([1]SCHEDULE!E590="","",[1]SCHEDULE!E590)</f>
        <v>Zalgiris Kaunas</v>
      </c>
      <c r="F590" s="6">
        <f>IF([1]SCHEDULE!F590="","",[1]SCHEDULE!F590)</f>
        <v>45352</v>
      </c>
      <c r="G590" s="3" t="str">
        <f>IF([1]SCHEDULE!G590="","",[1]SCHEDULE!G590)</f>
        <v>A</v>
      </c>
      <c r="H590" s="3" t="str">
        <f>IF([1]SCHEDULE!H590="","",[1]SCHEDULE!H590)</f>
        <v>ZAL</v>
      </c>
      <c r="I590" s="3" t="str">
        <f>IF([1]SCHEDULE!I590="","",[1]SCHEDULE!I590)</f>
        <v>27.OLY</v>
      </c>
      <c r="J590" s="3" t="str">
        <f>IF([1]SCHEDULE!J590="","",[1]SCHEDULE!J590)</f>
        <v>27.ZAL</v>
      </c>
    </row>
    <row r="591" spans="2:10" x14ac:dyDescent="0.25">
      <c r="B591" s="3" t="str">
        <f>IF([1]SCHEDULE!B591="","",[1]SCHEDULE!B591)</f>
        <v>OLY</v>
      </c>
      <c r="C591" s="3">
        <f>IF([1]SCHEDULE!C591="","",[1]SCHEDULE!C591)</f>
        <v>28</v>
      </c>
      <c r="D591" s="1" t="str">
        <f>IF([1]SCHEDULE!D591="","",[1]SCHEDULE!D591)</f>
        <v>Olympiacos Piraeus</v>
      </c>
      <c r="E591" s="1" t="str">
        <f>IF([1]SCHEDULE!E591="","",[1]SCHEDULE!E591)</f>
        <v>Virtus Segafredo Bologna</v>
      </c>
      <c r="F591" s="6">
        <f>IF([1]SCHEDULE!F591="","",[1]SCHEDULE!F591)</f>
        <v>45358</v>
      </c>
      <c r="G591" s="3" t="str">
        <f>IF([1]SCHEDULE!G591="","",[1]SCHEDULE!G591)</f>
        <v>H</v>
      </c>
      <c r="H591" s="3" t="str">
        <f>IF([1]SCHEDULE!H591="","",[1]SCHEDULE!H591)</f>
        <v>VIR</v>
      </c>
      <c r="I591" s="3" t="str">
        <f>IF([1]SCHEDULE!I591="","",[1]SCHEDULE!I591)</f>
        <v>28.OLY</v>
      </c>
      <c r="J591" s="3" t="str">
        <f>IF([1]SCHEDULE!J591="","",[1]SCHEDULE!J591)</f>
        <v>28.VIR</v>
      </c>
    </row>
    <row r="592" spans="2:10" x14ac:dyDescent="0.25">
      <c r="B592" s="3" t="str">
        <f>IF([1]SCHEDULE!B592="","",[1]SCHEDULE!B592)</f>
        <v>OLY</v>
      </c>
      <c r="C592" s="3">
        <f>IF([1]SCHEDULE!C592="","",[1]SCHEDULE!C592)</f>
        <v>29</v>
      </c>
      <c r="D592" s="1" t="str">
        <f>IF([1]SCHEDULE!D592="","",[1]SCHEDULE!D592)</f>
        <v>Olympiacos Piraeus</v>
      </c>
      <c r="E592" s="1" t="str">
        <f>IF([1]SCHEDULE!E592="","",[1]SCHEDULE!E592)</f>
        <v>Panathinaikos Athens</v>
      </c>
      <c r="F592" s="6">
        <f>IF([1]SCHEDULE!F592="","",[1]SCHEDULE!F592)</f>
        <v>45365</v>
      </c>
      <c r="G592" s="3" t="str">
        <f>IF([1]SCHEDULE!G592="","",[1]SCHEDULE!G592)</f>
        <v>H</v>
      </c>
      <c r="H592" s="3" t="str">
        <f>IF([1]SCHEDULE!H592="","",[1]SCHEDULE!H592)</f>
        <v>PAN</v>
      </c>
      <c r="I592" s="3" t="str">
        <f>IF([1]SCHEDULE!I592="","",[1]SCHEDULE!I592)</f>
        <v>29.OLY</v>
      </c>
      <c r="J592" s="3" t="str">
        <f>IF([1]SCHEDULE!J592="","",[1]SCHEDULE!J592)</f>
        <v>29.PAN</v>
      </c>
    </row>
    <row r="593" spans="2:10" x14ac:dyDescent="0.25">
      <c r="B593" s="3" t="str">
        <f>IF([1]SCHEDULE!B593="","",[1]SCHEDULE!B593)</f>
        <v>OLY</v>
      </c>
      <c r="C593" s="3">
        <f>IF([1]SCHEDULE!C593="","",[1]SCHEDULE!C593)</f>
        <v>30</v>
      </c>
      <c r="D593" s="1" t="str">
        <f>IF([1]SCHEDULE!D593="","",[1]SCHEDULE!D593)</f>
        <v>Olympiacos Piraeus</v>
      </c>
      <c r="E593" s="1" t="str">
        <f>IF([1]SCHEDULE!E593="","",[1]SCHEDULE!E593)</f>
        <v>Anadolu Efes Istanbul</v>
      </c>
      <c r="F593" s="6">
        <f>IF([1]SCHEDULE!F593="","",[1]SCHEDULE!F593)</f>
        <v>45370</v>
      </c>
      <c r="G593" s="3" t="str">
        <f>IF([1]SCHEDULE!G593="","",[1]SCHEDULE!G593)</f>
        <v>A</v>
      </c>
      <c r="H593" s="3" t="str">
        <f>IF([1]SCHEDULE!H593="","",[1]SCHEDULE!H593)</f>
        <v>EFE</v>
      </c>
      <c r="I593" s="3" t="str">
        <f>IF([1]SCHEDULE!I593="","",[1]SCHEDULE!I593)</f>
        <v>30.OLY</v>
      </c>
      <c r="J593" s="3" t="str">
        <f>IF([1]SCHEDULE!J593="","",[1]SCHEDULE!J593)</f>
        <v>30.EFE</v>
      </c>
    </row>
    <row r="594" spans="2:10" x14ac:dyDescent="0.25">
      <c r="B594" s="3" t="str">
        <f>IF([1]SCHEDULE!B594="","",[1]SCHEDULE!B594)</f>
        <v>OLY</v>
      </c>
      <c r="C594" s="3">
        <f>IF([1]SCHEDULE!C594="","",[1]SCHEDULE!C594)</f>
        <v>31</v>
      </c>
      <c r="D594" s="1" t="str">
        <f>IF([1]SCHEDULE!D594="","",[1]SCHEDULE!D594)</f>
        <v>Olympiacos Piraeus</v>
      </c>
      <c r="E594" s="1" t="str">
        <f>IF([1]SCHEDULE!E594="","",[1]SCHEDULE!E594)</f>
        <v>LDLC ASVEL Villeurbanne</v>
      </c>
      <c r="F594" s="6">
        <f>IF([1]SCHEDULE!F594="","",[1]SCHEDULE!F594)</f>
        <v>45372</v>
      </c>
      <c r="G594" s="3" t="str">
        <f>IF([1]SCHEDULE!G594="","",[1]SCHEDULE!G594)</f>
        <v>H</v>
      </c>
      <c r="H594" s="3" t="str">
        <f>IF([1]SCHEDULE!H594="","",[1]SCHEDULE!H594)</f>
        <v>ASV</v>
      </c>
      <c r="I594" s="3" t="str">
        <f>IF([1]SCHEDULE!I594="","",[1]SCHEDULE!I594)</f>
        <v>31.OLY</v>
      </c>
      <c r="J594" s="3" t="str">
        <f>IF([1]SCHEDULE!J594="","",[1]SCHEDULE!J594)</f>
        <v>31.ASV</v>
      </c>
    </row>
    <row r="595" spans="2:10" x14ac:dyDescent="0.25">
      <c r="B595" s="3" t="str">
        <f>IF([1]SCHEDULE!B595="","",[1]SCHEDULE!B595)</f>
        <v>OLY</v>
      </c>
      <c r="C595" s="3">
        <f>IF([1]SCHEDULE!C595="","",[1]SCHEDULE!C595)</f>
        <v>32</v>
      </c>
      <c r="D595" s="1" t="str">
        <f>IF([1]SCHEDULE!D595="","",[1]SCHEDULE!D595)</f>
        <v>Olympiacos Piraeus</v>
      </c>
      <c r="E595" s="1" t="str">
        <f>IF([1]SCHEDULE!E595="","",[1]SCHEDULE!E595)</f>
        <v>Partizan Mozzart Bet Belgrade</v>
      </c>
      <c r="F595" s="6">
        <f>IF([1]SCHEDULE!F595="","",[1]SCHEDULE!F595)</f>
        <v>45379</v>
      </c>
      <c r="G595" s="3" t="str">
        <f>IF([1]SCHEDULE!G595="","",[1]SCHEDULE!G595)</f>
        <v>A</v>
      </c>
      <c r="H595" s="3" t="str">
        <f>IF([1]SCHEDULE!H595="","",[1]SCHEDULE!H595)</f>
        <v>PAR</v>
      </c>
      <c r="I595" s="3" t="str">
        <f>IF([1]SCHEDULE!I595="","",[1]SCHEDULE!I595)</f>
        <v>32.OLY</v>
      </c>
      <c r="J595" s="3" t="str">
        <f>IF([1]SCHEDULE!J595="","",[1]SCHEDULE!J595)</f>
        <v>32.PAR</v>
      </c>
    </row>
    <row r="596" spans="2:10" x14ac:dyDescent="0.25">
      <c r="B596" s="3" t="str">
        <f>IF([1]SCHEDULE!B596="","",[1]SCHEDULE!B596)</f>
        <v>OLY</v>
      </c>
      <c r="C596" s="3">
        <f>IF([1]SCHEDULE!C596="","",[1]SCHEDULE!C596)</f>
        <v>33</v>
      </c>
      <c r="D596" s="1" t="str">
        <f>IF([1]SCHEDULE!D596="","",[1]SCHEDULE!D596)</f>
        <v>Olympiacos Piraeus</v>
      </c>
      <c r="E596" s="1" t="str">
        <f>IF([1]SCHEDULE!E596="","",[1]SCHEDULE!E596)</f>
        <v>Crvena Zvezda Meridianbet Belgrade</v>
      </c>
      <c r="F596" s="6">
        <f>IF([1]SCHEDULE!F596="","",[1]SCHEDULE!F596)</f>
        <v>45386</v>
      </c>
      <c r="G596" s="3" t="str">
        <f>IF([1]SCHEDULE!G596="","",[1]SCHEDULE!G596)</f>
        <v>A</v>
      </c>
      <c r="H596" s="3" t="str">
        <f>IF([1]SCHEDULE!H596="","",[1]SCHEDULE!H596)</f>
        <v>CZB</v>
      </c>
      <c r="I596" s="3" t="str">
        <f>IF([1]SCHEDULE!I596="","",[1]SCHEDULE!I596)</f>
        <v>33.OLY</v>
      </c>
      <c r="J596" s="3" t="str">
        <f>IF([1]SCHEDULE!J596="","",[1]SCHEDULE!J596)</f>
        <v>33.CZB</v>
      </c>
    </row>
    <row r="597" spans="2:10" x14ac:dyDescent="0.25">
      <c r="B597" s="3" t="str">
        <f>IF([1]SCHEDULE!B597="","",[1]SCHEDULE!B597)</f>
        <v>OLY</v>
      </c>
      <c r="C597" s="3">
        <f>IF([1]SCHEDULE!C597="","",[1]SCHEDULE!C597)</f>
        <v>34</v>
      </c>
      <c r="D597" s="1" t="str">
        <f>IF([1]SCHEDULE!D597="","",[1]SCHEDULE!D597)</f>
        <v>Olympiacos Piraeus</v>
      </c>
      <c r="E597" s="1" t="str">
        <f>IF([1]SCHEDULE!E597="","",[1]SCHEDULE!E597)</f>
        <v>Fenerbahce Beko Istanbul</v>
      </c>
      <c r="F597" s="6">
        <f>IF([1]SCHEDULE!F597="","",[1]SCHEDULE!F597)</f>
        <v>45394</v>
      </c>
      <c r="G597" s="3" t="str">
        <f>IF([1]SCHEDULE!G597="","",[1]SCHEDULE!G597)</f>
        <v>H</v>
      </c>
      <c r="H597" s="3" t="str">
        <f>IF([1]SCHEDULE!H597="","",[1]SCHEDULE!H597)</f>
        <v>FEN</v>
      </c>
      <c r="I597" s="3" t="str">
        <f>IF([1]SCHEDULE!I597="","",[1]SCHEDULE!I597)</f>
        <v>34.OLY</v>
      </c>
      <c r="J597" s="3" t="str">
        <f>IF([1]SCHEDULE!J597="","",[1]SCHEDULE!J597)</f>
        <v>34.FEN</v>
      </c>
    </row>
    <row r="598" spans="2:10" x14ac:dyDescent="0.25">
      <c r="B598" s="3" t="str">
        <f>IF([1]SCHEDULE!B598="","",[1]SCHEDULE!B598)</f>
        <v>OLY</v>
      </c>
      <c r="C598" s="3">
        <f>IF([1]SCHEDULE!C598="","",[1]SCHEDULE!C598)</f>
        <v>35</v>
      </c>
      <c r="D598" s="1" t="str">
        <f>IF([1]SCHEDULE!D598="","",[1]SCHEDULE!D598)</f>
        <v>Olympiacos Piraeus</v>
      </c>
      <c r="E598" s="1" t="str">
        <f>IF([1]SCHEDULE!E598="","",[1]SCHEDULE!E598)</f>
        <v/>
      </c>
      <c r="F598" s="6" t="str">
        <f>IF([1]SCHEDULE!F598="","",[1]SCHEDULE!F598)</f>
        <v/>
      </c>
      <c r="G598" s="3" t="str">
        <f>IF([1]SCHEDULE!G598="","",[1]SCHEDULE!G598)</f>
        <v/>
      </c>
      <c r="H598" s="3" t="str">
        <f>IF([1]SCHEDULE!H598="","",[1]SCHEDULE!H598)</f>
        <v/>
      </c>
      <c r="I598" s="3" t="str">
        <f>IF([1]SCHEDULE!I598="","",[1]SCHEDULE!I598)</f>
        <v/>
      </c>
      <c r="J598" s="3" t="str">
        <f>IF([1]SCHEDULE!J598="","",[1]SCHEDULE!J598)</f>
        <v/>
      </c>
    </row>
    <row r="599" spans="2:10" x14ac:dyDescent="0.25">
      <c r="B599" s="3" t="str">
        <f>IF([1]SCHEDULE!B599="","",[1]SCHEDULE!B599)</f>
        <v>OLY</v>
      </c>
      <c r="C599" s="3">
        <f>IF([1]SCHEDULE!C599="","",[1]SCHEDULE!C599)</f>
        <v>36</v>
      </c>
      <c r="D599" s="1" t="str">
        <f>IF([1]SCHEDULE!D599="","",[1]SCHEDULE!D599)</f>
        <v>Olympiacos Piraeus</v>
      </c>
      <c r="E599" s="1" t="str">
        <f>IF([1]SCHEDULE!E599="","",[1]SCHEDULE!E599)</f>
        <v/>
      </c>
      <c r="F599" s="6" t="str">
        <f>IF([1]SCHEDULE!F599="","",[1]SCHEDULE!F599)</f>
        <v/>
      </c>
      <c r="G599" s="3" t="str">
        <f>IF([1]SCHEDULE!G599="","",[1]SCHEDULE!G599)</f>
        <v/>
      </c>
      <c r="H599" s="3" t="str">
        <f>IF([1]SCHEDULE!H599="","",[1]SCHEDULE!H599)</f>
        <v/>
      </c>
      <c r="I599" s="3" t="str">
        <f>IF([1]SCHEDULE!I599="","",[1]SCHEDULE!I599)</f>
        <v/>
      </c>
      <c r="J599" s="3" t="str">
        <f>IF([1]SCHEDULE!J599="","",[1]SCHEDULE!J599)</f>
        <v/>
      </c>
    </row>
    <row r="600" spans="2:10" x14ac:dyDescent="0.25">
      <c r="B600" s="3" t="str">
        <f>IF([1]SCHEDULE!B600="","",[1]SCHEDULE!B600)</f>
        <v>OLY</v>
      </c>
      <c r="C600" s="3">
        <f>IF([1]SCHEDULE!C600="","",[1]SCHEDULE!C600)</f>
        <v>37</v>
      </c>
      <c r="D600" s="1" t="str">
        <f>IF([1]SCHEDULE!D600="","",[1]SCHEDULE!D600)</f>
        <v>Olympiacos Piraeus</v>
      </c>
      <c r="E600" s="1" t="str">
        <f>IF([1]SCHEDULE!E600="","",[1]SCHEDULE!E600)</f>
        <v/>
      </c>
      <c r="F600" s="6" t="str">
        <f>IF([1]SCHEDULE!F600="","",[1]SCHEDULE!F600)</f>
        <v/>
      </c>
      <c r="G600" s="3" t="str">
        <f>IF([1]SCHEDULE!G600="","",[1]SCHEDULE!G600)</f>
        <v/>
      </c>
      <c r="H600" s="3" t="str">
        <f>IF([1]SCHEDULE!H600="","",[1]SCHEDULE!H600)</f>
        <v/>
      </c>
      <c r="I600" s="3" t="str">
        <f>IF([1]SCHEDULE!I600="","",[1]SCHEDULE!I600)</f>
        <v/>
      </c>
      <c r="J600" s="3" t="str">
        <f>IF([1]SCHEDULE!J600="","",[1]SCHEDULE!J600)</f>
        <v/>
      </c>
    </row>
    <row r="601" spans="2:10" x14ac:dyDescent="0.25">
      <c r="B601" s="3" t="str">
        <f>IF([1]SCHEDULE!B601="","",[1]SCHEDULE!B601)</f>
        <v>OLY</v>
      </c>
      <c r="C601" s="3">
        <f>IF([1]SCHEDULE!C601="","",[1]SCHEDULE!C601)</f>
        <v>38</v>
      </c>
      <c r="D601" s="1" t="str">
        <f>IF([1]SCHEDULE!D601="","",[1]SCHEDULE!D601)</f>
        <v>Olympiacos Piraeus</v>
      </c>
      <c r="E601" s="1" t="str">
        <f>IF([1]SCHEDULE!E601="","",[1]SCHEDULE!E601)</f>
        <v/>
      </c>
      <c r="F601" s="6" t="str">
        <f>IF([1]SCHEDULE!F601="","",[1]SCHEDULE!F601)</f>
        <v/>
      </c>
      <c r="G601" s="3" t="str">
        <f>IF([1]SCHEDULE!G601="","",[1]SCHEDULE!G601)</f>
        <v/>
      </c>
      <c r="H601" s="3" t="str">
        <f>IF([1]SCHEDULE!H601="","",[1]SCHEDULE!H601)</f>
        <v/>
      </c>
      <c r="I601" s="3" t="str">
        <f>IF([1]SCHEDULE!I601="","",[1]SCHEDULE!I601)</f>
        <v/>
      </c>
      <c r="J601" s="3" t="str">
        <f>IF([1]SCHEDULE!J601="","",[1]SCHEDULE!J601)</f>
        <v/>
      </c>
    </row>
    <row r="602" spans="2:10" x14ac:dyDescent="0.25">
      <c r="B602" s="3" t="str">
        <f>IF([1]SCHEDULE!B602="","",[1]SCHEDULE!B602)</f>
        <v>OLY</v>
      </c>
      <c r="C602" s="3">
        <f>IF([1]SCHEDULE!C602="","",[1]SCHEDULE!C602)</f>
        <v>39</v>
      </c>
      <c r="D602" s="1" t="str">
        <f>IF([1]SCHEDULE!D602="","",[1]SCHEDULE!D602)</f>
        <v>Olympiacos Piraeus</v>
      </c>
      <c r="E602" s="1" t="str">
        <f>IF([1]SCHEDULE!E602="","",[1]SCHEDULE!E602)</f>
        <v/>
      </c>
      <c r="F602" s="6" t="str">
        <f>IF([1]SCHEDULE!F602="","",[1]SCHEDULE!F602)</f>
        <v/>
      </c>
      <c r="G602" s="3" t="str">
        <f>IF([1]SCHEDULE!G602="","",[1]SCHEDULE!G602)</f>
        <v/>
      </c>
      <c r="H602" s="3" t="str">
        <f>IF([1]SCHEDULE!H602="","",[1]SCHEDULE!H602)</f>
        <v/>
      </c>
      <c r="I602" s="3" t="str">
        <f>IF([1]SCHEDULE!I602="","",[1]SCHEDULE!I602)</f>
        <v/>
      </c>
      <c r="J602" s="3" t="str">
        <f>IF([1]SCHEDULE!J602="","",[1]SCHEDULE!J602)</f>
        <v/>
      </c>
    </row>
    <row r="603" spans="2:10" x14ac:dyDescent="0.25">
      <c r="B603" s="3" t="str">
        <f>IF([1]SCHEDULE!B603="","",[1]SCHEDULE!B603)</f>
        <v>OLY</v>
      </c>
      <c r="C603" s="3">
        <f>IF([1]SCHEDULE!C603="","",[1]SCHEDULE!C603)</f>
        <v>40</v>
      </c>
      <c r="D603" s="1" t="str">
        <f>IF([1]SCHEDULE!D603="","",[1]SCHEDULE!D603)</f>
        <v>Olympiacos Piraeus</v>
      </c>
      <c r="E603" s="1" t="str">
        <f>IF([1]SCHEDULE!E603="","",[1]SCHEDULE!E603)</f>
        <v/>
      </c>
      <c r="F603" s="6" t="str">
        <f>IF([1]SCHEDULE!F603="","",[1]SCHEDULE!F603)</f>
        <v/>
      </c>
      <c r="G603" s="3" t="str">
        <f>IF([1]SCHEDULE!G603="","",[1]SCHEDULE!G603)</f>
        <v/>
      </c>
      <c r="H603" s="3" t="str">
        <f>IF([1]SCHEDULE!H603="","",[1]SCHEDULE!H603)</f>
        <v/>
      </c>
      <c r="I603" s="3" t="str">
        <f>IF([1]SCHEDULE!I603="","",[1]SCHEDULE!I603)</f>
        <v/>
      </c>
      <c r="J603" s="3" t="str">
        <f>IF([1]SCHEDULE!J603="","",[1]SCHEDULE!J603)</f>
        <v/>
      </c>
    </row>
    <row r="604" spans="2:10" x14ac:dyDescent="0.25">
      <c r="B604" s="3" t="str">
        <f>IF([1]SCHEDULE!B604="","",[1]SCHEDULE!B604)</f>
        <v>OLY</v>
      </c>
      <c r="C604" s="3">
        <f>IF([1]SCHEDULE!C604="","",[1]SCHEDULE!C604)</f>
        <v>41</v>
      </c>
      <c r="D604" s="1" t="str">
        <f>IF([1]SCHEDULE!D604="","",[1]SCHEDULE!D604)</f>
        <v>Olympiacos Piraeus</v>
      </c>
      <c r="E604" s="1" t="str">
        <f>IF([1]SCHEDULE!E604="","",[1]SCHEDULE!E604)</f>
        <v/>
      </c>
      <c r="F604" s="6" t="str">
        <f>IF([1]SCHEDULE!F604="","",[1]SCHEDULE!F604)</f>
        <v/>
      </c>
      <c r="G604" s="3" t="str">
        <f>IF([1]SCHEDULE!G604="","",[1]SCHEDULE!G604)</f>
        <v/>
      </c>
      <c r="H604" s="3" t="str">
        <f>IF([1]SCHEDULE!H604="","",[1]SCHEDULE!H604)</f>
        <v/>
      </c>
      <c r="I604" s="3" t="str">
        <f>IF([1]SCHEDULE!I604="","",[1]SCHEDULE!I604)</f>
        <v/>
      </c>
      <c r="J604" s="3" t="str">
        <f>IF([1]SCHEDULE!J604="","",[1]SCHEDULE!J604)</f>
        <v/>
      </c>
    </row>
    <row r="605" spans="2:10" x14ac:dyDescent="0.25">
      <c r="B605" s="3" t="str">
        <f>IF([1]SCHEDULE!B605="","",[1]SCHEDULE!B605)</f>
        <v>OLY</v>
      </c>
      <c r="C605" s="3">
        <f>IF([1]SCHEDULE!C605="","",[1]SCHEDULE!C605)</f>
        <v>42</v>
      </c>
      <c r="D605" s="1" t="str">
        <f>IF([1]SCHEDULE!D605="","",[1]SCHEDULE!D605)</f>
        <v>Olympiacos Piraeus</v>
      </c>
      <c r="E605" s="1" t="str">
        <f>IF([1]SCHEDULE!E605="","",[1]SCHEDULE!E605)</f>
        <v/>
      </c>
      <c r="F605" s="6" t="str">
        <f>IF([1]SCHEDULE!F605="","",[1]SCHEDULE!F605)</f>
        <v/>
      </c>
      <c r="G605" s="3" t="str">
        <f>IF([1]SCHEDULE!G605="","",[1]SCHEDULE!G605)</f>
        <v/>
      </c>
      <c r="H605" s="3" t="str">
        <f>IF([1]SCHEDULE!H605="","",[1]SCHEDULE!H605)</f>
        <v/>
      </c>
      <c r="I605" s="3" t="str">
        <f>IF([1]SCHEDULE!I605="","",[1]SCHEDULE!I605)</f>
        <v/>
      </c>
      <c r="J605" s="3" t="str">
        <f>IF([1]SCHEDULE!J605="","",[1]SCHEDULE!J605)</f>
        <v/>
      </c>
    </row>
    <row r="606" spans="2:10" x14ac:dyDescent="0.25">
      <c r="B606" s="3" t="str">
        <f>IF([1]SCHEDULE!B606="","",[1]SCHEDULE!B606)</f>
        <v>OLY</v>
      </c>
      <c r="C606" s="3">
        <f>IF([1]SCHEDULE!C606="","",[1]SCHEDULE!C606)</f>
        <v>43</v>
      </c>
      <c r="D606" s="1" t="str">
        <f>IF([1]SCHEDULE!D606="","",[1]SCHEDULE!D606)</f>
        <v>Olympiacos Piraeus</v>
      </c>
      <c r="E606" s="1" t="str">
        <f>IF([1]SCHEDULE!E606="","",[1]SCHEDULE!E606)</f>
        <v/>
      </c>
      <c r="F606" s="6" t="str">
        <f>IF([1]SCHEDULE!F606="","",[1]SCHEDULE!F606)</f>
        <v/>
      </c>
      <c r="G606" s="3" t="str">
        <f>IF([1]SCHEDULE!G606="","",[1]SCHEDULE!G606)</f>
        <v/>
      </c>
      <c r="H606" s="3" t="str">
        <f>IF([1]SCHEDULE!H606="","",[1]SCHEDULE!H606)</f>
        <v/>
      </c>
      <c r="I606" s="3" t="str">
        <f>IF([1]SCHEDULE!I606="","",[1]SCHEDULE!I606)</f>
        <v/>
      </c>
      <c r="J606" s="3" t="str">
        <f>IF([1]SCHEDULE!J606="","",[1]SCHEDULE!J606)</f>
        <v/>
      </c>
    </row>
    <row r="607" spans="2:10" x14ac:dyDescent="0.25">
      <c r="B607" s="3" t="str">
        <f>IF([1]SCHEDULE!B607="","",[1]SCHEDULE!B607)</f>
        <v>OLY</v>
      </c>
      <c r="C607" s="3">
        <f>IF([1]SCHEDULE!C607="","",[1]SCHEDULE!C607)</f>
        <v>44</v>
      </c>
      <c r="D607" s="1" t="str">
        <f>IF([1]SCHEDULE!D607="","",[1]SCHEDULE!D607)</f>
        <v>Olympiacos Piraeus</v>
      </c>
      <c r="E607" s="1" t="str">
        <f>IF([1]SCHEDULE!E607="","",[1]SCHEDULE!E607)</f>
        <v/>
      </c>
      <c r="F607" s="6" t="str">
        <f>IF([1]SCHEDULE!F607="","",[1]SCHEDULE!F607)</f>
        <v/>
      </c>
      <c r="G607" s="3" t="str">
        <f>IF([1]SCHEDULE!G607="","",[1]SCHEDULE!G607)</f>
        <v/>
      </c>
      <c r="H607" s="3" t="str">
        <f>IF([1]SCHEDULE!H607="","",[1]SCHEDULE!H607)</f>
        <v/>
      </c>
      <c r="I607" s="3" t="str">
        <f>IF([1]SCHEDULE!I607="","",[1]SCHEDULE!I607)</f>
        <v/>
      </c>
      <c r="J607" s="3" t="str">
        <f>IF([1]SCHEDULE!J607="","",[1]SCHEDULE!J607)</f>
        <v/>
      </c>
    </row>
    <row r="608" spans="2:10" x14ac:dyDescent="0.25">
      <c r="B608" s="3" t="str">
        <f>IF([1]SCHEDULE!B608="","",[1]SCHEDULE!B608)</f>
        <v>OLY</v>
      </c>
      <c r="C608" s="3">
        <f>IF([1]SCHEDULE!C608="","",[1]SCHEDULE!C608)</f>
        <v>45</v>
      </c>
      <c r="D608" s="1" t="str">
        <f>IF([1]SCHEDULE!D608="","",[1]SCHEDULE!D608)</f>
        <v>Olympiacos Piraeus</v>
      </c>
      <c r="E608" s="1" t="str">
        <f>IF([1]SCHEDULE!E608="","",[1]SCHEDULE!E608)</f>
        <v/>
      </c>
      <c r="F608" s="6" t="str">
        <f>IF([1]SCHEDULE!F608="","",[1]SCHEDULE!F608)</f>
        <v/>
      </c>
      <c r="G608" s="3" t="str">
        <f>IF([1]SCHEDULE!G608="","",[1]SCHEDULE!G608)</f>
        <v/>
      </c>
      <c r="H608" s="3" t="str">
        <f>IF([1]SCHEDULE!H608="","",[1]SCHEDULE!H608)</f>
        <v/>
      </c>
      <c r="I608" s="3" t="str">
        <f>IF([1]SCHEDULE!I608="","",[1]SCHEDULE!I608)</f>
        <v/>
      </c>
      <c r="J608" s="3" t="str">
        <f>IF([1]SCHEDULE!J608="","",[1]SCHEDULE!J608)</f>
        <v/>
      </c>
    </row>
    <row r="609" spans="2:10" x14ac:dyDescent="0.25">
      <c r="B609" s="3" t="str">
        <f>IF([1]SCHEDULE!B609="","",[1]SCHEDULE!B609)</f>
        <v>OLY</v>
      </c>
      <c r="C609" s="3">
        <f>IF([1]SCHEDULE!C609="","",[1]SCHEDULE!C609)</f>
        <v>46</v>
      </c>
      <c r="D609" s="1" t="str">
        <f>IF([1]SCHEDULE!D609="","",[1]SCHEDULE!D609)</f>
        <v>Olympiacos Piraeus</v>
      </c>
      <c r="E609" s="1" t="str">
        <f>IF([1]SCHEDULE!E609="","",[1]SCHEDULE!E609)</f>
        <v/>
      </c>
      <c r="F609" s="6" t="str">
        <f>IF([1]SCHEDULE!F609="","",[1]SCHEDULE!F609)</f>
        <v/>
      </c>
      <c r="G609" s="3" t="str">
        <f>IF([1]SCHEDULE!G609="","",[1]SCHEDULE!G609)</f>
        <v/>
      </c>
      <c r="H609" s="3" t="str">
        <f>IF([1]SCHEDULE!H609="","",[1]SCHEDULE!H609)</f>
        <v/>
      </c>
      <c r="I609" s="3" t="str">
        <f>IF([1]SCHEDULE!I609="","",[1]SCHEDULE!I609)</f>
        <v/>
      </c>
      <c r="J609" s="3" t="str">
        <f>IF([1]SCHEDULE!J609="","",[1]SCHEDULE!J609)</f>
        <v/>
      </c>
    </row>
    <row r="610" spans="2:10" x14ac:dyDescent="0.25">
      <c r="B610" s="3" t="str">
        <f>IF([1]SCHEDULE!B610="","",[1]SCHEDULE!B610)</f>
        <v>OLY</v>
      </c>
      <c r="C610" s="3">
        <f>IF([1]SCHEDULE!C610="","",[1]SCHEDULE!C610)</f>
        <v>47</v>
      </c>
      <c r="D610" s="1" t="str">
        <f>IF([1]SCHEDULE!D610="","",[1]SCHEDULE!D610)</f>
        <v>Olympiacos Piraeus</v>
      </c>
      <c r="E610" s="1" t="str">
        <f>IF([1]SCHEDULE!E610="","",[1]SCHEDULE!E610)</f>
        <v/>
      </c>
      <c r="F610" s="6" t="str">
        <f>IF([1]SCHEDULE!F610="","",[1]SCHEDULE!F610)</f>
        <v/>
      </c>
      <c r="G610" s="3" t="str">
        <f>IF([1]SCHEDULE!G610="","",[1]SCHEDULE!G610)</f>
        <v/>
      </c>
      <c r="H610" s="3" t="str">
        <f>IF([1]SCHEDULE!H610="","",[1]SCHEDULE!H610)</f>
        <v/>
      </c>
      <c r="I610" s="3" t="str">
        <f>IF([1]SCHEDULE!I610="","",[1]SCHEDULE!I610)</f>
        <v/>
      </c>
      <c r="J610" s="3" t="str">
        <f>IF([1]SCHEDULE!J610="","",[1]SCHEDULE!J610)</f>
        <v/>
      </c>
    </row>
    <row r="611" spans="2:10" x14ac:dyDescent="0.25">
      <c r="B611" s="3" t="str">
        <f>IF([1]SCHEDULE!B611="","",[1]SCHEDULE!B611)</f>
        <v>OLY</v>
      </c>
      <c r="C611" s="3">
        <f>IF([1]SCHEDULE!C611="","",[1]SCHEDULE!C611)</f>
        <v>48</v>
      </c>
      <c r="D611" s="1" t="str">
        <f>IF([1]SCHEDULE!D611="","",[1]SCHEDULE!D611)</f>
        <v>Olympiacos Piraeus</v>
      </c>
      <c r="E611" s="1" t="str">
        <f>IF([1]SCHEDULE!E611="","",[1]SCHEDULE!E611)</f>
        <v/>
      </c>
      <c r="F611" s="6" t="str">
        <f>IF([1]SCHEDULE!F611="","",[1]SCHEDULE!F611)</f>
        <v/>
      </c>
      <c r="G611" s="3" t="str">
        <f>IF([1]SCHEDULE!G611="","",[1]SCHEDULE!G611)</f>
        <v/>
      </c>
      <c r="H611" s="3" t="str">
        <f>IF([1]SCHEDULE!H611="","",[1]SCHEDULE!H611)</f>
        <v/>
      </c>
      <c r="I611" s="3" t="str">
        <f>IF([1]SCHEDULE!I611="","",[1]SCHEDULE!I611)</f>
        <v/>
      </c>
      <c r="J611" s="3" t="str">
        <f>IF([1]SCHEDULE!J611="","",[1]SCHEDULE!J611)</f>
        <v/>
      </c>
    </row>
    <row r="612" spans="2:10" x14ac:dyDescent="0.25">
      <c r="B612" s="3" t="str">
        <f>IF([1]SCHEDULE!B612="","",[1]SCHEDULE!B612)</f>
        <v>OLY</v>
      </c>
      <c r="C612" s="3">
        <f>IF([1]SCHEDULE!C612="","",[1]SCHEDULE!C612)</f>
        <v>49</v>
      </c>
      <c r="D612" s="1" t="str">
        <f>IF([1]SCHEDULE!D612="","",[1]SCHEDULE!D612)</f>
        <v>Olympiacos Piraeus</v>
      </c>
      <c r="E612" s="1" t="str">
        <f>IF([1]SCHEDULE!E612="","",[1]SCHEDULE!E612)</f>
        <v/>
      </c>
      <c r="F612" s="6" t="str">
        <f>IF([1]SCHEDULE!F612="","",[1]SCHEDULE!F612)</f>
        <v/>
      </c>
      <c r="G612" s="3" t="str">
        <f>IF([1]SCHEDULE!G612="","",[1]SCHEDULE!G612)</f>
        <v/>
      </c>
      <c r="H612" s="3" t="str">
        <f>IF([1]SCHEDULE!H612="","",[1]SCHEDULE!H612)</f>
        <v/>
      </c>
      <c r="I612" s="3" t="str">
        <f>IF([1]SCHEDULE!I612="","",[1]SCHEDULE!I612)</f>
        <v/>
      </c>
      <c r="J612" s="3" t="str">
        <f>IF([1]SCHEDULE!J612="","",[1]SCHEDULE!J612)</f>
        <v/>
      </c>
    </row>
    <row r="613" spans="2:10" x14ac:dyDescent="0.25">
      <c r="B613" s="3" t="str">
        <f>IF([1]SCHEDULE!B613="","",[1]SCHEDULE!B613)</f>
        <v>OLY</v>
      </c>
      <c r="C613" s="3">
        <f>IF([1]SCHEDULE!C613="","",[1]SCHEDULE!C613)</f>
        <v>50</v>
      </c>
      <c r="D613" s="1" t="str">
        <f>IF([1]SCHEDULE!D613="","",[1]SCHEDULE!D613)</f>
        <v>Olympiacos Piraeus</v>
      </c>
      <c r="E613" s="1" t="str">
        <f>IF([1]SCHEDULE!E613="","",[1]SCHEDULE!E613)</f>
        <v/>
      </c>
      <c r="F613" s="6" t="str">
        <f>IF([1]SCHEDULE!F613="","",[1]SCHEDULE!F613)</f>
        <v/>
      </c>
      <c r="G613" s="3" t="str">
        <f>IF([1]SCHEDULE!G613="","",[1]SCHEDULE!G613)</f>
        <v/>
      </c>
      <c r="H613" s="3" t="str">
        <f>IF([1]SCHEDULE!H613="","",[1]SCHEDULE!H613)</f>
        <v/>
      </c>
      <c r="I613" s="3" t="str">
        <f>IF([1]SCHEDULE!I613="","",[1]SCHEDULE!I613)</f>
        <v/>
      </c>
      <c r="J613" s="3" t="str">
        <f>IF([1]SCHEDULE!J613="","",[1]SCHEDULE!J613)</f>
        <v/>
      </c>
    </row>
    <row r="614" spans="2:10" x14ac:dyDescent="0.25">
      <c r="B614" s="3" t="str">
        <f>IF([1]SCHEDULE!B614="","",[1]SCHEDULE!B614)</f>
        <v>OLY</v>
      </c>
      <c r="C614" s="3">
        <f>IF([1]SCHEDULE!C614="","",[1]SCHEDULE!C614)</f>
        <v>51</v>
      </c>
      <c r="D614" s="1" t="str">
        <f>IF([1]SCHEDULE!D614="","",[1]SCHEDULE!D614)</f>
        <v>Olympiacos Piraeus</v>
      </c>
      <c r="E614" s="1" t="str">
        <f>IF([1]SCHEDULE!E614="","",[1]SCHEDULE!E614)</f>
        <v/>
      </c>
      <c r="F614" s="6" t="str">
        <f>IF([1]SCHEDULE!F614="","",[1]SCHEDULE!F614)</f>
        <v/>
      </c>
      <c r="G614" s="3" t="str">
        <f>IF([1]SCHEDULE!G614="","",[1]SCHEDULE!G614)</f>
        <v/>
      </c>
      <c r="H614" s="3" t="str">
        <f>IF([1]SCHEDULE!H614="","",[1]SCHEDULE!H614)</f>
        <v/>
      </c>
      <c r="I614" s="3" t="str">
        <f>IF([1]SCHEDULE!I614="","",[1]SCHEDULE!I614)</f>
        <v/>
      </c>
      <c r="J614" s="3" t="str">
        <f>IF([1]SCHEDULE!J614="","",[1]SCHEDULE!J614)</f>
        <v/>
      </c>
    </row>
    <row r="615" spans="2:10" x14ac:dyDescent="0.25">
      <c r="B615" s="3" t="str">
        <f>IF([1]SCHEDULE!B615="","",[1]SCHEDULE!B615)</f>
        <v>PAN</v>
      </c>
      <c r="C615" s="3">
        <f>IF([1]SCHEDULE!C615="","",[1]SCHEDULE!C615)</f>
        <v>1</v>
      </c>
      <c r="D615" s="1" t="str">
        <f>IF([1]SCHEDULE!D615="","",[1]SCHEDULE!D615)</f>
        <v>Panathinaikos Athens</v>
      </c>
      <c r="E615" s="1" t="str">
        <f>IF([1]SCHEDULE!E615="","",[1]SCHEDULE!E615)</f>
        <v>Olympiacos Piraeus</v>
      </c>
      <c r="F615" s="6">
        <f>IF([1]SCHEDULE!F615="","",[1]SCHEDULE!F615)</f>
        <v>45205</v>
      </c>
      <c r="G615" s="3" t="str">
        <f>IF([1]SCHEDULE!G615="","",[1]SCHEDULE!G615)</f>
        <v>H</v>
      </c>
      <c r="H615" s="3" t="str">
        <f>IF([1]SCHEDULE!H615="","",[1]SCHEDULE!H615)</f>
        <v>OLY</v>
      </c>
      <c r="I615" s="3" t="str">
        <f>IF([1]SCHEDULE!I615="","",[1]SCHEDULE!I615)</f>
        <v>1.PAN</v>
      </c>
      <c r="J615" s="3" t="str">
        <f>IF([1]SCHEDULE!J615="","",[1]SCHEDULE!J615)</f>
        <v>1.OLY</v>
      </c>
    </row>
    <row r="616" spans="2:10" x14ac:dyDescent="0.25">
      <c r="B616" s="3" t="str">
        <f>IF([1]SCHEDULE!B616="","",[1]SCHEDULE!B616)</f>
        <v>PAN</v>
      </c>
      <c r="C616" s="3">
        <f>IF([1]SCHEDULE!C616="","",[1]SCHEDULE!C616)</f>
        <v>2</v>
      </c>
      <c r="D616" s="1" t="str">
        <f>IF([1]SCHEDULE!D616="","",[1]SCHEDULE!D616)</f>
        <v>Panathinaikos Athens</v>
      </c>
      <c r="E616" s="1" t="str">
        <f>IF([1]SCHEDULE!E616="","",[1]SCHEDULE!E616)</f>
        <v>FC Bayern Munich</v>
      </c>
      <c r="F616" s="6">
        <f>IF([1]SCHEDULE!F616="","",[1]SCHEDULE!F616)</f>
        <v>45211</v>
      </c>
      <c r="G616" s="3" t="str">
        <f>IF([1]SCHEDULE!G616="","",[1]SCHEDULE!G616)</f>
        <v>H</v>
      </c>
      <c r="H616" s="3" t="str">
        <f>IF([1]SCHEDULE!H616="","",[1]SCHEDULE!H616)</f>
        <v>BAY</v>
      </c>
      <c r="I616" s="3" t="str">
        <f>IF([1]SCHEDULE!I616="","",[1]SCHEDULE!I616)</f>
        <v>2.PAN</v>
      </c>
      <c r="J616" s="3" t="str">
        <f>IF([1]SCHEDULE!J616="","",[1]SCHEDULE!J616)</f>
        <v>2.BAY</v>
      </c>
    </row>
    <row r="617" spans="2:10" x14ac:dyDescent="0.25">
      <c r="B617" s="3" t="str">
        <f>IF([1]SCHEDULE!B617="","",[1]SCHEDULE!B617)</f>
        <v>PAN</v>
      </c>
      <c r="C617" s="3">
        <f>IF([1]SCHEDULE!C617="","",[1]SCHEDULE!C617)</f>
        <v>3</v>
      </c>
      <c r="D617" s="1" t="str">
        <f>IF([1]SCHEDULE!D617="","",[1]SCHEDULE!D617)</f>
        <v>Panathinaikos Athens</v>
      </c>
      <c r="E617" s="1" t="str">
        <f>IF([1]SCHEDULE!E617="","",[1]SCHEDULE!E617)</f>
        <v>Fenerbahce Beko Istanbul</v>
      </c>
      <c r="F617" s="6">
        <f>IF([1]SCHEDULE!F617="","",[1]SCHEDULE!F617)</f>
        <v>45216</v>
      </c>
      <c r="G617" s="3" t="str">
        <f>IF([1]SCHEDULE!G617="","",[1]SCHEDULE!G617)</f>
        <v>A</v>
      </c>
      <c r="H617" s="3" t="str">
        <f>IF([1]SCHEDULE!H617="","",[1]SCHEDULE!H617)</f>
        <v>FEN</v>
      </c>
      <c r="I617" s="3" t="str">
        <f>IF([1]SCHEDULE!I617="","",[1]SCHEDULE!I617)</f>
        <v>3.PAN</v>
      </c>
      <c r="J617" s="3" t="str">
        <f>IF([1]SCHEDULE!J617="","",[1]SCHEDULE!J617)</f>
        <v>3.FEN</v>
      </c>
    </row>
    <row r="618" spans="2:10" x14ac:dyDescent="0.25">
      <c r="B618" s="3" t="str">
        <f>IF([1]SCHEDULE!B618="","",[1]SCHEDULE!B618)</f>
        <v>PAN</v>
      </c>
      <c r="C618" s="3">
        <f>IF([1]SCHEDULE!C618="","",[1]SCHEDULE!C618)</f>
        <v>4</v>
      </c>
      <c r="D618" s="1" t="str">
        <f>IF([1]SCHEDULE!D618="","",[1]SCHEDULE!D618)</f>
        <v>Panathinaikos Athens</v>
      </c>
      <c r="E618" s="1" t="str">
        <f>IF([1]SCHEDULE!E618="","",[1]SCHEDULE!E618)</f>
        <v>Maccabi Playtika Tel Aviv</v>
      </c>
      <c r="F618" s="6">
        <f>IF([1]SCHEDULE!F618="","",[1]SCHEDULE!F618)</f>
        <v>45219</v>
      </c>
      <c r="G618" s="3" t="str">
        <f>IF([1]SCHEDULE!G618="","",[1]SCHEDULE!G618)</f>
        <v>H</v>
      </c>
      <c r="H618" s="3" t="str">
        <f>IF([1]SCHEDULE!H618="","",[1]SCHEDULE!H618)</f>
        <v>MTA</v>
      </c>
      <c r="I618" s="3" t="str">
        <f>IF([1]SCHEDULE!I618="","",[1]SCHEDULE!I618)</f>
        <v>4.PAN</v>
      </c>
      <c r="J618" s="3" t="str">
        <f>IF([1]SCHEDULE!J618="","",[1]SCHEDULE!J618)</f>
        <v>4.MTA</v>
      </c>
    </row>
    <row r="619" spans="2:10" x14ac:dyDescent="0.25">
      <c r="B619" s="3" t="str">
        <f>IF([1]SCHEDULE!B619="","",[1]SCHEDULE!B619)</f>
        <v>PAN</v>
      </c>
      <c r="C619" s="3">
        <f>IF([1]SCHEDULE!C619="","",[1]SCHEDULE!C619)</f>
        <v>5</v>
      </c>
      <c r="D619" s="1" t="str">
        <f>IF([1]SCHEDULE!D619="","",[1]SCHEDULE!D619)</f>
        <v>Panathinaikos Athens</v>
      </c>
      <c r="E619" s="1" t="str">
        <f>IF([1]SCHEDULE!E619="","",[1]SCHEDULE!E619)</f>
        <v>Baskonia Vitoria-Gasteiz</v>
      </c>
      <c r="F619" s="6">
        <f>IF([1]SCHEDULE!F619="","",[1]SCHEDULE!F619)</f>
        <v>45226</v>
      </c>
      <c r="G619" s="3" t="str">
        <f>IF([1]SCHEDULE!G619="","",[1]SCHEDULE!G619)</f>
        <v>H</v>
      </c>
      <c r="H619" s="3" t="str">
        <f>IF([1]SCHEDULE!H619="","",[1]SCHEDULE!H619)</f>
        <v>BAS</v>
      </c>
      <c r="I619" s="3" t="str">
        <f>IF([1]SCHEDULE!I619="","",[1]SCHEDULE!I619)</f>
        <v>5.PAN</v>
      </c>
      <c r="J619" s="3" t="str">
        <f>IF([1]SCHEDULE!J619="","",[1]SCHEDULE!J619)</f>
        <v>5.BAS</v>
      </c>
    </row>
    <row r="620" spans="2:10" x14ac:dyDescent="0.25">
      <c r="B620" s="3" t="str">
        <f>IF([1]SCHEDULE!B620="","",[1]SCHEDULE!B620)</f>
        <v>PAN</v>
      </c>
      <c r="C620" s="3">
        <f>IF([1]SCHEDULE!C620="","",[1]SCHEDULE!C620)</f>
        <v>6</v>
      </c>
      <c r="D620" s="1" t="str">
        <f>IF([1]SCHEDULE!D620="","",[1]SCHEDULE!D620)</f>
        <v>Panathinaikos Athens</v>
      </c>
      <c r="E620" s="1" t="str">
        <f>IF([1]SCHEDULE!E620="","",[1]SCHEDULE!E620)</f>
        <v>FC Barcelona</v>
      </c>
      <c r="F620" s="6">
        <f>IF([1]SCHEDULE!F620="","",[1]SCHEDULE!F620)</f>
        <v>45233</v>
      </c>
      <c r="G620" s="3" t="str">
        <f>IF([1]SCHEDULE!G620="","",[1]SCHEDULE!G620)</f>
        <v>A</v>
      </c>
      <c r="H620" s="3" t="str">
        <f>IF([1]SCHEDULE!H620="","",[1]SCHEDULE!H620)</f>
        <v>FCB</v>
      </c>
      <c r="I620" s="3" t="str">
        <f>IF([1]SCHEDULE!I620="","",[1]SCHEDULE!I620)</f>
        <v>6.PAN</v>
      </c>
      <c r="J620" s="3" t="str">
        <f>IF([1]SCHEDULE!J620="","",[1]SCHEDULE!J620)</f>
        <v>6.FCB</v>
      </c>
    </row>
    <row r="621" spans="2:10" x14ac:dyDescent="0.25">
      <c r="B621" s="3" t="str">
        <f>IF([1]SCHEDULE!B621="","",[1]SCHEDULE!B621)</f>
        <v>PAN</v>
      </c>
      <c r="C621" s="3">
        <f>IF([1]SCHEDULE!C621="","",[1]SCHEDULE!C621)</f>
        <v>7</v>
      </c>
      <c r="D621" s="1" t="str">
        <f>IF([1]SCHEDULE!D621="","",[1]SCHEDULE!D621)</f>
        <v>Panathinaikos Athens</v>
      </c>
      <c r="E621" s="1" t="str">
        <f>IF([1]SCHEDULE!E621="","",[1]SCHEDULE!E621)</f>
        <v>ALBA Berlin</v>
      </c>
      <c r="F621" s="6">
        <f>IF([1]SCHEDULE!F621="","",[1]SCHEDULE!F621)</f>
        <v>45240</v>
      </c>
      <c r="G621" s="3" t="str">
        <f>IF([1]SCHEDULE!G621="","",[1]SCHEDULE!G621)</f>
        <v>A</v>
      </c>
      <c r="H621" s="3" t="str">
        <f>IF([1]SCHEDULE!H621="","",[1]SCHEDULE!H621)</f>
        <v>BER</v>
      </c>
      <c r="I621" s="3" t="str">
        <f>IF([1]SCHEDULE!I621="","",[1]SCHEDULE!I621)</f>
        <v>7.PAN</v>
      </c>
      <c r="J621" s="3" t="str">
        <f>IF([1]SCHEDULE!J621="","",[1]SCHEDULE!J621)</f>
        <v>7.BER</v>
      </c>
    </row>
    <row r="622" spans="2:10" x14ac:dyDescent="0.25">
      <c r="B622" s="3" t="str">
        <f>IF([1]SCHEDULE!B622="","",[1]SCHEDULE!B622)</f>
        <v>PAN</v>
      </c>
      <c r="C622" s="3">
        <f>IF([1]SCHEDULE!C622="","",[1]SCHEDULE!C622)</f>
        <v>8</v>
      </c>
      <c r="D622" s="1" t="str">
        <f>IF([1]SCHEDULE!D622="","",[1]SCHEDULE!D622)</f>
        <v>Panathinaikos Athens</v>
      </c>
      <c r="E622" s="1" t="str">
        <f>IF([1]SCHEDULE!E622="","",[1]SCHEDULE!E622)</f>
        <v>Zalgiris Kaunas</v>
      </c>
      <c r="F622" s="6">
        <f>IF([1]SCHEDULE!F622="","",[1]SCHEDULE!F622)</f>
        <v>45245</v>
      </c>
      <c r="G622" s="3" t="str">
        <f>IF([1]SCHEDULE!G622="","",[1]SCHEDULE!G622)</f>
        <v>H</v>
      </c>
      <c r="H622" s="3" t="str">
        <f>IF([1]SCHEDULE!H622="","",[1]SCHEDULE!H622)</f>
        <v>ZAL</v>
      </c>
      <c r="I622" s="3" t="str">
        <f>IF([1]SCHEDULE!I622="","",[1]SCHEDULE!I622)</f>
        <v>8.PAN</v>
      </c>
      <c r="J622" s="3" t="str">
        <f>IF([1]SCHEDULE!J622="","",[1]SCHEDULE!J622)</f>
        <v>8.ZAL</v>
      </c>
    </row>
    <row r="623" spans="2:10" x14ac:dyDescent="0.25">
      <c r="B623" s="3" t="str">
        <f>IF([1]SCHEDULE!B623="","",[1]SCHEDULE!B623)</f>
        <v>PAN</v>
      </c>
      <c r="C623" s="3">
        <f>IF([1]SCHEDULE!C623="","",[1]SCHEDULE!C623)</f>
        <v>9</v>
      </c>
      <c r="D623" s="1" t="str">
        <f>IF([1]SCHEDULE!D623="","",[1]SCHEDULE!D623)</f>
        <v>Panathinaikos Athens</v>
      </c>
      <c r="E623" s="1" t="str">
        <f>IF([1]SCHEDULE!E623="","",[1]SCHEDULE!E623)</f>
        <v>Virtus Segafredo Bologna</v>
      </c>
      <c r="F623" s="6">
        <f>IF([1]SCHEDULE!F623="","",[1]SCHEDULE!F623)</f>
        <v>45247</v>
      </c>
      <c r="G623" s="3" t="str">
        <f>IF([1]SCHEDULE!G623="","",[1]SCHEDULE!G623)</f>
        <v>H</v>
      </c>
      <c r="H623" s="3" t="str">
        <f>IF([1]SCHEDULE!H623="","",[1]SCHEDULE!H623)</f>
        <v>VIR</v>
      </c>
      <c r="I623" s="3" t="str">
        <f>IF([1]SCHEDULE!I623="","",[1]SCHEDULE!I623)</f>
        <v>9.PAN</v>
      </c>
      <c r="J623" s="3" t="str">
        <f>IF([1]SCHEDULE!J623="","",[1]SCHEDULE!J623)</f>
        <v>9.VIR</v>
      </c>
    </row>
    <row r="624" spans="2:10" x14ac:dyDescent="0.25">
      <c r="B624" s="3" t="str">
        <f>IF([1]SCHEDULE!B624="","",[1]SCHEDULE!B624)</f>
        <v>PAN</v>
      </c>
      <c r="C624" s="3">
        <f>IF([1]SCHEDULE!C624="","",[1]SCHEDULE!C624)</f>
        <v>10</v>
      </c>
      <c r="D624" s="1" t="str">
        <f>IF([1]SCHEDULE!D624="","",[1]SCHEDULE!D624)</f>
        <v>Panathinaikos Athens</v>
      </c>
      <c r="E624" s="1" t="str">
        <f>IF([1]SCHEDULE!E624="","",[1]SCHEDULE!E624)</f>
        <v>Valencia Basket</v>
      </c>
      <c r="F624" s="6">
        <f>IF([1]SCHEDULE!F624="","",[1]SCHEDULE!F624)</f>
        <v>45253</v>
      </c>
      <c r="G624" s="3" t="str">
        <f>IF([1]SCHEDULE!G624="","",[1]SCHEDULE!G624)</f>
        <v>H</v>
      </c>
      <c r="H624" s="3" t="str">
        <f>IF([1]SCHEDULE!H624="","",[1]SCHEDULE!H624)</f>
        <v>VAL</v>
      </c>
      <c r="I624" s="3" t="str">
        <f>IF([1]SCHEDULE!I624="","",[1]SCHEDULE!I624)</f>
        <v>10.PAN</v>
      </c>
      <c r="J624" s="3" t="str">
        <f>IF([1]SCHEDULE!J624="","",[1]SCHEDULE!J624)</f>
        <v>10.VAL</v>
      </c>
    </row>
    <row r="625" spans="2:10" x14ac:dyDescent="0.25">
      <c r="B625" s="3" t="str">
        <f>IF([1]SCHEDULE!B625="","",[1]SCHEDULE!B625)</f>
        <v>PAN</v>
      </c>
      <c r="C625" s="3">
        <f>IF([1]SCHEDULE!C625="","",[1]SCHEDULE!C625)</f>
        <v>11</v>
      </c>
      <c r="D625" s="1" t="str">
        <f>IF([1]SCHEDULE!D625="","",[1]SCHEDULE!D625)</f>
        <v>Panathinaikos Athens</v>
      </c>
      <c r="E625" s="1" t="str">
        <f>IF([1]SCHEDULE!E625="","",[1]SCHEDULE!E625)</f>
        <v>Partizan Mozzart Bet Belgrade</v>
      </c>
      <c r="F625" s="6">
        <f>IF([1]SCHEDULE!F625="","",[1]SCHEDULE!F625)</f>
        <v>45260</v>
      </c>
      <c r="G625" s="3" t="str">
        <f>IF([1]SCHEDULE!G625="","",[1]SCHEDULE!G625)</f>
        <v>A</v>
      </c>
      <c r="H625" s="3" t="str">
        <f>IF([1]SCHEDULE!H625="","",[1]SCHEDULE!H625)</f>
        <v>PAR</v>
      </c>
      <c r="I625" s="3" t="str">
        <f>IF([1]SCHEDULE!I625="","",[1]SCHEDULE!I625)</f>
        <v>11.PAN</v>
      </c>
      <c r="J625" s="3" t="str">
        <f>IF([1]SCHEDULE!J625="","",[1]SCHEDULE!J625)</f>
        <v>11.PAR</v>
      </c>
    </row>
    <row r="626" spans="2:10" x14ac:dyDescent="0.25">
      <c r="B626" s="3" t="str">
        <f>IF([1]SCHEDULE!B626="","",[1]SCHEDULE!B626)</f>
        <v>PAN</v>
      </c>
      <c r="C626" s="3">
        <f>IF([1]SCHEDULE!C626="","",[1]SCHEDULE!C626)</f>
        <v>12</v>
      </c>
      <c r="D626" s="1" t="str">
        <f>IF([1]SCHEDULE!D626="","",[1]SCHEDULE!D626)</f>
        <v>Panathinaikos Athens</v>
      </c>
      <c r="E626" s="1" t="str">
        <f>IF([1]SCHEDULE!E626="","",[1]SCHEDULE!E626)</f>
        <v>Anadolu Efes Istanbul</v>
      </c>
      <c r="F626" s="6">
        <f>IF([1]SCHEDULE!F626="","",[1]SCHEDULE!F626)</f>
        <v>45265</v>
      </c>
      <c r="G626" s="3" t="str">
        <f>IF([1]SCHEDULE!G626="","",[1]SCHEDULE!G626)</f>
        <v>A</v>
      </c>
      <c r="H626" s="3" t="str">
        <f>IF([1]SCHEDULE!H626="","",[1]SCHEDULE!H626)</f>
        <v>EFE</v>
      </c>
      <c r="I626" s="3" t="str">
        <f>IF([1]SCHEDULE!I626="","",[1]SCHEDULE!I626)</f>
        <v>12.PAN</v>
      </c>
      <c r="J626" s="3" t="str">
        <f>IF([1]SCHEDULE!J626="","",[1]SCHEDULE!J626)</f>
        <v>12.EFE</v>
      </c>
    </row>
    <row r="627" spans="2:10" x14ac:dyDescent="0.25">
      <c r="B627" s="3" t="str">
        <f>IF([1]SCHEDULE!B627="","",[1]SCHEDULE!B627)</f>
        <v>PAN</v>
      </c>
      <c r="C627" s="3">
        <f>IF([1]SCHEDULE!C627="","",[1]SCHEDULE!C627)</f>
        <v>13</v>
      </c>
      <c r="D627" s="1" t="str">
        <f>IF([1]SCHEDULE!D627="","",[1]SCHEDULE!D627)</f>
        <v>Panathinaikos Athens</v>
      </c>
      <c r="E627" s="1" t="str">
        <f>IF([1]SCHEDULE!E627="","",[1]SCHEDULE!E627)</f>
        <v>Real Madrid</v>
      </c>
      <c r="F627" s="6">
        <f>IF([1]SCHEDULE!F627="","",[1]SCHEDULE!F627)</f>
        <v>45267</v>
      </c>
      <c r="G627" s="3" t="str">
        <f>IF([1]SCHEDULE!G627="","",[1]SCHEDULE!G627)</f>
        <v>H</v>
      </c>
      <c r="H627" s="3" t="str">
        <f>IF([1]SCHEDULE!H627="","",[1]SCHEDULE!H627)</f>
        <v>RMB</v>
      </c>
      <c r="I627" s="3" t="str">
        <f>IF([1]SCHEDULE!I627="","",[1]SCHEDULE!I627)</f>
        <v>13.PAN</v>
      </c>
      <c r="J627" s="3" t="str">
        <f>IF([1]SCHEDULE!J627="","",[1]SCHEDULE!J627)</f>
        <v>13.RMB</v>
      </c>
    </row>
    <row r="628" spans="2:10" x14ac:dyDescent="0.25">
      <c r="B628" s="3" t="str">
        <f>IF([1]SCHEDULE!B628="","",[1]SCHEDULE!B628)</f>
        <v>PAN</v>
      </c>
      <c r="C628" s="3">
        <f>IF([1]SCHEDULE!C628="","",[1]SCHEDULE!C628)</f>
        <v>14</v>
      </c>
      <c r="D628" s="1" t="str">
        <f>IF([1]SCHEDULE!D628="","",[1]SCHEDULE!D628)</f>
        <v>Panathinaikos Athens</v>
      </c>
      <c r="E628" s="1" t="str">
        <f>IF([1]SCHEDULE!E628="","",[1]SCHEDULE!E628)</f>
        <v>LDLC ASVEL Villeurbanne</v>
      </c>
      <c r="F628" s="6">
        <f>IF([1]SCHEDULE!F628="","",[1]SCHEDULE!F628)</f>
        <v>45274</v>
      </c>
      <c r="G628" s="3" t="str">
        <f>IF([1]SCHEDULE!G628="","",[1]SCHEDULE!G628)</f>
        <v>A</v>
      </c>
      <c r="H628" s="3" t="str">
        <f>IF([1]SCHEDULE!H628="","",[1]SCHEDULE!H628)</f>
        <v>ASV</v>
      </c>
      <c r="I628" s="3" t="str">
        <f>IF([1]SCHEDULE!I628="","",[1]SCHEDULE!I628)</f>
        <v>14.PAN</v>
      </c>
      <c r="J628" s="3" t="str">
        <f>IF([1]SCHEDULE!J628="","",[1]SCHEDULE!J628)</f>
        <v>14.ASV</v>
      </c>
    </row>
    <row r="629" spans="2:10" x14ac:dyDescent="0.25">
      <c r="B629" s="3" t="str">
        <f>IF([1]SCHEDULE!B629="","",[1]SCHEDULE!B629)</f>
        <v>PAN</v>
      </c>
      <c r="C629" s="3">
        <f>IF([1]SCHEDULE!C629="","",[1]SCHEDULE!C629)</f>
        <v>15</v>
      </c>
      <c r="D629" s="1" t="str">
        <f>IF([1]SCHEDULE!D629="","",[1]SCHEDULE!D629)</f>
        <v>Panathinaikos Athens</v>
      </c>
      <c r="E629" s="1" t="str">
        <f>IF([1]SCHEDULE!E629="","",[1]SCHEDULE!E629)</f>
        <v>AS Monaco</v>
      </c>
      <c r="F629" s="6">
        <f>IF([1]SCHEDULE!F629="","",[1]SCHEDULE!F629)</f>
        <v>45280</v>
      </c>
      <c r="G629" s="3" t="str">
        <f>IF([1]SCHEDULE!G629="","",[1]SCHEDULE!G629)</f>
        <v>A</v>
      </c>
      <c r="H629" s="3" t="str">
        <f>IF([1]SCHEDULE!H629="","",[1]SCHEDULE!H629)</f>
        <v>ASM</v>
      </c>
      <c r="I629" s="3" t="str">
        <f>IF([1]SCHEDULE!I629="","",[1]SCHEDULE!I629)</f>
        <v>15.PAN</v>
      </c>
      <c r="J629" s="3" t="str">
        <f>IF([1]SCHEDULE!J629="","",[1]SCHEDULE!J629)</f>
        <v>15.ASM</v>
      </c>
    </row>
    <row r="630" spans="2:10" x14ac:dyDescent="0.25">
      <c r="B630" s="3" t="str">
        <f>IF([1]SCHEDULE!B630="","",[1]SCHEDULE!B630)</f>
        <v>PAN</v>
      </c>
      <c r="C630" s="3">
        <f>IF([1]SCHEDULE!C630="","",[1]SCHEDULE!C630)</f>
        <v>16</v>
      </c>
      <c r="D630" s="1" t="str">
        <f>IF([1]SCHEDULE!D630="","",[1]SCHEDULE!D630)</f>
        <v>Panathinaikos Athens</v>
      </c>
      <c r="E630" s="1" t="str">
        <f>IF([1]SCHEDULE!E630="","",[1]SCHEDULE!E630)</f>
        <v>EA7 Emporio Armani Milan</v>
      </c>
      <c r="F630" s="6">
        <f>IF([1]SCHEDULE!F630="","",[1]SCHEDULE!F630)</f>
        <v>45282</v>
      </c>
      <c r="G630" s="3" t="str">
        <f>IF([1]SCHEDULE!G630="","",[1]SCHEDULE!G630)</f>
        <v>A</v>
      </c>
      <c r="H630" s="3" t="str">
        <f>IF([1]SCHEDULE!H630="","",[1]SCHEDULE!H630)</f>
        <v>MIL</v>
      </c>
      <c r="I630" s="3" t="str">
        <f>IF([1]SCHEDULE!I630="","",[1]SCHEDULE!I630)</f>
        <v>16.PAN</v>
      </c>
      <c r="J630" s="3" t="str">
        <f>IF([1]SCHEDULE!J630="","",[1]SCHEDULE!J630)</f>
        <v>16.MIL</v>
      </c>
    </row>
    <row r="631" spans="2:10" x14ac:dyDescent="0.25">
      <c r="B631" s="3" t="str">
        <f>IF([1]SCHEDULE!B631="","",[1]SCHEDULE!B631)</f>
        <v>PAN</v>
      </c>
      <c r="C631" s="3">
        <f>IF([1]SCHEDULE!C631="","",[1]SCHEDULE!C631)</f>
        <v>17</v>
      </c>
      <c r="D631" s="1" t="str">
        <f>IF([1]SCHEDULE!D631="","",[1]SCHEDULE!D631)</f>
        <v>Panathinaikos Athens</v>
      </c>
      <c r="E631" s="1" t="str">
        <f>IF([1]SCHEDULE!E631="","",[1]SCHEDULE!E631)</f>
        <v>Crvena Zvezda Meridianbet Belgrade</v>
      </c>
      <c r="F631" s="6">
        <f>IF([1]SCHEDULE!F631="","",[1]SCHEDULE!F631)</f>
        <v>45288</v>
      </c>
      <c r="G631" s="3" t="str">
        <f>IF([1]SCHEDULE!G631="","",[1]SCHEDULE!G631)</f>
        <v>H</v>
      </c>
      <c r="H631" s="3" t="str">
        <f>IF([1]SCHEDULE!H631="","",[1]SCHEDULE!H631)</f>
        <v>CZB</v>
      </c>
      <c r="I631" s="3" t="str">
        <f>IF([1]SCHEDULE!I631="","",[1]SCHEDULE!I631)</f>
        <v>17.PAN</v>
      </c>
      <c r="J631" s="3" t="str">
        <f>IF([1]SCHEDULE!J631="","",[1]SCHEDULE!J631)</f>
        <v>17.CZB</v>
      </c>
    </row>
    <row r="632" spans="2:10" x14ac:dyDescent="0.25">
      <c r="B632" s="3" t="str">
        <f>IF([1]SCHEDULE!B632="","",[1]SCHEDULE!B632)</f>
        <v>PAN</v>
      </c>
      <c r="C632" s="3">
        <f>IF([1]SCHEDULE!C632="","",[1]SCHEDULE!C632)</f>
        <v>18</v>
      </c>
      <c r="D632" s="1" t="str">
        <f>IF([1]SCHEDULE!D632="","",[1]SCHEDULE!D632)</f>
        <v>Panathinaikos Athens</v>
      </c>
      <c r="E632" s="1" t="str">
        <f>IF([1]SCHEDULE!E632="","",[1]SCHEDULE!E632)</f>
        <v>Baskonia Vitoria-Gasteiz</v>
      </c>
      <c r="F632" s="6">
        <f>IF([1]SCHEDULE!F632="","",[1]SCHEDULE!F632)</f>
        <v>45294</v>
      </c>
      <c r="G632" s="3" t="str">
        <f>IF([1]SCHEDULE!G632="","",[1]SCHEDULE!G632)</f>
        <v>A</v>
      </c>
      <c r="H632" s="3" t="str">
        <f>IF([1]SCHEDULE!H632="","",[1]SCHEDULE!H632)</f>
        <v>BAS</v>
      </c>
      <c r="I632" s="3" t="str">
        <f>IF([1]SCHEDULE!I632="","",[1]SCHEDULE!I632)</f>
        <v>18.PAN</v>
      </c>
      <c r="J632" s="3" t="str">
        <f>IF([1]SCHEDULE!J632="","",[1]SCHEDULE!J632)</f>
        <v>18.BAS</v>
      </c>
    </row>
    <row r="633" spans="2:10" x14ac:dyDescent="0.25">
      <c r="B633" s="3" t="str">
        <f>IF([1]SCHEDULE!B633="","",[1]SCHEDULE!B633)</f>
        <v>PAN</v>
      </c>
      <c r="C633" s="3">
        <f>IF([1]SCHEDULE!C633="","",[1]SCHEDULE!C633)</f>
        <v>19</v>
      </c>
      <c r="D633" s="1" t="str">
        <f>IF([1]SCHEDULE!D633="","",[1]SCHEDULE!D633)</f>
        <v>Panathinaikos Athens</v>
      </c>
      <c r="E633" s="1" t="str">
        <f>IF([1]SCHEDULE!E633="","",[1]SCHEDULE!E633)</f>
        <v>Valencia Basket</v>
      </c>
      <c r="F633" s="6">
        <f>IF([1]SCHEDULE!F633="","",[1]SCHEDULE!F633)</f>
        <v>45296</v>
      </c>
      <c r="G633" s="3" t="str">
        <f>IF([1]SCHEDULE!G633="","",[1]SCHEDULE!G633)</f>
        <v>A</v>
      </c>
      <c r="H633" s="3" t="str">
        <f>IF([1]SCHEDULE!H633="","",[1]SCHEDULE!H633)</f>
        <v>VAL</v>
      </c>
      <c r="I633" s="3" t="str">
        <f>IF([1]SCHEDULE!I633="","",[1]SCHEDULE!I633)</f>
        <v>19.PAN</v>
      </c>
      <c r="J633" s="3" t="str">
        <f>IF([1]SCHEDULE!J633="","",[1]SCHEDULE!J633)</f>
        <v>19.VAL</v>
      </c>
    </row>
    <row r="634" spans="2:10" x14ac:dyDescent="0.25">
      <c r="B634" s="3" t="str">
        <f>IF([1]SCHEDULE!B634="","",[1]SCHEDULE!B634)</f>
        <v>PAN</v>
      </c>
      <c r="C634" s="3">
        <f>IF([1]SCHEDULE!C634="","",[1]SCHEDULE!C634)</f>
        <v>20</v>
      </c>
      <c r="D634" s="1" t="str">
        <f>IF([1]SCHEDULE!D634="","",[1]SCHEDULE!D634)</f>
        <v>Panathinaikos Athens</v>
      </c>
      <c r="E634" s="1" t="str">
        <f>IF([1]SCHEDULE!E634="","",[1]SCHEDULE!E634)</f>
        <v>Anadolu Efes Istanbul</v>
      </c>
      <c r="F634" s="6">
        <f>IF([1]SCHEDULE!F634="","",[1]SCHEDULE!F634)</f>
        <v>45300</v>
      </c>
      <c r="G634" s="3" t="str">
        <f>IF([1]SCHEDULE!G634="","",[1]SCHEDULE!G634)</f>
        <v>H</v>
      </c>
      <c r="H634" s="3" t="str">
        <f>IF([1]SCHEDULE!H634="","",[1]SCHEDULE!H634)</f>
        <v>EFE</v>
      </c>
      <c r="I634" s="3" t="str">
        <f>IF([1]SCHEDULE!I634="","",[1]SCHEDULE!I634)</f>
        <v>20.PAN</v>
      </c>
      <c r="J634" s="3" t="str">
        <f>IF([1]SCHEDULE!J634="","",[1]SCHEDULE!J634)</f>
        <v>20.EFE</v>
      </c>
    </row>
    <row r="635" spans="2:10" x14ac:dyDescent="0.25">
      <c r="B635" s="3" t="str">
        <f>IF([1]SCHEDULE!B635="","",[1]SCHEDULE!B635)</f>
        <v>PAN</v>
      </c>
      <c r="C635" s="3">
        <f>IF([1]SCHEDULE!C635="","",[1]SCHEDULE!C635)</f>
        <v>21</v>
      </c>
      <c r="D635" s="1" t="str">
        <f>IF([1]SCHEDULE!D635="","",[1]SCHEDULE!D635)</f>
        <v>Panathinaikos Athens</v>
      </c>
      <c r="E635" s="1" t="str">
        <f>IF([1]SCHEDULE!E635="","",[1]SCHEDULE!E635)</f>
        <v>AS Monaco</v>
      </c>
      <c r="F635" s="6">
        <f>IF([1]SCHEDULE!F635="","",[1]SCHEDULE!F635)</f>
        <v>45302</v>
      </c>
      <c r="G635" s="3" t="str">
        <f>IF([1]SCHEDULE!G635="","",[1]SCHEDULE!G635)</f>
        <v>H</v>
      </c>
      <c r="H635" s="3" t="str">
        <f>IF([1]SCHEDULE!H635="","",[1]SCHEDULE!H635)</f>
        <v>ASM</v>
      </c>
      <c r="I635" s="3" t="str">
        <f>IF([1]SCHEDULE!I635="","",[1]SCHEDULE!I635)</f>
        <v>21.PAN</v>
      </c>
      <c r="J635" s="3" t="str">
        <f>IF([1]SCHEDULE!J635="","",[1]SCHEDULE!J635)</f>
        <v>21.ASM</v>
      </c>
    </row>
    <row r="636" spans="2:10" x14ac:dyDescent="0.25">
      <c r="B636" s="3" t="str">
        <f>IF([1]SCHEDULE!B636="","",[1]SCHEDULE!B636)</f>
        <v>PAN</v>
      </c>
      <c r="C636" s="3">
        <f>IF([1]SCHEDULE!C636="","",[1]SCHEDULE!C636)</f>
        <v>22</v>
      </c>
      <c r="D636" s="1" t="str">
        <f>IF([1]SCHEDULE!D636="","",[1]SCHEDULE!D636)</f>
        <v>Panathinaikos Athens</v>
      </c>
      <c r="E636" s="1" t="str">
        <f>IF([1]SCHEDULE!E636="","",[1]SCHEDULE!E636)</f>
        <v>Partizan Mozzart Bet Belgrade</v>
      </c>
      <c r="F636" s="6">
        <f>IF([1]SCHEDULE!F636="","",[1]SCHEDULE!F636)</f>
        <v>45310</v>
      </c>
      <c r="G636" s="3" t="str">
        <f>IF([1]SCHEDULE!G636="","",[1]SCHEDULE!G636)</f>
        <v>H</v>
      </c>
      <c r="H636" s="3" t="str">
        <f>IF([1]SCHEDULE!H636="","",[1]SCHEDULE!H636)</f>
        <v>PAR</v>
      </c>
      <c r="I636" s="3" t="str">
        <f>IF([1]SCHEDULE!I636="","",[1]SCHEDULE!I636)</f>
        <v>22.PAN</v>
      </c>
      <c r="J636" s="3" t="str">
        <f>IF([1]SCHEDULE!J636="","",[1]SCHEDULE!J636)</f>
        <v>22.PAR</v>
      </c>
    </row>
    <row r="637" spans="2:10" x14ac:dyDescent="0.25">
      <c r="B637" s="3" t="str">
        <f>IF([1]SCHEDULE!B637="","",[1]SCHEDULE!B637)</f>
        <v>PAN</v>
      </c>
      <c r="C637" s="3">
        <f>IF([1]SCHEDULE!C637="","",[1]SCHEDULE!C637)</f>
        <v>23</v>
      </c>
      <c r="D637" s="1" t="str">
        <f>IF([1]SCHEDULE!D637="","",[1]SCHEDULE!D637)</f>
        <v>Panathinaikos Athens</v>
      </c>
      <c r="E637" s="1" t="str">
        <f>IF([1]SCHEDULE!E637="","",[1]SCHEDULE!E637)</f>
        <v>Maccabi Playtika Tel Aviv</v>
      </c>
      <c r="F637" s="6">
        <f>IF([1]SCHEDULE!F637="","",[1]SCHEDULE!F637)</f>
        <v>45316</v>
      </c>
      <c r="G637" s="3" t="str">
        <f>IF([1]SCHEDULE!G637="","",[1]SCHEDULE!G637)</f>
        <v>A</v>
      </c>
      <c r="H637" s="3" t="str">
        <f>IF([1]SCHEDULE!H637="","",[1]SCHEDULE!H637)</f>
        <v>MTA</v>
      </c>
      <c r="I637" s="3" t="str">
        <f>IF([1]SCHEDULE!I637="","",[1]SCHEDULE!I637)</f>
        <v>23.PAN</v>
      </c>
      <c r="J637" s="3" t="str">
        <f>IF([1]SCHEDULE!J637="","",[1]SCHEDULE!J637)</f>
        <v>23.MTA</v>
      </c>
    </row>
    <row r="638" spans="2:10" x14ac:dyDescent="0.25">
      <c r="B638" s="3" t="str">
        <f>IF([1]SCHEDULE!B638="","",[1]SCHEDULE!B638)</f>
        <v>PAN</v>
      </c>
      <c r="C638" s="3">
        <f>IF([1]SCHEDULE!C638="","",[1]SCHEDULE!C638)</f>
        <v>24</v>
      </c>
      <c r="D638" s="1" t="str">
        <f>IF([1]SCHEDULE!D638="","",[1]SCHEDULE!D638)</f>
        <v>Panathinaikos Athens</v>
      </c>
      <c r="E638" s="1" t="str">
        <f>IF([1]SCHEDULE!E638="","",[1]SCHEDULE!E638)</f>
        <v>EA7 Emporio Armani Milan</v>
      </c>
      <c r="F638" s="6">
        <f>IF([1]SCHEDULE!F638="","",[1]SCHEDULE!F638)</f>
        <v>45322</v>
      </c>
      <c r="G638" s="3" t="str">
        <f>IF([1]SCHEDULE!G638="","",[1]SCHEDULE!G638)</f>
        <v>H</v>
      </c>
      <c r="H638" s="3" t="str">
        <f>IF([1]SCHEDULE!H638="","",[1]SCHEDULE!H638)</f>
        <v>MIL</v>
      </c>
      <c r="I638" s="3" t="str">
        <f>IF([1]SCHEDULE!I638="","",[1]SCHEDULE!I638)</f>
        <v>24.PAN</v>
      </c>
      <c r="J638" s="3" t="str">
        <f>IF([1]SCHEDULE!J638="","",[1]SCHEDULE!J638)</f>
        <v>24.MIL</v>
      </c>
    </row>
    <row r="639" spans="2:10" x14ac:dyDescent="0.25">
      <c r="B639" s="3" t="str">
        <f>IF([1]SCHEDULE!B639="","",[1]SCHEDULE!B639)</f>
        <v>PAN</v>
      </c>
      <c r="C639" s="3">
        <f>IF([1]SCHEDULE!C639="","",[1]SCHEDULE!C639)</f>
        <v>25</v>
      </c>
      <c r="D639" s="1" t="str">
        <f>IF([1]SCHEDULE!D639="","",[1]SCHEDULE!D639)</f>
        <v>Panathinaikos Athens</v>
      </c>
      <c r="E639" s="1" t="str">
        <f>IF([1]SCHEDULE!E639="","",[1]SCHEDULE!E639)</f>
        <v>Zalgiris Kaunas</v>
      </c>
      <c r="F639" s="6">
        <f>IF([1]SCHEDULE!F639="","",[1]SCHEDULE!F639)</f>
        <v>45324</v>
      </c>
      <c r="G639" s="3" t="str">
        <f>IF([1]SCHEDULE!G639="","",[1]SCHEDULE!G639)</f>
        <v>A</v>
      </c>
      <c r="H639" s="3" t="str">
        <f>IF([1]SCHEDULE!H639="","",[1]SCHEDULE!H639)</f>
        <v>ZAL</v>
      </c>
      <c r="I639" s="3" t="str">
        <f>IF([1]SCHEDULE!I639="","",[1]SCHEDULE!I639)</f>
        <v>25.PAN</v>
      </c>
      <c r="J639" s="3" t="str">
        <f>IF([1]SCHEDULE!J639="","",[1]SCHEDULE!J639)</f>
        <v>25.ZAL</v>
      </c>
    </row>
    <row r="640" spans="2:10" x14ac:dyDescent="0.25">
      <c r="B640" s="3" t="str">
        <f>IF([1]SCHEDULE!B640="","",[1]SCHEDULE!B640)</f>
        <v>PAN</v>
      </c>
      <c r="C640" s="3">
        <f>IF([1]SCHEDULE!C640="","",[1]SCHEDULE!C640)</f>
        <v>26</v>
      </c>
      <c r="D640" s="1" t="str">
        <f>IF([1]SCHEDULE!D640="","",[1]SCHEDULE!D640)</f>
        <v>Panathinaikos Athens</v>
      </c>
      <c r="E640" s="1" t="str">
        <f>IF([1]SCHEDULE!E640="","",[1]SCHEDULE!E640)</f>
        <v>Fenerbahce Beko Istanbul</v>
      </c>
      <c r="F640" s="6">
        <f>IF([1]SCHEDULE!F640="","",[1]SCHEDULE!F640)</f>
        <v>45331</v>
      </c>
      <c r="G640" s="3" t="str">
        <f>IF([1]SCHEDULE!G640="","",[1]SCHEDULE!G640)</f>
        <v>H</v>
      </c>
      <c r="H640" s="3" t="str">
        <f>IF([1]SCHEDULE!H640="","",[1]SCHEDULE!H640)</f>
        <v>FEN</v>
      </c>
      <c r="I640" s="3" t="str">
        <f>IF([1]SCHEDULE!I640="","",[1]SCHEDULE!I640)</f>
        <v>26.PAN</v>
      </c>
      <c r="J640" s="3" t="str">
        <f>IF([1]SCHEDULE!J640="","",[1]SCHEDULE!J640)</f>
        <v>26.FEN</v>
      </c>
    </row>
    <row r="641" spans="2:10" x14ac:dyDescent="0.25">
      <c r="B641" s="3" t="str">
        <f>IF([1]SCHEDULE!B641="","",[1]SCHEDULE!B641)</f>
        <v>PAN</v>
      </c>
      <c r="C641" s="3">
        <f>IF([1]SCHEDULE!C641="","",[1]SCHEDULE!C641)</f>
        <v>27</v>
      </c>
      <c r="D641" s="1" t="str">
        <f>IF([1]SCHEDULE!D641="","",[1]SCHEDULE!D641)</f>
        <v>Panathinaikos Athens</v>
      </c>
      <c r="E641" s="1" t="str">
        <f>IF([1]SCHEDULE!E641="","",[1]SCHEDULE!E641)</f>
        <v>Real Madrid</v>
      </c>
      <c r="F641" s="6">
        <f>IF([1]SCHEDULE!F641="","",[1]SCHEDULE!F641)</f>
        <v>45351</v>
      </c>
      <c r="G641" s="3" t="str">
        <f>IF([1]SCHEDULE!G641="","",[1]SCHEDULE!G641)</f>
        <v>A</v>
      </c>
      <c r="H641" s="3" t="str">
        <f>IF([1]SCHEDULE!H641="","",[1]SCHEDULE!H641)</f>
        <v>RMB</v>
      </c>
      <c r="I641" s="3" t="str">
        <f>IF([1]SCHEDULE!I641="","",[1]SCHEDULE!I641)</f>
        <v>27.PAN</v>
      </c>
      <c r="J641" s="3" t="str">
        <f>IF([1]SCHEDULE!J641="","",[1]SCHEDULE!J641)</f>
        <v>27.RMB</v>
      </c>
    </row>
    <row r="642" spans="2:10" x14ac:dyDescent="0.25">
      <c r="B642" s="3" t="str">
        <f>IF([1]SCHEDULE!B642="","",[1]SCHEDULE!B642)</f>
        <v>PAN</v>
      </c>
      <c r="C642" s="3">
        <f>IF([1]SCHEDULE!C642="","",[1]SCHEDULE!C642)</f>
        <v>28</v>
      </c>
      <c r="D642" s="1" t="str">
        <f>IF([1]SCHEDULE!D642="","",[1]SCHEDULE!D642)</f>
        <v>Panathinaikos Athens</v>
      </c>
      <c r="E642" s="1" t="str">
        <f>IF([1]SCHEDULE!E642="","",[1]SCHEDULE!E642)</f>
        <v>LDLC ASVEL Villeurbanne</v>
      </c>
      <c r="F642" s="6">
        <f>IF([1]SCHEDULE!F642="","",[1]SCHEDULE!F642)</f>
        <v>45359</v>
      </c>
      <c r="G642" s="3" t="str">
        <f>IF([1]SCHEDULE!G642="","",[1]SCHEDULE!G642)</f>
        <v>H</v>
      </c>
      <c r="H642" s="3" t="str">
        <f>IF([1]SCHEDULE!H642="","",[1]SCHEDULE!H642)</f>
        <v>ASV</v>
      </c>
      <c r="I642" s="3" t="str">
        <f>IF([1]SCHEDULE!I642="","",[1]SCHEDULE!I642)</f>
        <v>28.PAN</v>
      </c>
      <c r="J642" s="3" t="str">
        <f>IF([1]SCHEDULE!J642="","",[1]SCHEDULE!J642)</f>
        <v>28.ASV</v>
      </c>
    </row>
    <row r="643" spans="2:10" x14ac:dyDescent="0.25">
      <c r="B643" s="3" t="str">
        <f>IF([1]SCHEDULE!B643="","",[1]SCHEDULE!B643)</f>
        <v>PAN</v>
      </c>
      <c r="C643" s="3">
        <f>IF([1]SCHEDULE!C643="","",[1]SCHEDULE!C643)</f>
        <v>29</v>
      </c>
      <c r="D643" s="1" t="str">
        <f>IF([1]SCHEDULE!D643="","",[1]SCHEDULE!D643)</f>
        <v>Panathinaikos Athens</v>
      </c>
      <c r="E643" s="1" t="str">
        <f>IF([1]SCHEDULE!E643="","",[1]SCHEDULE!E643)</f>
        <v>Olympiacos Piraeus</v>
      </c>
      <c r="F643" s="6">
        <f>IF([1]SCHEDULE!F643="","",[1]SCHEDULE!F643)</f>
        <v>45365</v>
      </c>
      <c r="G643" s="3" t="str">
        <f>IF([1]SCHEDULE!G643="","",[1]SCHEDULE!G643)</f>
        <v>A</v>
      </c>
      <c r="H643" s="3" t="str">
        <f>IF([1]SCHEDULE!H643="","",[1]SCHEDULE!H643)</f>
        <v>OLY</v>
      </c>
      <c r="I643" s="3" t="str">
        <f>IF([1]SCHEDULE!I643="","",[1]SCHEDULE!I643)</f>
        <v>29.PAN</v>
      </c>
      <c r="J643" s="3" t="str">
        <f>IF([1]SCHEDULE!J643="","",[1]SCHEDULE!J643)</f>
        <v>29.OLY</v>
      </c>
    </row>
    <row r="644" spans="2:10" x14ac:dyDescent="0.25">
      <c r="B644" s="3" t="str">
        <f>IF([1]SCHEDULE!B644="","",[1]SCHEDULE!B644)</f>
        <v>PAN</v>
      </c>
      <c r="C644" s="3">
        <f>IF([1]SCHEDULE!C644="","",[1]SCHEDULE!C644)</f>
        <v>30</v>
      </c>
      <c r="D644" s="1" t="str">
        <f>IF([1]SCHEDULE!D644="","",[1]SCHEDULE!D644)</f>
        <v>Panathinaikos Athens</v>
      </c>
      <c r="E644" s="1" t="str">
        <f>IF([1]SCHEDULE!E644="","",[1]SCHEDULE!E644)</f>
        <v>Crvena Zvezda Meridianbet Belgrade</v>
      </c>
      <c r="F644" s="6">
        <f>IF([1]SCHEDULE!F644="","",[1]SCHEDULE!F644)</f>
        <v>45371</v>
      </c>
      <c r="G644" s="3" t="str">
        <f>IF([1]SCHEDULE!G644="","",[1]SCHEDULE!G644)</f>
        <v>A</v>
      </c>
      <c r="H644" s="3" t="str">
        <f>IF([1]SCHEDULE!H644="","",[1]SCHEDULE!H644)</f>
        <v>CZB</v>
      </c>
      <c r="I644" s="3" t="str">
        <f>IF([1]SCHEDULE!I644="","",[1]SCHEDULE!I644)</f>
        <v>30.PAN</v>
      </c>
      <c r="J644" s="3" t="str">
        <f>IF([1]SCHEDULE!J644="","",[1]SCHEDULE!J644)</f>
        <v>30.CZB</v>
      </c>
    </row>
    <row r="645" spans="2:10" x14ac:dyDescent="0.25">
      <c r="B645" s="3" t="str">
        <f>IF([1]SCHEDULE!B645="","",[1]SCHEDULE!B645)</f>
        <v>PAN</v>
      </c>
      <c r="C645" s="3">
        <f>IF([1]SCHEDULE!C645="","",[1]SCHEDULE!C645)</f>
        <v>31</v>
      </c>
      <c r="D645" s="1" t="str">
        <f>IF([1]SCHEDULE!D645="","",[1]SCHEDULE!D645)</f>
        <v>Panathinaikos Athens</v>
      </c>
      <c r="E645" s="1" t="str">
        <f>IF([1]SCHEDULE!E645="","",[1]SCHEDULE!E645)</f>
        <v>FC Barcelona</v>
      </c>
      <c r="F645" s="6">
        <f>IF([1]SCHEDULE!F645="","",[1]SCHEDULE!F645)</f>
        <v>45373</v>
      </c>
      <c r="G645" s="3" t="str">
        <f>IF([1]SCHEDULE!G645="","",[1]SCHEDULE!G645)</f>
        <v>H</v>
      </c>
      <c r="H645" s="3" t="str">
        <f>IF([1]SCHEDULE!H645="","",[1]SCHEDULE!H645)</f>
        <v>FCB</v>
      </c>
      <c r="I645" s="3" t="str">
        <f>IF([1]SCHEDULE!I645="","",[1]SCHEDULE!I645)</f>
        <v>31.PAN</v>
      </c>
      <c r="J645" s="3" t="str">
        <f>IF([1]SCHEDULE!J645="","",[1]SCHEDULE!J645)</f>
        <v>31.FCB</v>
      </c>
    </row>
    <row r="646" spans="2:10" x14ac:dyDescent="0.25">
      <c r="B646" s="3" t="str">
        <f>IF([1]SCHEDULE!B646="","",[1]SCHEDULE!B646)</f>
        <v>PAN</v>
      </c>
      <c r="C646" s="3">
        <f>IF([1]SCHEDULE!C646="","",[1]SCHEDULE!C646)</f>
        <v>32</v>
      </c>
      <c r="D646" s="1" t="str">
        <f>IF([1]SCHEDULE!D646="","",[1]SCHEDULE!D646)</f>
        <v>Panathinaikos Athens</v>
      </c>
      <c r="E646" s="1" t="str">
        <f>IF([1]SCHEDULE!E646="","",[1]SCHEDULE!E646)</f>
        <v>Virtus Segafredo Bologna</v>
      </c>
      <c r="F646" s="6">
        <f>IF([1]SCHEDULE!F646="","",[1]SCHEDULE!F646)</f>
        <v>45380</v>
      </c>
      <c r="G646" s="3" t="str">
        <f>IF([1]SCHEDULE!G646="","",[1]SCHEDULE!G646)</f>
        <v>A</v>
      </c>
      <c r="H646" s="3" t="str">
        <f>IF([1]SCHEDULE!H646="","",[1]SCHEDULE!H646)</f>
        <v>VIR</v>
      </c>
      <c r="I646" s="3" t="str">
        <f>IF([1]SCHEDULE!I646="","",[1]SCHEDULE!I646)</f>
        <v>32.PAN</v>
      </c>
      <c r="J646" s="3" t="str">
        <f>IF([1]SCHEDULE!J646="","",[1]SCHEDULE!J646)</f>
        <v>32.VIR</v>
      </c>
    </row>
    <row r="647" spans="2:10" x14ac:dyDescent="0.25">
      <c r="B647" s="3" t="str">
        <f>IF([1]SCHEDULE!B647="","",[1]SCHEDULE!B647)</f>
        <v>PAN</v>
      </c>
      <c r="C647" s="3">
        <f>IF([1]SCHEDULE!C647="","",[1]SCHEDULE!C647)</f>
        <v>33</v>
      </c>
      <c r="D647" s="1" t="str">
        <f>IF([1]SCHEDULE!D647="","",[1]SCHEDULE!D647)</f>
        <v>Panathinaikos Athens</v>
      </c>
      <c r="E647" s="1" t="str">
        <f>IF([1]SCHEDULE!E647="","",[1]SCHEDULE!E647)</f>
        <v>FC Bayern Munich</v>
      </c>
      <c r="F647" s="6">
        <f>IF([1]SCHEDULE!F647="","",[1]SCHEDULE!F647)</f>
        <v>45387</v>
      </c>
      <c r="G647" s="3" t="str">
        <f>IF([1]SCHEDULE!G647="","",[1]SCHEDULE!G647)</f>
        <v>A</v>
      </c>
      <c r="H647" s="3" t="str">
        <f>IF([1]SCHEDULE!H647="","",[1]SCHEDULE!H647)</f>
        <v>BAY</v>
      </c>
      <c r="I647" s="3" t="str">
        <f>IF([1]SCHEDULE!I647="","",[1]SCHEDULE!I647)</f>
        <v>33.PAN</v>
      </c>
      <c r="J647" s="3" t="str">
        <f>IF([1]SCHEDULE!J647="","",[1]SCHEDULE!J647)</f>
        <v>33.BAY</v>
      </c>
    </row>
    <row r="648" spans="2:10" x14ac:dyDescent="0.25">
      <c r="B648" s="3" t="str">
        <f>IF([1]SCHEDULE!B648="","",[1]SCHEDULE!B648)</f>
        <v>PAN</v>
      </c>
      <c r="C648" s="3">
        <f>IF([1]SCHEDULE!C648="","",[1]SCHEDULE!C648)</f>
        <v>34</v>
      </c>
      <c r="D648" s="1" t="str">
        <f>IF([1]SCHEDULE!D648="","",[1]SCHEDULE!D648)</f>
        <v>Panathinaikos Athens</v>
      </c>
      <c r="E648" s="1" t="str">
        <f>IF([1]SCHEDULE!E648="","",[1]SCHEDULE!E648)</f>
        <v>ALBA Berlin</v>
      </c>
      <c r="F648" s="6">
        <f>IF([1]SCHEDULE!F648="","",[1]SCHEDULE!F648)</f>
        <v>45393</v>
      </c>
      <c r="G648" s="3" t="str">
        <f>IF([1]SCHEDULE!G648="","",[1]SCHEDULE!G648)</f>
        <v>H</v>
      </c>
      <c r="H648" s="3" t="str">
        <f>IF([1]SCHEDULE!H648="","",[1]SCHEDULE!H648)</f>
        <v>BER</v>
      </c>
      <c r="I648" s="3" t="str">
        <f>IF([1]SCHEDULE!I648="","",[1]SCHEDULE!I648)</f>
        <v>34.PAN</v>
      </c>
      <c r="J648" s="3" t="str">
        <f>IF([1]SCHEDULE!J648="","",[1]SCHEDULE!J648)</f>
        <v>34.BER</v>
      </c>
    </row>
    <row r="649" spans="2:10" x14ac:dyDescent="0.25">
      <c r="B649" s="3" t="str">
        <f>IF([1]SCHEDULE!B649="","",[1]SCHEDULE!B649)</f>
        <v>PAN</v>
      </c>
      <c r="C649" s="3">
        <f>IF([1]SCHEDULE!C649="","",[1]SCHEDULE!C649)</f>
        <v>35</v>
      </c>
      <c r="D649" s="1" t="str">
        <f>IF([1]SCHEDULE!D649="","",[1]SCHEDULE!D649)</f>
        <v>Panathinaikos Athens</v>
      </c>
      <c r="E649" s="1" t="str">
        <f>IF([1]SCHEDULE!E649="","",[1]SCHEDULE!E649)</f>
        <v/>
      </c>
      <c r="F649" s="6" t="str">
        <f>IF([1]SCHEDULE!F649="","",[1]SCHEDULE!F649)</f>
        <v/>
      </c>
      <c r="G649" s="3" t="str">
        <f>IF([1]SCHEDULE!G649="","",[1]SCHEDULE!G649)</f>
        <v/>
      </c>
      <c r="H649" s="3" t="str">
        <f>IF([1]SCHEDULE!H649="","",[1]SCHEDULE!H649)</f>
        <v/>
      </c>
      <c r="I649" s="3" t="str">
        <f>IF([1]SCHEDULE!I649="","",[1]SCHEDULE!I649)</f>
        <v/>
      </c>
      <c r="J649" s="3" t="str">
        <f>IF([1]SCHEDULE!J649="","",[1]SCHEDULE!J649)</f>
        <v/>
      </c>
    </row>
    <row r="650" spans="2:10" x14ac:dyDescent="0.25">
      <c r="B650" s="3" t="str">
        <f>IF([1]SCHEDULE!B650="","",[1]SCHEDULE!B650)</f>
        <v>PAN</v>
      </c>
      <c r="C650" s="3">
        <f>IF([1]SCHEDULE!C650="","",[1]SCHEDULE!C650)</f>
        <v>36</v>
      </c>
      <c r="D650" s="1" t="str">
        <f>IF([1]SCHEDULE!D650="","",[1]SCHEDULE!D650)</f>
        <v>Panathinaikos Athens</v>
      </c>
      <c r="E650" s="1" t="str">
        <f>IF([1]SCHEDULE!E650="","",[1]SCHEDULE!E650)</f>
        <v/>
      </c>
      <c r="F650" s="6" t="str">
        <f>IF([1]SCHEDULE!F650="","",[1]SCHEDULE!F650)</f>
        <v/>
      </c>
      <c r="G650" s="3" t="str">
        <f>IF([1]SCHEDULE!G650="","",[1]SCHEDULE!G650)</f>
        <v/>
      </c>
      <c r="H650" s="3" t="str">
        <f>IF([1]SCHEDULE!H650="","",[1]SCHEDULE!H650)</f>
        <v/>
      </c>
      <c r="I650" s="3" t="str">
        <f>IF([1]SCHEDULE!I650="","",[1]SCHEDULE!I650)</f>
        <v/>
      </c>
      <c r="J650" s="3" t="str">
        <f>IF([1]SCHEDULE!J650="","",[1]SCHEDULE!J650)</f>
        <v/>
      </c>
    </row>
    <row r="651" spans="2:10" x14ac:dyDescent="0.25">
      <c r="B651" s="3" t="str">
        <f>IF([1]SCHEDULE!B651="","",[1]SCHEDULE!B651)</f>
        <v>PAN</v>
      </c>
      <c r="C651" s="3">
        <f>IF([1]SCHEDULE!C651="","",[1]SCHEDULE!C651)</f>
        <v>37</v>
      </c>
      <c r="D651" s="1" t="str">
        <f>IF([1]SCHEDULE!D651="","",[1]SCHEDULE!D651)</f>
        <v>Panathinaikos Athens</v>
      </c>
      <c r="E651" s="1" t="str">
        <f>IF([1]SCHEDULE!E651="","",[1]SCHEDULE!E651)</f>
        <v/>
      </c>
      <c r="F651" s="6" t="str">
        <f>IF([1]SCHEDULE!F651="","",[1]SCHEDULE!F651)</f>
        <v/>
      </c>
      <c r="G651" s="3" t="str">
        <f>IF([1]SCHEDULE!G651="","",[1]SCHEDULE!G651)</f>
        <v/>
      </c>
      <c r="H651" s="3" t="str">
        <f>IF([1]SCHEDULE!H651="","",[1]SCHEDULE!H651)</f>
        <v/>
      </c>
      <c r="I651" s="3" t="str">
        <f>IF([1]SCHEDULE!I651="","",[1]SCHEDULE!I651)</f>
        <v/>
      </c>
      <c r="J651" s="3" t="str">
        <f>IF([1]SCHEDULE!J651="","",[1]SCHEDULE!J651)</f>
        <v/>
      </c>
    </row>
    <row r="652" spans="2:10" x14ac:dyDescent="0.25">
      <c r="B652" s="3" t="str">
        <f>IF([1]SCHEDULE!B652="","",[1]SCHEDULE!B652)</f>
        <v>PAN</v>
      </c>
      <c r="C652" s="3">
        <f>IF([1]SCHEDULE!C652="","",[1]SCHEDULE!C652)</f>
        <v>38</v>
      </c>
      <c r="D652" s="1" t="str">
        <f>IF([1]SCHEDULE!D652="","",[1]SCHEDULE!D652)</f>
        <v>Panathinaikos Athens</v>
      </c>
      <c r="E652" s="1" t="str">
        <f>IF([1]SCHEDULE!E652="","",[1]SCHEDULE!E652)</f>
        <v/>
      </c>
      <c r="F652" s="6" t="str">
        <f>IF([1]SCHEDULE!F652="","",[1]SCHEDULE!F652)</f>
        <v/>
      </c>
      <c r="G652" s="3" t="str">
        <f>IF([1]SCHEDULE!G652="","",[1]SCHEDULE!G652)</f>
        <v/>
      </c>
      <c r="H652" s="3" t="str">
        <f>IF([1]SCHEDULE!H652="","",[1]SCHEDULE!H652)</f>
        <v/>
      </c>
      <c r="I652" s="3" t="str">
        <f>IF([1]SCHEDULE!I652="","",[1]SCHEDULE!I652)</f>
        <v/>
      </c>
      <c r="J652" s="3" t="str">
        <f>IF([1]SCHEDULE!J652="","",[1]SCHEDULE!J652)</f>
        <v/>
      </c>
    </row>
    <row r="653" spans="2:10" x14ac:dyDescent="0.25">
      <c r="B653" s="3" t="str">
        <f>IF([1]SCHEDULE!B653="","",[1]SCHEDULE!B653)</f>
        <v>PAN</v>
      </c>
      <c r="C653" s="3">
        <f>IF([1]SCHEDULE!C653="","",[1]SCHEDULE!C653)</f>
        <v>39</v>
      </c>
      <c r="D653" s="1" t="str">
        <f>IF([1]SCHEDULE!D653="","",[1]SCHEDULE!D653)</f>
        <v>Panathinaikos Athens</v>
      </c>
      <c r="E653" s="1" t="str">
        <f>IF([1]SCHEDULE!E653="","",[1]SCHEDULE!E653)</f>
        <v/>
      </c>
      <c r="F653" s="6" t="str">
        <f>IF([1]SCHEDULE!F653="","",[1]SCHEDULE!F653)</f>
        <v/>
      </c>
      <c r="G653" s="3" t="str">
        <f>IF([1]SCHEDULE!G653="","",[1]SCHEDULE!G653)</f>
        <v/>
      </c>
      <c r="H653" s="3" t="str">
        <f>IF([1]SCHEDULE!H653="","",[1]SCHEDULE!H653)</f>
        <v/>
      </c>
      <c r="I653" s="3" t="str">
        <f>IF([1]SCHEDULE!I653="","",[1]SCHEDULE!I653)</f>
        <v/>
      </c>
      <c r="J653" s="3" t="str">
        <f>IF([1]SCHEDULE!J653="","",[1]SCHEDULE!J653)</f>
        <v/>
      </c>
    </row>
    <row r="654" spans="2:10" x14ac:dyDescent="0.25">
      <c r="B654" s="3" t="str">
        <f>IF([1]SCHEDULE!B654="","",[1]SCHEDULE!B654)</f>
        <v>PAN</v>
      </c>
      <c r="C654" s="3">
        <f>IF([1]SCHEDULE!C654="","",[1]SCHEDULE!C654)</f>
        <v>40</v>
      </c>
      <c r="D654" s="1" t="str">
        <f>IF([1]SCHEDULE!D654="","",[1]SCHEDULE!D654)</f>
        <v>Panathinaikos Athens</v>
      </c>
      <c r="E654" s="1" t="str">
        <f>IF([1]SCHEDULE!E654="","",[1]SCHEDULE!E654)</f>
        <v/>
      </c>
      <c r="F654" s="6" t="str">
        <f>IF([1]SCHEDULE!F654="","",[1]SCHEDULE!F654)</f>
        <v/>
      </c>
      <c r="G654" s="3" t="str">
        <f>IF([1]SCHEDULE!G654="","",[1]SCHEDULE!G654)</f>
        <v/>
      </c>
      <c r="H654" s="3" t="str">
        <f>IF([1]SCHEDULE!H654="","",[1]SCHEDULE!H654)</f>
        <v/>
      </c>
      <c r="I654" s="3" t="str">
        <f>IF([1]SCHEDULE!I654="","",[1]SCHEDULE!I654)</f>
        <v/>
      </c>
      <c r="J654" s="3" t="str">
        <f>IF([1]SCHEDULE!J654="","",[1]SCHEDULE!J654)</f>
        <v/>
      </c>
    </row>
    <row r="655" spans="2:10" x14ac:dyDescent="0.25">
      <c r="B655" s="3" t="str">
        <f>IF([1]SCHEDULE!B655="","",[1]SCHEDULE!B655)</f>
        <v>PAN</v>
      </c>
      <c r="C655" s="3">
        <f>IF([1]SCHEDULE!C655="","",[1]SCHEDULE!C655)</f>
        <v>41</v>
      </c>
      <c r="D655" s="1" t="str">
        <f>IF([1]SCHEDULE!D655="","",[1]SCHEDULE!D655)</f>
        <v>Panathinaikos Athens</v>
      </c>
      <c r="E655" s="1" t="str">
        <f>IF([1]SCHEDULE!E655="","",[1]SCHEDULE!E655)</f>
        <v/>
      </c>
      <c r="F655" s="6" t="str">
        <f>IF([1]SCHEDULE!F655="","",[1]SCHEDULE!F655)</f>
        <v/>
      </c>
      <c r="G655" s="3" t="str">
        <f>IF([1]SCHEDULE!G655="","",[1]SCHEDULE!G655)</f>
        <v/>
      </c>
      <c r="H655" s="3" t="str">
        <f>IF([1]SCHEDULE!H655="","",[1]SCHEDULE!H655)</f>
        <v/>
      </c>
      <c r="I655" s="3" t="str">
        <f>IF([1]SCHEDULE!I655="","",[1]SCHEDULE!I655)</f>
        <v/>
      </c>
      <c r="J655" s="3" t="str">
        <f>IF([1]SCHEDULE!J655="","",[1]SCHEDULE!J655)</f>
        <v/>
      </c>
    </row>
    <row r="656" spans="2:10" x14ac:dyDescent="0.25">
      <c r="B656" s="3" t="str">
        <f>IF([1]SCHEDULE!B656="","",[1]SCHEDULE!B656)</f>
        <v>PAN</v>
      </c>
      <c r="C656" s="3">
        <f>IF([1]SCHEDULE!C656="","",[1]SCHEDULE!C656)</f>
        <v>42</v>
      </c>
      <c r="D656" s="1" t="str">
        <f>IF([1]SCHEDULE!D656="","",[1]SCHEDULE!D656)</f>
        <v>Panathinaikos Athens</v>
      </c>
      <c r="E656" s="1" t="str">
        <f>IF([1]SCHEDULE!E656="","",[1]SCHEDULE!E656)</f>
        <v/>
      </c>
      <c r="F656" s="6" t="str">
        <f>IF([1]SCHEDULE!F656="","",[1]SCHEDULE!F656)</f>
        <v/>
      </c>
      <c r="G656" s="3" t="str">
        <f>IF([1]SCHEDULE!G656="","",[1]SCHEDULE!G656)</f>
        <v/>
      </c>
      <c r="H656" s="3" t="str">
        <f>IF([1]SCHEDULE!H656="","",[1]SCHEDULE!H656)</f>
        <v/>
      </c>
      <c r="I656" s="3" t="str">
        <f>IF([1]SCHEDULE!I656="","",[1]SCHEDULE!I656)</f>
        <v/>
      </c>
      <c r="J656" s="3" t="str">
        <f>IF([1]SCHEDULE!J656="","",[1]SCHEDULE!J656)</f>
        <v/>
      </c>
    </row>
    <row r="657" spans="2:10" x14ac:dyDescent="0.25">
      <c r="B657" s="3" t="str">
        <f>IF([1]SCHEDULE!B657="","",[1]SCHEDULE!B657)</f>
        <v>PAN</v>
      </c>
      <c r="C657" s="3">
        <f>IF([1]SCHEDULE!C657="","",[1]SCHEDULE!C657)</f>
        <v>43</v>
      </c>
      <c r="D657" s="1" t="str">
        <f>IF([1]SCHEDULE!D657="","",[1]SCHEDULE!D657)</f>
        <v>Panathinaikos Athens</v>
      </c>
      <c r="E657" s="1" t="str">
        <f>IF([1]SCHEDULE!E657="","",[1]SCHEDULE!E657)</f>
        <v/>
      </c>
      <c r="F657" s="6" t="str">
        <f>IF([1]SCHEDULE!F657="","",[1]SCHEDULE!F657)</f>
        <v/>
      </c>
      <c r="G657" s="3" t="str">
        <f>IF([1]SCHEDULE!G657="","",[1]SCHEDULE!G657)</f>
        <v/>
      </c>
      <c r="H657" s="3" t="str">
        <f>IF([1]SCHEDULE!H657="","",[1]SCHEDULE!H657)</f>
        <v/>
      </c>
      <c r="I657" s="3" t="str">
        <f>IF([1]SCHEDULE!I657="","",[1]SCHEDULE!I657)</f>
        <v/>
      </c>
      <c r="J657" s="3" t="str">
        <f>IF([1]SCHEDULE!J657="","",[1]SCHEDULE!J657)</f>
        <v/>
      </c>
    </row>
    <row r="658" spans="2:10" x14ac:dyDescent="0.25">
      <c r="B658" s="3" t="str">
        <f>IF([1]SCHEDULE!B658="","",[1]SCHEDULE!B658)</f>
        <v>PAN</v>
      </c>
      <c r="C658" s="3">
        <f>IF([1]SCHEDULE!C658="","",[1]SCHEDULE!C658)</f>
        <v>44</v>
      </c>
      <c r="D658" s="1" t="str">
        <f>IF([1]SCHEDULE!D658="","",[1]SCHEDULE!D658)</f>
        <v>Panathinaikos Athens</v>
      </c>
      <c r="E658" s="1" t="str">
        <f>IF([1]SCHEDULE!E658="","",[1]SCHEDULE!E658)</f>
        <v/>
      </c>
      <c r="F658" s="6" t="str">
        <f>IF([1]SCHEDULE!F658="","",[1]SCHEDULE!F658)</f>
        <v/>
      </c>
      <c r="G658" s="3" t="str">
        <f>IF([1]SCHEDULE!G658="","",[1]SCHEDULE!G658)</f>
        <v/>
      </c>
      <c r="H658" s="3" t="str">
        <f>IF([1]SCHEDULE!H658="","",[1]SCHEDULE!H658)</f>
        <v/>
      </c>
      <c r="I658" s="3" t="str">
        <f>IF([1]SCHEDULE!I658="","",[1]SCHEDULE!I658)</f>
        <v/>
      </c>
      <c r="J658" s="3" t="str">
        <f>IF([1]SCHEDULE!J658="","",[1]SCHEDULE!J658)</f>
        <v/>
      </c>
    </row>
    <row r="659" spans="2:10" x14ac:dyDescent="0.25">
      <c r="B659" s="3" t="str">
        <f>IF([1]SCHEDULE!B659="","",[1]SCHEDULE!B659)</f>
        <v>PAN</v>
      </c>
      <c r="C659" s="3">
        <f>IF([1]SCHEDULE!C659="","",[1]SCHEDULE!C659)</f>
        <v>45</v>
      </c>
      <c r="D659" s="1" t="str">
        <f>IF([1]SCHEDULE!D659="","",[1]SCHEDULE!D659)</f>
        <v>Panathinaikos Athens</v>
      </c>
      <c r="E659" s="1" t="str">
        <f>IF([1]SCHEDULE!E659="","",[1]SCHEDULE!E659)</f>
        <v/>
      </c>
      <c r="F659" s="6" t="str">
        <f>IF([1]SCHEDULE!F659="","",[1]SCHEDULE!F659)</f>
        <v/>
      </c>
      <c r="G659" s="3" t="str">
        <f>IF([1]SCHEDULE!G659="","",[1]SCHEDULE!G659)</f>
        <v/>
      </c>
      <c r="H659" s="3" t="str">
        <f>IF([1]SCHEDULE!H659="","",[1]SCHEDULE!H659)</f>
        <v/>
      </c>
      <c r="I659" s="3" t="str">
        <f>IF([1]SCHEDULE!I659="","",[1]SCHEDULE!I659)</f>
        <v/>
      </c>
      <c r="J659" s="3" t="str">
        <f>IF([1]SCHEDULE!J659="","",[1]SCHEDULE!J659)</f>
        <v/>
      </c>
    </row>
    <row r="660" spans="2:10" x14ac:dyDescent="0.25">
      <c r="B660" s="3" t="str">
        <f>IF([1]SCHEDULE!B660="","",[1]SCHEDULE!B660)</f>
        <v>PAN</v>
      </c>
      <c r="C660" s="3">
        <f>IF([1]SCHEDULE!C660="","",[1]SCHEDULE!C660)</f>
        <v>46</v>
      </c>
      <c r="D660" s="1" t="str">
        <f>IF([1]SCHEDULE!D660="","",[1]SCHEDULE!D660)</f>
        <v>Panathinaikos Athens</v>
      </c>
      <c r="E660" s="1" t="str">
        <f>IF([1]SCHEDULE!E660="","",[1]SCHEDULE!E660)</f>
        <v/>
      </c>
      <c r="F660" s="6" t="str">
        <f>IF([1]SCHEDULE!F660="","",[1]SCHEDULE!F660)</f>
        <v/>
      </c>
      <c r="G660" s="3" t="str">
        <f>IF([1]SCHEDULE!G660="","",[1]SCHEDULE!G660)</f>
        <v/>
      </c>
      <c r="H660" s="3" t="str">
        <f>IF([1]SCHEDULE!H660="","",[1]SCHEDULE!H660)</f>
        <v/>
      </c>
      <c r="I660" s="3" t="str">
        <f>IF([1]SCHEDULE!I660="","",[1]SCHEDULE!I660)</f>
        <v/>
      </c>
      <c r="J660" s="3" t="str">
        <f>IF([1]SCHEDULE!J660="","",[1]SCHEDULE!J660)</f>
        <v/>
      </c>
    </row>
    <row r="661" spans="2:10" x14ac:dyDescent="0.25">
      <c r="B661" s="3" t="str">
        <f>IF([1]SCHEDULE!B661="","",[1]SCHEDULE!B661)</f>
        <v>PAN</v>
      </c>
      <c r="C661" s="3">
        <f>IF([1]SCHEDULE!C661="","",[1]SCHEDULE!C661)</f>
        <v>47</v>
      </c>
      <c r="D661" s="1" t="str">
        <f>IF([1]SCHEDULE!D661="","",[1]SCHEDULE!D661)</f>
        <v>Panathinaikos Athens</v>
      </c>
      <c r="E661" s="1" t="str">
        <f>IF([1]SCHEDULE!E661="","",[1]SCHEDULE!E661)</f>
        <v/>
      </c>
      <c r="F661" s="6" t="str">
        <f>IF([1]SCHEDULE!F661="","",[1]SCHEDULE!F661)</f>
        <v/>
      </c>
      <c r="G661" s="3" t="str">
        <f>IF([1]SCHEDULE!G661="","",[1]SCHEDULE!G661)</f>
        <v/>
      </c>
      <c r="H661" s="3" t="str">
        <f>IF([1]SCHEDULE!H661="","",[1]SCHEDULE!H661)</f>
        <v/>
      </c>
      <c r="I661" s="3" t="str">
        <f>IF([1]SCHEDULE!I661="","",[1]SCHEDULE!I661)</f>
        <v/>
      </c>
      <c r="J661" s="3" t="str">
        <f>IF([1]SCHEDULE!J661="","",[1]SCHEDULE!J661)</f>
        <v/>
      </c>
    </row>
    <row r="662" spans="2:10" x14ac:dyDescent="0.25">
      <c r="B662" s="3" t="str">
        <f>IF([1]SCHEDULE!B662="","",[1]SCHEDULE!B662)</f>
        <v>PAN</v>
      </c>
      <c r="C662" s="3">
        <f>IF([1]SCHEDULE!C662="","",[1]SCHEDULE!C662)</f>
        <v>48</v>
      </c>
      <c r="D662" s="1" t="str">
        <f>IF([1]SCHEDULE!D662="","",[1]SCHEDULE!D662)</f>
        <v>Panathinaikos Athens</v>
      </c>
      <c r="E662" s="1" t="str">
        <f>IF([1]SCHEDULE!E662="","",[1]SCHEDULE!E662)</f>
        <v/>
      </c>
      <c r="F662" s="6" t="str">
        <f>IF([1]SCHEDULE!F662="","",[1]SCHEDULE!F662)</f>
        <v/>
      </c>
      <c r="G662" s="3" t="str">
        <f>IF([1]SCHEDULE!G662="","",[1]SCHEDULE!G662)</f>
        <v/>
      </c>
      <c r="H662" s="3" t="str">
        <f>IF([1]SCHEDULE!H662="","",[1]SCHEDULE!H662)</f>
        <v/>
      </c>
      <c r="I662" s="3" t="str">
        <f>IF([1]SCHEDULE!I662="","",[1]SCHEDULE!I662)</f>
        <v/>
      </c>
      <c r="J662" s="3" t="str">
        <f>IF([1]SCHEDULE!J662="","",[1]SCHEDULE!J662)</f>
        <v/>
      </c>
    </row>
    <row r="663" spans="2:10" x14ac:dyDescent="0.25">
      <c r="B663" s="3" t="str">
        <f>IF([1]SCHEDULE!B663="","",[1]SCHEDULE!B663)</f>
        <v>PAN</v>
      </c>
      <c r="C663" s="3">
        <f>IF([1]SCHEDULE!C663="","",[1]SCHEDULE!C663)</f>
        <v>49</v>
      </c>
      <c r="D663" s="1" t="str">
        <f>IF([1]SCHEDULE!D663="","",[1]SCHEDULE!D663)</f>
        <v>Panathinaikos Athens</v>
      </c>
      <c r="E663" s="1" t="str">
        <f>IF([1]SCHEDULE!E663="","",[1]SCHEDULE!E663)</f>
        <v/>
      </c>
      <c r="F663" s="6" t="str">
        <f>IF([1]SCHEDULE!F663="","",[1]SCHEDULE!F663)</f>
        <v/>
      </c>
      <c r="G663" s="3" t="str">
        <f>IF([1]SCHEDULE!G663="","",[1]SCHEDULE!G663)</f>
        <v/>
      </c>
      <c r="H663" s="3" t="str">
        <f>IF([1]SCHEDULE!H663="","",[1]SCHEDULE!H663)</f>
        <v/>
      </c>
      <c r="I663" s="3" t="str">
        <f>IF([1]SCHEDULE!I663="","",[1]SCHEDULE!I663)</f>
        <v/>
      </c>
      <c r="J663" s="3" t="str">
        <f>IF([1]SCHEDULE!J663="","",[1]SCHEDULE!J663)</f>
        <v/>
      </c>
    </row>
    <row r="664" spans="2:10" x14ac:dyDescent="0.25">
      <c r="B664" s="3" t="str">
        <f>IF([1]SCHEDULE!B664="","",[1]SCHEDULE!B664)</f>
        <v>PAN</v>
      </c>
      <c r="C664" s="3">
        <f>IF([1]SCHEDULE!C664="","",[1]SCHEDULE!C664)</f>
        <v>50</v>
      </c>
      <c r="D664" s="1" t="str">
        <f>IF([1]SCHEDULE!D664="","",[1]SCHEDULE!D664)</f>
        <v>Panathinaikos Athens</v>
      </c>
      <c r="E664" s="1" t="str">
        <f>IF([1]SCHEDULE!E664="","",[1]SCHEDULE!E664)</f>
        <v/>
      </c>
      <c r="F664" s="6" t="str">
        <f>IF([1]SCHEDULE!F664="","",[1]SCHEDULE!F664)</f>
        <v/>
      </c>
      <c r="G664" s="3" t="str">
        <f>IF([1]SCHEDULE!G664="","",[1]SCHEDULE!G664)</f>
        <v/>
      </c>
      <c r="H664" s="3" t="str">
        <f>IF([1]SCHEDULE!H664="","",[1]SCHEDULE!H664)</f>
        <v/>
      </c>
      <c r="I664" s="3" t="str">
        <f>IF([1]SCHEDULE!I664="","",[1]SCHEDULE!I664)</f>
        <v/>
      </c>
      <c r="J664" s="3" t="str">
        <f>IF([1]SCHEDULE!J664="","",[1]SCHEDULE!J664)</f>
        <v/>
      </c>
    </row>
    <row r="665" spans="2:10" x14ac:dyDescent="0.25">
      <c r="B665" s="3" t="str">
        <f>IF([1]SCHEDULE!B665="","",[1]SCHEDULE!B665)</f>
        <v>PAN</v>
      </c>
      <c r="C665" s="3">
        <f>IF([1]SCHEDULE!C665="","",[1]SCHEDULE!C665)</f>
        <v>51</v>
      </c>
      <c r="D665" s="1" t="str">
        <f>IF([1]SCHEDULE!D665="","",[1]SCHEDULE!D665)</f>
        <v>Panathinaikos Athens</v>
      </c>
      <c r="E665" s="1" t="str">
        <f>IF([1]SCHEDULE!E665="","",[1]SCHEDULE!E665)</f>
        <v/>
      </c>
      <c r="F665" s="6" t="str">
        <f>IF([1]SCHEDULE!F665="","",[1]SCHEDULE!F665)</f>
        <v/>
      </c>
      <c r="G665" s="3" t="str">
        <f>IF([1]SCHEDULE!G665="","",[1]SCHEDULE!G665)</f>
        <v/>
      </c>
      <c r="H665" s="3" t="str">
        <f>IF([1]SCHEDULE!H665="","",[1]SCHEDULE!H665)</f>
        <v/>
      </c>
      <c r="I665" s="3" t="str">
        <f>IF([1]SCHEDULE!I665="","",[1]SCHEDULE!I665)</f>
        <v/>
      </c>
      <c r="J665" s="3" t="str">
        <f>IF([1]SCHEDULE!J665="","",[1]SCHEDULE!J665)</f>
        <v/>
      </c>
    </row>
    <row r="666" spans="2:10" x14ac:dyDescent="0.25">
      <c r="B666" s="3" t="str">
        <f>IF([1]SCHEDULE!B666="","",[1]SCHEDULE!B666)</f>
        <v>PAR</v>
      </c>
      <c r="C666" s="3">
        <f>IF([1]SCHEDULE!C666="","",[1]SCHEDULE!C666)</f>
        <v>1</v>
      </c>
      <c r="D666" s="1" t="str">
        <f>IF([1]SCHEDULE!D666="","",[1]SCHEDULE!D666)</f>
        <v>Partizan Mozzart Bet Belgrade</v>
      </c>
      <c r="E666" s="1" t="str">
        <f>IF([1]SCHEDULE!E666="","",[1]SCHEDULE!E666)</f>
        <v>Maccabi Playtika Tel Aviv</v>
      </c>
      <c r="F666" s="6">
        <f>IF([1]SCHEDULE!F666="","",[1]SCHEDULE!F666)</f>
        <v>45204</v>
      </c>
      <c r="G666" s="3" t="str">
        <f>IF([1]SCHEDULE!G666="","",[1]SCHEDULE!G666)</f>
        <v>A</v>
      </c>
      <c r="H666" s="3" t="str">
        <f>IF([1]SCHEDULE!H666="","",[1]SCHEDULE!H666)</f>
        <v>MTA</v>
      </c>
      <c r="I666" s="3" t="str">
        <f>IF([1]SCHEDULE!I666="","",[1]SCHEDULE!I666)</f>
        <v>1.PAR</v>
      </c>
      <c r="J666" s="3" t="str">
        <f>IF([1]SCHEDULE!J666="","",[1]SCHEDULE!J666)</f>
        <v>1.MTA</v>
      </c>
    </row>
    <row r="667" spans="2:10" x14ac:dyDescent="0.25">
      <c r="B667" s="3" t="str">
        <f>IF([1]SCHEDULE!B667="","",[1]SCHEDULE!B667)</f>
        <v>PAR</v>
      </c>
      <c r="C667" s="3">
        <f>IF([1]SCHEDULE!C667="","",[1]SCHEDULE!C667)</f>
        <v>2</v>
      </c>
      <c r="D667" s="1" t="str">
        <f>IF([1]SCHEDULE!D667="","",[1]SCHEDULE!D667)</f>
        <v>Partizan Mozzart Bet Belgrade</v>
      </c>
      <c r="E667" s="1" t="str">
        <f>IF([1]SCHEDULE!E667="","",[1]SCHEDULE!E667)</f>
        <v>LDLC ASVEL Villeurbanne</v>
      </c>
      <c r="F667" s="6">
        <f>IF([1]SCHEDULE!F667="","",[1]SCHEDULE!F667)</f>
        <v>45211</v>
      </c>
      <c r="G667" s="3" t="str">
        <f>IF([1]SCHEDULE!G667="","",[1]SCHEDULE!G667)</f>
        <v>A</v>
      </c>
      <c r="H667" s="3" t="str">
        <f>IF([1]SCHEDULE!H667="","",[1]SCHEDULE!H667)</f>
        <v>ASV</v>
      </c>
      <c r="I667" s="3" t="str">
        <f>IF([1]SCHEDULE!I667="","",[1]SCHEDULE!I667)</f>
        <v>2.PAR</v>
      </c>
      <c r="J667" s="3" t="str">
        <f>IF([1]SCHEDULE!J667="","",[1]SCHEDULE!J667)</f>
        <v>2.ASV</v>
      </c>
    </row>
    <row r="668" spans="2:10" x14ac:dyDescent="0.25">
      <c r="B668" s="3" t="str">
        <f>IF([1]SCHEDULE!B668="","",[1]SCHEDULE!B668)</f>
        <v>PAR</v>
      </c>
      <c r="C668" s="3">
        <f>IF([1]SCHEDULE!C668="","",[1]SCHEDULE!C668)</f>
        <v>3</v>
      </c>
      <c r="D668" s="1" t="str">
        <f>IF([1]SCHEDULE!D668="","",[1]SCHEDULE!D668)</f>
        <v>Partizan Mozzart Bet Belgrade</v>
      </c>
      <c r="E668" s="1" t="str">
        <f>IF([1]SCHEDULE!E668="","",[1]SCHEDULE!E668)</f>
        <v>FC Barcelona</v>
      </c>
      <c r="F668" s="6">
        <f>IF([1]SCHEDULE!F668="","",[1]SCHEDULE!F668)</f>
        <v>45216</v>
      </c>
      <c r="G668" s="3" t="str">
        <f>IF([1]SCHEDULE!G668="","",[1]SCHEDULE!G668)</f>
        <v>H</v>
      </c>
      <c r="H668" s="3" t="str">
        <f>IF([1]SCHEDULE!H668="","",[1]SCHEDULE!H668)</f>
        <v>FCB</v>
      </c>
      <c r="I668" s="3" t="str">
        <f>IF([1]SCHEDULE!I668="","",[1]SCHEDULE!I668)</f>
        <v>3.PAR</v>
      </c>
      <c r="J668" s="3" t="str">
        <f>IF([1]SCHEDULE!J668="","",[1]SCHEDULE!J668)</f>
        <v>3.FCB</v>
      </c>
    </row>
    <row r="669" spans="2:10" x14ac:dyDescent="0.25">
      <c r="B669" s="3" t="str">
        <f>IF([1]SCHEDULE!B669="","",[1]SCHEDULE!B669)</f>
        <v>PAR</v>
      </c>
      <c r="C669" s="3">
        <f>IF([1]SCHEDULE!C669="","",[1]SCHEDULE!C669)</f>
        <v>4</v>
      </c>
      <c r="D669" s="1" t="str">
        <f>IF([1]SCHEDULE!D669="","",[1]SCHEDULE!D669)</f>
        <v>Partizan Mozzart Bet Belgrade</v>
      </c>
      <c r="E669" s="1" t="str">
        <f>IF([1]SCHEDULE!E669="","",[1]SCHEDULE!E669)</f>
        <v>Olympiacos Piraeus</v>
      </c>
      <c r="F669" s="6">
        <f>IF([1]SCHEDULE!F669="","",[1]SCHEDULE!F669)</f>
        <v>45218</v>
      </c>
      <c r="G669" s="3" t="str">
        <f>IF([1]SCHEDULE!G669="","",[1]SCHEDULE!G669)</f>
        <v>A</v>
      </c>
      <c r="H669" s="3" t="str">
        <f>IF([1]SCHEDULE!H669="","",[1]SCHEDULE!H669)</f>
        <v>OLY</v>
      </c>
      <c r="I669" s="3" t="str">
        <f>IF([1]SCHEDULE!I669="","",[1]SCHEDULE!I669)</f>
        <v>4.PAR</v>
      </c>
      <c r="J669" s="3" t="str">
        <f>IF([1]SCHEDULE!J669="","",[1]SCHEDULE!J669)</f>
        <v>4.OLY</v>
      </c>
    </row>
    <row r="670" spans="2:10" x14ac:dyDescent="0.25">
      <c r="B670" s="3" t="str">
        <f>IF([1]SCHEDULE!B670="","",[1]SCHEDULE!B670)</f>
        <v>PAR</v>
      </c>
      <c r="C670" s="3">
        <f>IF([1]SCHEDULE!C670="","",[1]SCHEDULE!C670)</f>
        <v>5</v>
      </c>
      <c r="D670" s="1" t="str">
        <f>IF([1]SCHEDULE!D670="","",[1]SCHEDULE!D670)</f>
        <v>Partizan Mozzart Bet Belgrade</v>
      </c>
      <c r="E670" s="1" t="str">
        <f>IF([1]SCHEDULE!E670="","",[1]SCHEDULE!E670)</f>
        <v>Crvena Zvezda Meridianbet Belgrade</v>
      </c>
      <c r="F670" s="6">
        <f>IF([1]SCHEDULE!F670="","",[1]SCHEDULE!F670)</f>
        <v>45225</v>
      </c>
      <c r="G670" s="3" t="str">
        <f>IF([1]SCHEDULE!G670="","",[1]SCHEDULE!G670)</f>
        <v>H</v>
      </c>
      <c r="H670" s="3" t="str">
        <f>IF([1]SCHEDULE!H670="","",[1]SCHEDULE!H670)</f>
        <v>CZB</v>
      </c>
      <c r="I670" s="3" t="str">
        <f>IF([1]SCHEDULE!I670="","",[1]SCHEDULE!I670)</f>
        <v>5.PAR</v>
      </c>
      <c r="J670" s="3" t="str">
        <f>IF([1]SCHEDULE!J670="","",[1]SCHEDULE!J670)</f>
        <v>5.CZB</v>
      </c>
    </row>
    <row r="671" spans="2:10" x14ac:dyDescent="0.25">
      <c r="B671" s="3" t="str">
        <f>IF([1]SCHEDULE!B671="","",[1]SCHEDULE!B671)</f>
        <v>PAR</v>
      </c>
      <c r="C671" s="3">
        <f>IF([1]SCHEDULE!C671="","",[1]SCHEDULE!C671)</f>
        <v>6</v>
      </c>
      <c r="D671" s="1" t="str">
        <f>IF([1]SCHEDULE!D671="","",[1]SCHEDULE!D671)</f>
        <v>Partizan Mozzart Bet Belgrade</v>
      </c>
      <c r="E671" s="1" t="str">
        <f>IF([1]SCHEDULE!E671="","",[1]SCHEDULE!E671)</f>
        <v>Baskonia Vitoria-Gasteiz</v>
      </c>
      <c r="F671" s="6">
        <f>IF([1]SCHEDULE!F671="","",[1]SCHEDULE!F671)</f>
        <v>45233</v>
      </c>
      <c r="G671" s="3" t="str">
        <f>IF([1]SCHEDULE!G671="","",[1]SCHEDULE!G671)</f>
        <v>A</v>
      </c>
      <c r="H671" s="3" t="str">
        <f>IF([1]SCHEDULE!H671="","",[1]SCHEDULE!H671)</f>
        <v>BAS</v>
      </c>
      <c r="I671" s="3" t="str">
        <f>IF([1]SCHEDULE!I671="","",[1]SCHEDULE!I671)</f>
        <v>6.PAR</v>
      </c>
      <c r="J671" s="3" t="str">
        <f>IF([1]SCHEDULE!J671="","",[1]SCHEDULE!J671)</f>
        <v>6.BAS</v>
      </c>
    </row>
    <row r="672" spans="2:10" x14ac:dyDescent="0.25">
      <c r="B672" s="3" t="str">
        <f>IF([1]SCHEDULE!B672="","",[1]SCHEDULE!B672)</f>
        <v>PAR</v>
      </c>
      <c r="C672" s="3">
        <f>IF([1]SCHEDULE!C672="","",[1]SCHEDULE!C672)</f>
        <v>7</v>
      </c>
      <c r="D672" s="1" t="str">
        <f>IF([1]SCHEDULE!D672="","",[1]SCHEDULE!D672)</f>
        <v>Partizan Mozzart Bet Belgrade</v>
      </c>
      <c r="E672" s="1" t="str">
        <f>IF([1]SCHEDULE!E672="","",[1]SCHEDULE!E672)</f>
        <v>Fenerbahce Beko Istanbul</v>
      </c>
      <c r="F672" s="6">
        <f>IF([1]SCHEDULE!F672="","",[1]SCHEDULE!F672)</f>
        <v>45239</v>
      </c>
      <c r="G672" s="3" t="str">
        <f>IF([1]SCHEDULE!G672="","",[1]SCHEDULE!G672)</f>
        <v>H</v>
      </c>
      <c r="H672" s="3" t="str">
        <f>IF([1]SCHEDULE!H672="","",[1]SCHEDULE!H672)</f>
        <v>FEN</v>
      </c>
      <c r="I672" s="3" t="str">
        <f>IF([1]SCHEDULE!I672="","",[1]SCHEDULE!I672)</f>
        <v>7.PAR</v>
      </c>
      <c r="J672" s="3" t="str">
        <f>IF([1]SCHEDULE!J672="","",[1]SCHEDULE!J672)</f>
        <v>7.FEN</v>
      </c>
    </row>
    <row r="673" spans="2:10" x14ac:dyDescent="0.25">
      <c r="B673" s="3" t="str">
        <f>IF([1]SCHEDULE!B673="","",[1]SCHEDULE!B673)</f>
        <v>PAR</v>
      </c>
      <c r="C673" s="3">
        <f>IF([1]SCHEDULE!C673="","",[1]SCHEDULE!C673)</f>
        <v>8</v>
      </c>
      <c r="D673" s="1" t="str">
        <f>IF([1]SCHEDULE!D673="","",[1]SCHEDULE!D673)</f>
        <v>Partizan Mozzart Bet Belgrade</v>
      </c>
      <c r="E673" s="1" t="str">
        <f>IF([1]SCHEDULE!E673="","",[1]SCHEDULE!E673)</f>
        <v>FC Bayern Munich</v>
      </c>
      <c r="F673" s="6">
        <f>IF([1]SCHEDULE!F673="","",[1]SCHEDULE!F673)</f>
        <v>45245</v>
      </c>
      <c r="G673" s="3" t="str">
        <f>IF([1]SCHEDULE!G673="","",[1]SCHEDULE!G673)</f>
        <v>A</v>
      </c>
      <c r="H673" s="3" t="str">
        <f>IF([1]SCHEDULE!H673="","",[1]SCHEDULE!H673)</f>
        <v>BAY</v>
      </c>
      <c r="I673" s="3" t="str">
        <f>IF([1]SCHEDULE!I673="","",[1]SCHEDULE!I673)</f>
        <v>8.PAR</v>
      </c>
      <c r="J673" s="3" t="str">
        <f>IF([1]SCHEDULE!J673="","",[1]SCHEDULE!J673)</f>
        <v>8.BAY</v>
      </c>
    </row>
    <row r="674" spans="2:10" x14ac:dyDescent="0.25">
      <c r="B674" s="3" t="str">
        <f>IF([1]SCHEDULE!B674="","",[1]SCHEDULE!B674)</f>
        <v>PAR</v>
      </c>
      <c r="C674" s="3">
        <f>IF([1]SCHEDULE!C674="","",[1]SCHEDULE!C674)</f>
        <v>9</v>
      </c>
      <c r="D674" s="1" t="str">
        <f>IF([1]SCHEDULE!D674="","",[1]SCHEDULE!D674)</f>
        <v>Partizan Mozzart Bet Belgrade</v>
      </c>
      <c r="E674" s="1" t="str">
        <f>IF([1]SCHEDULE!E674="","",[1]SCHEDULE!E674)</f>
        <v>ALBA Berlin</v>
      </c>
      <c r="F674" s="6">
        <f>IF([1]SCHEDULE!F674="","",[1]SCHEDULE!F674)</f>
        <v>45247</v>
      </c>
      <c r="G674" s="3" t="str">
        <f>IF([1]SCHEDULE!G674="","",[1]SCHEDULE!G674)</f>
        <v>H</v>
      </c>
      <c r="H674" s="3" t="str">
        <f>IF([1]SCHEDULE!H674="","",[1]SCHEDULE!H674)</f>
        <v>BER</v>
      </c>
      <c r="I674" s="3" t="str">
        <f>IF([1]SCHEDULE!I674="","",[1]SCHEDULE!I674)</f>
        <v>9.PAR</v>
      </c>
      <c r="J674" s="3" t="str">
        <f>IF([1]SCHEDULE!J674="","",[1]SCHEDULE!J674)</f>
        <v>9.BER</v>
      </c>
    </row>
    <row r="675" spans="2:10" x14ac:dyDescent="0.25">
      <c r="B675" s="3" t="str">
        <f>IF([1]SCHEDULE!B675="","",[1]SCHEDULE!B675)</f>
        <v>PAR</v>
      </c>
      <c r="C675" s="3">
        <f>IF([1]SCHEDULE!C675="","",[1]SCHEDULE!C675)</f>
        <v>10</v>
      </c>
      <c r="D675" s="1" t="str">
        <f>IF([1]SCHEDULE!D675="","",[1]SCHEDULE!D675)</f>
        <v>Partizan Mozzart Bet Belgrade</v>
      </c>
      <c r="E675" s="1" t="str">
        <f>IF([1]SCHEDULE!E675="","",[1]SCHEDULE!E675)</f>
        <v>Anadolu Efes Istanbul</v>
      </c>
      <c r="F675" s="6">
        <f>IF([1]SCHEDULE!F675="","",[1]SCHEDULE!F675)</f>
        <v>45254</v>
      </c>
      <c r="G675" s="3" t="str">
        <f>IF([1]SCHEDULE!G675="","",[1]SCHEDULE!G675)</f>
        <v>A</v>
      </c>
      <c r="H675" s="3" t="str">
        <f>IF([1]SCHEDULE!H675="","",[1]SCHEDULE!H675)</f>
        <v>EFE</v>
      </c>
      <c r="I675" s="3" t="str">
        <f>IF([1]SCHEDULE!I675="","",[1]SCHEDULE!I675)</f>
        <v>10.PAR</v>
      </c>
      <c r="J675" s="3" t="str">
        <f>IF([1]SCHEDULE!J675="","",[1]SCHEDULE!J675)</f>
        <v>10.EFE</v>
      </c>
    </row>
    <row r="676" spans="2:10" x14ac:dyDescent="0.25">
      <c r="B676" s="3" t="str">
        <f>IF([1]SCHEDULE!B676="","",[1]SCHEDULE!B676)</f>
        <v>PAR</v>
      </c>
      <c r="C676" s="3">
        <f>IF([1]SCHEDULE!C676="","",[1]SCHEDULE!C676)</f>
        <v>11</v>
      </c>
      <c r="D676" s="1" t="str">
        <f>IF([1]SCHEDULE!D676="","",[1]SCHEDULE!D676)</f>
        <v>Partizan Mozzart Bet Belgrade</v>
      </c>
      <c r="E676" s="1" t="str">
        <f>IF([1]SCHEDULE!E676="","",[1]SCHEDULE!E676)</f>
        <v>Panathinaikos Athens</v>
      </c>
      <c r="F676" s="6">
        <f>IF([1]SCHEDULE!F676="","",[1]SCHEDULE!F676)</f>
        <v>45260</v>
      </c>
      <c r="G676" s="3" t="str">
        <f>IF([1]SCHEDULE!G676="","",[1]SCHEDULE!G676)</f>
        <v>H</v>
      </c>
      <c r="H676" s="3" t="str">
        <f>IF([1]SCHEDULE!H676="","",[1]SCHEDULE!H676)</f>
        <v>PAN</v>
      </c>
      <c r="I676" s="3" t="str">
        <f>IF([1]SCHEDULE!I676="","",[1]SCHEDULE!I676)</f>
        <v>11.PAR</v>
      </c>
      <c r="J676" s="3" t="str">
        <f>IF([1]SCHEDULE!J676="","",[1]SCHEDULE!J676)</f>
        <v>11.PAN</v>
      </c>
    </row>
    <row r="677" spans="2:10" x14ac:dyDescent="0.25">
      <c r="B677" s="3" t="str">
        <f>IF([1]SCHEDULE!B677="","",[1]SCHEDULE!B677)</f>
        <v>PAR</v>
      </c>
      <c r="C677" s="3">
        <f>IF([1]SCHEDULE!C677="","",[1]SCHEDULE!C677)</f>
        <v>12</v>
      </c>
      <c r="D677" s="1" t="str">
        <f>IF([1]SCHEDULE!D677="","",[1]SCHEDULE!D677)</f>
        <v>Partizan Mozzart Bet Belgrade</v>
      </c>
      <c r="E677" s="1" t="str">
        <f>IF([1]SCHEDULE!E677="","",[1]SCHEDULE!E677)</f>
        <v>AS Monaco</v>
      </c>
      <c r="F677" s="6">
        <f>IF([1]SCHEDULE!F677="","",[1]SCHEDULE!F677)</f>
        <v>45265</v>
      </c>
      <c r="G677" s="3" t="str">
        <f>IF([1]SCHEDULE!G677="","",[1]SCHEDULE!G677)</f>
        <v>H</v>
      </c>
      <c r="H677" s="3" t="str">
        <f>IF([1]SCHEDULE!H677="","",[1]SCHEDULE!H677)</f>
        <v>ASM</v>
      </c>
      <c r="I677" s="3" t="str">
        <f>IF([1]SCHEDULE!I677="","",[1]SCHEDULE!I677)</f>
        <v>12.PAR</v>
      </c>
      <c r="J677" s="3" t="str">
        <f>IF([1]SCHEDULE!J677="","",[1]SCHEDULE!J677)</f>
        <v>12.ASM</v>
      </c>
    </row>
    <row r="678" spans="2:10" x14ac:dyDescent="0.25">
      <c r="B678" s="3" t="str">
        <f>IF([1]SCHEDULE!B678="","",[1]SCHEDULE!B678)</f>
        <v>PAR</v>
      </c>
      <c r="C678" s="3">
        <f>IF([1]SCHEDULE!C678="","",[1]SCHEDULE!C678)</f>
        <v>13</v>
      </c>
      <c r="D678" s="1" t="str">
        <f>IF([1]SCHEDULE!D678="","",[1]SCHEDULE!D678)</f>
        <v>Partizan Mozzart Bet Belgrade</v>
      </c>
      <c r="E678" s="1" t="str">
        <f>IF([1]SCHEDULE!E678="","",[1]SCHEDULE!E678)</f>
        <v>EA7 Emporio Armani Milan</v>
      </c>
      <c r="F678" s="6">
        <f>IF([1]SCHEDULE!F678="","",[1]SCHEDULE!F678)</f>
        <v>45267</v>
      </c>
      <c r="G678" s="3" t="str">
        <f>IF([1]SCHEDULE!G678="","",[1]SCHEDULE!G678)</f>
        <v>H</v>
      </c>
      <c r="H678" s="3" t="str">
        <f>IF([1]SCHEDULE!H678="","",[1]SCHEDULE!H678)</f>
        <v>MIL</v>
      </c>
      <c r="I678" s="3" t="str">
        <f>IF([1]SCHEDULE!I678="","",[1]SCHEDULE!I678)</f>
        <v>13.PAR</v>
      </c>
      <c r="J678" s="3" t="str">
        <f>IF([1]SCHEDULE!J678="","",[1]SCHEDULE!J678)</f>
        <v>13.MIL</v>
      </c>
    </row>
    <row r="679" spans="2:10" x14ac:dyDescent="0.25">
      <c r="B679" s="3" t="str">
        <f>IF([1]SCHEDULE!B679="","",[1]SCHEDULE!B679)</f>
        <v>PAR</v>
      </c>
      <c r="C679" s="3">
        <f>IF([1]SCHEDULE!C679="","",[1]SCHEDULE!C679)</f>
        <v>14</v>
      </c>
      <c r="D679" s="1" t="str">
        <f>IF([1]SCHEDULE!D679="","",[1]SCHEDULE!D679)</f>
        <v>Partizan Mozzart Bet Belgrade</v>
      </c>
      <c r="E679" s="1" t="str">
        <f>IF([1]SCHEDULE!E679="","",[1]SCHEDULE!E679)</f>
        <v>Zalgiris Kaunas</v>
      </c>
      <c r="F679" s="6">
        <f>IF([1]SCHEDULE!F679="","",[1]SCHEDULE!F679)</f>
        <v>45274</v>
      </c>
      <c r="G679" s="3" t="str">
        <f>IF([1]SCHEDULE!G679="","",[1]SCHEDULE!G679)</f>
        <v>A</v>
      </c>
      <c r="H679" s="3" t="str">
        <f>IF([1]SCHEDULE!H679="","",[1]SCHEDULE!H679)</f>
        <v>ZAL</v>
      </c>
      <c r="I679" s="3" t="str">
        <f>IF([1]SCHEDULE!I679="","",[1]SCHEDULE!I679)</f>
        <v>14.PAR</v>
      </c>
      <c r="J679" s="3" t="str">
        <f>IF([1]SCHEDULE!J679="","",[1]SCHEDULE!J679)</f>
        <v>14.ZAL</v>
      </c>
    </row>
    <row r="680" spans="2:10" x14ac:dyDescent="0.25">
      <c r="B680" s="3" t="str">
        <f>IF([1]SCHEDULE!B680="","",[1]SCHEDULE!B680)</f>
        <v>PAR</v>
      </c>
      <c r="C680" s="3">
        <f>IF([1]SCHEDULE!C680="","",[1]SCHEDULE!C680)</f>
        <v>15</v>
      </c>
      <c r="D680" s="1" t="str">
        <f>IF([1]SCHEDULE!D680="","",[1]SCHEDULE!D680)</f>
        <v>Partizan Mozzart Bet Belgrade</v>
      </c>
      <c r="E680" s="1" t="str">
        <f>IF([1]SCHEDULE!E680="","",[1]SCHEDULE!E680)</f>
        <v>Valencia Basket</v>
      </c>
      <c r="F680" s="6">
        <f>IF([1]SCHEDULE!F680="","",[1]SCHEDULE!F680)</f>
        <v>45279</v>
      </c>
      <c r="G680" s="3" t="str">
        <f>IF([1]SCHEDULE!G680="","",[1]SCHEDULE!G680)</f>
        <v>A</v>
      </c>
      <c r="H680" s="3" t="str">
        <f>IF([1]SCHEDULE!H680="","",[1]SCHEDULE!H680)</f>
        <v>VAL</v>
      </c>
      <c r="I680" s="3" t="str">
        <f>IF([1]SCHEDULE!I680="","",[1]SCHEDULE!I680)</f>
        <v>15.PAR</v>
      </c>
      <c r="J680" s="3" t="str">
        <f>IF([1]SCHEDULE!J680="","",[1]SCHEDULE!J680)</f>
        <v>15.VAL</v>
      </c>
    </row>
    <row r="681" spans="2:10" x14ac:dyDescent="0.25">
      <c r="B681" s="3" t="str">
        <f>IF([1]SCHEDULE!B681="","",[1]SCHEDULE!B681)</f>
        <v>PAR</v>
      </c>
      <c r="C681" s="3">
        <f>IF([1]SCHEDULE!C681="","",[1]SCHEDULE!C681)</f>
        <v>16</v>
      </c>
      <c r="D681" s="1" t="str">
        <f>IF([1]SCHEDULE!D681="","",[1]SCHEDULE!D681)</f>
        <v>Partizan Mozzart Bet Belgrade</v>
      </c>
      <c r="E681" s="1" t="str">
        <f>IF([1]SCHEDULE!E681="","",[1]SCHEDULE!E681)</f>
        <v>Real Madrid</v>
      </c>
      <c r="F681" s="6">
        <f>IF([1]SCHEDULE!F681="","",[1]SCHEDULE!F681)</f>
        <v>45281</v>
      </c>
      <c r="G681" s="3" t="str">
        <f>IF([1]SCHEDULE!G681="","",[1]SCHEDULE!G681)</f>
        <v>A</v>
      </c>
      <c r="H681" s="3" t="str">
        <f>IF([1]SCHEDULE!H681="","",[1]SCHEDULE!H681)</f>
        <v>RMB</v>
      </c>
      <c r="I681" s="3" t="str">
        <f>IF([1]SCHEDULE!I681="","",[1]SCHEDULE!I681)</f>
        <v>16.PAR</v>
      </c>
      <c r="J681" s="3" t="str">
        <f>IF([1]SCHEDULE!J681="","",[1]SCHEDULE!J681)</f>
        <v>16.RMB</v>
      </c>
    </row>
    <row r="682" spans="2:10" x14ac:dyDescent="0.25">
      <c r="B682" s="3" t="str">
        <f>IF([1]SCHEDULE!B682="","",[1]SCHEDULE!B682)</f>
        <v>PAR</v>
      </c>
      <c r="C682" s="3">
        <f>IF([1]SCHEDULE!C682="","",[1]SCHEDULE!C682)</f>
        <v>17</v>
      </c>
      <c r="D682" s="1" t="str">
        <f>IF([1]SCHEDULE!D682="","",[1]SCHEDULE!D682)</f>
        <v>Partizan Mozzart Bet Belgrade</v>
      </c>
      <c r="E682" s="1" t="str">
        <f>IF([1]SCHEDULE!E682="","",[1]SCHEDULE!E682)</f>
        <v>Virtus Segafredo Bologna</v>
      </c>
      <c r="F682" s="6">
        <f>IF([1]SCHEDULE!F682="","",[1]SCHEDULE!F682)</f>
        <v>45288</v>
      </c>
      <c r="G682" s="3" t="str">
        <f>IF([1]SCHEDULE!G682="","",[1]SCHEDULE!G682)</f>
        <v>H</v>
      </c>
      <c r="H682" s="3" t="str">
        <f>IF([1]SCHEDULE!H682="","",[1]SCHEDULE!H682)</f>
        <v>VIR</v>
      </c>
      <c r="I682" s="3" t="str">
        <f>IF([1]SCHEDULE!I682="","",[1]SCHEDULE!I682)</f>
        <v>17.PAR</v>
      </c>
      <c r="J682" s="3" t="str">
        <f>IF([1]SCHEDULE!J682="","",[1]SCHEDULE!J682)</f>
        <v>17.VIR</v>
      </c>
    </row>
    <row r="683" spans="2:10" x14ac:dyDescent="0.25">
      <c r="B683" s="3" t="str">
        <f>IF([1]SCHEDULE!B683="","",[1]SCHEDULE!B683)</f>
        <v>PAR</v>
      </c>
      <c r="C683" s="3">
        <f>IF([1]SCHEDULE!C683="","",[1]SCHEDULE!C683)</f>
        <v>18</v>
      </c>
      <c r="D683" s="1" t="str">
        <f>IF([1]SCHEDULE!D683="","",[1]SCHEDULE!D683)</f>
        <v>Partizan Mozzart Bet Belgrade</v>
      </c>
      <c r="E683" s="1" t="str">
        <f>IF([1]SCHEDULE!E683="","",[1]SCHEDULE!E683)</f>
        <v>LDLC ASVEL Villeurbanne</v>
      </c>
      <c r="F683" s="6">
        <f>IF([1]SCHEDULE!F683="","",[1]SCHEDULE!F683)</f>
        <v>45293</v>
      </c>
      <c r="G683" s="3" t="str">
        <f>IF([1]SCHEDULE!G683="","",[1]SCHEDULE!G683)</f>
        <v>H</v>
      </c>
      <c r="H683" s="3" t="str">
        <f>IF([1]SCHEDULE!H683="","",[1]SCHEDULE!H683)</f>
        <v>ASV</v>
      </c>
      <c r="I683" s="3" t="str">
        <f>IF([1]SCHEDULE!I683="","",[1]SCHEDULE!I683)</f>
        <v>18.PAR</v>
      </c>
      <c r="J683" s="3" t="str">
        <f>IF([1]SCHEDULE!J683="","",[1]SCHEDULE!J683)</f>
        <v>18.ASV</v>
      </c>
    </row>
    <row r="684" spans="2:10" x14ac:dyDescent="0.25">
      <c r="B684" s="3" t="str">
        <f>IF([1]SCHEDULE!B684="","",[1]SCHEDULE!B684)</f>
        <v>PAR</v>
      </c>
      <c r="C684" s="3">
        <f>IF([1]SCHEDULE!C684="","",[1]SCHEDULE!C684)</f>
        <v>19</v>
      </c>
      <c r="D684" s="1" t="str">
        <f>IF([1]SCHEDULE!D684="","",[1]SCHEDULE!D684)</f>
        <v>Partizan Mozzart Bet Belgrade</v>
      </c>
      <c r="E684" s="1" t="str">
        <f>IF([1]SCHEDULE!E684="","",[1]SCHEDULE!E684)</f>
        <v>Crvena Zvezda Meridianbet Belgrade</v>
      </c>
      <c r="F684" s="6">
        <f>IF([1]SCHEDULE!F684="","",[1]SCHEDULE!F684)</f>
        <v>45295</v>
      </c>
      <c r="G684" s="3" t="str">
        <f>IF([1]SCHEDULE!G684="","",[1]SCHEDULE!G684)</f>
        <v>A</v>
      </c>
      <c r="H684" s="3" t="str">
        <f>IF([1]SCHEDULE!H684="","",[1]SCHEDULE!H684)</f>
        <v>CZB</v>
      </c>
      <c r="I684" s="3" t="str">
        <f>IF([1]SCHEDULE!I684="","",[1]SCHEDULE!I684)</f>
        <v>19.PAR</v>
      </c>
      <c r="J684" s="3" t="str">
        <f>IF([1]SCHEDULE!J684="","",[1]SCHEDULE!J684)</f>
        <v>19.CZB</v>
      </c>
    </row>
    <row r="685" spans="2:10" x14ac:dyDescent="0.25">
      <c r="B685" s="3" t="str">
        <f>IF([1]SCHEDULE!B685="","",[1]SCHEDULE!B685)</f>
        <v>PAR</v>
      </c>
      <c r="C685" s="3">
        <f>IF([1]SCHEDULE!C685="","",[1]SCHEDULE!C685)</f>
        <v>20</v>
      </c>
      <c r="D685" s="1" t="str">
        <f>IF([1]SCHEDULE!D685="","",[1]SCHEDULE!D685)</f>
        <v>Partizan Mozzart Bet Belgrade</v>
      </c>
      <c r="E685" s="1" t="str">
        <f>IF([1]SCHEDULE!E685="","",[1]SCHEDULE!E685)</f>
        <v>Fenerbahce Beko Istanbul</v>
      </c>
      <c r="F685" s="6">
        <f>IF([1]SCHEDULE!F685="","",[1]SCHEDULE!F685)</f>
        <v>45300</v>
      </c>
      <c r="G685" s="3" t="str">
        <f>IF([1]SCHEDULE!G685="","",[1]SCHEDULE!G685)</f>
        <v>A</v>
      </c>
      <c r="H685" s="3" t="str">
        <f>IF([1]SCHEDULE!H685="","",[1]SCHEDULE!H685)</f>
        <v>FEN</v>
      </c>
      <c r="I685" s="3" t="str">
        <f>IF([1]SCHEDULE!I685="","",[1]SCHEDULE!I685)</f>
        <v>20.PAR</v>
      </c>
      <c r="J685" s="3" t="str">
        <f>IF([1]SCHEDULE!J685="","",[1]SCHEDULE!J685)</f>
        <v>20.FEN</v>
      </c>
    </row>
    <row r="686" spans="2:10" x14ac:dyDescent="0.25">
      <c r="B686" s="3" t="str">
        <f>IF([1]SCHEDULE!B686="","",[1]SCHEDULE!B686)</f>
        <v>PAR</v>
      </c>
      <c r="C686" s="3">
        <f>IF([1]SCHEDULE!C686="","",[1]SCHEDULE!C686)</f>
        <v>21</v>
      </c>
      <c r="D686" s="1" t="str">
        <f>IF([1]SCHEDULE!D686="","",[1]SCHEDULE!D686)</f>
        <v>Partizan Mozzart Bet Belgrade</v>
      </c>
      <c r="E686" s="1" t="str">
        <f>IF([1]SCHEDULE!E686="","",[1]SCHEDULE!E686)</f>
        <v>Maccabi Playtika Tel Aviv</v>
      </c>
      <c r="F686" s="6">
        <f>IF([1]SCHEDULE!F686="","",[1]SCHEDULE!F686)</f>
        <v>45303</v>
      </c>
      <c r="G686" s="3" t="str">
        <f>IF([1]SCHEDULE!G686="","",[1]SCHEDULE!G686)</f>
        <v>H</v>
      </c>
      <c r="H686" s="3" t="str">
        <f>IF([1]SCHEDULE!H686="","",[1]SCHEDULE!H686)</f>
        <v>MTA</v>
      </c>
      <c r="I686" s="3" t="str">
        <f>IF([1]SCHEDULE!I686="","",[1]SCHEDULE!I686)</f>
        <v>21.PAR</v>
      </c>
      <c r="J686" s="3" t="str">
        <f>IF([1]SCHEDULE!J686="","",[1]SCHEDULE!J686)</f>
        <v>21.MTA</v>
      </c>
    </row>
    <row r="687" spans="2:10" x14ac:dyDescent="0.25">
      <c r="B687" s="3" t="str">
        <f>IF([1]SCHEDULE!B687="","",[1]SCHEDULE!B687)</f>
        <v>PAR</v>
      </c>
      <c r="C687" s="3">
        <f>IF([1]SCHEDULE!C687="","",[1]SCHEDULE!C687)</f>
        <v>22</v>
      </c>
      <c r="D687" s="1" t="str">
        <f>IF([1]SCHEDULE!D687="","",[1]SCHEDULE!D687)</f>
        <v>Partizan Mozzart Bet Belgrade</v>
      </c>
      <c r="E687" s="1" t="str">
        <f>IF([1]SCHEDULE!E687="","",[1]SCHEDULE!E687)</f>
        <v>Panathinaikos Athens</v>
      </c>
      <c r="F687" s="6">
        <f>IF([1]SCHEDULE!F687="","",[1]SCHEDULE!F687)</f>
        <v>45310</v>
      </c>
      <c r="G687" s="3" t="str">
        <f>IF([1]SCHEDULE!G687="","",[1]SCHEDULE!G687)</f>
        <v>A</v>
      </c>
      <c r="H687" s="3" t="str">
        <f>IF([1]SCHEDULE!H687="","",[1]SCHEDULE!H687)</f>
        <v>PAN</v>
      </c>
      <c r="I687" s="3" t="str">
        <f>IF([1]SCHEDULE!I687="","",[1]SCHEDULE!I687)</f>
        <v>22.PAR</v>
      </c>
      <c r="J687" s="3" t="str">
        <f>IF([1]SCHEDULE!J687="","",[1]SCHEDULE!J687)</f>
        <v>22.PAN</v>
      </c>
    </row>
    <row r="688" spans="2:10" x14ac:dyDescent="0.25">
      <c r="B688" s="3" t="str">
        <f>IF([1]SCHEDULE!B688="","",[1]SCHEDULE!B688)</f>
        <v>PAR</v>
      </c>
      <c r="C688" s="3">
        <f>IF([1]SCHEDULE!C688="","",[1]SCHEDULE!C688)</f>
        <v>23</v>
      </c>
      <c r="D688" s="1" t="str">
        <f>IF([1]SCHEDULE!D688="","",[1]SCHEDULE!D688)</f>
        <v>Partizan Mozzart Bet Belgrade</v>
      </c>
      <c r="E688" s="1" t="str">
        <f>IF([1]SCHEDULE!E688="","",[1]SCHEDULE!E688)</f>
        <v>Zalgiris Kaunas</v>
      </c>
      <c r="F688" s="6">
        <f>IF([1]SCHEDULE!F688="","",[1]SCHEDULE!F688)</f>
        <v>45317</v>
      </c>
      <c r="G688" s="3" t="str">
        <f>IF([1]SCHEDULE!G688="","",[1]SCHEDULE!G688)</f>
        <v>H</v>
      </c>
      <c r="H688" s="3" t="str">
        <f>IF([1]SCHEDULE!H688="","",[1]SCHEDULE!H688)</f>
        <v>ZAL</v>
      </c>
      <c r="I688" s="3" t="str">
        <f>IF([1]SCHEDULE!I688="","",[1]SCHEDULE!I688)</f>
        <v>23.PAR</v>
      </c>
      <c r="J688" s="3" t="str">
        <f>IF([1]SCHEDULE!J688="","",[1]SCHEDULE!J688)</f>
        <v>23.ZAL</v>
      </c>
    </row>
    <row r="689" spans="2:10" x14ac:dyDescent="0.25">
      <c r="B689" s="3" t="str">
        <f>IF([1]SCHEDULE!B689="","",[1]SCHEDULE!B689)</f>
        <v>PAR</v>
      </c>
      <c r="C689" s="3">
        <f>IF([1]SCHEDULE!C689="","",[1]SCHEDULE!C689)</f>
        <v>24</v>
      </c>
      <c r="D689" s="1" t="str">
        <f>IF([1]SCHEDULE!D689="","",[1]SCHEDULE!D689)</f>
        <v>Partizan Mozzart Bet Belgrade</v>
      </c>
      <c r="E689" s="1" t="str">
        <f>IF([1]SCHEDULE!E689="","",[1]SCHEDULE!E689)</f>
        <v>AS Monaco</v>
      </c>
      <c r="F689" s="6">
        <f>IF([1]SCHEDULE!F689="","",[1]SCHEDULE!F689)</f>
        <v>45322</v>
      </c>
      <c r="G689" s="3" t="str">
        <f>IF([1]SCHEDULE!G689="","",[1]SCHEDULE!G689)</f>
        <v>A</v>
      </c>
      <c r="H689" s="3" t="str">
        <f>IF([1]SCHEDULE!H689="","",[1]SCHEDULE!H689)</f>
        <v>ASM</v>
      </c>
      <c r="I689" s="3" t="str">
        <f>IF([1]SCHEDULE!I689="","",[1]SCHEDULE!I689)</f>
        <v>24.PAR</v>
      </c>
      <c r="J689" s="3" t="str">
        <f>IF([1]SCHEDULE!J689="","",[1]SCHEDULE!J689)</f>
        <v>24.ASM</v>
      </c>
    </row>
    <row r="690" spans="2:10" x14ac:dyDescent="0.25">
      <c r="B690" s="3" t="str">
        <f>IF([1]SCHEDULE!B690="","",[1]SCHEDULE!B690)</f>
        <v>PAR</v>
      </c>
      <c r="C690" s="3">
        <f>IF([1]SCHEDULE!C690="","",[1]SCHEDULE!C690)</f>
        <v>25</v>
      </c>
      <c r="D690" s="1" t="str">
        <f>IF([1]SCHEDULE!D690="","",[1]SCHEDULE!D690)</f>
        <v>Partizan Mozzart Bet Belgrade</v>
      </c>
      <c r="E690" s="1" t="str">
        <f>IF([1]SCHEDULE!E690="","",[1]SCHEDULE!E690)</f>
        <v>Virtus Segafredo Bologna</v>
      </c>
      <c r="F690" s="6">
        <f>IF([1]SCHEDULE!F690="","",[1]SCHEDULE!F690)</f>
        <v>45324</v>
      </c>
      <c r="G690" s="3" t="str">
        <f>IF([1]SCHEDULE!G690="","",[1]SCHEDULE!G690)</f>
        <v>A</v>
      </c>
      <c r="H690" s="3" t="str">
        <f>IF([1]SCHEDULE!H690="","",[1]SCHEDULE!H690)</f>
        <v>VIR</v>
      </c>
      <c r="I690" s="3" t="str">
        <f>IF([1]SCHEDULE!I690="","",[1]SCHEDULE!I690)</f>
        <v>25.PAR</v>
      </c>
      <c r="J690" s="3" t="str">
        <f>IF([1]SCHEDULE!J690="","",[1]SCHEDULE!J690)</f>
        <v>25.VIR</v>
      </c>
    </row>
    <row r="691" spans="2:10" x14ac:dyDescent="0.25">
      <c r="B691" s="3" t="str">
        <f>IF([1]SCHEDULE!B691="","",[1]SCHEDULE!B691)</f>
        <v>PAR</v>
      </c>
      <c r="C691" s="3">
        <f>IF([1]SCHEDULE!C691="","",[1]SCHEDULE!C691)</f>
        <v>26</v>
      </c>
      <c r="D691" s="1" t="str">
        <f>IF([1]SCHEDULE!D691="","",[1]SCHEDULE!D691)</f>
        <v>Partizan Mozzart Bet Belgrade</v>
      </c>
      <c r="E691" s="1" t="str">
        <f>IF([1]SCHEDULE!E691="","",[1]SCHEDULE!E691)</f>
        <v>FC Bayern Munich</v>
      </c>
      <c r="F691" s="6">
        <f>IF([1]SCHEDULE!F691="","",[1]SCHEDULE!F691)</f>
        <v>45330</v>
      </c>
      <c r="G691" s="3" t="str">
        <f>IF([1]SCHEDULE!G691="","",[1]SCHEDULE!G691)</f>
        <v>H</v>
      </c>
      <c r="H691" s="3" t="str">
        <f>IF([1]SCHEDULE!H691="","",[1]SCHEDULE!H691)</f>
        <v>BAY</v>
      </c>
      <c r="I691" s="3" t="str">
        <f>IF([1]SCHEDULE!I691="","",[1]SCHEDULE!I691)</f>
        <v>26.PAR</v>
      </c>
      <c r="J691" s="3" t="str">
        <f>IF([1]SCHEDULE!J691="","",[1]SCHEDULE!J691)</f>
        <v>26.BAY</v>
      </c>
    </row>
    <row r="692" spans="2:10" x14ac:dyDescent="0.25">
      <c r="B692" s="3" t="str">
        <f>IF([1]SCHEDULE!B692="","",[1]SCHEDULE!B692)</f>
        <v>PAR</v>
      </c>
      <c r="C692" s="3">
        <f>IF([1]SCHEDULE!C692="","",[1]SCHEDULE!C692)</f>
        <v>27</v>
      </c>
      <c r="D692" s="1" t="str">
        <f>IF([1]SCHEDULE!D692="","",[1]SCHEDULE!D692)</f>
        <v>Partizan Mozzart Bet Belgrade</v>
      </c>
      <c r="E692" s="1" t="str">
        <f>IF([1]SCHEDULE!E692="","",[1]SCHEDULE!E692)</f>
        <v>Anadolu Efes Istanbul</v>
      </c>
      <c r="F692" s="6">
        <f>IF([1]SCHEDULE!F692="","",[1]SCHEDULE!F692)</f>
        <v>45351</v>
      </c>
      <c r="G692" s="3" t="str">
        <f>IF([1]SCHEDULE!G692="","",[1]SCHEDULE!G692)</f>
        <v>H</v>
      </c>
      <c r="H692" s="3" t="str">
        <f>IF([1]SCHEDULE!H692="","",[1]SCHEDULE!H692)</f>
        <v>EFE</v>
      </c>
      <c r="I692" s="3" t="str">
        <f>IF([1]SCHEDULE!I692="","",[1]SCHEDULE!I692)</f>
        <v>27.PAR</v>
      </c>
      <c r="J692" s="3" t="str">
        <f>IF([1]SCHEDULE!J692="","",[1]SCHEDULE!J692)</f>
        <v>27.EFE</v>
      </c>
    </row>
    <row r="693" spans="2:10" x14ac:dyDescent="0.25">
      <c r="B693" s="3" t="str">
        <f>IF([1]SCHEDULE!B693="","",[1]SCHEDULE!B693)</f>
        <v>PAR</v>
      </c>
      <c r="C693" s="3">
        <f>IF([1]SCHEDULE!C693="","",[1]SCHEDULE!C693)</f>
        <v>28</v>
      </c>
      <c r="D693" s="1" t="str">
        <f>IF([1]SCHEDULE!D693="","",[1]SCHEDULE!D693)</f>
        <v>Partizan Mozzart Bet Belgrade</v>
      </c>
      <c r="E693" s="1" t="str">
        <f>IF([1]SCHEDULE!E693="","",[1]SCHEDULE!E693)</f>
        <v>EA7 Emporio Armani Milan</v>
      </c>
      <c r="F693" s="6">
        <f>IF([1]SCHEDULE!F693="","",[1]SCHEDULE!F693)</f>
        <v>45359</v>
      </c>
      <c r="G693" s="3" t="str">
        <f>IF([1]SCHEDULE!G693="","",[1]SCHEDULE!G693)</f>
        <v>A</v>
      </c>
      <c r="H693" s="3" t="str">
        <f>IF([1]SCHEDULE!H693="","",[1]SCHEDULE!H693)</f>
        <v>MIL</v>
      </c>
      <c r="I693" s="3" t="str">
        <f>IF([1]SCHEDULE!I693="","",[1]SCHEDULE!I693)</f>
        <v>28.PAR</v>
      </c>
      <c r="J693" s="3" t="str">
        <f>IF([1]SCHEDULE!J693="","",[1]SCHEDULE!J693)</f>
        <v>28.MIL</v>
      </c>
    </row>
    <row r="694" spans="2:10" x14ac:dyDescent="0.25">
      <c r="B694" s="3" t="str">
        <f>IF([1]SCHEDULE!B694="","",[1]SCHEDULE!B694)</f>
        <v>PAR</v>
      </c>
      <c r="C694" s="3">
        <f>IF([1]SCHEDULE!C694="","",[1]SCHEDULE!C694)</f>
        <v>29</v>
      </c>
      <c r="D694" s="1" t="str">
        <f>IF([1]SCHEDULE!D694="","",[1]SCHEDULE!D694)</f>
        <v>Partizan Mozzart Bet Belgrade</v>
      </c>
      <c r="E694" s="1" t="str">
        <f>IF([1]SCHEDULE!E694="","",[1]SCHEDULE!E694)</f>
        <v>FC Barcelona</v>
      </c>
      <c r="F694" s="6">
        <f>IF([1]SCHEDULE!F694="","",[1]SCHEDULE!F694)</f>
        <v>45365</v>
      </c>
      <c r="G694" s="3" t="str">
        <f>IF([1]SCHEDULE!G694="","",[1]SCHEDULE!G694)</f>
        <v>A</v>
      </c>
      <c r="H694" s="3" t="str">
        <f>IF([1]SCHEDULE!H694="","",[1]SCHEDULE!H694)</f>
        <v>FCB</v>
      </c>
      <c r="I694" s="3" t="str">
        <f>IF([1]SCHEDULE!I694="","",[1]SCHEDULE!I694)</f>
        <v>29.PAR</v>
      </c>
      <c r="J694" s="3" t="str">
        <f>IF([1]SCHEDULE!J694="","",[1]SCHEDULE!J694)</f>
        <v>29.FCB</v>
      </c>
    </row>
    <row r="695" spans="2:10" x14ac:dyDescent="0.25">
      <c r="B695" s="3" t="str">
        <f>IF([1]SCHEDULE!B695="","",[1]SCHEDULE!B695)</f>
        <v>PAR</v>
      </c>
      <c r="C695" s="3">
        <f>IF([1]SCHEDULE!C695="","",[1]SCHEDULE!C695)</f>
        <v>30</v>
      </c>
      <c r="D695" s="1" t="str">
        <f>IF([1]SCHEDULE!D695="","",[1]SCHEDULE!D695)</f>
        <v>Partizan Mozzart Bet Belgrade</v>
      </c>
      <c r="E695" s="1" t="str">
        <f>IF([1]SCHEDULE!E695="","",[1]SCHEDULE!E695)</f>
        <v>Baskonia Vitoria-Gasteiz</v>
      </c>
      <c r="F695" s="6">
        <f>IF([1]SCHEDULE!F695="","",[1]SCHEDULE!F695)</f>
        <v>45370</v>
      </c>
      <c r="G695" s="3" t="str">
        <f>IF([1]SCHEDULE!G695="","",[1]SCHEDULE!G695)</f>
        <v>H</v>
      </c>
      <c r="H695" s="3" t="str">
        <f>IF([1]SCHEDULE!H695="","",[1]SCHEDULE!H695)</f>
        <v>BAS</v>
      </c>
      <c r="I695" s="3" t="str">
        <f>IF([1]SCHEDULE!I695="","",[1]SCHEDULE!I695)</f>
        <v>30.PAR</v>
      </c>
      <c r="J695" s="3" t="str">
        <f>IF([1]SCHEDULE!J695="","",[1]SCHEDULE!J695)</f>
        <v>30.BAS</v>
      </c>
    </row>
    <row r="696" spans="2:10" x14ac:dyDescent="0.25">
      <c r="B696" s="3" t="str">
        <f>IF([1]SCHEDULE!B696="","",[1]SCHEDULE!B696)</f>
        <v>PAR</v>
      </c>
      <c r="C696" s="3">
        <f>IF([1]SCHEDULE!C696="","",[1]SCHEDULE!C696)</f>
        <v>31</v>
      </c>
      <c r="D696" s="1" t="str">
        <f>IF([1]SCHEDULE!D696="","",[1]SCHEDULE!D696)</f>
        <v>Partizan Mozzart Bet Belgrade</v>
      </c>
      <c r="E696" s="1" t="str">
        <f>IF([1]SCHEDULE!E696="","",[1]SCHEDULE!E696)</f>
        <v>Real Madrid</v>
      </c>
      <c r="F696" s="6">
        <f>IF([1]SCHEDULE!F696="","",[1]SCHEDULE!F696)</f>
        <v>45372</v>
      </c>
      <c r="G696" s="3" t="str">
        <f>IF([1]SCHEDULE!G696="","",[1]SCHEDULE!G696)</f>
        <v>H</v>
      </c>
      <c r="H696" s="3" t="str">
        <f>IF([1]SCHEDULE!H696="","",[1]SCHEDULE!H696)</f>
        <v>RMB</v>
      </c>
      <c r="I696" s="3" t="str">
        <f>IF([1]SCHEDULE!I696="","",[1]SCHEDULE!I696)</f>
        <v>31.PAR</v>
      </c>
      <c r="J696" s="3" t="str">
        <f>IF([1]SCHEDULE!J696="","",[1]SCHEDULE!J696)</f>
        <v>31.RMB</v>
      </c>
    </row>
    <row r="697" spans="2:10" x14ac:dyDescent="0.25">
      <c r="B697" s="3" t="str">
        <f>IF([1]SCHEDULE!B697="","",[1]SCHEDULE!B697)</f>
        <v>PAR</v>
      </c>
      <c r="C697" s="3">
        <f>IF([1]SCHEDULE!C697="","",[1]SCHEDULE!C697)</f>
        <v>32</v>
      </c>
      <c r="D697" s="1" t="str">
        <f>IF([1]SCHEDULE!D697="","",[1]SCHEDULE!D697)</f>
        <v>Partizan Mozzart Bet Belgrade</v>
      </c>
      <c r="E697" s="1" t="str">
        <f>IF([1]SCHEDULE!E697="","",[1]SCHEDULE!E697)</f>
        <v>Olympiacos Piraeus</v>
      </c>
      <c r="F697" s="6">
        <f>IF([1]SCHEDULE!F697="","",[1]SCHEDULE!F697)</f>
        <v>45379</v>
      </c>
      <c r="G697" s="3" t="str">
        <f>IF([1]SCHEDULE!G697="","",[1]SCHEDULE!G697)</f>
        <v>H</v>
      </c>
      <c r="H697" s="3" t="str">
        <f>IF([1]SCHEDULE!H697="","",[1]SCHEDULE!H697)</f>
        <v>OLY</v>
      </c>
      <c r="I697" s="3" t="str">
        <f>IF([1]SCHEDULE!I697="","",[1]SCHEDULE!I697)</f>
        <v>32.PAR</v>
      </c>
      <c r="J697" s="3" t="str">
        <f>IF([1]SCHEDULE!J697="","",[1]SCHEDULE!J697)</f>
        <v>32.OLY</v>
      </c>
    </row>
    <row r="698" spans="2:10" x14ac:dyDescent="0.25">
      <c r="B698" s="3" t="str">
        <f>IF([1]SCHEDULE!B698="","",[1]SCHEDULE!B698)</f>
        <v>PAR</v>
      </c>
      <c r="C698" s="3">
        <f>IF([1]SCHEDULE!C698="","",[1]SCHEDULE!C698)</f>
        <v>33</v>
      </c>
      <c r="D698" s="1" t="str">
        <f>IF([1]SCHEDULE!D698="","",[1]SCHEDULE!D698)</f>
        <v>Partizan Mozzart Bet Belgrade</v>
      </c>
      <c r="E698" s="1" t="str">
        <f>IF([1]SCHEDULE!E698="","",[1]SCHEDULE!E698)</f>
        <v>ALBA Berlin</v>
      </c>
      <c r="F698" s="6">
        <f>IF([1]SCHEDULE!F698="","",[1]SCHEDULE!F698)</f>
        <v>45386</v>
      </c>
      <c r="G698" s="3" t="str">
        <f>IF([1]SCHEDULE!G698="","",[1]SCHEDULE!G698)</f>
        <v>A</v>
      </c>
      <c r="H698" s="3" t="str">
        <f>IF([1]SCHEDULE!H698="","",[1]SCHEDULE!H698)</f>
        <v>BER</v>
      </c>
      <c r="I698" s="3" t="str">
        <f>IF([1]SCHEDULE!I698="","",[1]SCHEDULE!I698)</f>
        <v>33.PAR</v>
      </c>
      <c r="J698" s="3" t="str">
        <f>IF([1]SCHEDULE!J698="","",[1]SCHEDULE!J698)</f>
        <v>33.BER</v>
      </c>
    </row>
    <row r="699" spans="2:10" x14ac:dyDescent="0.25">
      <c r="B699" s="3" t="str">
        <f>IF([1]SCHEDULE!B699="","",[1]SCHEDULE!B699)</f>
        <v>PAR</v>
      </c>
      <c r="C699" s="3">
        <f>IF([1]SCHEDULE!C699="","",[1]SCHEDULE!C699)</f>
        <v>34</v>
      </c>
      <c r="D699" s="1" t="str">
        <f>IF([1]SCHEDULE!D699="","",[1]SCHEDULE!D699)</f>
        <v>Partizan Mozzart Bet Belgrade</v>
      </c>
      <c r="E699" s="1" t="str">
        <f>IF([1]SCHEDULE!E699="","",[1]SCHEDULE!E699)</f>
        <v>Valencia Basket</v>
      </c>
      <c r="F699" s="6">
        <f>IF([1]SCHEDULE!F699="","",[1]SCHEDULE!F699)</f>
        <v>45394</v>
      </c>
      <c r="G699" s="3" t="str">
        <f>IF([1]SCHEDULE!G699="","",[1]SCHEDULE!G699)</f>
        <v>H</v>
      </c>
      <c r="H699" s="3" t="str">
        <f>IF([1]SCHEDULE!H699="","",[1]SCHEDULE!H699)</f>
        <v>VAL</v>
      </c>
      <c r="I699" s="3" t="str">
        <f>IF([1]SCHEDULE!I699="","",[1]SCHEDULE!I699)</f>
        <v>34.PAR</v>
      </c>
      <c r="J699" s="3" t="str">
        <f>IF([1]SCHEDULE!J699="","",[1]SCHEDULE!J699)</f>
        <v>34.VAL</v>
      </c>
    </row>
    <row r="700" spans="2:10" x14ac:dyDescent="0.25">
      <c r="B700" s="3" t="str">
        <f>IF([1]SCHEDULE!B700="","",[1]SCHEDULE!B700)</f>
        <v>PAR</v>
      </c>
      <c r="C700" s="3">
        <f>IF([1]SCHEDULE!C700="","",[1]SCHEDULE!C700)</f>
        <v>35</v>
      </c>
      <c r="D700" s="1" t="str">
        <f>IF([1]SCHEDULE!D700="","",[1]SCHEDULE!D700)</f>
        <v>Partizan Mozzart Bet Belgrade</v>
      </c>
      <c r="E700" s="1" t="str">
        <f>IF([1]SCHEDULE!E700="","",[1]SCHEDULE!E700)</f>
        <v/>
      </c>
      <c r="F700" s="6" t="str">
        <f>IF([1]SCHEDULE!F700="","",[1]SCHEDULE!F700)</f>
        <v/>
      </c>
      <c r="G700" s="3" t="str">
        <f>IF([1]SCHEDULE!G700="","",[1]SCHEDULE!G700)</f>
        <v/>
      </c>
      <c r="H700" s="3" t="str">
        <f>IF([1]SCHEDULE!H700="","",[1]SCHEDULE!H700)</f>
        <v/>
      </c>
      <c r="I700" s="3" t="str">
        <f>IF([1]SCHEDULE!I700="","",[1]SCHEDULE!I700)</f>
        <v/>
      </c>
      <c r="J700" s="3" t="str">
        <f>IF([1]SCHEDULE!J700="","",[1]SCHEDULE!J700)</f>
        <v/>
      </c>
    </row>
    <row r="701" spans="2:10" x14ac:dyDescent="0.25">
      <c r="B701" s="3" t="str">
        <f>IF([1]SCHEDULE!B701="","",[1]SCHEDULE!B701)</f>
        <v>PAR</v>
      </c>
      <c r="C701" s="3">
        <f>IF([1]SCHEDULE!C701="","",[1]SCHEDULE!C701)</f>
        <v>36</v>
      </c>
      <c r="D701" s="1" t="str">
        <f>IF([1]SCHEDULE!D701="","",[1]SCHEDULE!D701)</f>
        <v>Partizan Mozzart Bet Belgrade</v>
      </c>
      <c r="E701" s="1" t="str">
        <f>IF([1]SCHEDULE!E701="","",[1]SCHEDULE!E701)</f>
        <v/>
      </c>
      <c r="F701" s="6" t="str">
        <f>IF([1]SCHEDULE!F701="","",[1]SCHEDULE!F701)</f>
        <v/>
      </c>
      <c r="G701" s="3" t="str">
        <f>IF([1]SCHEDULE!G701="","",[1]SCHEDULE!G701)</f>
        <v/>
      </c>
      <c r="H701" s="3" t="str">
        <f>IF([1]SCHEDULE!H701="","",[1]SCHEDULE!H701)</f>
        <v/>
      </c>
      <c r="I701" s="3" t="str">
        <f>IF([1]SCHEDULE!I701="","",[1]SCHEDULE!I701)</f>
        <v/>
      </c>
      <c r="J701" s="3" t="str">
        <f>IF([1]SCHEDULE!J701="","",[1]SCHEDULE!J701)</f>
        <v/>
      </c>
    </row>
    <row r="702" spans="2:10" x14ac:dyDescent="0.25">
      <c r="B702" s="3" t="str">
        <f>IF([1]SCHEDULE!B702="","",[1]SCHEDULE!B702)</f>
        <v>PAR</v>
      </c>
      <c r="C702" s="3">
        <f>IF([1]SCHEDULE!C702="","",[1]SCHEDULE!C702)</f>
        <v>37</v>
      </c>
      <c r="D702" s="1" t="str">
        <f>IF([1]SCHEDULE!D702="","",[1]SCHEDULE!D702)</f>
        <v>Partizan Mozzart Bet Belgrade</v>
      </c>
      <c r="E702" s="1" t="str">
        <f>IF([1]SCHEDULE!E702="","",[1]SCHEDULE!E702)</f>
        <v/>
      </c>
      <c r="F702" s="6" t="str">
        <f>IF([1]SCHEDULE!F702="","",[1]SCHEDULE!F702)</f>
        <v/>
      </c>
      <c r="G702" s="3" t="str">
        <f>IF([1]SCHEDULE!G702="","",[1]SCHEDULE!G702)</f>
        <v/>
      </c>
      <c r="H702" s="3" t="str">
        <f>IF([1]SCHEDULE!H702="","",[1]SCHEDULE!H702)</f>
        <v/>
      </c>
      <c r="I702" s="3" t="str">
        <f>IF([1]SCHEDULE!I702="","",[1]SCHEDULE!I702)</f>
        <v/>
      </c>
      <c r="J702" s="3" t="str">
        <f>IF([1]SCHEDULE!J702="","",[1]SCHEDULE!J702)</f>
        <v/>
      </c>
    </row>
    <row r="703" spans="2:10" x14ac:dyDescent="0.25">
      <c r="B703" s="3" t="str">
        <f>IF([1]SCHEDULE!B703="","",[1]SCHEDULE!B703)</f>
        <v>PAR</v>
      </c>
      <c r="C703" s="3">
        <f>IF([1]SCHEDULE!C703="","",[1]SCHEDULE!C703)</f>
        <v>38</v>
      </c>
      <c r="D703" s="1" t="str">
        <f>IF([1]SCHEDULE!D703="","",[1]SCHEDULE!D703)</f>
        <v>Partizan Mozzart Bet Belgrade</v>
      </c>
      <c r="E703" s="1" t="str">
        <f>IF([1]SCHEDULE!E703="","",[1]SCHEDULE!E703)</f>
        <v/>
      </c>
      <c r="F703" s="6" t="str">
        <f>IF([1]SCHEDULE!F703="","",[1]SCHEDULE!F703)</f>
        <v/>
      </c>
      <c r="G703" s="3" t="str">
        <f>IF([1]SCHEDULE!G703="","",[1]SCHEDULE!G703)</f>
        <v/>
      </c>
      <c r="H703" s="3" t="str">
        <f>IF([1]SCHEDULE!H703="","",[1]SCHEDULE!H703)</f>
        <v/>
      </c>
      <c r="I703" s="3" t="str">
        <f>IF([1]SCHEDULE!I703="","",[1]SCHEDULE!I703)</f>
        <v/>
      </c>
      <c r="J703" s="3" t="str">
        <f>IF([1]SCHEDULE!J703="","",[1]SCHEDULE!J703)</f>
        <v/>
      </c>
    </row>
    <row r="704" spans="2:10" x14ac:dyDescent="0.25">
      <c r="B704" s="3" t="str">
        <f>IF([1]SCHEDULE!B704="","",[1]SCHEDULE!B704)</f>
        <v>PAR</v>
      </c>
      <c r="C704" s="3">
        <f>IF([1]SCHEDULE!C704="","",[1]SCHEDULE!C704)</f>
        <v>39</v>
      </c>
      <c r="D704" s="1" t="str">
        <f>IF([1]SCHEDULE!D704="","",[1]SCHEDULE!D704)</f>
        <v>Partizan Mozzart Bet Belgrade</v>
      </c>
      <c r="E704" s="1" t="str">
        <f>IF([1]SCHEDULE!E704="","",[1]SCHEDULE!E704)</f>
        <v/>
      </c>
      <c r="F704" s="6" t="str">
        <f>IF([1]SCHEDULE!F704="","",[1]SCHEDULE!F704)</f>
        <v/>
      </c>
      <c r="G704" s="3" t="str">
        <f>IF([1]SCHEDULE!G704="","",[1]SCHEDULE!G704)</f>
        <v/>
      </c>
      <c r="H704" s="3" t="str">
        <f>IF([1]SCHEDULE!H704="","",[1]SCHEDULE!H704)</f>
        <v/>
      </c>
      <c r="I704" s="3" t="str">
        <f>IF([1]SCHEDULE!I704="","",[1]SCHEDULE!I704)</f>
        <v/>
      </c>
      <c r="J704" s="3" t="str">
        <f>IF([1]SCHEDULE!J704="","",[1]SCHEDULE!J704)</f>
        <v/>
      </c>
    </row>
    <row r="705" spans="2:10" x14ac:dyDescent="0.25">
      <c r="B705" s="3" t="str">
        <f>IF([1]SCHEDULE!B705="","",[1]SCHEDULE!B705)</f>
        <v>PAR</v>
      </c>
      <c r="C705" s="3">
        <f>IF([1]SCHEDULE!C705="","",[1]SCHEDULE!C705)</f>
        <v>40</v>
      </c>
      <c r="D705" s="1" t="str">
        <f>IF([1]SCHEDULE!D705="","",[1]SCHEDULE!D705)</f>
        <v>Partizan Mozzart Bet Belgrade</v>
      </c>
      <c r="E705" s="1" t="str">
        <f>IF([1]SCHEDULE!E705="","",[1]SCHEDULE!E705)</f>
        <v/>
      </c>
      <c r="F705" s="6" t="str">
        <f>IF([1]SCHEDULE!F705="","",[1]SCHEDULE!F705)</f>
        <v/>
      </c>
      <c r="G705" s="3" t="str">
        <f>IF([1]SCHEDULE!G705="","",[1]SCHEDULE!G705)</f>
        <v/>
      </c>
      <c r="H705" s="3" t="str">
        <f>IF([1]SCHEDULE!H705="","",[1]SCHEDULE!H705)</f>
        <v/>
      </c>
      <c r="I705" s="3" t="str">
        <f>IF([1]SCHEDULE!I705="","",[1]SCHEDULE!I705)</f>
        <v/>
      </c>
      <c r="J705" s="3" t="str">
        <f>IF([1]SCHEDULE!J705="","",[1]SCHEDULE!J705)</f>
        <v/>
      </c>
    </row>
    <row r="706" spans="2:10" x14ac:dyDescent="0.25">
      <c r="B706" s="3" t="str">
        <f>IF([1]SCHEDULE!B706="","",[1]SCHEDULE!B706)</f>
        <v>PAR</v>
      </c>
      <c r="C706" s="3">
        <f>IF([1]SCHEDULE!C706="","",[1]SCHEDULE!C706)</f>
        <v>41</v>
      </c>
      <c r="D706" s="1" t="str">
        <f>IF([1]SCHEDULE!D706="","",[1]SCHEDULE!D706)</f>
        <v>Partizan Mozzart Bet Belgrade</v>
      </c>
      <c r="E706" s="1" t="str">
        <f>IF([1]SCHEDULE!E706="","",[1]SCHEDULE!E706)</f>
        <v/>
      </c>
      <c r="F706" s="6" t="str">
        <f>IF([1]SCHEDULE!F706="","",[1]SCHEDULE!F706)</f>
        <v/>
      </c>
      <c r="G706" s="3" t="str">
        <f>IF([1]SCHEDULE!G706="","",[1]SCHEDULE!G706)</f>
        <v/>
      </c>
      <c r="H706" s="3" t="str">
        <f>IF([1]SCHEDULE!H706="","",[1]SCHEDULE!H706)</f>
        <v/>
      </c>
      <c r="I706" s="3" t="str">
        <f>IF([1]SCHEDULE!I706="","",[1]SCHEDULE!I706)</f>
        <v/>
      </c>
      <c r="J706" s="3" t="str">
        <f>IF([1]SCHEDULE!J706="","",[1]SCHEDULE!J706)</f>
        <v/>
      </c>
    </row>
    <row r="707" spans="2:10" x14ac:dyDescent="0.25">
      <c r="B707" s="3" t="str">
        <f>IF([1]SCHEDULE!B707="","",[1]SCHEDULE!B707)</f>
        <v>PAR</v>
      </c>
      <c r="C707" s="3">
        <f>IF([1]SCHEDULE!C707="","",[1]SCHEDULE!C707)</f>
        <v>42</v>
      </c>
      <c r="D707" s="1" t="str">
        <f>IF([1]SCHEDULE!D707="","",[1]SCHEDULE!D707)</f>
        <v>Partizan Mozzart Bet Belgrade</v>
      </c>
      <c r="E707" s="1" t="str">
        <f>IF([1]SCHEDULE!E707="","",[1]SCHEDULE!E707)</f>
        <v/>
      </c>
      <c r="F707" s="6" t="str">
        <f>IF([1]SCHEDULE!F707="","",[1]SCHEDULE!F707)</f>
        <v/>
      </c>
      <c r="G707" s="3" t="str">
        <f>IF([1]SCHEDULE!G707="","",[1]SCHEDULE!G707)</f>
        <v/>
      </c>
      <c r="H707" s="3" t="str">
        <f>IF([1]SCHEDULE!H707="","",[1]SCHEDULE!H707)</f>
        <v/>
      </c>
      <c r="I707" s="3" t="str">
        <f>IF([1]SCHEDULE!I707="","",[1]SCHEDULE!I707)</f>
        <v/>
      </c>
      <c r="J707" s="3" t="str">
        <f>IF([1]SCHEDULE!J707="","",[1]SCHEDULE!J707)</f>
        <v/>
      </c>
    </row>
    <row r="708" spans="2:10" x14ac:dyDescent="0.25">
      <c r="B708" s="3" t="str">
        <f>IF([1]SCHEDULE!B708="","",[1]SCHEDULE!B708)</f>
        <v>PAR</v>
      </c>
      <c r="C708" s="3">
        <f>IF([1]SCHEDULE!C708="","",[1]SCHEDULE!C708)</f>
        <v>43</v>
      </c>
      <c r="D708" s="1" t="str">
        <f>IF([1]SCHEDULE!D708="","",[1]SCHEDULE!D708)</f>
        <v>Partizan Mozzart Bet Belgrade</v>
      </c>
      <c r="E708" s="1" t="str">
        <f>IF([1]SCHEDULE!E708="","",[1]SCHEDULE!E708)</f>
        <v/>
      </c>
      <c r="F708" s="6" t="str">
        <f>IF([1]SCHEDULE!F708="","",[1]SCHEDULE!F708)</f>
        <v/>
      </c>
      <c r="G708" s="3" t="str">
        <f>IF([1]SCHEDULE!G708="","",[1]SCHEDULE!G708)</f>
        <v/>
      </c>
      <c r="H708" s="3" t="str">
        <f>IF([1]SCHEDULE!H708="","",[1]SCHEDULE!H708)</f>
        <v/>
      </c>
      <c r="I708" s="3" t="str">
        <f>IF([1]SCHEDULE!I708="","",[1]SCHEDULE!I708)</f>
        <v/>
      </c>
      <c r="J708" s="3" t="str">
        <f>IF([1]SCHEDULE!J708="","",[1]SCHEDULE!J708)</f>
        <v/>
      </c>
    </row>
    <row r="709" spans="2:10" x14ac:dyDescent="0.25">
      <c r="B709" s="3" t="str">
        <f>IF([1]SCHEDULE!B709="","",[1]SCHEDULE!B709)</f>
        <v>PAR</v>
      </c>
      <c r="C709" s="3">
        <f>IF([1]SCHEDULE!C709="","",[1]SCHEDULE!C709)</f>
        <v>44</v>
      </c>
      <c r="D709" s="1" t="str">
        <f>IF([1]SCHEDULE!D709="","",[1]SCHEDULE!D709)</f>
        <v>Partizan Mozzart Bet Belgrade</v>
      </c>
      <c r="E709" s="1" t="str">
        <f>IF([1]SCHEDULE!E709="","",[1]SCHEDULE!E709)</f>
        <v/>
      </c>
      <c r="F709" s="6" t="str">
        <f>IF([1]SCHEDULE!F709="","",[1]SCHEDULE!F709)</f>
        <v/>
      </c>
      <c r="G709" s="3" t="str">
        <f>IF([1]SCHEDULE!G709="","",[1]SCHEDULE!G709)</f>
        <v/>
      </c>
      <c r="H709" s="3" t="str">
        <f>IF([1]SCHEDULE!H709="","",[1]SCHEDULE!H709)</f>
        <v/>
      </c>
      <c r="I709" s="3" t="str">
        <f>IF([1]SCHEDULE!I709="","",[1]SCHEDULE!I709)</f>
        <v/>
      </c>
      <c r="J709" s="3" t="str">
        <f>IF([1]SCHEDULE!J709="","",[1]SCHEDULE!J709)</f>
        <v/>
      </c>
    </row>
    <row r="710" spans="2:10" x14ac:dyDescent="0.25">
      <c r="B710" s="3" t="str">
        <f>IF([1]SCHEDULE!B710="","",[1]SCHEDULE!B710)</f>
        <v>PAR</v>
      </c>
      <c r="C710" s="3">
        <f>IF([1]SCHEDULE!C710="","",[1]SCHEDULE!C710)</f>
        <v>45</v>
      </c>
      <c r="D710" s="1" t="str">
        <f>IF([1]SCHEDULE!D710="","",[1]SCHEDULE!D710)</f>
        <v>Partizan Mozzart Bet Belgrade</v>
      </c>
      <c r="E710" s="1" t="str">
        <f>IF([1]SCHEDULE!E710="","",[1]SCHEDULE!E710)</f>
        <v/>
      </c>
      <c r="F710" s="6" t="str">
        <f>IF([1]SCHEDULE!F710="","",[1]SCHEDULE!F710)</f>
        <v/>
      </c>
      <c r="G710" s="3" t="str">
        <f>IF([1]SCHEDULE!G710="","",[1]SCHEDULE!G710)</f>
        <v/>
      </c>
      <c r="H710" s="3" t="str">
        <f>IF([1]SCHEDULE!H710="","",[1]SCHEDULE!H710)</f>
        <v/>
      </c>
      <c r="I710" s="3" t="str">
        <f>IF([1]SCHEDULE!I710="","",[1]SCHEDULE!I710)</f>
        <v/>
      </c>
      <c r="J710" s="3" t="str">
        <f>IF([1]SCHEDULE!J710="","",[1]SCHEDULE!J710)</f>
        <v/>
      </c>
    </row>
    <row r="711" spans="2:10" x14ac:dyDescent="0.25">
      <c r="B711" s="3" t="str">
        <f>IF([1]SCHEDULE!B711="","",[1]SCHEDULE!B711)</f>
        <v>PAR</v>
      </c>
      <c r="C711" s="3">
        <f>IF([1]SCHEDULE!C711="","",[1]SCHEDULE!C711)</f>
        <v>46</v>
      </c>
      <c r="D711" s="1" t="str">
        <f>IF([1]SCHEDULE!D711="","",[1]SCHEDULE!D711)</f>
        <v>Partizan Mozzart Bet Belgrade</v>
      </c>
      <c r="E711" s="1" t="str">
        <f>IF([1]SCHEDULE!E711="","",[1]SCHEDULE!E711)</f>
        <v/>
      </c>
      <c r="F711" s="6" t="str">
        <f>IF([1]SCHEDULE!F711="","",[1]SCHEDULE!F711)</f>
        <v/>
      </c>
      <c r="G711" s="3" t="str">
        <f>IF([1]SCHEDULE!G711="","",[1]SCHEDULE!G711)</f>
        <v/>
      </c>
      <c r="H711" s="3" t="str">
        <f>IF([1]SCHEDULE!H711="","",[1]SCHEDULE!H711)</f>
        <v/>
      </c>
      <c r="I711" s="3" t="str">
        <f>IF([1]SCHEDULE!I711="","",[1]SCHEDULE!I711)</f>
        <v/>
      </c>
      <c r="J711" s="3" t="str">
        <f>IF([1]SCHEDULE!J711="","",[1]SCHEDULE!J711)</f>
        <v/>
      </c>
    </row>
    <row r="712" spans="2:10" x14ac:dyDescent="0.25">
      <c r="B712" s="3" t="str">
        <f>IF([1]SCHEDULE!B712="","",[1]SCHEDULE!B712)</f>
        <v>PAR</v>
      </c>
      <c r="C712" s="3">
        <f>IF([1]SCHEDULE!C712="","",[1]SCHEDULE!C712)</f>
        <v>47</v>
      </c>
      <c r="D712" s="1" t="str">
        <f>IF([1]SCHEDULE!D712="","",[1]SCHEDULE!D712)</f>
        <v>Partizan Mozzart Bet Belgrade</v>
      </c>
      <c r="E712" s="1" t="str">
        <f>IF([1]SCHEDULE!E712="","",[1]SCHEDULE!E712)</f>
        <v/>
      </c>
      <c r="F712" s="6" t="str">
        <f>IF([1]SCHEDULE!F712="","",[1]SCHEDULE!F712)</f>
        <v/>
      </c>
      <c r="G712" s="3" t="str">
        <f>IF([1]SCHEDULE!G712="","",[1]SCHEDULE!G712)</f>
        <v/>
      </c>
      <c r="H712" s="3" t="str">
        <f>IF([1]SCHEDULE!H712="","",[1]SCHEDULE!H712)</f>
        <v/>
      </c>
      <c r="I712" s="3" t="str">
        <f>IF([1]SCHEDULE!I712="","",[1]SCHEDULE!I712)</f>
        <v/>
      </c>
      <c r="J712" s="3" t="str">
        <f>IF([1]SCHEDULE!J712="","",[1]SCHEDULE!J712)</f>
        <v/>
      </c>
    </row>
    <row r="713" spans="2:10" x14ac:dyDescent="0.25">
      <c r="B713" s="3" t="str">
        <f>IF([1]SCHEDULE!B713="","",[1]SCHEDULE!B713)</f>
        <v>PAR</v>
      </c>
      <c r="C713" s="3">
        <f>IF([1]SCHEDULE!C713="","",[1]SCHEDULE!C713)</f>
        <v>48</v>
      </c>
      <c r="D713" s="1" t="str">
        <f>IF([1]SCHEDULE!D713="","",[1]SCHEDULE!D713)</f>
        <v>Partizan Mozzart Bet Belgrade</v>
      </c>
      <c r="E713" s="1" t="str">
        <f>IF([1]SCHEDULE!E713="","",[1]SCHEDULE!E713)</f>
        <v/>
      </c>
      <c r="F713" s="6" t="str">
        <f>IF([1]SCHEDULE!F713="","",[1]SCHEDULE!F713)</f>
        <v/>
      </c>
      <c r="G713" s="3" t="str">
        <f>IF([1]SCHEDULE!G713="","",[1]SCHEDULE!G713)</f>
        <v/>
      </c>
      <c r="H713" s="3" t="str">
        <f>IF([1]SCHEDULE!H713="","",[1]SCHEDULE!H713)</f>
        <v/>
      </c>
      <c r="I713" s="3" t="str">
        <f>IF([1]SCHEDULE!I713="","",[1]SCHEDULE!I713)</f>
        <v/>
      </c>
      <c r="J713" s="3" t="str">
        <f>IF([1]SCHEDULE!J713="","",[1]SCHEDULE!J713)</f>
        <v/>
      </c>
    </row>
    <row r="714" spans="2:10" x14ac:dyDescent="0.25">
      <c r="B714" s="3" t="str">
        <f>IF([1]SCHEDULE!B714="","",[1]SCHEDULE!B714)</f>
        <v>PAR</v>
      </c>
      <c r="C714" s="3">
        <f>IF([1]SCHEDULE!C714="","",[1]SCHEDULE!C714)</f>
        <v>49</v>
      </c>
      <c r="D714" s="1" t="str">
        <f>IF([1]SCHEDULE!D714="","",[1]SCHEDULE!D714)</f>
        <v>Partizan Mozzart Bet Belgrade</v>
      </c>
      <c r="E714" s="1" t="str">
        <f>IF([1]SCHEDULE!E714="","",[1]SCHEDULE!E714)</f>
        <v/>
      </c>
      <c r="F714" s="6" t="str">
        <f>IF([1]SCHEDULE!F714="","",[1]SCHEDULE!F714)</f>
        <v/>
      </c>
      <c r="G714" s="3" t="str">
        <f>IF([1]SCHEDULE!G714="","",[1]SCHEDULE!G714)</f>
        <v/>
      </c>
      <c r="H714" s="3" t="str">
        <f>IF([1]SCHEDULE!H714="","",[1]SCHEDULE!H714)</f>
        <v/>
      </c>
      <c r="I714" s="3" t="str">
        <f>IF([1]SCHEDULE!I714="","",[1]SCHEDULE!I714)</f>
        <v/>
      </c>
      <c r="J714" s="3" t="str">
        <f>IF([1]SCHEDULE!J714="","",[1]SCHEDULE!J714)</f>
        <v/>
      </c>
    </row>
    <row r="715" spans="2:10" x14ac:dyDescent="0.25">
      <c r="B715" s="3" t="str">
        <f>IF([1]SCHEDULE!B715="","",[1]SCHEDULE!B715)</f>
        <v>PAR</v>
      </c>
      <c r="C715" s="3">
        <f>IF([1]SCHEDULE!C715="","",[1]SCHEDULE!C715)</f>
        <v>50</v>
      </c>
      <c r="D715" s="1" t="str">
        <f>IF([1]SCHEDULE!D715="","",[1]SCHEDULE!D715)</f>
        <v>Partizan Mozzart Bet Belgrade</v>
      </c>
      <c r="E715" s="1" t="str">
        <f>IF([1]SCHEDULE!E715="","",[1]SCHEDULE!E715)</f>
        <v/>
      </c>
      <c r="F715" s="6" t="str">
        <f>IF([1]SCHEDULE!F715="","",[1]SCHEDULE!F715)</f>
        <v/>
      </c>
      <c r="G715" s="3" t="str">
        <f>IF([1]SCHEDULE!G715="","",[1]SCHEDULE!G715)</f>
        <v/>
      </c>
      <c r="H715" s="3" t="str">
        <f>IF([1]SCHEDULE!H715="","",[1]SCHEDULE!H715)</f>
        <v/>
      </c>
      <c r="I715" s="3" t="str">
        <f>IF([1]SCHEDULE!I715="","",[1]SCHEDULE!I715)</f>
        <v/>
      </c>
      <c r="J715" s="3" t="str">
        <f>IF([1]SCHEDULE!J715="","",[1]SCHEDULE!J715)</f>
        <v/>
      </c>
    </row>
    <row r="716" spans="2:10" x14ac:dyDescent="0.25">
      <c r="B716" s="3" t="str">
        <f>IF([1]SCHEDULE!B716="","",[1]SCHEDULE!B716)</f>
        <v>PAR</v>
      </c>
      <c r="C716" s="3">
        <f>IF([1]SCHEDULE!C716="","",[1]SCHEDULE!C716)</f>
        <v>51</v>
      </c>
      <c r="D716" s="1" t="str">
        <f>IF([1]SCHEDULE!D716="","",[1]SCHEDULE!D716)</f>
        <v>Partizan Mozzart Bet Belgrade</v>
      </c>
      <c r="E716" s="1" t="str">
        <f>IF([1]SCHEDULE!E716="","",[1]SCHEDULE!E716)</f>
        <v/>
      </c>
      <c r="F716" s="6" t="str">
        <f>IF([1]SCHEDULE!F716="","",[1]SCHEDULE!F716)</f>
        <v/>
      </c>
      <c r="G716" s="3" t="str">
        <f>IF([1]SCHEDULE!G716="","",[1]SCHEDULE!G716)</f>
        <v/>
      </c>
      <c r="H716" s="3" t="str">
        <f>IF([1]SCHEDULE!H716="","",[1]SCHEDULE!H716)</f>
        <v/>
      </c>
      <c r="I716" s="3" t="str">
        <f>IF([1]SCHEDULE!I716="","",[1]SCHEDULE!I716)</f>
        <v/>
      </c>
      <c r="J716" s="3" t="str">
        <f>IF([1]SCHEDULE!J716="","",[1]SCHEDULE!J716)</f>
        <v/>
      </c>
    </row>
    <row r="717" spans="2:10" x14ac:dyDescent="0.25">
      <c r="B717" s="3" t="str">
        <f>IF([1]SCHEDULE!B717="","",[1]SCHEDULE!B717)</f>
        <v>RMB</v>
      </c>
      <c r="C717" s="3">
        <f>IF([1]SCHEDULE!C717="","",[1]SCHEDULE!C717)</f>
        <v>1</v>
      </c>
      <c r="D717" s="1" t="str">
        <f>IF([1]SCHEDULE!D717="","",[1]SCHEDULE!D717)</f>
        <v>Real Madrid</v>
      </c>
      <c r="E717" s="1" t="str">
        <f>IF([1]SCHEDULE!E717="","",[1]SCHEDULE!E717)</f>
        <v>Baskonia Vitoria-Gasteiz</v>
      </c>
      <c r="F717" s="6">
        <f>IF([1]SCHEDULE!F717="","",[1]SCHEDULE!F717)</f>
        <v>45205</v>
      </c>
      <c r="G717" s="3" t="str">
        <f>IF([1]SCHEDULE!G717="","",[1]SCHEDULE!G717)</f>
        <v>A</v>
      </c>
      <c r="H717" s="3" t="str">
        <f>IF([1]SCHEDULE!H717="","",[1]SCHEDULE!H717)</f>
        <v>BAS</v>
      </c>
      <c r="I717" s="3" t="str">
        <f>IF([1]SCHEDULE!I717="","",[1]SCHEDULE!I717)</f>
        <v>1.RMB</v>
      </c>
      <c r="J717" s="3" t="str">
        <f>IF([1]SCHEDULE!J717="","",[1]SCHEDULE!J717)</f>
        <v>1.BAS</v>
      </c>
    </row>
    <row r="718" spans="2:10" x14ac:dyDescent="0.25">
      <c r="B718" s="3" t="str">
        <f>IF([1]SCHEDULE!B718="","",[1]SCHEDULE!B718)</f>
        <v>RMB</v>
      </c>
      <c r="C718" s="3">
        <f>IF([1]SCHEDULE!C718="","",[1]SCHEDULE!C718)</f>
        <v>2</v>
      </c>
      <c r="D718" s="1" t="str">
        <f>IF([1]SCHEDULE!D718="","",[1]SCHEDULE!D718)</f>
        <v>Real Madrid</v>
      </c>
      <c r="E718" s="1" t="str">
        <f>IF([1]SCHEDULE!E718="","",[1]SCHEDULE!E718)</f>
        <v>Anadolu Efes Istanbul</v>
      </c>
      <c r="F718" s="6">
        <f>IF([1]SCHEDULE!F718="","",[1]SCHEDULE!F718)</f>
        <v>45211</v>
      </c>
      <c r="G718" s="3" t="str">
        <f>IF([1]SCHEDULE!G718="","",[1]SCHEDULE!G718)</f>
        <v>A</v>
      </c>
      <c r="H718" s="3" t="str">
        <f>IF([1]SCHEDULE!H718="","",[1]SCHEDULE!H718)</f>
        <v>EFE</v>
      </c>
      <c r="I718" s="3" t="str">
        <f>IF([1]SCHEDULE!I718="","",[1]SCHEDULE!I718)</f>
        <v>2.RMB</v>
      </c>
      <c r="J718" s="3" t="str">
        <f>IF([1]SCHEDULE!J718="","",[1]SCHEDULE!J718)</f>
        <v>2.EFE</v>
      </c>
    </row>
    <row r="719" spans="2:10" x14ac:dyDescent="0.25">
      <c r="B719" s="3" t="str">
        <f>IF([1]SCHEDULE!B719="","",[1]SCHEDULE!B719)</f>
        <v>RMB</v>
      </c>
      <c r="C719" s="3">
        <f>IF([1]SCHEDULE!C719="","",[1]SCHEDULE!C719)</f>
        <v>3</v>
      </c>
      <c r="D719" s="1" t="str">
        <f>IF([1]SCHEDULE!D719="","",[1]SCHEDULE!D719)</f>
        <v>Real Madrid</v>
      </c>
      <c r="E719" s="1" t="str">
        <f>IF([1]SCHEDULE!E719="","",[1]SCHEDULE!E719)</f>
        <v>Zalgiris Kaunas</v>
      </c>
      <c r="F719" s="6">
        <f>IF([1]SCHEDULE!F719="","",[1]SCHEDULE!F719)</f>
        <v>45216</v>
      </c>
      <c r="G719" s="3" t="str">
        <f>IF([1]SCHEDULE!G719="","",[1]SCHEDULE!G719)</f>
        <v>H</v>
      </c>
      <c r="H719" s="3" t="str">
        <f>IF([1]SCHEDULE!H719="","",[1]SCHEDULE!H719)</f>
        <v>ZAL</v>
      </c>
      <c r="I719" s="3" t="str">
        <f>IF([1]SCHEDULE!I719="","",[1]SCHEDULE!I719)</f>
        <v>3.RMB</v>
      </c>
      <c r="J719" s="3" t="str">
        <f>IF([1]SCHEDULE!J719="","",[1]SCHEDULE!J719)</f>
        <v>3.ZAL</v>
      </c>
    </row>
    <row r="720" spans="2:10" x14ac:dyDescent="0.25">
      <c r="B720" s="3" t="str">
        <f>IF([1]SCHEDULE!B720="","",[1]SCHEDULE!B720)</f>
        <v>RMB</v>
      </c>
      <c r="C720" s="3">
        <f>IF([1]SCHEDULE!C720="","",[1]SCHEDULE!C720)</f>
        <v>4</v>
      </c>
      <c r="D720" s="1" t="str">
        <f>IF([1]SCHEDULE!D720="","",[1]SCHEDULE!D720)</f>
        <v>Real Madrid</v>
      </c>
      <c r="E720" s="1" t="str">
        <f>IF([1]SCHEDULE!E720="","",[1]SCHEDULE!E720)</f>
        <v>EA7 Emporio Armani Milan</v>
      </c>
      <c r="F720" s="6">
        <f>IF([1]SCHEDULE!F720="","",[1]SCHEDULE!F720)</f>
        <v>45218</v>
      </c>
      <c r="G720" s="3" t="str">
        <f>IF([1]SCHEDULE!G720="","",[1]SCHEDULE!G720)</f>
        <v>H</v>
      </c>
      <c r="H720" s="3" t="str">
        <f>IF([1]SCHEDULE!H720="","",[1]SCHEDULE!H720)</f>
        <v>MIL</v>
      </c>
      <c r="I720" s="3" t="str">
        <f>IF([1]SCHEDULE!I720="","",[1]SCHEDULE!I720)</f>
        <v>4.RMB</v>
      </c>
      <c r="J720" s="3" t="str">
        <f>IF([1]SCHEDULE!J720="","",[1]SCHEDULE!J720)</f>
        <v>4.MIL</v>
      </c>
    </row>
    <row r="721" spans="2:10" x14ac:dyDescent="0.25">
      <c r="B721" s="3" t="str">
        <f>IF([1]SCHEDULE!B721="","",[1]SCHEDULE!B721)</f>
        <v>RMB</v>
      </c>
      <c r="C721" s="3">
        <f>IF([1]SCHEDULE!C721="","",[1]SCHEDULE!C721)</f>
        <v>5</v>
      </c>
      <c r="D721" s="1" t="str">
        <f>IF([1]SCHEDULE!D721="","",[1]SCHEDULE!D721)</f>
        <v>Real Madrid</v>
      </c>
      <c r="E721" s="1" t="str">
        <f>IF([1]SCHEDULE!E721="","",[1]SCHEDULE!E721)</f>
        <v>FC Barcelona</v>
      </c>
      <c r="F721" s="6">
        <f>IF([1]SCHEDULE!F721="","",[1]SCHEDULE!F721)</f>
        <v>45225</v>
      </c>
      <c r="G721" s="3" t="str">
        <f>IF([1]SCHEDULE!G721="","",[1]SCHEDULE!G721)</f>
        <v>H</v>
      </c>
      <c r="H721" s="3" t="str">
        <f>IF([1]SCHEDULE!H721="","",[1]SCHEDULE!H721)</f>
        <v>FCB</v>
      </c>
      <c r="I721" s="3" t="str">
        <f>IF([1]SCHEDULE!I721="","",[1]SCHEDULE!I721)</f>
        <v>5.RMB</v>
      </c>
      <c r="J721" s="3" t="str">
        <f>IF([1]SCHEDULE!J721="","",[1]SCHEDULE!J721)</f>
        <v>5.FCB</v>
      </c>
    </row>
    <row r="722" spans="2:10" x14ac:dyDescent="0.25">
      <c r="B722" s="3" t="str">
        <f>IF([1]SCHEDULE!B722="","",[1]SCHEDULE!B722)</f>
        <v>RMB</v>
      </c>
      <c r="C722" s="3">
        <f>IF([1]SCHEDULE!C722="","",[1]SCHEDULE!C722)</f>
        <v>6</v>
      </c>
      <c r="D722" s="1" t="str">
        <f>IF([1]SCHEDULE!D722="","",[1]SCHEDULE!D722)</f>
        <v>Real Madrid</v>
      </c>
      <c r="E722" s="1" t="str">
        <f>IF([1]SCHEDULE!E722="","",[1]SCHEDULE!E722)</f>
        <v>Maccabi Playtika Tel Aviv</v>
      </c>
      <c r="F722" s="6">
        <f>IF([1]SCHEDULE!F722="","",[1]SCHEDULE!F722)</f>
        <v>45232</v>
      </c>
      <c r="G722" s="3" t="str">
        <f>IF([1]SCHEDULE!G722="","",[1]SCHEDULE!G722)</f>
        <v>A</v>
      </c>
      <c r="H722" s="3" t="str">
        <f>IF([1]SCHEDULE!H722="","",[1]SCHEDULE!H722)</f>
        <v>MTA</v>
      </c>
      <c r="I722" s="3" t="str">
        <f>IF([1]SCHEDULE!I722="","",[1]SCHEDULE!I722)</f>
        <v>6.RMB</v>
      </c>
      <c r="J722" s="3" t="str">
        <f>IF([1]SCHEDULE!J722="","",[1]SCHEDULE!J722)</f>
        <v>6.MTA</v>
      </c>
    </row>
    <row r="723" spans="2:10" x14ac:dyDescent="0.25">
      <c r="B723" s="3" t="str">
        <f>IF([1]SCHEDULE!B723="","",[1]SCHEDULE!B723)</f>
        <v>RMB</v>
      </c>
      <c r="C723" s="3">
        <f>IF([1]SCHEDULE!C723="","",[1]SCHEDULE!C723)</f>
        <v>7</v>
      </c>
      <c r="D723" s="1" t="str">
        <f>IF([1]SCHEDULE!D723="","",[1]SCHEDULE!D723)</f>
        <v>Real Madrid</v>
      </c>
      <c r="E723" s="1" t="str">
        <f>IF([1]SCHEDULE!E723="","",[1]SCHEDULE!E723)</f>
        <v>Virtus Segafredo Bologna</v>
      </c>
      <c r="F723" s="6">
        <f>IF([1]SCHEDULE!F723="","",[1]SCHEDULE!F723)</f>
        <v>45239</v>
      </c>
      <c r="G723" s="3" t="str">
        <f>IF([1]SCHEDULE!G723="","",[1]SCHEDULE!G723)</f>
        <v>H</v>
      </c>
      <c r="H723" s="3" t="str">
        <f>IF([1]SCHEDULE!H723="","",[1]SCHEDULE!H723)</f>
        <v>VIR</v>
      </c>
      <c r="I723" s="3" t="str">
        <f>IF([1]SCHEDULE!I723="","",[1]SCHEDULE!I723)</f>
        <v>7.RMB</v>
      </c>
      <c r="J723" s="3" t="str">
        <f>IF([1]SCHEDULE!J723="","",[1]SCHEDULE!J723)</f>
        <v>7.VIR</v>
      </c>
    </row>
    <row r="724" spans="2:10" x14ac:dyDescent="0.25">
      <c r="B724" s="3" t="str">
        <f>IF([1]SCHEDULE!B724="","",[1]SCHEDULE!B724)</f>
        <v>RMB</v>
      </c>
      <c r="C724" s="3">
        <f>IF([1]SCHEDULE!C724="","",[1]SCHEDULE!C724)</f>
        <v>8</v>
      </c>
      <c r="D724" s="1" t="str">
        <f>IF([1]SCHEDULE!D724="","",[1]SCHEDULE!D724)</f>
        <v>Real Madrid</v>
      </c>
      <c r="E724" s="1" t="str">
        <f>IF([1]SCHEDULE!E724="","",[1]SCHEDULE!E724)</f>
        <v>Valencia Basket</v>
      </c>
      <c r="F724" s="6">
        <f>IF([1]SCHEDULE!F724="","",[1]SCHEDULE!F724)</f>
        <v>45244</v>
      </c>
      <c r="G724" s="3" t="str">
        <f>IF([1]SCHEDULE!G724="","",[1]SCHEDULE!G724)</f>
        <v>A</v>
      </c>
      <c r="H724" s="3" t="str">
        <f>IF([1]SCHEDULE!H724="","",[1]SCHEDULE!H724)</f>
        <v>VAL</v>
      </c>
      <c r="I724" s="3" t="str">
        <f>IF([1]SCHEDULE!I724="","",[1]SCHEDULE!I724)</f>
        <v>8.RMB</v>
      </c>
      <c r="J724" s="3" t="str">
        <f>IF([1]SCHEDULE!J724="","",[1]SCHEDULE!J724)</f>
        <v>8.VAL</v>
      </c>
    </row>
    <row r="725" spans="2:10" x14ac:dyDescent="0.25">
      <c r="B725" s="3" t="str">
        <f>IF([1]SCHEDULE!B725="","",[1]SCHEDULE!B725)</f>
        <v>RMB</v>
      </c>
      <c r="C725" s="3">
        <f>IF([1]SCHEDULE!C725="","",[1]SCHEDULE!C725)</f>
        <v>9</v>
      </c>
      <c r="D725" s="1" t="str">
        <f>IF([1]SCHEDULE!D725="","",[1]SCHEDULE!D725)</f>
        <v>Real Madrid</v>
      </c>
      <c r="E725" s="1" t="str">
        <f>IF([1]SCHEDULE!E725="","",[1]SCHEDULE!E725)</f>
        <v>AS Monaco</v>
      </c>
      <c r="F725" s="6">
        <f>IF([1]SCHEDULE!F725="","",[1]SCHEDULE!F725)</f>
        <v>45246</v>
      </c>
      <c r="G725" s="3" t="str">
        <f>IF([1]SCHEDULE!G725="","",[1]SCHEDULE!G725)</f>
        <v>H</v>
      </c>
      <c r="H725" s="3" t="str">
        <f>IF([1]SCHEDULE!H725="","",[1]SCHEDULE!H725)</f>
        <v>ASM</v>
      </c>
      <c r="I725" s="3" t="str">
        <f>IF([1]SCHEDULE!I725="","",[1]SCHEDULE!I725)</f>
        <v>9.RMB</v>
      </c>
      <c r="J725" s="3" t="str">
        <f>IF([1]SCHEDULE!J725="","",[1]SCHEDULE!J725)</f>
        <v>9.ASM</v>
      </c>
    </row>
    <row r="726" spans="2:10" x14ac:dyDescent="0.25">
      <c r="B726" s="3" t="str">
        <f>IF([1]SCHEDULE!B726="","",[1]SCHEDULE!B726)</f>
        <v>RMB</v>
      </c>
      <c r="C726" s="3">
        <f>IF([1]SCHEDULE!C726="","",[1]SCHEDULE!C726)</f>
        <v>10</v>
      </c>
      <c r="D726" s="1" t="str">
        <f>IF([1]SCHEDULE!D726="","",[1]SCHEDULE!D726)</f>
        <v>Real Madrid</v>
      </c>
      <c r="E726" s="1" t="str">
        <f>IF([1]SCHEDULE!E726="","",[1]SCHEDULE!E726)</f>
        <v>ALBA Berlin</v>
      </c>
      <c r="F726" s="6">
        <f>IF([1]SCHEDULE!F726="","",[1]SCHEDULE!F726)</f>
        <v>45253</v>
      </c>
      <c r="G726" s="3" t="str">
        <f>IF([1]SCHEDULE!G726="","",[1]SCHEDULE!G726)</f>
        <v>H</v>
      </c>
      <c r="H726" s="3" t="str">
        <f>IF([1]SCHEDULE!H726="","",[1]SCHEDULE!H726)</f>
        <v>BER</v>
      </c>
      <c r="I726" s="3" t="str">
        <f>IF([1]SCHEDULE!I726="","",[1]SCHEDULE!I726)</f>
        <v>10.RMB</v>
      </c>
      <c r="J726" s="3" t="str">
        <f>IF([1]SCHEDULE!J726="","",[1]SCHEDULE!J726)</f>
        <v>10.BER</v>
      </c>
    </row>
    <row r="727" spans="2:10" x14ac:dyDescent="0.25">
      <c r="B727" s="3" t="str">
        <f>IF([1]SCHEDULE!B727="","",[1]SCHEDULE!B727)</f>
        <v>RMB</v>
      </c>
      <c r="C727" s="3">
        <f>IF([1]SCHEDULE!C727="","",[1]SCHEDULE!C727)</f>
        <v>11</v>
      </c>
      <c r="D727" s="1" t="str">
        <f>IF([1]SCHEDULE!D727="","",[1]SCHEDULE!D727)</f>
        <v>Real Madrid</v>
      </c>
      <c r="E727" s="1" t="str">
        <f>IF([1]SCHEDULE!E727="","",[1]SCHEDULE!E727)</f>
        <v>Fenerbahce Beko Istanbul</v>
      </c>
      <c r="F727" s="6">
        <f>IF([1]SCHEDULE!F727="","",[1]SCHEDULE!F727)</f>
        <v>45260</v>
      </c>
      <c r="G727" s="3" t="str">
        <f>IF([1]SCHEDULE!G727="","",[1]SCHEDULE!G727)</f>
        <v>A</v>
      </c>
      <c r="H727" s="3" t="str">
        <f>IF([1]SCHEDULE!H727="","",[1]SCHEDULE!H727)</f>
        <v>FEN</v>
      </c>
      <c r="I727" s="3" t="str">
        <f>IF([1]SCHEDULE!I727="","",[1]SCHEDULE!I727)</f>
        <v>11.RMB</v>
      </c>
      <c r="J727" s="3" t="str">
        <f>IF([1]SCHEDULE!J727="","",[1]SCHEDULE!J727)</f>
        <v>11.FEN</v>
      </c>
    </row>
    <row r="728" spans="2:10" x14ac:dyDescent="0.25">
      <c r="B728" s="3" t="str">
        <f>IF([1]SCHEDULE!B728="","",[1]SCHEDULE!B728)</f>
        <v>RMB</v>
      </c>
      <c r="C728" s="3">
        <f>IF([1]SCHEDULE!C728="","",[1]SCHEDULE!C728)</f>
        <v>12</v>
      </c>
      <c r="D728" s="1" t="str">
        <f>IF([1]SCHEDULE!D728="","",[1]SCHEDULE!D728)</f>
        <v>Real Madrid</v>
      </c>
      <c r="E728" s="1" t="str">
        <f>IF([1]SCHEDULE!E728="","",[1]SCHEDULE!E728)</f>
        <v>Olympiacos Piraeus</v>
      </c>
      <c r="F728" s="6">
        <f>IF([1]SCHEDULE!F728="","",[1]SCHEDULE!F728)</f>
        <v>45265</v>
      </c>
      <c r="G728" s="3" t="str">
        <f>IF([1]SCHEDULE!G728="","",[1]SCHEDULE!G728)</f>
        <v>A</v>
      </c>
      <c r="H728" s="3" t="str">
        <f>IF([1]SCHEDULE!H728="","",[1]SCHEDULE!H728)</f>
        <v>OLY</v>
      </c>
      <c r="I728" s="3" t="str">
        <f>IF([1]SCHEDULE!I728="","",[1]SCHEDULE!I728)</f>
        <v>12.RMB</v>
      </c>
      <c r="J728" s="3" t="str">
        <f>IF([1]SCHEDULE!J728="","",[1]SCHEDULE!J728)</f>
        <v>12.OLY</v>
      </c>
    </row>
    <row r="729" spans="2:10" x14ac:dyDescent="0.25">
      <c r="B729" s="3" t="str">
        <f>IF([1]SCHEDULE!B729="","",[1]SCHEDULE!B729)</f>
        <v>RMB</v>
      </c>
      <c r="C729" s="3">
        <f>IF([1]SCHEDULE!C729="","",[1]SCHEDULE!C729)</f>
        <v>13</v>
      </c>
      <c r="D729" s="1" t="str">
        <f>IF([1]SCHEDULE!D729="","",[1]SCHEDULE!D729)</f>
        <v>Real Madrid</v>
      </c>
      <c r="E729" s="1" t="str">
        <f>IF([1]SCHEDULE!E729="","",[1]SCHEDULE!E729)</f>
        <v>Panathinaikos Athens</v>
      </c>
      <c r="F729" s="6">
        <f>IF([1]SCHEDULE!F729="","",[1]SCHEDULE!F729)</f>
        <v>45267</v>
      </c>
      <c r="G729" s="3" t="str">
        <f>IF([1]SCHEDULE!G729="","",[1]SCHEDULE!G729)</f>
        <v>A</v>
      </c>
      <c r="H729" s="3" t="str">
        <f>IF([1]SCHEDULE!H729="","",[1]SCHEDULE!H729)</f>
        <v>PAN</v>
      </c>
      <c r="I729" s="3" t="str">
        <f>IF([1]SCHEDULE!I729="","",[1]SCHEDULE!I729)</f>
        <v>13.RMB</v>
      </c>
      <c r="J729" s="3" t="str">
        <f>IF([1]SCHEDULE!J729="","",[1]SCHEDULE!J729)</f>
        <v>13.PAN</v>
      </c>
    </row>
    <row r="730" spans="2:10" x14ac:dyDescent="0.25">
      <c r="B730" s="3" t="str">
        <f>IF([1]SCHEDULE!B730="","",[1]SCHEDULE!B730)</f>
        <v>RMB</v>
      </c>
      <c r="C730" s="3">
        <f>IF([1]SCHEDULE!C730="","",[1]SCHEDULE!C730)</f>
        <v>14</v>
      </c>
      <c r="D730" s="1" t="str">
        <f>IF([1]SCHEDULE!D730="","",[1]SCHEDULE!D730)</f>
        <v>Real Madrid</v>
      </c>
      <c r="E730" s="1" t="str">
        <f>IF([1]SCHEDULE!E730="","",[1]SCHEDULE!E730)</f>
        <v>FC Bayern Munich</v>
      </c>
      <c r="F730" s="6">
        <f>IF([1]SCHEDULE!F730="","",[1]SCHEDULE!F730)</f>
        <v>45274</v>
      </c>
      <c r="G730" s="3" t="str">
        <f>IF([1]SCHEDULE!G730="","",[1]SCHEDULE!G730)</f>
        <v>H</v>
      </c>
      <c r="H730" s="3" t="str">
        <f>IF([1]SCHEDULE!H730="","",[1]SCHEDULE!H730)</f>
        <v>BAY</v>
      </c>
      <c r="I730" s="3" t="str">
        <f>IF([1]SCHEDULE!I730="","",[1]SCHEDULE!I730)</f>
        <v>14.RMB</v>
      </c>
      <c r="J730" s="3" t="str">
        <f>IF([1]SCHEDULE!J730="","",[1]SCHEDULE!J730)</f>
        <v>14.BAY</v>
      </c>
    </row>
    <row r="731" spans="2:10" x14ac:dyDescent="0.25">
      <c r="B731" s="3" t="str">
        <f>IF([1]SCHEDULE!B731="","",[1]SCHEDULE!B731)</f>
        <v>RMB</v>
      </c>
      <c r="C731" s="3">
        <f>IF([1]SCHEDULE!C731="","",[1]SCHEDULE!C731)</f>
        <v>15</v>
      </c>
      <c r="D731" s="1" t="str">
        <f>IF([1]SCHEDULE!D731="","",[1]SCHEDULE!D731)</f>
        <v>Real Madrid</v>
      </c>
      <c r="E731" s="1" t="str">
        <f>IF([1]SCHEDULE!E731="","",[1]SCHEDULE!E731)</f>
        <v>Crvena Zvezda Meridianbet Belgrade</v>
      </c>
      <c r="F731" s="6">
        <f>IF([1]SCHEDULE!F731="","",[1]SCHEDULE!F731)</f>
        <v>45279</v>
      </c>
      <c r="G731" s="3" t="str">
        <f>IF([1]SCHEDULE!G731="","",[1]SCHEDULE!G731)</f>
        <v>A</v>
      </c>
      <c r="H731" s="3" t="str">
        <f>IF([1]SCHEDULE!H731="","",[1]SCHEDULE!H731)</f>
        <v>CZB</v>
      </c>
      <c r="I731" s="3" t="str">
        <f>IF([1]SCHEDULE!I731="","",[1]SCHEDULE!I731)</f>
        <v>15.RMB</v>
      </c>
      <c r="J731" s="3" t="str">
        <f>IF([1]SCHEDULE!J731="","",[1]SCHEDULE!J731)</f>
        <v>15.CZB</v>
      </c>
    </row>
    <row r="732" spans="2:10" x14ac:dyDescent="0.25">
      <c r="B732" s="3" t="str">
        <f>IF([1]SCHEDULE!B732="","",[1]SCHEDULE!B732)</f>
        <v>RMB</v>
      </c>
      <c r="C732" s="3">
        <f>IF([1]SCHEDULE!C732="","",[1]SCHEDULE!C732)</f>
        <v>16</v>
      </c>
      <c r="D732" s="1" t="str">
        <f>IF([1]SCHEDULE!D732="","",[1]SCHEDULE!D732)</f>
        <v>Real Madrid</v>
      </c>
      <c r="E732" s="1" t="str">
        <f>IF([1]SCHEDULE!E732="","",[1]SCHEDULE!E732)</f>
        <v>Partizan Mozzart Bet Belgrade</v>
      </c>
      <c r="F732" s="6">
        <f>IF([1]SCHEDULE!F732="","",[1]SCHEDULE!F732)</f>
        <v>45281</v>
      </c>
      <c r="G732" s="3" t="str">
        <f>IF([1]SCHEDULE!G732="","",[1]SCHEDULE!G732)</f>
        <v>H</v>
      </c>
      <c r="H732" s="3" t="str">
        <f>IF([1]SCHEDULE!H732="","",[1]SCHEDULE!H732)</f>
        <v>PAR</v>
      </c>
      <c r="I732" s="3" t="str">
        <f>IF([1]SCHEDULE!I732="","",[1]SCHEDULE!I732)</f>
        <v>16.RMB</v>
      </c>
      <c r="J732" s="3" t="str">
        <f>IF([1]SCHEDULE!J732="","",[1]SCHEDULE!J732)</f>
        <v>16.PAR</v>
      </c>
    </row>
    <row r="733" spans="2:10" x14ac:dyDescent="0.25">
      <c r="B733" s="3" t="str">
        <f>IF([1]SCHEDULE!B733="","",[1]SCHEDULE!B733)</f>
        <v>RMB</v>
      </c>
      <c r="C733" s="3">
        <f>IF([1]SCHEDULE!C733="","",[1]SCHEDULE!C733)</f>
        <v>17</v>
      </c>
      <c r="D733" s="1" t="str">
        <f>IF([1]SCHEDULE!D733="","",[1]SCHEDULE!D733)</f>
        <v>Real Madrid</v>
      </c>
      <c r="E733" s="1" t="str">
        <f>IF([1]SCHEDULE!E733="","",[1]SCHEDULE!E733)</f>
        <v>LDLC ASVEL Villeurbanne</v>
      </c>
      <c r="F733" s="6">
        <f>IF([1]SCHEDULE!F733="","",[1]SCHEDULE!F733)</f>
        <v>45288</v>
      </c>
      <c r="G733" s="3" t="str">
        <f>IF([1]SCHEDULE!G733="","",[1]SCHEDULE!G733)</f>
        <v>A</v>
      </c>
      <c r="H733" s="3" t="str">
        <f>IF([1]SCHEDULE!H733="","",[1]SCHEDULE!H733)</f>
        <v>ASV</v>
      </c>
      <c r="I733" s="3" t="str">
        <f>IF([1]SCHEDULE!I733="","",[1]SCHEDULE!I733)</f>
        <v>17.RMB</v>
      </c>
      <c r="J733" s="3" t="str">
        <f>IF([1]SCHEDULE!J733="","",[1]SCHEDULE!J733)</f>
        <v>17.ASV</v>
      </c>
    </row>
    <row r="734" spans="2:10" x14ac:dyDescent="0.25">
      <c r="B734" s="3" t="str">
        <f>IF([1]SCHEDULE!B734="","",[1]SCHEDULE!B734)</f>
        <v>RMB</v>
      </c>
      <c r="C734" s="3">
        <f>IF([1]SCHEDULE!C734="","",[1]SCHEDULE!C734)</f>
        <v>18</v>
      </c>
      <c r="D734" s="1" t="str">
        <f>IF([1]SCHEDULE!D734="","",[1]SCHEDULE!D734)</f>
        <v>Real Madrid</v>
      </c>
      <c r="E734" s="1" t="str">
        <f>IF([1]SCHEDULE!E734="","",[1]SCHEDULE!E734)</f>
        <v>FC Barcelona</v>
      </c>
      <c r="F734" s="6">
        <f>IF([1]SCHEDULE!F734="","",[1]SCHEDULE!F734)</f>
        <v>45294</v>
      </c>
      <c r="G734" s="3" t="str">
        <f>IF([1]SCHEDULE!G734="","",[1]SCHEDULE!G734)</f>
        <v>A</v>
      </c>
      <c r="H734" s="3" t="str">
        <f>IF([1]SCHEDULE!H734="","",[1]SCHEDULE!H734)</f>
        <v>FCB</v>
      </c>
      <c r="I734" s="3" t="str">
        <f>IF([1]SCHEDULE!I734="","",[1]SCHEDULE!I734)</f>
        <v>18.RMB</v>
      </c>
      <c r="J734" s="3" t="str">
        <f>IF([1]SCHEDULE!J734="","",[1]SCHEDULE!J734)</f>
        <v>18.FCB</v>
      </c>
    </row>
    <row r="735" spans="2:10" x14ac:dyDescent="0.25">
      <c r="B735" s="3" t="str">
        <f>IF([1]SCHEDULE!B735="","",[1]SCHEDULE!B735)</f>
        <v>RMB</v>
      </c>
      <c r="C735" s="3">
        <f>IF([1]SCHEDULE!C735="","",[1]SCHEDULE!C735)</f>
        <v>19</v>
      </c>
      <c r="D735" s="1" t="str">
        <f>IF([1]SCHEDULE!D735="","",[1]SCHEDULE!D735)</f>
        <v>Real Madrid</v>
      </c>
      <c r="E735" s="1" t="str">
        <f>IF([1]SCHEDULE!E735="","",[1]SCHEDULE!E735)</f>
        <v>Anadolu Efes Istanbul</v>
      </c>
      <c r="F735" s="6">
        <f>IF([1]SCHEDULE!F735="","",[1]SCHEDULE!F735)</f>
        <v>45296</v>
      </c>
      <c r="G735" s="3" t="str">
        <f>IF([1]SCHEDULE!G735="","",[1]SCHEDULE!G735)</f>
        <v>H</v>
      </c>
      <c r="H735" s="3" t="str">
        <f>IF([1]SCHEDULE!H735="","",[1]SCHEDULE!H735)</f>
        <v>EFE</v>
      </c>
      <c r="I735" s="3" t="str">
        <f>IF([1]SCHEDULE!I735="","",[1]SCHEDULE!I735)</f>
        <v>19.RMB</v>
      </c>
      <c r="J735" s="3" t="str">
        <f>IF([1]SCHEDULE!J735="","",[1]SCHEDULE!J735)</f>
        <v>19.EFE</v>
      </c>
    </row>
    <row r="736" spans="2:10" x14ac:dyDescent="0.25">
      <c r="B736" s="3" t="str">
        <f>IF([1]SCHEDULE!B736="","",[1]SCHEDULE!B736)</f>
        <v>RMB</v>
      </c>
      <c r="C736" s="3">
        <f>IF([1]SCHEDULE!C736="","",[1]SCHEDULE!C736)</f>
        <v>20</v>
      </c>
      <c r="D736" s="1" t="str">
        <f>IF([1]SCHEDULE!D736="","",[1]SCHEDULE!D736)</f>
        <v>Real Madrid</v>
      </c>
      <c r="E736" s="1" t="str">
        <f>IF([1]SCHEDULE!E736="","",[1]SCHEDULE!E736)</f>
        <v>FC Bayern Munich</v>
      </c>
      <c r="F736" s="6">
        <f>IF([1]SCHEDULE!F736="","",[1]SCHEDULE!F736)</f>
        <v>45300</v>
      </c>
      <c r="G736" s="3" t="str">
        <f>IF([1]SCHEDULE!G736="","",[1]SCHEDULE!G736)</f>
        <v>A</v>
      </c>
      <c r="H736" s="3" t="str">
        <f>IF([1]SCHEDULE!H736="","",[1]SCHEDULE!H736)</f>
        <v>BAY</v>
      </c>
      <c r="I736" s="3" t="str">
        <f>IF([1]SCHEDULE!I736="","",[1]SCHEDULE!I736)</f>
        <v>20.RMB</v>
      </c>
      <c r="J736" s="3" t="str">
        <f>IF([1]SCHEDULE!J736="","",[1]SCHEDULE!J736)</f>
        <v>20.BAY</v>
      </c>
    </row>
    <row r="737" spans="2:10" x14ac:dyDescent="0.25">
      <c r="B737" s="3" t="str">
        <f>IF([1]SCHEDULE!B737="","",[1]SCHEDULE!B737)</f>
        <v>RMB</v>
      </c>
      <c r="C737" s="3">
        <f>IF([1]SCHEDULE!C737="","",[1]SCHEDULE!C737)</f>
        <v>21</v>
      </c>
      <c r="D737" s="1" t="str">
        <f>IF([1]SCHEDULE!D737="","",[1]SCHEDULE!D737)</f>
        <v>Real Madrid</v>
      </c>
      <c r="E737" s="1" t="str">
        <f>IF([1]SCHEDULE!E737="","",[1]SCHEDULE!E737)</f>
        <v>Valencia Basket</v>
      </c>
      <c r="F737" s="6">
        <f>IF([1]SCHEDULE!F737="","",[1]SCHEDULE!F737)</f>
        <v>45302</v>
      </c>
      <c r="G737" s="3" t="str">
        <f>IF([1]SCHEDULE!G737="","",[1]SCHEDULE!G737)</f>
        <v>H</v>
      </c>
      <c r="H737" s="3" t="str">
        <f>IF([1]SCHEDULE!H737="","",[1]SCHEDULE!H737)</f>
        <v>VAL</v>
      </c>
      <c r="I737" s="3" t="str">
        <f>IF([1]SCHEDULE!I737="","",[1]SCHEDULE!I737)</f>
        <v>21.RMB</v>
      </c>
      <c r="J737" s="3" t="str">
        <f>IF([1]SCHEDULE!J737="","",[1]SCHEDULE!J737)</f>
        <v>21.VAL</v>
      </c>
    </row>
    <row r="738" spans="2:10" x14ac:dyDescent="0.25">
      <c r="B738" s="3" t="str">
        <f>IF([1]SCHEDULE!B738="","",[1]SCHEDULE!B738)</f>
        <v>RMB</v>
      </c>
      <c r="C738" s="3">
        <f>IF([1]SCHEDULE!C738="","",[1]SCHEDULE!C738)</f>
        <v>22</v>
      </c>
      <c r="D738" s="1" t="str">
        <f>IF([1]SCHEDULE!D738="","",[1]SCHEDULE!D738)</f>
        <v>Real Madrid</v>
      </c>
      <c r="E738" s="1" t="str">
        <f>IF([1]SCHEDULE!E738="","",[1]SCHEDULE!E738)</f>
        <v>AS Monaco</v>
      </c>
      <c r="F738" s="6">
        <f>IF([1]SCHEDULE!F738="","",[1]SCHEDULE!F738)</f>
        <v>45310</v>
      </c>
      <c r="G738" s="3" t="str">
        <f>IF([1]SCHEDULE!G738="","",[1]SCHEDULE!G738)</f>
        <v>A</v>
      </c>
      <c r="H738" s="3" t="str">
        <f>IF([1]SCHEDULE!H738="","",[1]SCHEDULE!H738)</f>
        <v>ASM</v>
      </c>
      <c r="I738" s="3" t="str">
        <f>IF([1]SCHEDULE!I738="","",[1]SCHEDULE!I738)</f>
        <v>22.RMB</v>
      </c>
      <c r="J738" s="3" t="str">
        <f>IF([1]SCHEDULE!J738="","",[1]SCHEDULE!J738)</f>
        <v>22.ASM</v>
      </c>
    </row>
    <row r="739" spans="2:10" x14ac:dyDescent="0.25">
      <c r="B739" s="3" t="str">
        <f>IF([1]SCHEDULE!B739="","",[1]SCHEDULE!B739)</f>
        <v>RMB</v>
      </c>
      <c r="C739" s="3">
        <f>IF([1]SCHEDULE!C739="","",[1]SCHEDULE!C739)</f>
        <v>23</v>
      </c>
      <c r="D739" s="1" t="str">
        <f>IF([1]SCHEDULE!D739="","",[1]SCHEDULE!D739)</f>
        <v>Real Madrid</v>
      </c>
      <c r="E739" s="1" t="str">
        <f>IF([1]SCHEDULE!E739="","",[1]SCHEDULE!E739)</f>
        <v>Olympiacos Piraeus</v>
      </c>
      <c r="F739" s="6">
        <f>IF([1]SCHEDULE!F739="","",[1]SCHEDULE!F739)</f>
        <v>45316</v>
      </c>
      <c r="G739" s="3" t="str">
        <f>IF([1]SCHEDULE!G739="","",[1]SCHEDULE!G739)</f>
        <v>H</v>
      </c>
      <c r="H739" s="3" t="str">
        <f>IF([1]SCHEDULE!H739="","",[1]SCHEDULE!H739)</f>
        <v>OLY</v>
      </c>
      <c r="I739" s="3" t="str">
        <f>IF([1]SCHEDULE!I739="","",[1]SCHEDULE!I739)</f>
        <v>23.RMB</v>
      </c>
      <c r="J739" s="3" t="str">
        <f>IF([1]SCHEDULE!J739="","",[1]SCHEDULE!J739)</f>
        <v>23.OLY</v>
      </c>
    </row>
    <row r="740" spans="2:10" x14ac:dyDescent="0.25">
      <c r="B740" s="3" t="str">
        <f>IF([1]SCHEDULE!B740="","",[1]SCHEDULE!B740)</f>
        <v>RMB</v>
      </c>
      <c r="C740" s="3">
        <f>IF([1]SCHEDULE!C740="","",[1]SCHEDULE!C740)</f>
        <v>24</v>
      </c>
      <c r="D740" s="1" t="str">
        <f>IF([1]SCHEDULE!D740="","",[1]SCHEDULE!D740)</f>
        <v>Real Madrid</v>
      </c>
      <c r="E740" s="1" t="str">
        <f>IF([1]SCHEDULE!E740="","",[1]SCHEDULE!E740)</f>
        <v>Maccabi Playtika Tel Aviv</v>
      </c>
      <c r="F740" s="6">
        <f>IF([1]SCHEDULE!F740="","",[1]SCHEDULE!F740)</f>
        <v>45321</v>
      </c>
      <c r="G740" s="3" t="str">
        <f>IF([1]SCHEDULE!G740="","",[1]SCHEDULE!G740)</f>
        <v>H</v>
      </c>
      <c r="H740" s="3" t="str">
        <f>IF([1]SCHEDULE!H740="","",[1]SCHEDULE!H740)</f>
        <v>MTA</v>
      </c>
      <c r="I740" s="3" t="str">
        <f>IF([1]SCHEDULE!I740="","",[1]SCHEDULE!I740)</f>
        <v>24.RMB</v>
      </c>
      <c r="J740" s="3" t="str">
        <f>IF([1]SCHEDULE!J740="","",[1]SCHEDULE!J740)</f>
        <v>24.MTA</v>
      </c>
    </row>
    <row r="741" spans="2:10" x14ac:dyDescent="0.25">
      <c r="B741" s="3" t="str">
        <f>IF([1]SCHEDULE!B741="","",[1]SCHEDULE!B741)</f>
        <v>RMB</v>
      </c>
      <c r="C741" s="3">
        <f>IF([1]SCHEDULE!C741="","",[1]SCHEDULE!C741)</f>
        <v>25</v>
      </c>
      <c r="D741" s="1" t="str">
        <f>IF([1]SCHEDULE!D741="","",[1]SCHEDULE!D741)</f>
        <v>Real Madrid</v>
      </c>
      <c r="E741" s="1" t="str">
        <f>IF([1]SCHEDULE!E741="","",[1]SCHEDULE!E741)</f>
        <v>LDLC ASVEL Villeurbanne</v>
      </c>
      <c r="F741" s="6">
        <f>IF([1]SCHEDULE!F741="","",[1]SCHEDULE!F741)</f>
        <v>45323</v>
      </c>
      <c r="G741" s="3" t="str">
        <f>IF([1]SCHEDULE!G741="","",[1]SCHEDULE!G741)</f>
        <v>H</v>
      </c>
      <c r="H741" s="3" t="str">
        <f>IF([1]SCHEDULE!H741="","",[1]SCHEDULE!H741)</f>
        <v>ASV</v>
      </c>
      <c r="I741" s="3" t="str">
        <f>IF([1]SCHEDULE!I741="","",[1]SCHEDULE!I741)</f>
        <v>25.RMB</v>
      </c>
      <c r="J741" s="3" t="str">
        <f>IF([1]SCHEDULE!J741="","",[1]SCHEDULE!J741)</f>
        <v>25.ASV</v>
      </c>
    </row>
    <row r="742" spans="2:10" x14ac:dyDescent="0.25">
      <c r="B742" s="3" t="str">
        <f>IF([1]SCHEDULE!B742="","",[1]SCHEDULE!B742)</f>
        <v>RMB</v>
      </c>
      <c r="C742" s="3">
        <f>IF([1]SCHEDULE!C742="","",[1]SCHEDULE!C742)</f>
        <v>26</v>
      </c>
      <c r="D742" s="1" t="str">
        <f>IF([1]SCHEDULE!D742="","",[1]SCHEDULE!D742)</f>
        <v>Real Madrid</v>
      </c>
      <c r="E742" s="1" t="str">
        <f>IF([1]SCHEDULE!E742="","",[1]SCHEDULE!E742)</f>
        <v>EA7 Emporio Armani Milan</v>
      </c>
      <c r="F742" s="6">
        <f>IF([1]SCHEDULE!F742="","",[1]SCHEDULE!F742)</f>
        <v>45330</v>
      </c>
      <c r="G742" s="3" t="str">
        <f>IF([1]SCHEDULE!G742="","",[1]SCHEDULE!G742)</f>
        <v>A</v>
      </c>
      <c r="H742" s="3" t="str">
        <f>IF([1]SCHEDULE!H742="","",[1]SCHEDULE!H742)</f>
        <v>MIL</v>
      </c>
      <c r="I742" s="3" t="str">
        <f>IF([1]SCHEDULE!I742="","",[1]SCHEDULE!I742)</f>
        <v>26.RMB</v>
      </c>
      <c r="J742" s="3" t="str">
        <f>IF([1]SCHEDULE!J742="","",[1]SCHEDULE!J742)</f>
        <v>26.MIL</v>
      </c>
    </row>
    <row r="743" spans="2:10" x14ac:dyDescent="0.25">
      <c r="B743" s="3" t="str">
        <f>IF([1]SCHEDULE!B743="","",[1]SCHEDULE!B743)</f>
        <v>RMB</v>
      </c>
      <c r="C743" s="3">
        <f>IF([1]SCHEDULE!C743="","",[1]SCHEDULE!C743)</f>
        <v>27</v>
      </c>
      <c r="D743" s="1" t="str">
        <f>IF([1]SCHEDULE!D743="","",[1]SCHEDULE!D743)</f>
        <v>Real Madrid</v>
      </c>
      <c r="E743" s="1" t="str">
        <f>IF([1]SCHEDULE!E743="","",[1]SCHEDULE!E743)</f>
        <v>Panathinaikos Athens</v>
      </c>
      <c r="F743" s="6">
        <f>IF([1]SCHEDULE!F743="","",[1]SCHEDULE!F743)</f>
        <v>45351</v>
      </c>
      <c r="G743" s="3" t="str">
        <f>IF([1]SCHEDULE!G743="","",[1]SCHEDULE!G743)</f>
        <v>H</v>
      </c>
      <c r="H743" s="3" t="str">
        <f>IF([1]SCHEDULE!H743="","",[1]SCHEDULE!H743)</f>
        <v>PAN</v>
      </c>
      <c r="I743" s="3" t="str">
        <f>IF([1]SCHEDULE!I743="","",[1]SCHEDULE!I743)</f>
        <v>27.RMB</v>
      </c>
      <c r="J743" s="3" t="str">
        <f>IF([1]SCHEDULE!J743="","",[1]SCHEDULE!J743)</f>
        <v>27.PAN</v>
      </c>
    </row>
    <row r="744" spans="2:10" x14ac:dyDescent="0.25">
      <c r="B744" s="3" t="str">
        <f>IF([1]SCHEDULE!B744="","",[1]SCHEDULE!B744)</f>
        <v>RMB</v>
      </c>
      <c r="C744" s="3">
        <f>IF([1]SCHEDULE!C744="","",[1]SCHEDULE!C744)</f>
        <v>28</v>
      </c>
      <c r="D744" s="1" t="str">
        <f>IF([1]SCHEDULE!D744="","",[1]SCHEDULE!D744)</f>
        <v>Real Madrid</v>
      </c>
      <c r="E744" s="1" t="str">
        <f>IF([1]SCHEDULE!E744="","",[1]SCHEDULE!E744)</f>
        <v>Fenerbahce Beko Istanbul</v>
      </c>
      <c r="F744" s="6">
        <f>IF([1]SCHEDULE!F744="","",[1]SCHEDULE!F744)</f>
        <v>45358</v>
      </c>
      <c r="G744" s="3" t="str">
        <f>IF([1]SCHEDULE!G744="","",[1]SCHEDULE!G744)</f>
        <v>H</v>
      </c>
      <c r="H744" s="3" t="str">
        <f>IF([1]SCHEDULE!H744="","",[1]SCHEDULE!H744)</f>
        <v>FEN</v>
      </c>
      <c r="I744" s="3" t="str">
        <f>IF([1]SCHEDULE!I744="","",[1]SCHEDULE!I744)</f>
        <v>28.RMB</v>
      </c>
      <c r="J744" s="3" t="str">
        <f>IF([1]SCHEDULE!J744="","",[1]SCHEDULE!J744)</f>
        <v>28.FEN</v>
      </c>
    </row>
    <row r="745" spans="2:10" x14ac:dyDescent="0.25">
      <c r="B745" s="3" t="str">
        <f>IF([1]SCHEDULE!B745="","",[1]SCHEDULE!B745)</f>
        <v>RMB</v>
      </c>
      <c r="C745" s="3">
        <f>IF([1]SCHEDULE!C745="","",[1]SCHEDULE!C745)</f>
        <v>29</v>
      </c>
      <c r="D745" s="1" t="str">
        <f>IF([1]SCHEDULE!D745="","",[1]SCHEDULE!D745)</f>
        <v>Real Madrid</v>
      </c>
      <c r="E745" s="1" t="str">
        <f>IF([1]SCHEDULE!E745="","",[1]SCHEDULE!E745)</f>
        <v>Virtus Segafredo Bologna</v>
      </c>
      <c r="F745" s="6">
        <f>IF([1]SCHEDULE!F745="","",[1]SCHEDULE!F745)</f>
        <v>45366</v>
      </c>
      <c r="G745" s="3" t="str">
        <f>IF([1]SCHEDULE!G745="","",[1]SCHEDULE!G745)</f>
        <v>A</v>
      </c>
      <c r="H745" s="3" t="str">
        <f>IF([1]SCHEDULE!H745="","",[1]SCHEDULE!H745)</f>
        <v>VIR</v>
      </c>
      <c r="I745" s="3" t="str">
        <f>IF([1]SCHEDULE!I745="","",[1]SCHEDULE!I745)</f>
        <v>29.RMB</v>
      </c>
      <c r="J745" s="3" t="str">
        <f>IF([1]SCHEDULE!J745="","",[1]SCHEDULE!J745)</f>
        <v>29.VIR</v>
      </c>
    </row>
    <row r="746" spans="2:10" x14ac:dyDescent="0.25">
      <c r="B746" s="3" t="str">
        <f>IF([1]SCHEDULE!B746="","",[1]SCHEDULE!B746)</f>
        <v>RMB</v>
      </c>
      <c r="C746" s="3">
        <f>IF([1]SCHEDULE!C746="","",[1]SCHEDULE!C746)</f>
        <v>30</v>
      </c>
      <c r="D746" s="1" t="str">
        <f>IF([1]SCHEDULE!D746="","",[1]SCHEDULE!D746)</f>
        <v>Real Madrid</v>
      </c>
      <c r="E746" s="1" t="str">
        <f>IF([1]SCHEDULE!E746="","",[1]SCHEDULE!E746)</f>
        <v>ALBA Berlin</v>
      </c>
      <c r="F746" s="6">
        <f>IF([1]SCHEDULE!F746="","",[1]SCHEDULE!F746)</f>
        <v>45370</v>
      </c>
      <c r="G746" s="3" t="str">
        <f>IF([1]SCHEDULE!G746="","",[1]SCHEDULE!G746)</f>
        <v>A</v>
      </c>
      <c r="H746" s="3" t="str">
        <f>IF([1]SCHEDULE!H746="","",[1]SCHEDULE!H746)</f>
        <v>BER</v>
      </c>
      <c r="I746" s="3" t="str">
        <f>IF([1]SCHEDULE!I746="","",[1]SCHEDULE!I746)</f>
        <v>30.RMB</v>
      </c>
      <c r="J746" s="3" t="str">
        <f>IF([1]SCHEDULE!J746="","",[1]SCHEDULE!J746)</f>
        <v>30.BER</v>
      </c>
    </row>
    <row r="747" spans="2:10" x14ac:dyDescent="0.25">
      <c r="B747" s="3" t="str">
        <f>IF([1]SCHEDULE!B747="","",[1]SCHEDULE!B747)</f>
        <v>RMB</v>
      </c>
      <c r="C747" s="3">
        <f>IF([1]SCHEDULE!C747="","",[1]SCHEDULE!C747)</f>
        <v>31</v>
      </c>
      <c r="D747" s="1" t="str">
        <f>IF([1]SCHEDULE!D747="","",[1]SCHEDULE!D747)</f>
        <v>Real Madrid</v>
      </c>
      <c r="E747" s="1" t="str">
        <f>IF([1]SCHEDULE!E747="","",[1]SCHEDULE!E747)</f>
        <v>Partizan Mozzart Bet Belgrade</v>
      </c>
      <c r="F747" s="6">
        <f>IF([1]SCHEDULE!F747="","",[1]SCHEDULE!F747)</f>
        <v>45372</v>
      </c>
      <c r="G747" s="3" t="str">
        <f>IF([1]SCHEDULE!G747="","",[1]SCHEDULE!G747)</f>
        <v>A</v>
      </c>
      <c r="H747" s="3" t="str">
        <f>IF([1]SCHEDULE!H747="","",[1]SCHEDULE!H747)</f>
        <v>PAR</v>
      </c>
      <c r="I747" s="3" t="str">
        <f>IF([1]SCHEDULE!I747="","",[1]SCHEDULE!I747)</f>
        <v>31.RMB</v>
      </c>
      <c r="J747" s="3" t="str">
        <f>IF([1]SCHEDULE!J747="","",[1]SCHEDULE!J747)</f>
        <v>31.PAR</v>
      </c>
    </row>
    <row r="748" spans="2:10" x14ac:dyDescent="0.25">
      <c r="B748" s="3" t="str">
        <f>IF([1]SCHEDULE!B748="","",[1]SCHEDULE!B748)</f>
        <v>RMB</v>
      </c>
      <c r="C748" s="3">
        <f>IF([1]SCHEDULE!C748="","",[1]SCHEDULE!C748)</f>
        <v>32</v>
      </c>
      <c r="D748" s="1" t="str">
        <f>IF([1]SCHEDULE!D748="","",[1]SCHEDULE!D748)</f>
        <v>Real Madrid</v>
      </c>
      <c r="E748" s="1" t="str">
        <f>IF([1]SCHEDULE!E748="","",[1]SCHEDULE!E748)</f>
        <v>Crvena Zvezda Meridianbet Belgrade</v>
      </c>
      <c r="F748" s="6">
        <f>IF([1]SCHEDULE!F748="","",[1]SCHEDULE!F748)</f>
        <v>45380</v>
      </c>
      <c r="G748" s="3" t="str">
        <f>IF([1]SCHEDULE!G748="","",[1]SCHEDULE!G748)</f>
        <v>H</v>
      </c>
      <c r="H748" s="3" t="str">
        <f>IF([1]SCHEDULE!H748="","",[1]SCHEDULE!H748)</f>
        <v>CZB</v>
      </c>
      <c r="I748" s="3" t="str">
        <f>IF([1]SCHEDULE!I748="","",[1]SCHEDULE!I748)</f>
        <v>32.RMB</v>
      </c>
      <c r="J748" s="3" t="str">
        <f>IF([1]SCHEDULE!J748="","",[1]SCHEDULE!J748)</f>
        <v>32.CZB</v>
      </c>
    </row>
    <row r="749" spans="2:10" x14ac:dyDescent="0.25">
      <c r="B749" s="3" t="str">
        <f>IF([1]SCHEDULE!B749="","",[1]SCHEDULE!B749)</f>
        <v>RMB</v>
      </c>
      <c r="C749" s="3">
        <f>IF([1]SCHEDULE!C749="","",[1]SCHEDULE!C749)</f>
        <v>33</v>
      </c>
      <c r="D749" s="1" t="str">
        <f>IF([1]SCHEDULE!D749="","",[1]SCHEDULE!D749)</f>
        <v>Real Madrid</v>
      </c>
      <c r="E749" s="1" t="str">
        <f>IF([1]SCHEDULE!E749="","",[1]SCHEDULE!E749)</f>
        <v>Baskonia Vitoria-Gasteiz</v>
      </c>
      <c r="F749" s="6">
        <f>IF([1]SCHEDULE!F749="","",[1]SCHEDULE!F749)</f>
        <v>45387</v>
      </c>
      <c r="G749" s="3" t="str">
        <f>IF([1]SCHEDULE!G749="","",[1]SCHEDULE!G749)</f>
        <v>H</v>
      </c>
      <c r="H749" s="3" t="str">
        <f>IF([1]SCHEDULE!H749="","",[1]SCHEDULE!H749)</f>
        <v>BAS</v>
      </c>
      <c r="I749" s="3" t="str">
        <f>IF([1]SCHEDULE!I749="","",[1]SCHEDULE!I749)</f>
        <v>33.RMB</v>
      </c>
      <c r="J749" s="3" t="str">
        <f>IF([1]SCHEDULE!J749="","",[1]SCHEDULE!J749)</f>
        <v>33.BAS</v>
      </c>
    </row>
    <row r="750" spans="2:10" x14ac:dyDescent="0.25">
      <c r="B750" s="3" t="str">
        <f>IF([1]SCHEDULE!B750="","",[1]SCHEDULE!B750)</f>
        <v>RMB</v>
      </c>
      <c r="C750" s="3">
        <f>IF([1]SCHEDULE!C750="","",[1]SCHEDULE!C750)</f>
        <v>34</v>
      </c>
      <c r="D750" s="1" t="str">
        <f>IF([1]SCHEDULE!D750="","",[1]SCHEDULE!D750)</f>
        <v>Real Madrid</v>
      </c>
      <c r="E750" s="1" t="str">
        <f>IF([1]SCHEDULE!E750="","",[1]SCHEDULE!E750)</f>
        <v>Zalgiris Kaunas</v>
      </c>
      <c r="F750" s="6">
        <f>IF([1]SCHEDULE!F750="","",[1]SCHEDULE!F750)</f>
        <v>45393</v>
      </c>
      <c r="G750" s="3" t="str">
        <f>IF([1]SCHEDULE!G750="","",[1]SCHEDULE!G750)</f>
        <v>A</v>
      </c>
      <c r="H750" s="3" t="str">
        <f>IF([1]SCHEDULE!H750="","",[1]SCHEDULE!H750)</f>
        <v>ZAL</v>
      </c>
      <c r="I750" s="3" t="str">
        <f>IF([1]SCHEDULE!I750="","",[1]SCHEDULE!I750)</f>
        <v>34.RMB</v>
      </c>
      <c r="J750" s="3" t="str">
        <f>IF([1]SCHEDULE!J750="","",[1]SCHEDULE!J750)</f>
        <v>34.ZAL</v>
      </c>
    </row>
    <row r="751" spans="2:10" x14ac:dyDescent="0.25">
      <c r="B751" s="3" t="str">
        <f>IF([1]SCHEDULE!B751="","",[1]SCHEDULE!B751)</f>
        <v>RMB</v>
      </c>
      <c r="C751" s="3">
        <f>IF([1]SCHEDULE!C751="","",[1]SCHEDULE!C751)</f>
        <v>35</v>
      </c>
      <c r="D751" s="1" t="str">
        <f>IF([1]SCHEDULE!D751="","",[1]SCHEDULE!D751)</f>
        <v>Real Madrid</v>
      </c>
      <c r="E751" s="1" t="str">
        <f>IF([1]SCHEDULE!E751="","",[1]SCHEDULE!E751)</f>
        <v/>
      </c>
      <c r="F751" s="6" t="str">
        <f>IF([1]SCHEDULE!F751="","",[1]SCHEDULE!F751)</f>
        <v/>
      </c>
      <c r="G751" s="3" t="str">
        <f>IF([1]SCHEDULE!G751="","",[1]SCHEDULE!G751)</f>
        <v/>
      </c>
      <c r="H751" s="3" t="str">
        <f>IF([1]SCHEDULE!H751="","",[1]SCHEDULE!H751)</f>
        <v/>
      </c>
      <c r="I751" s="3" t="str">
        <f>IF([1]SCHEDULE!I751="","",[1]SCHEDULE!I751)</f>
        <v/>
      </c>
      <c r="J751" s="3" t="str">
        <f>IF([1]SCHEDULE!J751="","",[1]SCHEDULE!J751)</f>
        <v/>
      </c>
    </row>
    <row r="752" spans="2:10" x14ac:dyDescent="0.25">
      <c r="B752" s="3" t="str">
        <f>IF([1]SCHEDULE!B752="","",[1]SCHEDULE!B752)</f>
        <v>RMB</v>
      </c>
      <c r="C752" s="3">
        <f>IF([1]SCHEDULE!C752="","",[1]SCHEDULE!C752)</f>
        <v>36</v>
      </c>
      <c r="D752" s="1" t="str">
        <f>IF([1]SCHEDULE!D752="","",[1]SCHEDULE!D752)</f>
        <v>Real Madrid</v>
      </c>
      <c r="E752" s="1" t="str">
        <f>IF([1]SCHEDULE!E752="","",[1]SCHEDULE!E752)</f>
        <v/>
      </c>
      <c r="F752" s="6" t="str">
        <f>IF([1]SCHEDULE!F752="","",[1]SCHEDULE!F752)</f>
        <v/>
      </c>
      <c r="G752" s="3" t="str">
        <f>IF([1]SCHEDULE!G752="","",[1]SCHEDULE!G752)</f>
        <v/>
      </c>
      <c r="H752" s="3" t="str">
        <f>IF([1]SCHEDULE!H752="","",[1]SCHEDULE!H752)</f>
        <v/>
      </c>
      <c r="I752" s="3" t="str">
        <f>IF([1]SCHEDULE!I752="","",[1]SCHEDULE!I752)</f>
        <v/>
      </c>
      <c r="J752" s="3" t="str">
        <f>IF([1]SCHEDULE!J752="","",[1]SCHEDULE!J752)</f>
        <v/>
      </c>
    </row>
    <row r="753" spans="2:10" x14ac:dyDescent="0.25">
      <c r="B753" s="3" t="str">
        <f>IF([1]SCHEDULE!B753="","",[1]SCHEDULE!B753)</f>
        <v>RMB</v>
      </c>
      <c r="C753" s="3">
        <f>IF([1]SCHEDULE!C753="","",[1]SCHEDULE!C753)</f>
        <v>37</v>
      </c>
      <c r="D753" s="1" t="str">
        <f>IF([1]SCHEDULE!D753="","",[1]SCHEDULE!D753)</f>
        <v>Real Madrid</v>
      </c>
      <c r="E753" s="1" t="str">
        <f>IF([1]SCHEDULE!E753="","",[1]SCHEDULE!E753)</f>
        <v/>
      </c>
      <c r="F753" s="6" t="str">
        <f>IF([1]SCHEDULE!F753="","",[1]SCHEDULE!F753)</f>
        <v/>
      </c>
      <c r="G753" s="3" t="str">
        <f>IF([1]SCHEDULE!G753="","",[1]SCHEDULE!G753)</f>
        <v/>
      </c>
      <c r="H753" s="3" t="str">
        <f>IF([1]SCHEDULE!H753="","",[1]SCHEDULE!H753)</f>
        <v/>
      </c>
      <c r="I753" s="3" t="str">
        <f>IF([1]SCHEDULE!I753="","",[1]SCHEDULE!I753)</f>
        <v/>
      </c>
      <c r="J753" s="3" t="str">
        <f>IF([1]SCHEDULE!J753="","",[1]SCHEDULE!J753)</f>
        <v/>
      </c>
    </row>
    <row r="754" spans="2:10" x14ac:dyDescent="0.25">
      <c r="B754" s="3" t="str">
        <f>IF([1]SCHEDULE!B754="","",[1]SCHEDULE!B754)</f>
        <v>RMB</v>
      </c>
      <c r="C754" s="3">
        <f>IF([1]SCHEDULE!C754="","",[1]SCHEDULE!C754)</f>
        <v>38</v>
      </c>
      <c r="D754" s="1" t="str">
        <f>IF([1]SCHEDULE!D754="","",[1]SCHEDULE!D754)</f>
        <v>Real Madrid</v>
      </c>
      <c r="E754" s="1" t="str">
        <f>IF([1]SCHEDULE!E754="","",[1]SCHEDULE!E754)</f>
        <v/>
      </c>
      <c r="F754" s="6" t="str">
        <f>IF([1]SCHEDULE!F754="","",[1]SCHEDULE!F754)</f>
        <v/>
      </c>
      <c r="G754" s="3" t="str">
        <f>IF([1]SCHEDULE!G754="","",[1]SCHEDULE!G754)</f>
        <v/>
      </c>
      <c r="H754" s="3" t="str">
        <f>IF([1]SCHEDULE!H754="","",[1]SCHEDULE!H754)</f>
        <v/>
      </c>
      <c r="I754" s="3" t="str">
        <f>IF([1]SCHEDULE!I754="","",[1]SCHEDULE!I754)</f>
        <v/>
      </c>
      <c r="J754" s="3" t="str">
        <f>IF([1]SCHEDULE!J754="","",[1]SCHEDULE!J754)</f>
        <v/>
      </c>
    </row>
    <row r="755" spans="2:10" x14ac:dyDescent="0.25">
      <c r="B755" s="3" t="str">
        <f>IF([1]SCHEDULE!B755="","",[1]SCHEDULE!B755)</f>
        <v>RMB</v>
      </c>
      <c r="C755" s="3">
        <f>IF([1]SCHEDULE!C755="","",[1]SCHEDULE!C755)</f>
        <v>39</v>
      </c>
      <c r="D755" s="1" t="str">
        <f>IF([1]SCHEDULE!D755="","",[1]SCHEDULE!D755)</f>
        <v>Real Madrid</v>
      </c>
      <c r="E755" s="1" t="str">
        <f>IF([1]SCHEDULE!E755="","",[1]SCHEDULE!E755)</f>
        <v/>
      </c>
      <c r="F755" s="6" t="str">
        <f>IF([1]SCHEDULE!F755="","",[1]SCHEDULE!F755)</f>
        <v/>
      </c>
      <c r="G755" s="3" t="str">
        <f>IF([1]SCHEDULE!G755="","",[1]SCHEDULE!G755)</f>
        <v/>
      </c>
      <c r="H755" s="3" t="str">
        <f>IF([1]SCHEDULE!H755="","",[1]SCHEDULE!H755)</f>
        <v/>
      </c>
      <c r="I755" s="3" t="str">
        <f>IF([1]SCHEDULE!I755="","",[1]SCHEDULE!I755)</f>
        <v/>
      </c>
      <c r="J755" s="3" t="str">
        <f>IF([1]SCHEDULE!J755="","",[1]SCHEDULE!J755)</f>
        <v/>
      </c>
    </row>
    <row r="756" spans="2:10" x14ac:dyDescent="0.25">
      <c r="B756" s="3" t="str">
        <f>IF([1]SCHEDULE!B756="","",[1]SCHEDULE!B756)</f>
        <v>RMB</v>
      </c>
      <c r="C756" s="3">
        <f>IF([1]SCHEDULE!C756="","",[1]SCHEDULE!C756)</f>
        <v>40</v>
      </c>
      <c r="D756" s="1" t="str">
        <f>IF([1]SCHEDULE!D756="","",[1]SCHEDULE!D756)</f>
        <v>Real Madrid</v>
      </c>
      <c r="E756" s="1" t="str">
        <f>IF([1]SCHEDULE!E756="","",[1]SCHEDULE!E756)</f>
        <v/>
      </c>
      <c r="F756" s="6" t="str">
        <f>IF([1]SCHEDULE!F756="","",[1]SCHEDULE!F756)</f>
        <v/>
      </c>
      <c r="G756" s="3" t="str">
        <f>IF([1]SCHEDULE!G756="","",[1]SCHEDULE!G756)</f>
        <v/>
      </c>
      <c r="H756" s="3" t="str">
        <f>IF([1]SCHEDULE!H756="","",[1]SCHEDULE!H756)</f>
        <v/>
      </c>
      <c r="I756" s="3" t="str">
        <f>IF([1]SCHEDULE!I756="","",[1]SCHEDULE!I756)</f>
        <v/>
      </c>
      <c r="J756" s="3" t="str">
        <f>IF([1]SCHEDULE!J756="","",[1]SCHEDULE!J756)</f>
        <v/>
      </c>
    </row>
    <row r="757" spans="2:10" x14ac:dyDescent="0.25">
      <c r="B757" s="3" t="str">
        <f>IF([1]SCHEDULE!B757="","",[1]SCHEDULE!B757)</f>
        <v>RMB</v>
      </c>
      <c r="C757" s="3">
        <f>IF([1]SCHEDULE!C757="","",[1]SCHEDULE!C757)</f>
        <v>41</v>
      </c>
      <c r="D757" s="1" t="str">
        <f>IF([1]SCHEDULE!D757="","",[1]SCHEDULE!D757)</f>
        <v>Real Madrid</v>
      </c>
      <c r="E757" s="1" t="str">
        <f>IF([1]SCHEDULE!E757="","",[1]SCHEDULE!E757)</f>
        <v/>
      </c>
      <c r="F757" s="6" t="str">
        <f>IF([1]SCHEDULE!F757="","",[1]SCHEDULE!F757)</f>
        <v/>
      </c>
      <c r="G757" s="3" t="str">
        <f>IF([1]SCHEDULE!G757="","",[1]SCHEDULE!G757)</f>
        <v/>
      </c>
      <c r="H757" s="3" t="str">
        <f>IF([1]SCHEDULE!H757="","",[1]SCHEDULE!H757)</f>
        <v/>
      </c>
      <c r="I757" s="3" t="str">
        <f>IF([1]SCHEDULE!I757="","",[1]SCHEDULE!I757)</f>
        <v/>
      </c>
      <c r="J757" s="3" t="str">
        <f>IF([1]SCHEDULE!J757="","",[1]SCHEDULE!J757)</f>
        <v/>
      </c>
    </row>
    <row r="758" spans="2:10" x14ac:dyDescent="0.25">
      <c r="B758" s="3" t="str">
        <f>IF([1]SCHEDULE!B758="","",[1]SCHEDULE!B758)</f>
        <v>RMB</v>
      </c>
      <c r="C758" s="3">
        <f>IF([1]SCHEDULE!C758="","",[1]SCHEDULE!C758)</f>
        <v>42</v>
      </c>
      <c r="D758" s="1" t="str">
        <f>IF([1]SCHEDULE!D758="","",[1]SCHEDULE!D758)</f>
        <v>Real Madrid</v>
      </c>
      <c r="E758" s="1" t="str">
        <f>IF([1]SCHEDULE!E758="","",[1]SCHEDULE!E758)</f>
        <v/>
      </c>
      <c r="F758" s="6" t="str">
        <f>IF([1]SCHEDULE!F758="","",[1]SCHEDULE!F758)</f>
        <v/>
      </c>
      <c r="G758" s="3" t="str">
        <f>IF([1]SCHEDULE!G758="","",[1]SCHEDULE!G758)</f>
        <v/>
      </c>
      <c r="H758" s="3" t="str">
        <f>IF([1]SCHEDULE!H758="","",[1]SCHEDULE!H758)</f>
        <v/>
      </c>
      <c r="I758" s="3" t="str">
        <f>IF([1]SCHEDULE!I758="","",[1]SCHEDULE!I758)</f>
        <v/>
      </c>
      <c r="J758" s="3" t="str">
        <f>IF([1]SCHEDULE!J758="","",[1]SCHEDULE!J758)</f>
        <v/>
      </c>
    </row>
    <row r="759" spans="2:10" x14ac:dyDescent="0.25">
      <c r="B759" s="3" t="str">
        <f>IF([1]SCHEDULE!B759="","",[1]SCHEDULE!B759)</f>
        <v>RMB</v>
      </c>
      <c r="C759" s="3">
        <f>IF([1]SCHEDULE!C759="","",[1]SCHEDULE!C759)</f>
        <v>43</v>
      </c>
      <c r="D759" s="1" t="str">
        <f>IF([1]SCHEDULE!D759="","",[1]SCHEDULE!D759)</f>
        <v>Real Madrid</v>
      </c>
      <c r="E759" s="1" t="str">
        <f>IF([1]SCHEDULE!E759="","",[1]SCHEDULE!E759)</f>
        <v/>
      </c>
      <c r="F759" s="6" t="str">
        <f>IF([1]SCHEDULE!F759="","",[1]SCHEDULE!F759)</f>
        <v/>
      </c>
      <c r="G759" s="3" t="str">
        <f>IF([1]SCHEDULE!G759="","",[1]SCHEDULE!G759)</f>
        <v/>
      </c>
      <c r="H759" s="3" t="str">
        <f>IF([1]SCHEDULE!H759="","",[1]SCHEDULE!H759)</f>
        <v/>
      </c>
      <c r="I759" s="3" t="str">
        <f>IF([1]SCHEDULE!I759="","",[1]SCHEDULE!I759)</f>
        <v/>
      </c>
      <c r="J759" s="3" t="str">
        <f>IF([1]SCHEDULE!J759="","",[1]SCHEDULE!J759)</f>
        <v/>
      </c>
    </row>
    <row r="760" spans="2:10" x14ac:dyDescent="0.25">
      <c r="B760" s="3" t="str">
        <f>IF([1]SCHEDULE!B760="","",[1]SCHEDULE!B760)</f>
        <v>RMB</v>
      </c>
      <c r="C760" s="3">
        <f>IF([1]SCHEDULE!C760="","",[1]SCHEDULE!C760)</f>
        <v>44</v>
      </c>
      <c r="D760" s="1" t="str">
        <f>IF([1]SCHEDULE!D760="","",[1]SCHEDULE!D760)</f>
        <v>Real Madrid</v>
      </c>
      <c r="E760" s="1" t="str">
        <f>IF([1]SCHEDULE!E760="","",[1]SCHEDULE!E760)</f>
        <v/>
      </c>
      <c r="F760" s="6" t="str">
        <f>IF([1]SCHEDULE!F760="","",[1]SCHEDULE!F760)</f>
        <v/>
      </c>
      <c r="G760" s="3" t="str">
        <f>IF([1]SCHEDULE!G760="","",[1]SCHEDULE!G760)</f>
        <v/>
      </c>
      <c r="H760" s="3" t="str">
        <f>IF([1]SCHEDULE!H760="","",[1]SCHEDULE!H760)</f>
        <v/>
      </c>
      <c r="I760" s="3" t="str">
        <f>IF([1]SCHEDULE!I760="","",[1]SCHEDULE!I760)</f>
        <v/>
      </c>
      <c r="J760" s="3" t="str">
        <f>IF([1]SCHEDULE!J760="","",[1]SCHEDULE!J760)</f>
        <v/>
      </c>
    </row>
    <row r="761" spans="2:10" x14ac:dyDescent="0.25">
      <c r="B761" s="3" t="str">
        <f>IF([1]SCHEDULE!B761="","",[1]SCHEDULE!B761)</f>
        <v>RMB</v>
      </c>
      <c r="C761" s="3">
        <f>IF([1]SCHEDULE!C761="","",[1]SCHEDULE!C761)</f>
        <v>45</v>
      </c>
      <c r="D761" s="1" t="str">
        <f>IF([1]SCHEDULE!D761="","",[1]SCHEDULE!D761)</f>
        <v>Real Madrid</v>
      </c>
      <c r="E761" s="1" t="str">
        <f>IF([1]SCHEDULE!E761="","",[1]SCHEDULE!E761)</f>
        <v/>
      </c>
      <c r="F761" s="6" t="str">
        <f>IF([1]SCHEDULE!F761="","",[1]SCHEDULE!F761)</f>
        <v/>
      </c>
      <c r="G761" s="3" t="str">
        <f>IF([1]SCHEDULE!G761="","",[1]SCHEDULE!G761)</f>
        <v/>
      </c>
      <c r="H761" s="3" t="str">
        <f>IF([1]SCHEDULE!H761="","",[1]SCHEDULE!H761)</f>
        <v/>
      </c>
      <c r="I761" s="3" t="str">
        <f>IF([1]SCHEDULE!I761="","",[1]SCHEDULE!I761)</f>
        <v/>
      </c>
      <c r="J761" s="3" t="str">
        <f>IF([1]SCHEDULE!J761="","",[1]SCHEDULE!J761)</f>
        <v/>
      </c>
    </row>
    <row r="762" spans="2:10" x14ac:dyDescent="0.25">
      <c r="B762" s="3" t="str">
        <f>IF([1]SCHEDULE!B762="","",[1]SCHEDULE!B762)</f>
        <v>RMB</v>
      </c>
      <c r="C762" s="3">
        <f>IF([1]SCHEDULE!C762="","",[1]SCHEDULE!C762)</f>
        <v>46</v>
      </c>
      <c r="D762" s="1" t="str">
        <f>IF([1]SCHEDULE!D762="","",[1]SCHEDULE!D762)</f>
        <v>Real Madrid</v>
      </c>
      <c r="E762" s="1" t="str">
        <f>IF([1]SCHEDULE!E762="","",[1]SCHEDULE!E762)</f>
        <v/>
      </c>
      <c r="F762" s="6" t="str">
        <f>IF([1]SCHEDULE!F762="","",[1]SCHEDULE!F762)</f>
        <v/>
      </c>
      <c r="G762" s="3" t="str">
        <f>IF([1]SCHEDULE!G762="","",[1]SCHEDULE!G762)</f>
        <v/>
      </c>
      <c r="H762" s="3" t="str">
        <f>IF([1]SCHEDULE!H762="","",[1]SCHEDULE!H762)</f>
        <v/>
      </c>
      <c r="I762" s="3" t="str">
        <f>IF([1]SCHEDULE!I762="","",[1]SCHEDULE!I762)</f>
        <v/>
      </c>
      <c r="J762" s="3" t="str">
        <f>IF([1]SCHEDULE!J762="","",[1]SCHEDULE!J762)</f>
        <v/>
      </c>
    </row>
    <row r="763" spans="2:10" x14ac:dyDescent="0.25">
      <c r="B763" s="3" t="str">
        <f>IF([1]SCHEDULE!B763="","",[1]SCHEDULE!B763)</f>
        <v>RMB</v>
      </c>
      <c r="C763" s="3">
        <f>IF([1]SCHEDULE!C763="","",[1]SCHEDULE!C763)</f>
        <v>47</v>
      </c>
      <c r="D763" s="1" t="str">
        <f>IF([1]SCHEDULE!D763="","",[1]SCHEDULE!D763)</f>
        <v>Real Madrid</v>
      </c>
      <c r="E763" s="1" t="str">
        <f>IF([1]SCHEDULE!E763="","",[1]SCHEDULE!E763)</f>
        <v/>
      </c>
      <c r="F763" s="6" t="str">
        <f>IF([1]SCHEDULE!F763="","",[1]SCHEDULE!F763)</f>
        <v/>
      </c>
      <c r="G763" s="3" t="str">
        <f>IF([1]SCHEDULE!G763="","",[1]SCHEDULE!G763)</f>
        <v/>
      </c>
      <c r="H763" s="3" t="str">
        <f>IF([1]SCHEDULE!H763="","",[1]SCHEDULE!H763)</f>
        <v/>
      </c>
      <c r="I763" s="3" t="str">
        <f>IF([1]SCHEDULE!I763="","",[1]SCHEDULE!I763)</f>
        <v/>
      </c>
      <c r="J763" s="3" t="str">
        <f>IF([1]SCHEDULE!J763="","",[1]SCHEDULE!J763)</f>
        <v/>
      </c>
    </row>
    <row r="764" spans="2:10" x14ac:dyDescent="0.25">
      <c r="B764" s="3" t="str">
        <f>IF([1]SCHEDULE!B764="","",[1]SCHEDULE!B764)</f>
        <v>RMB</v>
      </c>
      <c r="C764" s="3">
        <f>IF([1]SCHEDULE!C764="","",[1]SCHEDULE!C764)</f>
        <v>48</v>
      </c>
      <c r="D764" s="1" t="str">
        <f>IF([1]SCHEDULE!D764="","",[1]SCHEDULE!D764)</f>
        <v>Real Madrid</v>
      </c>
      <c r="E764" s="1" t="str">
        <f>IF([1]SCHEDULE!E764="","",[1]SCHEDULE!E764)</f>
        <v/>
      </c>
      <c r="F764" s="6" t="str">
        <f>IF([1]SCHEDULE!F764="","",[1]SCHEDULE!F764)</f>
        <v/>
      </c>
      <c r="G764" s="3" t="str">
        <f>IF([1]SCHEDULE!G764="","",[1]SCHEDULE!G764)</f>
        <v/>
      </c>
      <c r="H764" s="3" t="str">
        <f>IF([1]SCHEDULE!H764="","",[1]SCHEDULE!H764)</f>
        <v/>
      </c>
      <c r="I764" s="3" t="str">
        <f>IF([1]SCHEDULE!I764="","",[1]SCHEDULE!I764)</f>
        <v/>
      </c>
      <c r="J764" s="3" t="str">
        <f>IF([1]SCHEDULE!J764="","",[1]SCHEDULE!J764)</f>
        <v/>
      </c>
    </row>
    <row r="765" spans="2:10" x14ac:dyDescent="0.25">
      <c r="B765" s="3" t="str">
        <f>IF([1]SCHEDULE!B765="","",[1]SCHEDULE!B765)</f>
        <v>RMB</v>
      </c>
      <c r="C765" s="3">
        <f>IF([1]SCHEDULE!C765="","",[1]SCHEDULE!C765)</f>
        <v>49</v>
      </c>
      <c r="D765" s="1" t="str">
        <f>IF([1]SCHEDULE!D765="","",[1]SCHEDULE!D765)</f>
        <v>Real Madrid</v>
      </c>
      <c r="E765" s="1" t="str">
        <f>IF([1]SCHEDULE!E765="","",[1]SCHEDULE!E765)</f>
        <v/>
      </c>
      <c r="F765" s="6" t="str">
        <f>IF([1]SCHEDULE!F765="","",[1]SCHEDULE!F765)</f>
        <v/>
      </c>
      <c r="G765" s="3" t="str">
        <f>IF([1]SCHEDULE!G765="","",[1]SCHEDULE!G765)</f>
        <v/>
      </c>
      <c r="H765" s="3" t="str">
        <f>IF([1]SCHEDULE!H765="","",[1]SCHEDULE!H765)</f>
        <v/>
      </c>
      <c r="I765" s="3" t="str">
        <f>IF([1]SCHEDULE!I765="","",[1]SCHEDULE!I765)</f>
        <v/>
      </c>
      <c r="J765" s="3" t="str">
        <f>IF([1]SCHEDULE!J765="","",[1]SCHEDULE!J765)</f>
        <v/>
      </c>
    </row>
    <row r="766" spans="2:10" x14ac:dyDescent="0.25">
      <c r="B766" s="3" t="str">
        <f>IF([1]SCHEDULE!B766="","",[1]SCHEDULE!B766)</f>
        <v>RMB</v>
      </c>
      <c r="C766" s="3">
        <f>IF([1]SCHEDULE!C766="","",[1]SCHEDULE!C766)</f>
        <v>50</v>
      </c>
      <c r="D766" s="1" t="str">
        <f>IF([1]SCHEDULE!D766="","",[1]SCHEDULE!D766)</f>
        <v>Real Madrid</v>
      </c>
      <c r="E766" s="1" t="str">
        <f>IF([1]SCHEDULE!E766="","",[1]SCHEDULE!E766)</f>
        <v/>
      </c>
      <c r="F766" s="6" t="str">
        <f>IF([1]SCHEDULE!F766="","",[1]SCHEDULE!F766)</f>
        <v/>
      </c>
      <c r="G766" s="3" t="str">
        <f>IF([1]SCHEDULE!G766="","",[1]SCHEDULE!G766)</f>
        <v/>
      </c>
      <c r="H766" s="3" t="str">
        <f>IF([1]SCHEDULE!H766="","",[1]SCHEDULE!H766)</f>
        <v/>
      </c>
      <c r="I766" s="3" t="str">
        <f>IF([1]SCHEDULE!I766="","",[1]SCHEDULE!I766)</f>
        <v/>
      </c>
      <c r="J766" s="3" t="str">
        <f>IF([1]SCHEDULE!J766="","",[1]SCHEDULE!J766)</f>
        <v/>
      </c>
    </row>
    <row r="767" spans="2:10" x14ac:dyDescent="0.25">
      <c r="B767" s="3" t="str">
        <f>IF([1]SCHEDULE!B767="","",[1]SCHEDULE!B767)</f>
        <v>RMB</v>
      </c>
      <c r="C767" s="3">
        <f>IF([1]SCHEDULE!C767="","",[1]SCHEDULE!C767)</f>
        <v>51</v>
      </c>
      <c r="D767" s="1" t="str">
        <f>IF([1]SCHEDULE!D767="","",[1]SCHEDULE!D767)</f>
        <v>Real Madrid</v>
      </c>
      <c r="E767" s="1" t="str">
        <f>IF([1]SCHEDULE!E767="","",[1]SCHEDULE!E767)</f>
        <v/>
      </c>
      <c r="F767" s="6" t="str">
        <f>IF([1]SCHEDULE!F767="","",[1]SCHEDULE!F767)</f>
        <v/>
      </c>
      <c r="G767" s="3" t="str">
        <f>IF([1]SCHEDULE!G767="","",[1]SCHEDULE!G767)</f>
        <v/>
      </c>
      <c r="H767" s="3" t="str">
        <f>IF([1]SCHEDULE!H767="","",[1]SCHEDULE!H767)</f>
        <v/>
      </c>
      <c r="I767" s="3" t="str">
        <f>IF([1]SCHEDULE!I767="","",[1]SCHEDULE!I767)</f>
        <v/>
      </c>
      <c r="J767" s="3" t="str">
        <f>IF([1]SCHEDULE!J767="","",[1]SCHEDULE!J767)</f>
        <v/>
      </c>
    </row>
    <row r="768" spans="2:10" x14ac:dyDescent="0.25">
      <c r="B768" s="3" t="str">
        <f>IF([1]SCHEDULE!B768="","",[1]SCHEDULE!B768)</f>
        <v>VAL</v>
      </c>
      <c r="C768" s="3">
        <f>IF([1]SCHEDULE!C768="","",[1]SCHEDULE!C768)</f>
        <v>1</v>
      </c>
      <c r="D768" s="1" t="str">
        <f>IF([1]SCHEDULE!D768="","",[1]SCHEDULE!D768)</f>
        <v>Valencia Basket</v>
      </c>
      <c r="E768" s="1" t="str">
        <f>IF([1]SCHEDULE!E768="","",[1]SCHEDULE!E768)</f>
        <v>AS Monaco</v>
      </c>
      <c r="F768" s="6">
        <f>IF([1]SCHEDULE!F768="","",[1]SCHEDULE!F768)</f>
        <v>45205</v>
      </c>
      <c r="G768" s="3" t="str">
        <f>IF([1]SCHEDULE!G768="","",[1]SCHEDULE!G768)</f>
        <v>H</v>
      </c>
      <c r="H768" s="3" t="str">
        <f>IF([1]SCHEDULE!H768="","",[1]SCHEDULE!H768)</f>
        <v>ASM</v>
      </c>
      <c r="I768" s="3" t="str">
        <f>IF([1]SCHEDULE!I768="","",[1]SCHEDULE!I768)</f>
        <v>1.VAL</v>
      </c>
      <c r="J768" s="3" t="str">
        <f>IF([1]SCHEDULE!J768="","",[1]SCHEDULE!J768)</f>
        <v>1.ASM</v>
      </c>
    </row>
    <row r="769" spans="2:10" x14ac:dyDescent="0.25">
      <c r="B769" s="3" t="str">
        <f>IF([1]SCHEDULE!B769="","",[1]SCHEDULE!B769)</f>
        <v>VAL</v>
      </c>
      <c r="C769" s="3">
        <f>IF([1]SCHEDULE!C769="","",[1]SCHEDULE!C769)</f>
        <v>2</v>
      </c>
      <c r="D769" s="1" t="str">
        <f>IF([1]SCHEDULE!D769="","",[1]SCHEDULE!D769)</f>
        <v>Valencia Basket</v>
      </c>
      <c r="E769" s="1" t="str">
        <f>IF([1]SCHEDULE!E769="","",[1]SCHEDULE!E769)</f>
        <v>Fenerbahce Beko Istanbul</v>
      </c>
      <c r="F769" s="6">
        <f>IF([1]SCHEDULE!F769="","",[1]SCHEDULE!F769)</f>
        <v>45212</v>
      </c>
      <c r="G769" s="3" t="str">
        <f>IF([1]SCHEDULE!G769="","",[1]SCHEDULE!G769)</f>
        <v>H</v>
      </c>
      <c r="H769" s="3" t="str">
        <f>IF([1]SCHEDULE!H769="","",[1]SCHEDULE!H769)</f>
        <v>FEN</v>
      </c>
      <c r="I769" s="3" t="str">
        <f>IF([1]SCHEDULE!I769="","",[1]SCHEDULE!I769)</f>
        <v>2.VAL</v>
      </c>
      <c r="J769" s="3" t="str">
        <f>IF([1]SCHEDULE!J769="","",[1]SCHEDULE!J769)</f>
        <v>2.FEN</v>
      </c>
    </row>
    <row r="770" spans="2:10" x14ac:dyDescent="0.25">
      <c r="B770" s="3" t="str">
        <f>IF([1]SCHEDULE!B770="","",[1]SCHEDULE!B770)</f>
        <v>VAL</v>
      </c>
      <c r="C770" s="3">
        <f>IF([1]SCHEDULE!C770="","",[1]SCHEDULE!C770)</f>
        <v>3</v>
      </c>
      <c r="D770" s="1" t="str">
        <f>IF([1]SCHEDULE!D770="","",[1]SCHEDULE!D770)</f>
        <v>Valencia Basket</v>
      </c>
      <c r="E770" s="1" t="str">
        <f>IF([1]SCHEDULE!E770="","",[1]SCHEDULE!E770)</f>
        <v>Maccabi Playtika Tel Aviv</v>
      </c>
      <c r="F770" s="6">
        <f>IF([1]SCHEDULE!F770="","",[1]SCHEDULE!F770)</f>
        <v>45217</v>
      </c>
      <c r="G770" s="3" t="str">
        <f>IF([1]SCHEDULE!G770="","",[1]SCHEDULE!G770)</f>
        <v>H</v>
      </c>
      <c r="H770" s="3" t="str">
        <f>IF([1]SCHEDULE!H770="","",[1]SCHEDULE!H770)</f>
        <v>MTA</v>
      </c>
      <c r="I770" s="3" t="str">
        <f>IF([1]SCHEDULE!I770="","",[1]SCHEDULE!I770)</f>
        <v>3.VAL</v>
      </c>
      <c r="J770" s="3" t="str">
        <f>IF([1]SCHEDULE!J770="","",[1]SCHEDULE!J770)</f>
        <v>3.MTA</v>
      </c>
    </row>
    <row r="771" spans="2:10" x14ac:dyDescent="0.25">
      <c r="B771" s="3" t="str">
        <f>IF([1]SCHEDULE!B771="","",[1]SCHEDULE!B771)</f>
        <v>VAL</v>
      </c>
      <c r="C771" s="3">
        <f>IF([1]SCHEDULE!C771="","",[1]SCHEDULE!C771)</f>
        <v>4</v>
      </c>
      <c r="D771" s="1" t="str">
        <f>IF([1]SCHEDULE!D771="","",[1]SCHEDULE!D771)</f>
        <v>Valencia Basket</v>
      </c>
      <c r="E771" s="1" t="str">
        <f>IF([1]SCHEDULE!E771="","",[1]SCHEDULE!E771)</f>
        <v>Anadolu Efes Istanbul</v>
      </c>
      <c r="F771" s="6">
        <f>IF([1]SCHEDULE!F771="","",[1]SCHEDULE!F771)</f>
        <v>45219</v>
      </c>
      <c r="G771" s="3" t="str">
        <f>IF([1]SCHEDULE!G771="","",[1]SCHEDULE!G771)</f>
        <v>A</v>
      </c>
      <c r="H771" s="3" t="str">
        <f>IF([1]SCHEDULE!H771="","",[1]SCHEDULE!H771)</f>
        <v>EFE</v>
      </c>
      <c r="I771" s="3" t="str">
        <f>IF([1]SCHEDULE!I771="","",[1]SCHEDULE!I771)</f>
        <v>4.VAL</v>
      </c>
      <c r="J771" s="3" t="str">
        <f>IF([1]SCHEDULE!J771="","",[1]SCHEDULE!J771)</f>
        <v>4.EFE</v>
      </c>
    </row>
    <row r="772" spans="2:10" x14ac:dyDescent="0.25">
      <c r="B772" s="3" t="str">
        <f>IF([1]SCHEDULE!B772="","",[1]SCHEDULE!B772)</f>
        <v>VAL</v>
      </c>
      <c r="C772" s="3">
        <f>IF([1]SCHEDULE!C772="","",[1]SCHEDULE!C772)</f>
        <v>5</v>
      </c>
      <c r="D772" s="1" t="str">
        <f>IF([1]SCHEDULE!D772="","",[1]SCHEDULE!D772)</f>
        <v>Valencia Basket</v>
      </c>
      <c r="E772" s="1" t="str">
        <f>IF([1]SCHEDULE!E772="","",[1]SCHEDULE!E772)</f>
        <v>Zalgiris Kaunas</v>
      </c>
      <c r="F772" s="6">
        <f>IF([1]SCHEDULE!F772="","",[1]SCHEDULE!F772)</f>
        <v>45226</v>
      </c>
      <c r="G772" s="3" t="str">
        <f>IF([1]SCHEDULE!G772="","",[1]SCHEDULE!G772)</f>
        <v>A</v>
      </c>
      <c r="H772" s="3" t="str">
        <f>IF([1]SCHEDULE!H772="","",[1]SCHEDULE!H772)</f>
        <v>ZAL</v>
      </c>
      <c r="I772" s="3" t="str">
        <f>IF([1]SCHEDULE!I772="","",[1]SCHEDULE!I772)</f>
        <v>5.VAL</v>
      </c>
      <c r="J772" s="3" t="str">
        <f>IF([1]SCHEDULE!J772="","",[1]SCHEDULE!J772)</f>
        <v>5.ZAL</v>
      </c>
    </row>
    <row r="773" spans="2:10" x14ac:dyDescent="0.25">
      <c r="B773" s="3" t="str">
        <f>IF([1]SCHEDULE!B773="","",[1]SCHEDULE!B773)</f>
        <v>VAL</v>
      </c>
      <c r="C773" s="3">
        <f>IF([1]SCHEDULE!C773="","",[1]SCHEDULE!C773)</f>
        <v>6</v>
      </c>
      <c r="D773" s="1" t="str">
        <f>IF([1]SCHEDULE!D773="","",[1]SCHEDULE!D773)</f>
        <v>Valencia Basket</v>
      </c>
      <c r="E773" s="1" t="str">
        <f>IF([1]SCHEDULE!E773="","",[1]SCHEDULE!E773)</f>
        <v>ALBA Berlin</v>
      </c>
      <c r="F773" s="6">
        <f>IF([1]SCHEDULE!F773="","",[1]SCHEDULE!F773)</f>
        <v>45232</v>
      </c>
      <c r="G773" s="3" t="str">
        <f>IF([1]SCHEDULE!G773="","",[1]SCHEDULE!G773)</f>
        <v>H</v>
      </c>
      <c r="H773" s="3" t="str">
        <f>IF([1]SCHEDULE!H773="","",[1]SCHEDULE!H773)</f>
        <v>BER</v>
      </c>
      <c r="I773" s="3" t="str">
        <f>IF([1]SCHEDULE!I773="","",[1]SCHEDULE!I773)</f>
        <v>6.VAL</v>
      </c>
      <c r="J773" s="3" t="str">
        <f>IF([1]SCHEDULE!J773="","",[1]SCHEDULE!J773)</f>
        <v>6.BER</v>
      </c>
    </row>
    <row r="774" spans="2:10" x14ac:dyDescent="0.25">
      <c r="B774" s="3" t="str">
        <f>IF([1]SCHEDULE!B774="","",[1]SCHEDULE!B774)</f>
        <v>VAL</v>
      </c>
      <c r="C774" s="3">
        <f>IF([1]SCHEDULE!C774="","",[1]SCHEDULE!C774)</f>
        <v>7</v>
      </c>
      <c r="D774" s="1" t="str">
        <f>IF([1]SCHEDULE!D774="","",[1]SCHEDULE!D774)</f>
        <v>Valencia Basket</v>
      </c>
      <c r="E774" s="1" t="str">
        <f>IF([1]SCHEDULE!E774="","",[1]SCHEDULE!E774)</f>
        <v>EA7 Emporio Armani Milan</v>
      </c>
      <c r="F774" s="6">
        <f>IF([1]SCHEDULE!F774="","",[1]SCHEDULE!F774)</f>
        <v>45239</v>
      </c>
      <c r="G774" s="3" t="str">
        <f>IF([1]SCHEDULE!G774="","",[1]SCHEDULE!G774)</f>
        <v>A</v>
      </c>
      <c r="H774" s="3" t="str">
        <f>IF([1]SCHEDULE!H774="","",[1]SCHEDULE!H774)</f>
        <v>MIL</v>
      </c>
      <c r="I774" s="3" t="str">
        <f>IF([1]SCHEDULE!I774="","",[1]SCHEDULE!I774)</f>
        <v>7.VAL</v>
      </c>
      <c r="J774" s="3" t="str">
        <f>IF([1]SCHEDULE!J774="","",[1]SCHEDULE!J774)</f>
        <v>7.MIL</v>
      </c>
    </row>
    <row r="775" spans="2:10" x14ac:dyDescent="0.25">
      <c r="B775" s="3" t="str">
        <f>IF([1]SCHEDULE!B775="","",[1]SCHEDULE!B775)</f>
        <v>VAL</v>
      </c>
      <c r="C775" s="3">
        <f>IF([1]SCHEDULE!C775="","",[1]SCHEDULE!C775)</f>
        <v>8</v>
      </c>
      <c r="D775" s="1" t="str">
        <f>IF([1]SCHEDULE!D775="","",[1]SCHEDULE!D775)</f>
        <v>Valencia Basket</v>
      </c>
      <c r="E775" s="1" t="str">
        <f>IF([1]SCHEDULE!E775="","",[1]SCHEDULE!E775)</f>
        <v>Real Madrid</v>
      </c>
      <c r="F775" s="6">
        <f>IF([1]SCHEDULE!F775="","",[1]SCHEDULE!F775)</f>
        <v>45244</v>
      </c>
      <c r="G775" s="3" t="str">
        <f>IF([1]SCHEDULE!G775="","",[1]SCHEDULE!G775)</f>
        <v>H</v>
      </c>
      <c r="H775" s="3" t="str">
        <f>IF([1]SCHEDULE!H775="","",[1]SCHEDULE!H775)</f>
        <v>RMB</v>
      </c>
      <c r="I775" s="3" t="str">
        <f>IF([1]SCHEDULE!I775="","",[1]SCHEDULE!I775)</f>
        <v>8.VAL</v>
      </c>
      <c r="J775" s="3" t="str">
        <f>IF([1]SCHEDULE!J775="","",[1]SCHEDULE!J775)</f>
        <v>8.RMB</v>
      </c>
    </row>
    <row r="776" spans="2:10" x14ac:dyDescent="0.25">
      <c r="B776" s="3" t="str">
        <f>IF([1]SCHEDULE!B776="","",[1]SCHEDULE!B776)</f>
        <v>VAL</v>
      </c>
      <c r="C776" s="3">
        <f>IF([1]SCHEDULE!C776="","",[1]SCHEDULE!C776)</f>
        <v>9</v>
      </c>
      <c r="D776" s="1" t="str">
        <f>IF([1]SCHEDULE!D776="","",[1]SCHEDULE!D776)</f>
        <v>Valencia Basket</v>
      </c>
      <c r="E776" s="1" t="str">
        <f>IF([1]SCHEDULE!E776="","",[1]SCHEDULE!E776)</f>
        <v>FC Barcelona</v>
      </c>
      <c r="F776" s="6">
        <f>IF([1]SCHEDULE!F776="","",[1]SCHEDULE!F776)</f>
        <v>45247</v>
      </c>
      <c r="G776" s="3" t="str">
        <f>IF([1]SCHEDULE!G776="","",[1]SCHEDULE!G776)</f>
        <v>A</v>
      </c>
      <c r="H776" s="3" t="str">
        <f>IF([1]SCHEDULE!H776="","",[1]SCHEDULE!H776)</f>
        <v>FCB</v>
      </c>
      <c r="I776" s="3" t="str">
        <f>IF([1]SCHEDULE!I776="","",[1]SCHEDULE!I776)</f>
        <v>9.VAL</v>
      </c>
      <c r="J776" s="3" t="str">
        <f>IF([1]SCHEDULE!J776="","",[1]SCHEDULE!J776)</f>
        <v>9.FCB</v>
      </c>
    </row>
    <row r="777" spans="2:10" x14ac:dyDescent="0.25">
      <c r="B777" s="3" t="str">
        <f>IF([1]SCHEDULE!B777="","",[1]SCHEDULE!B777)</f>
        <v>VAL</v>
      </c>
      <c r="C777" s="3">
        <f>IF([1]SCHEDULE!C777="","",[1]SCHEDULE!C777)</f>
        <v>10</v>
      </c>
      <c r="D777" s="1" t="str">
        <f>IF([1]SCHEDULE!D777="","",[1]SCHEDULE!D777)</f>
        <v>Valencia Basket</v>
      </c>
      <c r="E777" s="1" t="str">
        <f>IF([1]SCHEDULE!E777="","",[1]SCHEDULE!E777)</f>
        <v>Panathinaikos Athens</v>
      </c>
      <c r="F777" s="6">
        <f>IF([1]SCHEDULE!F777="","",[1]SCHEDULE!F777)</f>
        <v>45253</v>
      </c>
      <c r="G777" s="3" t="str">
        <f>IF([1]SCHEDULE!G777="","",[1]SCHEDULE!G777)</f>
        <v>A</v>
      </c>
      <c r="H777" s="3" t="str">
        <f>IF([1]SCHEDULE!H777="","",[1]SCHEDULE!H777)</f>
        <v>PAN</v>
      </c>
      <c r="I777" s="3" t="str">
        <f>IF([1]SCHEDULE!I777="","",[1]SCHEDULE!I777)</f>
        <v>10.VAL</v>
      </c>
      <c r="J777" s="3" t="str">
        <f>IF([1]SCHEDULE!J777="","",[1]SCHEDULE!J777)</f>
        <v>10.PAN</v>
      </c>
    </row>
    <row r="778" spans="2:10" x14ac:dyDescent="0.25">
      <c r="B778" s="3" t="str">
        <f>IF([1]SCHEDULE!B778="","",[1]SCHEDULE!B778)</f>
        <v>VAL</v>
      </c>
      <c r="C778" s="3">
        <f>IF([1]SCHEDULE!C778="","",[1]SCHEDULE!C778)</f>
        <v>11</v>
      </c>
      <c r="D778" s="1" t="str">
        <f>IF([1]SCHEDULE!D778="","",[1]SCHEDULE!D778)</f>
        <v>Valencia Basket</v>
      </c>
      <c r="E778" s="1" t="str">
        <f>IF([1]SCHEDULE!E778="","",[1]SCHEDULE!E778)</f>
        <v>Baskonia Vitoria-Gasteiz</v>
      </c>
      <c r="F778" s="6">
        <f>IF([1]SCHEDULE!F778="","",[1]SCHEDULE!F778)</f>
        <v>45261</v>
      </c>
      <c r="G778" s="3" t="str">
        <f>IF([1]SCHEDULE!G778="","",[1]SCHEDULE!G778)</f>
        <v>H</v>
      </c>
      <c r="H778" s="3" t="str">
        <f>IF([1]SCHEDULE!H778="","",[1]SCHEDULE!H778)</f>
        <v>BAS</v>
      </c>
      <c r="I778" s="3" t="str">
        <f>IF([1]SCHEDULE!I778="","",[1]SCHEDULE!I778)</f>
        <v>11.VAL</v>
      </c>
      <c r="J778" s="3" t="str">
        <f>IF([1]SCHEDULE!J778="","",[1]SCHEDULE!J778)</f>
        <v>11.BAS</v>
      </c>
    </row>
    <row r="779" spans="2:10" x14ac:dyDescent="0.25">
      <c r="B779" s="3" t="str">
        <f>IF([1]SCHEDULE!B779="","",[1]SCHEDULE!B779)</f>
        <v>VAL</v>
      </c>
      <c r="C779" s="3">
        <f>IF([1]SCHEDULE!C779="","",[1]SCHEDULE!C779)</f>
        <v>12</v>
      </c>
      <c r="D779" s="1" t="str">
        <f>IF([1]SCHEDULE!D779="","",[1]SCHEDULE!D779)</f>
        <v>Valencia Basket</v>
      </c>
      <c r="E779" s="1" t="str">
        <f>IF([1]SCHEDULE!E779="","",[1]SCHEDULE!E779)</f>
        <v>Crvena Zvezda Meridianbet Belgrade</v>
      </c>
      <c r="F779" s="6">
        <f>IF([1]SCHEDULE!F779="","",[1]SCHEDULE!F779)</f>
        <v>45266</v>
      </c>
      <c r="G779" s="3" t="str">
        <f>IF([1]SCHEDULE!G779="","",[1]SCHEDULE!G779)</f>
        <v>H</v>
      </c>
      <c r="H779" s="3" t="str">
        <f>IF([1]SCHEDULE!H779="","",[1]SCHEDULE!H779)</f>
        <v>CZB</v>
      </c>
      <c r="I779" s="3" t="str">
        <f>IF([1]SCHEDULE!I779="","",[1]SCHEDULE!I779)</f>
        <v>12.VAL</v>
      </c>
      <c r="J779" s="3" t="str">
        <f>IF([1]SCHEDULE!J779="","",[1]SCHEDULE!J779)</f>
        <v>12.CZB</v>
      </c>
    </row>
    <row r="780" spans="2:10" x14ac:dyDescent="0.25">
      <c r="B780" s="3" t="str">
        <f>IF([1]SCHEDULE!B780="","",[1]SCHEDULE!B780)</f>
        <v>VAL</v>
      </c>
      <c r="C780" s="3">
        <f>IF([1]SCHEDULE!C780="","",[1]SCHEDULE!C780)</f>
        <v>13</v>
      </c>
      <c r="D780" s="1" t="str">
        <f>IF([1]SCHEDULE!D780="","",[1]SCHEDULE!D780)</f>
        <v>Valencia Basket</v>
      </c>
      <c r="E780" s="1" t="str">
        <f>IF([1]SCHEDULE!E780="","",[1]SCHEDULE!E780)</f>
        <v>LDLC ASVEL Villeurbanne</v>
      </c>
      <c r="F780" s="6">
        <f>IF([1]SCHEDULE!F780="","",[1]SCHEDULE!F780)</f>
        <v>45268</v>
      </c>
      <c r="G780" s="3" t="str">
        <f>IF([1]SCHEDULE!G780="","",[1]SCHEDULE!G780)</f>
        <v>A</v>
      </c>
      <c r="H780" s="3" t="str">
        <f>IF([1]SCHEDULE!H780="","",[1]SCHEDULE!H780)</f>
        <v>ASV</v>
      </c>
      <c r="I780" s="3" t="str">
        <f>IF([1]SCHEDULE!I780="","",[1]SCHEDULE!I780)</f>
        <v>13.VAL</v>
      </c>
      <c r="J780" s="3" t="str">
        <f>IF([1]SCHEDULE!J780="","",[1]SCHEDULE!J780)</f>
        <v>13.ASV</v>
      </c>
    </row>
    <row r="781" spans="2:10" x14ac:dyDescent="0.25">
      <c r="B781" s="3" t="str">
        <f>IF([1]SCHEDULE!B781="","",[1]SCHEDULE!B781)</f>
        <v>VAL</v>
      </c>
      <c r="C781" s="3">
        <f>IF([1]SCHEDULE!C781="","",[1]SCHEDULE!C781)</f>
        <v>14</v>
      </c>
      <c r="D781" s="1" t="str">
        <f>IF([1]SCHEDULE!D781="","",[1]SCHEDULE!D781)</f>
        <v>Valencia Basket</v>
      </c>
      <c r="E781" s="1" t="str">
        <f>IF([1]SCHEDULE!E781="","",[1]SCHEDULE!E781)</f>
        <v>Olympiacos Piraeus</v>
      </c>
      <c r="F781" s="6">
        <f>IF([1]SCHEDULE!F781="","",[1]SCHEDULE!F781)</f>
        <v>45275</v>
      </c>
      <c r="G781" s="3" t="str">
        <f>IF([1]SCHEDULE!G781="","",[1]SCHEDULE!G781)</f>
        <v>A</v>
      </c>
      <c r="H781" s="3" t="str">
        <f>IF([1]SCHEDULE!H781="","",[1]SCHEDULE!H781)</f>
        <v>OLY</v>
      </c>
      <c r="I781" s="3" t="str">
        <f>IF([1]SCHEDULE!I781="","",[1]SCHEDULE!I781)</f>
        <v>14.VAL</v>
      </c>
      <c r="J781" s="3" t="str">
        <f>IF([1]SCHEDULE!J781="","",[1]SCHEDULE!J781)</f>
        <v>14.OLY</v>
      </c>
    </row>
    <row r="782" spans="2:10" x14ac:dyDescent="0.25">
      <c r="B782" s="3" t="str">
        <f>IF([1]SCHEDULE!B782="","",[1]SCHEDULE!B782)</f>
        <v>VAL</v>
      </c>
      <c r="C782" s="3">
        <f>IF([1]SCHEDULE!C782="","",[1]SCHEDULE!C782)</f>
        <v>15</v>
      </c>
      <c r="D782" s="1" t="str">
        <f>IF([1]SCHEDULE!D782="","",[1]SCHEDULE!D782)</f>
        <v>Valencia Basket</v>
      </c>
      <c r="E782" s="1" t="str">
        <f>IF([1]SCHEDULE!E782="","",[1]SCHEDULE!E782)</f>
        <v>Partizan Mozzart Bet Belgrade</v>
      </c>
      <c r="F782" s="6">
        <f>IF([1]SCHEDULE!F782="","",[1]SCHEDULE!F782)</f>
        <v>45279</v>
      </c>
      <c r="G782" s="3" t="str">
        <f>IF([1]SCHEDULE!G782="","",[1]SCHEDULE!G782)</f>
        <v>H</v>
      </c>
      <c r="H782" s="3" t="str">
        <f>IF([1]SCHEDULE!H782="","",[1]SCHEDULE!H782)</f>
        <v>PAR</v>
      </c>
      <c r="I782" s="3" t="str">
        <f>IF([1]SCHEDULE!I782="","",[1]SCHEDULE!I782)</f>
        <v>15.VAL</v>
      </c>
      <c r="J782" s="3" t="str">
        <f>IF([1]SCHEDULE!J782="","",[1]SCHEDULE!J782)</f>
        <v>15.PAR</v>
      </c>
    </row>
    <row r="783" spans="2:10" x14ac:dyDescent="0.25">
      <c r="B783" s="3" t="str">
        <f>IF([1]SCHEDULE!B783="","",[1]SCHEDULE!B783)</f>
        <v>VAL</v>
      </c>
      <c r="C783" s="3">
        <f>IF([1]SCHEDULE!C783="","",[1]SCHEDULE!C783)</f>
        <v>16</v>
      </c>
      <c r="D783" s="1" t="str">
        <f>IF([1]SCHEDULE!D783="","",[1]SCHEDULE!D783)</f>
        <v>Valencia Basket</v>
      </c>
      <c r="E783" s="1" t="str">
        <f>IF([1]SCHEDULE!E783="","",[1]SCHEDULE!E783)</f>
        <v>Virtus Segafredo Bologna</v>
      </c>
      <c r="F783" s="6">
        <f>IF([1]SCHEDULE!F783="","",[1]SCHEDULE!F783)</f>
        <v>45281</v>
      </c>
      <c r="G783" s="3" t="str">
        <f>IF([1]SCHEDULE!G783="","",[1]SCHEDULE!G783)</f>
        <v>H</v>
      </c>
      <c r="H783" s="3" t="str">
        <f>IF([1]SCHEDULE!H783="","",[1]SCHEDULE!H783)</f>
        <v>VIR</v>
      </c>
      <c r="I783" s="3" t="str">
        <f>IF([1]SCHEDULE!I783="","",[1]SCHEDULE!I783)</f>
        <v>16.VAL</v>
      </c>
      <c r="J783" s="3" t="str">
        <f>IF([1]SCHEDULE!J783="","",[1]SCHEDULE!J783)</f>
        <v>16.VIR</v>
      </c>
    </row>
    <row r="784" spans="2:10" x14ac:dyDescent="0.25">
      <c r="B784" s="3" t="str">
        <f>IF([1]SCHEDULE!B784="","",[1]SCHEDULE!B784)</f>
        <v>VAL</v>
      </c>
      <c r="C784" s="3">
        <f>IF([1]SCHEDULE!C784="","",[1]SCHEDULE!C784)</f>
        <v>17</v>
      </c>
      <c r="D784" s="1" t="str">
        <f>IF([1]SCHEDULE!D784="","",[1]SCHEDULE!D784)</f>
        <v>Valencia Basket</v>
      </c>
      <c r="E784" s="1" t="str">
        <f>IF([1]SCHEDULE!E784="","",[1]SCHEDULE!E784)</f>
        <v>FC Bayern Munich</v>
      </c>
      <c r="F784" s="6">
        <f>IF([1]SCHEDULE!F784="","",[1]SCHEDULE!F784)</f>
        <v>45288</v>
      </c>
      <c r="G784" s="3" t="str">
        <f>IF([1]SCHEDULE!G784="","",[1]SCHEDULE!G784)</f>
        <v>A</v>
      </c>
      <c r="H784" s="3" t="str">
        <f>IF([1]SCHEDULE!H784="","",[1]SCHEDULE!H784)</f>
        <v>BAY</v>
      </c>
      <c r="I784" s="3" t="str">
        <f>IF([1]SCHEDULE!I784="","",[1]SCHEDULE!I784)</f>
        <v>17.VAL</v>
      </c>
      <c r="J784" s="3" t="str">
        <f>IF([1]SCHEDULE!J784="","",[1]SCHEDULE!J784)</f>
        <v>17.BAY</v>
      </c>
    </row>
    <row r="785" spans="2:10" x14ac:dyDescent="0.25">
      <c r="B785" s="3" t="str">
        <f>IF([1]SCHEDULE!B785="","",[1]SCHEDULE!B785)</f>
        <v>VAL</v>
      </c>
      <c r="C785" s="3">
        <f>IF([1]SCHEDULE!C785="","",[1]SCHEDULE!C785)</f>
        <v>18</v>
      </c>
      <c r="D785" s="1" t="str">
        <f>IF([1]SCHEDULE!D785="","",[1]SCHEDULE!D785)</f>
        <v>Valencia Basket</v>
      </c>
      <c r="E785" s="1" t="str">
        <f>IF([1]SCHEDULE!E785="","",[1]SCHEDULE!E785)</f>
        <v>Anadolu Efes Istanbul</v>
      </c>
      <c r="F785" s="6">
        <f>IF([1]SCHEDULE!F785="","",[1]SCHEDULE!F785)</f>
        <v>45294</v>
      </c>
      <c r="G785" s="3" t="str">
        <f>IF([1]SCHEDULE!G785="","",[1]SCHEDULE!G785)</f>
        <v>H</v>
      </c>
      <c r="H785" s="3" t="str">
        <f>IF([1]SCHEDULE!H785="","",[1]SCHEDULE!H785)</f>
        <v>EFE</v>
      </c>
      <c r="I785" s="3" t="str">
        <f>IF([1]SCHEDULE!I785="","",[1]SCHEDULE!I785)</f>
        <v>18.VAL</v>
      </c>
      <c r="J785" s="3" t="str">
        <f>IF([1]SCHEDULE!J785="","",[1]SCHEDULE!J785)</f>
        <v>18.EFE</v>
      </c>
    </row>
    <row r="786" spans="2:10" x14ac:dyDescent="0.25">
      <c r="B786" s="3" t="str">
        <f>IF([1]SCHEDULE!B786="","",[1]SCHEDULE!B786)</f>
        <v>VAL</v>
      </c>
      <c r="C786" s="3">
        <f>IF([1]SCHEDULE!C786="","",[1]SCHEDULE!C786)</f>
        <v>19</v>
      </c>
      <c r="D786" s="1" t="str">
        <f>IF([1]SCHEDULE!D786="","",[1]SCHEDULE!D786)</f>
        <v>Valencia Basket</v>
      </c>
      <c r="E786" s="1" t="str">
        <f>IF([1]SCHEDULE!E786="","",[1]SCHEDULE!E786)</f>
        <v>Panathinaikos Athens</v>
      </c>
      <c r="F786" s="6">
        <f>IF([1]SCHEDULE!F786="","",[1]SCHEDULE!F786)</f>
        <v>45296</v>
      </c>
      <c r="G786" s="3" t="str">
        <f>IF([1]SCHEDULE!G786="","",[1]SCHEDULE!G786)</f>
        <v>H</v>
      </c>
      <c r="H786" s="3" t="str">
        <f>IF([1]SCHEDULE!H786="","",[1]SCHEDULE!H786)</f>
        <v>PAN</v>
      </c>
      <c r="I786" s="3" t="str">
        <f>IF([1]SCHEDULE!I786="","",[1]SCHEDULE!I786)</f>
        <v>19.VAL</v>
      </c>
      <c r="J786" s="3" t="str">
        <f>IF([1]SCHEDULE!J786="","",[1]SCHEDULE!J786)</f>
        <v>19.PAN</v>
      </c>
    </row>
    <row r="787" spans="2:10" x14ac:dyDescent="0.25">
      <c r="B787" s="3" t="str">
        <f>IF([1]SCHEDULE!B787="","",[1]SCHEDULE!B787)</f>
        <v>VAL</v>
      </c>
      <c r="C787" s="3">
        <f>IF([1]SCHEDULE!C787="","",[1]SCHEDULE!C787)</f>
        <v>20</v>
      </c>
      <c r="D787" s="1" t="str">
        <f>IF([1]SCHEDULE!D787="","",[1]SCHEDULE!D787)</f>
        <v>Valencia Basket</v>
      </c>
      <c r="E787" s="1" t="str">
        <f>IF([1]SCHEDULE!E787="","",[1]SCHEDULE!E787)</f>
        <v>Zalgiris Kaunas</v>
      </c>
      <c r="F787" s="6">
        <f>IF([1]SCHEDULE!F787="","",[1]SCHEDULE!F787)</f>
        <v>45300</v>
      </c>
      <c r="G787" s="3" t="str">
        <f>IF([1]SCHEDULE!G787="","",[1]SCHEDULE!G787)</f>
        <v>H</v>
      </c>
      <c r="H787" s="3" t="str">
        <f>IF([1]SCHEDULE!H787="","",[1]SCHEDULE!H787)</f>
        <v>ZAL</v>
      </c>
      <c r="I787" s="3" t="str">
        <f>IF([1]SCHEDULE!I787="","",[1]SCHEDULE!I787)</f>
        <v>20.VAL</v>
      </c>
      <c r="J787" s="3" t="str">
        <f>IF([1]SCHEDULE!J787="","",[1]SCHEDULE!J787)</f>
        <v>20.ZAL</v>
      </c>
    </row>
    <row r="788" spans="2:10" x14ac:dyDescent="0.25">
      <c r="B788" s="3" t="str">
        <f>IF([1]SCHEDULE!B788="","",[1]SCHEDULE!B788)</f>
        <v>VAL</v>
      </c>
      <c r="C788" s="3">
        <f>IF([1]SCHEDULE!C788="","",[1]SCHEDULE!C788)</f>
        <v>21</v>
      </c>
      <c r="D788" s="1" t="str">
        <f>IF([1]SCHEDULE!D788="","",[1]SCHEDULE!D788)</f>
        <v>Valencia Basket</v>
      </c>
      <c r="E788" s="1" t="str">
        <f>IF([1]SCHEDULE!E788="","",[1]SCHEDULE!E788)</f>
        <v>Real Madrid</v>
      </c>
      <c r="F788" s="6">
        <f>IF([1]SCHEDULE!F788="","",[1]SCHEDULE!F788)</f>
        <v>45302</v>
      </c>
      <c r="G788" s="3" t="str">
        <f>IF([1]SCHEDULE!G788="","",[1]SCHEDULE!G788)</f>
        <v>A</v>
      </c>
      <c r="H788" s="3" t="str">
        <f>IF([1]SCHEDULE!H788="","",[1]SCHEDULE!H788)</f>
        <v>RMB</v>
      </c>
      <c r="I788" s="3" t="str">
        <f>IF([1]SCHEDULE!I788="","",[1]SCHEDULE!I788)</f>
        <v>21.VAL</v>
      </c>
      <c r="J788" s="3" t="str">
        <f>IF([1]SCHEDULE!J788="","",[1]SCHEDULE!J788)</f>
        <v>21.RMB</v>
      </c>
    </row>
    <row r="789" spans="2:10" x14ac:dyDescent="0.25">
      <c r="B789" s="3" t="str">
        <f>IF([1]SCHEDULE!B789="","",[1]SCHEDULE!B789)</f>
        <v>VAL</v>
      </c>
      <c r="C789" s="3">
        <f>IF([1]SCHEDULE!C789="","",[1]SCHEDULE!C789)</f>
        <v>22</v>
      </c>
      <c r="D789" s="1" t="str">
        <f>IF([1]SCHEDULE!D789="","",[1]SCHEDULE!D789)</f>
        <v>Valencia Basket</v>
      </c>
      <c r="E789" s="1" t="str">
        <f>IF([1]SCHEDULE!E789="","",[1]SCHEDULE!E789)</f>
        <v>EA7 Emporio Armani Milan</v>
      </c>
      <c r="F789" s="6">
        <f>IF([1]SCHEDULE!F789="","",[1]SCHEDULE!F789)</f>
        <v>45310</v>
      </c>
      <c r="G789" s="3" t="str">
        <f>IF([1]SCHEDULE!G789="","",[1]SCHEDULE!G789)</f>
        <v>H</v>
      </c>
      <c r="H789" s="3" t="str">
        <f>IF([1]SCHEDULE!H789="","",[1]SCHEDULE!H789)</f>
        <v>MIL</v>
      </c>
      <c r="I789" s="3" t="str">
        <f>IF([1]SCHEDULE!I789="","",[1]SCHEDULE!I789)</f>
        <v>22.VAL</v>
      </c>
      <c r="J789" s="3" t="str">
        <f>IF([1]SCHEDULE!J789="","",[1]SCHEDULE!J789)</f>
        <v>22.MIL</v>
      </c>
    </row>
    <row r="790" spans="2:10" x14ac:dyDescent="0.25">
      <c r="B790" s="3" t="str">
        <f>IF([1]SCHEDULE!B790="","",[1]SCHEDULE!B790)</f>
        <v>VAL</v>
      </c>
      <c r="C790" s="3">
        <f>IF([1]SCHEDULE!C790="","",[1]SCHEDULE!C790)</f>
        <v>23</v>
      </c>
      <c r="D790" s="1" t="str">
        <f>IF([1]SCHEDULE!D790="","",[1]SCHEDULE!D790)</f>
        <v>Valencia Basket</v>
      </c>
      <c r="E790" s="1" t="str">
        <f>IF([1]SCHEDULE!E790="","",[1]SCHEDULE!E790)</f>
        <v>Baskonia Vitoria-Gasteiz</v>
      </c>
      <c r="F790" s="6">
        <f>IF([1]SCHEDULE!F790="","",[1]SCHEDULE!F790)</f>
        <v>45317</v>
      </c>
      <c r="G790" s="3" t="str">
        <f>IF([1]SCHEDULE!G790="","",[1]SCHEDULE!G790)</f>
        <v>A</v>
      </c>
      <c r="H790" s="3" t="str">
        <f>IF([1]SCHEDULE!H790="","",[1]SCHEDULE!H790)</f>
        <v>BAS</v>
      </c>
      <c r="I790" s="3" t="str">
        <f>IF([1]SCHEDULE!I790="","",[1]SCHEDULE!I790)</f>
        <v>23.VAL</v>
      </c>
      <c r="J790" s="3" t="str">
        <f>IF([1]SCHEDULE!J790="","",[1]SCHEDULE!J790)</f>
        <v>23.BAS</v>
      </c>
    </row>
    <row r="791" spans="2:10" x14ac:dyDescent="0.25">
      <c r="B791" s="3" t="str">
        <f>IF([1]SCHEDULE!B791="","",[1]SCHEDULE!B791)</f>
        <v>VAL</v>
      </c>
      <c r="C791" s="3">
        <f>IF([1]SCHEDULE!C791="","",[1]SCHEDULE!C791)</f>
        <v>24</v>
      </c>
      <c r="D791" s="1" t="str">
        <f>IF([1]SCHEDULE!D791="","",[1]SCHEDULE!D791)</f>
        <v>Valencia Basket</v>
      </c>
      <c r="E791" s="1" t="str">
        <f>IF([1]SCHEDULE!E791="","",[1]SCHEDULE!E791)</f>
        <v>Crvena Zvezda Meridianbet Belgrade</v>
      </c>
      <c r="F791" s="6">
        <f>IF([1]SCHEDULE!F791="","",[1]SCHEDULE!F791)</f>
        <v>45321</v>
      </c>
      <c r="G791" s="3" t="str">
        <f>IF([1]SCHEDULE!G791="","",[1]SCHEDULE!G791)</f>
        <v>A</v>
      </c>
      <c r="H791" s="3" t="str">
        <f>IF([1]SCHEDULE!H791="","",[1]SCHEDULE!H791)</f>
        <v>CZB</v>
      </c>
      <c r="I791" s="3" t="str">
        <f>IF([1]SCHEDULE!I791="","",[1]SCHEDULE!I791)</f>
        <v>24.VAL</v>
      </c>
      <c r="J791" s="3" t="str">
        <f>IF([1]SCHEDULE!J791="","",[1]SCHEDULE!J791)</f>
        <v>24.CZB</v>
      </c>
    </row>
    <row r="792" spans="2:10" x14ac:dyDescent="0.25">
      <c r="B792" s="3" t="str">
        <f>IF([1]SCHEDULE!B792="","",[1]SCHEDULE!B792)</f>
        <v>VAL</v>
      </c>
      <c r="C792" s="3">
        <f>IF([1]SCHEDULE!C792="","",[1]SCHEDULE!C792)</f>
        <v>25</v>
      </c>
      <c r="D792" s="1" t="str">
        <f>IF([1]SCHEDULE!D792="","",[1]SCHEDULE!D792)</f>
        <v>Valencia Basket</v>
      </c>
      <c r="E792" s="1" t="str">
        <f>IF([1]SCHEDULE!E792="","",[1]SCHEDULE!E792)</f>
        <v>ALBA Berlin</v>
      </c>
      <c r="F792" s="6">
        <f>IF([1]SCHEDULE!F792="","",[1]SCHEDULE!F792)</f>
        <v>45323</v>
      </c>
      <c r="G792" s="3" t="str">
        <f>IF([1]SCHEDULE!G792="","",[1]SCHEDULE!G792)</f>
        <v>A</v>
      </c>
      <c r="H792" s="3" t="str">
        <f>IF([1]SCHEDULE!H792="","",[1]SCHEDULE!H792)</f>
        <v>BER</v>
      </c>
      <c r="I792" s="3" t="str">
        <f>IF([1]SCHEDULE!I792="","",[1]SCHEDULE!I792)</f>
        <v>25.VAL</v>
      </c>
      <c r="J792" s="3" t="str">
        <f>IF([1]SCHEDULE!J792="","",[1]SCHEDULE!J792)</f>
        <v>25.BER</v>
      </c>
    </row>
    <row r="793" spans="2:10" x14ac:dyDescent="0.25">
      <c r="B793" s="3" t="str">
        <f>IF([1]SCHEDULE!B793="","",[1]SCHEDULE!B793)</f>
        <v>VAL</v>
      </c>
      <c r="C793" s="3">
        <f>IF([1]SCHEDULE!C793="","",[1]SCHEDULE!C793)</f>
        <v>26</v>
      </c>
      <c r="D793" s="1" t="str">
        <f>IF([1]SCHEDULE!D793="","",[1]SCHEDULE!D793)</f>
        <v>Valencia Basket</v>
      </c>
      <c r="E793" s="1" t="str">
        <f>IF([1]SCHEDULE!E793="","",[1]SCHEDULE!E793)</f>
        <v>Olympiacos Piraeus</v>
      </c>
      <c r="F793" s="6">
        <f>IF([1]SCHEDULE!F793="","",[1]SCHEDULE!F793)</f>
        <v>45330</v>
      </c>
      <c r="G793" s="3" t="str">
        <f>IF([1]SCHEDULE!G793="","",[1]SCHEDULE!G793)</f>
        <v>H</v>
      </c>
      <c r="H793" s="3" t="str">
        <f>IF([1]SCHEDULE!H793="","",[1]SCHEDULE!H793)</f>
        <v>OLY</v>
      </c>
      <c r="I793" s="3" t="str">
        <f>IF([1]SCHEDULE!I793="","",[1]SCHEDULE!I793)</f>
        <v>26.VAL</v>
      </c>
      <c r="J793" s="3" t="str">
        <f>IF([1]SCHEDULE!J793="","",[1]SCHEDULE!J793)</f>
        <v>26.OLY</v>
      </c>
    </row>
    <row r="794" spans="2:10" x14ac:dyDescent="0.25">
      <c r="B794" s="3" t="str">
        <f>IF([1]SCHEDULE!B794="","",[1]SCHEDULE!B794)</f>
        <v>VAL</v>
      </c>
      <c r="C794" s="3">
        <f>IF([1]SCHEDULE!C794="","",[1]SCHEDULE!C794)</f>
        <v>27</v>
      </c>
      <c r="D794" s="1" t="str">
        <f>IF([1]SCHEDULE!D794="","",[1]SCHEDULE!D794)</f>
        <v>Valencia Basket</v>
      </c>
      <c r="E794" s="1" t="str">
        <f>IF([1]SCHEDULE!E794="","",[1]SCHEDULE!E794)</f>
        <v>Virtus Segafredo Bologna</v>
      </c>
      <c r="F794" s="6">
        <f>IF([1]SCHEDULE!F794="","",[1]SCHEDULE!F794)</f>
        <v>45351</v>
      </c>
      <c r="G794" s="3" t="str">
        <f>IF([1]SCHEDULE!G794="","",[1]SCHEDULE!G794)</f>
        <v>A</v>
      </c>
      <c r="H794" s="3" t="str">
        <f>IF([1]SCHEDULE!H794="","",[1]SCHEDULE!H794)</f>
        <v>VIR</v>
      </c>
      <c r="I794" s="3" t="str">
        <f>IF([1]SCHEDULE!I794="","",[1]SCHEDULE!I794)</f>
        <v>27.VAL</v>
      </c>
      <c r="J794" s="3" t="str">
        <f>IF([1]SCHEDULE!J794="","",[1]SCHEDULE!J794)</f>
        <v>27.VIR</v>
      </c>
    </row>
    <row r="795" spans="2:10" x14ac:dyDescent="0.25">
      <c r="B795" s="3" t="str">
        <f>IF([1]SCHEDULE!B795="","",[1]SCHEDULE!B795)</f>
        <v>VAL</v>
      </c>
      <c r="C795" s="3">
        <f>IF([1]SCHEDULE!C795="","",[1]SCHEDULE!C795)</f>
        <v>28</v>
      </c>
      <c r="D795" s="1" t="str">
        <f>IF([1]SCHEDULE!D795="","",[1]SCHEDULE!D795)</f>
        <v>Valencia Basket</v>
      </c>
      <c r="E795" s="1" t="str">
        <f>IF([1]SCHEDULE!E795="","",[1]SCHEDULE!E795)</f>
        <v>FC Barcelona</v>
      </c>
      <c r="F795" s="6">
        <f>IF([1]SCHEDULE!F795="","",[1]SCHEDULE!F795)</f>
        <v>45358</v>
      </c>
      <c r="G795" s="3" t="str">
        <f>IF([1]SCHEDULE!G795="","",[1]SCHEDULE!G795)</f>
        <v>H</v>
      </c>
      <c r="H795" s="3" t="str">
        <f>IF([1]SCHEDULE!H795="","",[1]SCHEDULE!H795)</f>
        <v>FCB</v>
      </c>
      <c r="I795" s="3" t="str">
        <f>IF([1]SCHEDULE!I795="","",[1]SCHEDULE!I795)</f>
        <v>28.VAL</v>
      </c>
      <c r="J795" s="3" t="str">
        <f>IF([1]SCHEDULE!J795="","",[1]SCHEDULE!J795)</f>
        <v>28.FCB</v>
      </c>
    </row>
    <row r="796" spans="2:10" x14ac:dyDescent="0.25">
      <c r="B796" s="3" t="str">
        <f>IF([1]SCHEDULE!B796="","",[1]SCHEDULE!B796)</f>
        <v>VAL</v>
      </c>
      <c r="C796" s="3">
        <f>IF([1]SCHEDULE!C796="","",[1]SCHEDULE!C796)</f>
        <v>29</v>
      </c>
      <c r="D796" s="1" t="str">
        <f>IF([1]SCHEDULE!D796="","",[1]SCHEDULE!D796)</f>
        <v>Valencia Basket</v>
      </c>
      <c r="E796" s="1" t="str">
        <f>IF([1]SCHEDULE!E796="","",[1]SCHEDULE!E796)</f>
        <v>Fenerbahce Beko Istanbul</v>
      </c>
      <c r="F796" s="6">
        <f>IF([1]SCHEDULE!F796="","",[1]SCHEDULE!F796)</f>
        <v>45365</v>
      </c>
      <c r="G796" s="3" t="str">
        <f>IF([1]SCHEDULE!G796="","",[1]SCHEDULE!G796)</f>
        <v>A</v>
      </c>
      <c r="H796" s="3" t="str">
        <f>IF([1]SCHEDULE!H796="","",[1]SCHEDULE!H796)</f>
        <v>FEN</v>
      </c>
      <c r="I796" s="3" t="str">
        <f>IF([1]SCHEDULE!I796="","",[1]SCHEDULE!I796)</f>
        <v>29.VAL</v>
      </c>
      <c r="J796" s="3" t="str">
        <f>IF([1]SCHEDULE!J796="","",[1]SCHEDULE!J796)</f>
        <v>29.FEN</v>
      </c>
    </row>
    <row r="797" spans="2:10" x14ac:dyDescent="0.25">
      <c r="B797" s="3" t="str">
        <f>IF([1]SCHEDULE!B797="","",[1]SCHEDULE!B797)</f>
        <v>VAL</v>
      </c>
      <c r="C797" s="3">
        <f>IF([1]SCHEDULE!C797="","",[1]SCHEDULE!C797)</f>
        <v>30</v>
      </c>
      <c r="D797" s="1" t="str">
        <f>IF([1]SCHEDULE!D797="","",[1]SCHEDULE!D797)</f>
        <v>Valencia Basket</v>
      </c>
      <c r="E797" s="1" t="str">
        <f>IF([1]SCHEDULE!E797="","",[1]SCHEDULE!E797)</f>
        <v>FC Bayern Munich</v>
      </c>
      <c r="F797" s="6">
        <f>IF([1]SCHEDULE!F797="","",[1]SCHEDULE!F797)</f>
        <v>45371</v>
      </c>
      <c r="G797" s="3" t="str">
        <f>IF([1]SCHEDULE!G797="","",[1]SCHEDULE!G797)</f>
        <v>H</v>
      </c>
      <c r="H797" s="3" t="str">
        <f>IF([1]SCHEDULE!H797="","",[1]SCHEDULE!H797)</f>
        <v>BAY</v>
      </c>
      <c r="I797" s="3" t="str">
        <f>IF([1]SCHEDULE!I797="","",[1]SCHEDULE!I797)</f>
        <v>30.VAL</v>
      </c>
      <c r="J797" s="3" t="str">
        <f>IF([1]SCHEDULE!J797="","",[1]SCHEDULE!J797)</f>
        <v>30.BAY</v>
      </c>
    </row>
    <row r="798" spans="2:10" x14ac:dyDescent="0.25">
      <c r="B798" s="3" t="str">
        <f>IF([1]SCHEDULE!B798="","",[1]SCHEDULE!B798)</f>
        <v>VAL</v>
      </c>
      <c r="C798" s="3">
        <f>IF([1]SCHEDULE!C798="","",[1]SCHEDULE!C798)</f>
        <v>31</v>
      </c>
      <c r="D798" s="1" t="str">
        <f>IF([1]SCHEDULE!D798="","",[1]SCHEDULE!D798)</f>
        <v>Valencia Basket</v>
      </c>
      <c r="E798" s="1" t="str">
        <f>IF([1]SCHEDULE!E798="","",[1]SCHEDULE!E798)</f>
        <v>AS Monaco</v>
      </c>
      <c r="F798" s="6">
        <f>IF([1]SCHEDULE!F798="","",[1]SCHEDULE!F798)</f>
        <v>45373</v>
      </c>
      <c r="G798" s="3" t="str">
        <f>IF([1]SCHEDULE!G798="","",[1]SCHEDULE!G798)</f>
        <v>A</v>
      </c>
      <c r="H798" s="3" t="str">
        <f>IF([1]SCHEDULE!H798="","",[1]SCHEDULE!H798)</f>
        <v>ASM</v>
      </c>
      <c r="I798" s="3" t="str">
        <f>IF([1]SCHEDULE!I798="","",[1]SCHEDULE!I798)</f>
        <v>31.VAL</v>
      </c>
      <c r="J798" s="3" t="str">
        <f>IF([1]SCHEDULE!J798="","",[1]SCHEDULE!J798)</f>
        <v>31.ASM</v>
      </c>
    </row>
    <row r="799" spans="2:10" x14ac:dyDescent="0.25">
      <c r="B799" s="3" t="str">
        <f>IF([1]SCHEDULE!B799="","",[1]SCHEDULE!B799)</f>
        <v>VAL</v>
      </c>
      <c r="C799" s="3">
        <f>IF([1]SCHEDULE!C799="","",[1]SCHEDULE!C799)</f>
        <v>32</v>
      </c>
      <c r="D799" s="1" t="str">
        <f>IF([1]SCHEDULE!D799="","",[1]SCHEDULE!D799)</f>
        <v>Valencia Basket</v>
      </c>
      <c r="E799" s="1" t="str">
        <f>IF([1]SCHEDULE!E799="","",[1]SCHEDULE!E799)</f>
        <v>Maccabi Playtika Tel Aviv</v>
      </c>
      <c r="F799" s="6">
        <f>IF([1]SCHEDULE!F799="","",[1]SCHEDULE!F799)</f>
        <v>45379</v>
      </c>
      <c r="G799" s="3" t="str">
        <f>IF([1]SCHEDULE!G799="","",[1]SCHEDULE!G799)</f>
        <v>H</v>
      </c>
      <c r="H799" s="3" t="str">
        <f>IF([1]SCHEDULE!H799="","",[1]SCHEDULE!H799)</f>
        <v>MTA</v>
      </c>
      <c r="I799" s="3" t="str">
        <f>IF([1]SCHEDULE!I799="","",[1]SCHEDULE!I799)</f>
        <v>32.VAL</v>
      </c>
      <c r="J799" s="3" t="str">
        <f>IF([1]SCHEDULE!J799="","",[1]SCHEDULE!J799)</f>
        <v>32.MTA</v>
      </c>
    </row>
    <row r="800" spans="2:10" x14ac:dyDescent="0.25">
      <c r="B800" s="3" t="str">
        <f>IF([1]SCHEDULE!B800="","",[1]SCHEDULE!B800)</f>
        <v>VAL</v>
      </c>
      <c r="C800" s="3">
        <f>IF([1]SCHEDULE!C800="","",[1]SCHEDULE!C800)</f>
        <v>33</v>
      </c>
      <c r="D800" s="1" t="str">
        <f>IF([1]SCHEDULE!D800="","",[1]SCHEDULE!D800)</f>
        <v>Valencia Basket</v>
      </c>
      <c r="E800" s="1" t="str">
        <f>IF([1]SCHEDULE!E800="","",[1]SCHEDULE!E800)</f>
        <v>LDLC ASVEL Villeurbanne</v>
      </c>
      <c r="F800" s="6">
        <f>IF([1]SCHEDULE!F800="","",[1]SCHEDULE!F800)</f>
        <v>45386</v>
      </c>
      <c r="G800" s="3" t="str">
        <f>IF([1]SCHEDULE!G800="","",[1]SCHEDULE!G800)</f>
        <v>H</v>
      </c>
      <c r="H800" s="3" t="str">
        <f>IF([1]SCHEDULE!H800="","",[1]SCHEDULE!H800)</f>
        <v>ASV</v>
      </c>
      <c r="I800" s="3" t="str">
        <f>IF([1]SCHEDULE!I800="","",[1]SCHEDULE!I800)</f>
        <v>33.VAL</v>
      </c>
      <c r="J800" s="3" t="str">
        <f>IF([1]SCHEDULE!J800="","",[1]SCHEDULE!J800)</f>
        <v>33.ASV</v>
      </c>
    </row>
    <row r="801" spans="2:10" x14ac:dyDescent="0.25">
      <c r="B801" s="3" t="str">
        <f>IF([1]SCHEDULE!B801="","",[1]SCHEDULE!B801)</f>
        <v>VAL</v>
      </c>
      <c r="C801" s="3">
        <f>IF([1]SCHEDULE!C801="","",[1]SCHEDULE!C801)</f>
        <v>34</v>
      </c>
      <c r="D801" s="1" t="str">
        <f>IF([1]SCHEDULE!D801="","",[1]SCHEDULE!D801)</f>
        <v>Valencia Basket</v>
      </c>
      <c r="E801" s="1" t="str">
        <f>IF([1]SCHEDULE!E801="","",[1]SCHEDULE!E801)</f>
        <v>Partizan Mozzart Bet Belgrade</v>
      </c>
      <c r="F801" s="6">
        <f>IF([1]SCHEDULE!F801="","",[1]SCHEDULE!F801)</f>
        <v>45394</v>
      </c>
      <c r="G801" s="3" t="str">
        <f>IF([1]SCHEDULE!G801="","",[1]SCHEDULE!G801)</f>
        <v>A</v>
      </c>
      <c r="H801" s="3" t="str">
        <f>IF([1]SCHEDULE!H801="","",[1]SCHEDULE!H801)</f>
        <v>PAR</v>
      </c>
      <c r="I801" s="3" t="str">
        <f>IF([1]SCHEDULE!I801="","",[1]SCHEDULE!I801)</f>
        <v>34.VAL</v>
      </c>
      <c r="J801" s="3" t="str">
        <f>IF([1]SCHEDULE!J801="","",[1]SCHEDULE!J801)</f>
        <v>34.PAR</v>
      </c>
    </row>
    <row r="802" spans="2:10" x14ac:dyDescent="0.25">
      <c r="B802" s="3" t="str">
        <f>IF([1]SCHEDULE!B802="","",[1]SCHEDULE!B802)</f>
        <v>VAL</v>
      </c>
      <c r="C802" s="3">
        <f>IF([1]SCHEDULE!C802="","",[1]SCHEDULE!C802)</f>
        <v>35</v>
      </c>
      <c r="D802" s="1" t="str">
        <f>IF([1]SCHEDULE!D802="","",[1]SCHEDULE!D802)</f>
        <v>Valencia Basket</v>
      </c>
      <c r="E802" s="1" t="str">
        <f>IF([1]SCHEDULE!E802="","",[1]SCHEDULE!E802)</f>
        <v/>
      </c>
      <c r="F802" s="6" t="str">
        <f>IF([1]SCHEDULE!F802="","",[1]SCHEDULE!F802)</f>
        <v/>
      </c>
      <c r="G802" s="3" t="str">
        <f>IF([1]SCHEDULE!G802="","",[1]SCHEDULE!G802)</f>
        <v/>
      </c>
      <c r="H802" s="3" t="str">
        <f>IF([1]SCHEDULE!H802="","",[1]SCHEDULE!H802)</f>
        <v/>
      </c>
      <c r="I802" s="3" t="str">
        <f>IF([1]SCHEDULE!I802="","",[1]SCHEDULE!I802)</f>
        <v/>
      </c>
      <c r="J802" s="3" t="str">
        <f>IF([1]SCHEDULE!J802="","",[1]SCHEDULE!J802)</f>
        <v/>
      </c>
    </row>
    <row r="803" spans="2:10" x14ac:dyDescent="0.25">
      <c r="B803" s="3" t="str">
        <f>IF([1]SCHEDULE!B803="","",[1]SCHEDULE!B803)</f>
        <v>VAL</v>
      </c>
      <c r="C803" s="3">
        <f>IF([1]SCHEDULE!C803="","",[1]SCHEDULE!C803)</f>
        <v>36</v>
      </c>
      <c r="D803" s="1" t="str">
        <f>IF([1]SCHEDULE!D803="","",[1]SCHEDULE!D803)</f>
        <v>Valencia Basket</v>
      </c>
      <c r="E803" s="1" t="str">
        <f>IF([1]SCHEDULE!E803="","",[1]SCHEDULE!E803)</f>
        <v/>
      </c>
      <c r="F803" s="6" t="str">
        <f>IF([1]SCHEDULE!F803="","",[1]SCHEDULE!F803)</f>
        <v/>
      </c>
      <c r="G803" s="3" t="str">
        <f>IF([1]SCHEDULE!G803="","",[1]SCHEDULE!G803)</f>
        <v/>
      </c>
      <c r="H803" s="3" t="str">
        <f>IF([1]SCHEDULE!H803="","",[1]SCHEDULE!H803)</f>
        <v/>
      </c>
      <c r="I803" s="3" t="str">
        <f>IF([1]SCHEDULE!I803="","",[1]SCHEDULE!I803)</f>
        <v/>
      </c>
      <c r="J803" s="3" t="str">
        <f>IF([1]SCHEDULE!J803="","",[1]SCHEDULE!J803)</f>
        <v/>
      </c>
    </row>
    <row r="804" spans="2:10" x14ac:dyDescent="0.25">
      <c r="B804" s="3" t="str">
        <f>IF([1]SCHEDULE!B804="","",[1]SCHEDULE!B804)</f>
        <v>VAL</v>
      </c>
      <c r="C804" s="3">
        <f>IF([1]SCHEDULE!C804="","",[1]SCHEDULE!C804)</f>
        <v>37</v>
      </c>
      <c r="D804" s="1" t="str">
        <f>IF([1]SCHEDULE!D804="","",[1]SCHEDULE!D804)</f>
        <v>Valencia Basket</v>
      </c>
      <c r="E804" s="1" t="str">
        <f>IF([1]SCHEDULE!E804="","",[1]SCHEDULE!E804)</f>
        <v/>
      </c>
      <c r="F804" s="6" t="str">
        <f>IF([1]SCHEDULE!F804="","",[1]SCHEDULE!F804)</f>
        <v/>
      </c>
      <c r="G804" s="3" t="str">
        <f>IF([1]SCHEDULE!G804="","",[1]SCHEDULE!G804)</f>
        <v/>
      </c>
      <c r="H804" s="3" t="str">
        <f>IF([1]SCHEDULE!H804="","",[1]SCHEDULE!H804)</f>
        <v/>
      </c>
      <c r="I804" s="3" t="str">
        <f>IF([1]SCHEDULE!I804="","",[1]SCHEDULE!I804)</f>
        <v/>
      </c>
      <c r="J804" s="3" t="str">
        <f>IF([1]SCHEDULE!J804="","",[1]SCHEDULE!J804)</f>
        <v/>
      </c>
    </row>
    <row r="805" spans="2:10" x14ac:dyDescent="0.25">
      <c r="B805" s="3" t="str">
        <f>IF([1]SCHEDULE!B805="","",[1]SCHEDULE!B805)</f>
        <v>VAL</v>
      </c>
      <c r="C805" s="3">
        <f>IF([1]SCHEDULE!C805="","",[1]SCHEDULE!C805)</f>
        <v>38</v>
      </c>
      <c r="D805" s="1" t="str">
        <f>IF([1]SCHEDULE!D805="","",[1]SCHEDULE!D805)</f>
        <v>Valencia Basket</v>
      </c>
      <c r="E805" s="1" t="str">
        <f>IF([1]SCHEDULE!E805="","",[1]SCHEDULE!E805)</f>
        <v/>
      </c>
      <c r="F805" s="6" t="str">
        <f>IF([1]SCHEDULE!F805="","",[1]SCHEDULE!F805)</f>
        <v/>
      </c>
      <c r="G805" s="3" t="str">
        <f>IF([1]SCHEDULE!G805="","",[1]SCHEDULE!G805)</f>
        <v/>
      </c>
      <c r="H805" s="3" t="str">
        <f>IF([1]SCHEDULE!H805="","",[1]SCHEDULE!H805)</f>
        <v/>
      </c>
      <c r="I805" s="3" t="str">
        <f>IF([1]SCHEDULE!I805="","",[1]SCHEDULE!I805)</f>
        <v/>
      </c>
      <c r="J805" s="3" t="str">
        <f>IF([1]SCHEDULE!J805="","",[1]SCHEDULE!J805)</f>
        <v/>
      </c>
    </row>
    <row r="806" spans="2:10" x14ac:dyDescent="0.25">
      <c r="B806" s="3" t="str">
        <f>IF([1]SCHEDULE!B806="","",[1]SCHEDULE!B806)</f>
        <v>VAL</v>
      </c>
      <c r="C806" s="3">
        <f>IF([1]SCHEDULE!C806="","",[1]SCHEDULE!C806)</f>
        <v>39</v>
      </c>
      <c r="D806" s="1" t="str">
        <f>IF([1]SCHEDULE!D806="","",[1]SCHEDULE!D806)</f>
        <v>Valencia Basket</v>
      </c>
      <c r="E806" s="1" t="str">
        <f>IF([1]SCHEDULE!E806="","",[1]SCHEDULE!E806)</f>
        <v/>
      </c>
      <c r="F806" s="6" t="str">
        <f>IF([1]SCHEDULE!F806="","",[1]SCHEDULE!F806)</f>
        <v/>
      </c>
      <c r="G806" s="3" t="str">
        <f>IF([1]SCHEDULE!G806="","",[1]SCHEDULE!G806)</f>
        <v/>
      </c>
      <c r="H806" s="3" t="str">
        <f>IF([1]SCHEDULE!H806="","",[1]SCHEDULE!H806)</f>
        <v/>
      </c>
      <c r="I806" s="3" t="str">
        <f>IF([1]SCHEDULE!I806="","",[1]SCHEDULE!I806)</f>
        <v/>
      </c>
      <c r="J806" s="3" t="str">
        <f>IF([1]SCHEDULE!J806="","",[1]SCHEDULE!J806)</f>
        <v/>
      </c>
    </row>
    <row r="807" spans="2:10" x14ac:dyDescent="0.25">
      <c r="B807" s="3" t="str">
        <f>IF([1]SCHEDULE!B807="","",[1]SCHEDULE!B807)</f>
        <v>VAL</v>
      </c>
      <c r="C807" s="3">
        <f>IF([1]SCHEDULE!C807="","",[1]SCHEDULE!C807)</f>
        <v>40</v>
      </c>
      <c r="D807" s="1" t="str">
        <f>IF([1]SCHEDULE!D807="","",[1]SCHEDULE!D807)</f>
        <v>Valencia Basket</v>
      </c>
      <c r="E807" s="1" t="str">
        <f>IF([1]SCHEDULE!E807="","",[1]SCHEDULE!E807)</f>
        <v/>
      </c>
      <c r="F807" s="6" t="str">
        <f>IF([1]SCHEDULE!F807="","",[1]SCHEDULE!F807)</f>
        <v/>
      </c>
      <c r="G807" s="3" t="str">
        <f>IF([1]SCHEDULE!G807="","",[1]SCHEDULE!G807)</f>
        <v/>
      </c>
      <c r="H807" s="3" t="str">
        <f>IF([1]SCHEDULE!H807="","",[1]SCHEDULE!H807)</f>
        <v/>
      </c>
      <c r="I807" s="3" t="str">
        <f>IF([1]SCHEDULE!I807="","",[1]SCHEDULE!I807)</f>
        <v/>
      </c>
      <c r="J807" s="3" t="str">
        <f>IF([1]SCHEDULE!J807="","",[1]SCHEDULE!J807)</f>
        <v/>
      </c>
    </row>
    <row r="808" spans="2:10" x14ac:dyDescent="0.25">
      <c r="B808" s="3" t="str">
        <f>IF([1]SCHEDULE!B808="","",[1]SCHEDULE!B808)</f>
        <v>VAL</v>
      </c>
      <c r="C808" s="3">
        <f>IF([1]SCHEDULE!C808="","",[1]SCHEDULE!C808)</f>
        <v>41</v>
      </c>
      <c r="D808" s="1" t="str">
        <f>IF([1]SCHEDULE!D808="","",[1]SCHEDULE!D808)</f>
        <v>Valencia Basket</v>
      </c>
      <c r="E808" s="1" t="str">
        <f>IF([1]SCHEDULE!E808="","",[1]SCHEDULE!E808)</f>
        <v/>
      </c>
      <c r="F808" s="6" t="str">
        <f>IF([1]SCHEDULE!F808="","",[1]SCHEDULE!F808)</f>
        <v/>
      </c>
      <c r="G808" s="3" t="str">
        <f>IF([1]SCHEDULE!G808="","",[1]SCHEDULE!G808)</f>
        <v/>
      </c>
      <c r="H808" s="3" t="str">
        <f>IF([1]SCHEDULE!H808="","",[1]SCHEDULE!H808)</f>
        <v/>
      </c>
      <c r="I808" s="3" t="str">
        <f>IF([1]SCHEDULE!I808="","",[1]SCHEDULE!I808)</f>
        <v/>
      </c>
      <c r="J808" s="3" t="str">
        <f>IF([1]SCHEDULE!J808="","",[1]SCHEDULE!J808)</f>
        <v/>
      </c>
    </row>
    <row r="809" spans="2:10" x14ac:dyDescent="0.25">
      <c r="B809" s="3" t="str">
        <f>IF([1]SCHEDULE!B809="","",[1]SCHEDULE!B809)</f>
        <v>VAL</v>
      </c>
      <c r="C809" s="3">
        <f>IF([1]SCHEDULE!C809="","",[1]SCHEDULE!C809)</f>
        <v>42</v>
      </c>
      <c r="D809" s="1" t="str">
        <f>IF([1]SCHEDULE!D809="","",[1]SCHEDULE!D809)</f>
        <v>Valencia Basket</v>
      </c>
      <c r="E809" s="1" t="str">
        <f>IF([1]SCHEDULE!E809="","",[1]SCHEDULE!E809)</f>
        <v/>
      </c>
      <c r="F809" s="6" t="str">
        <f>IF([1]SCHEDULE!F809="","",[1]SCHEDULE!F809)</f>
        <v/>
      </c>
      <c r="G809" s="3" t="str">
        <f>IF([1]SCHEDULE!G809="","",[1]SCHEDULE!G809)</f>
        <v/>
      </c>
      <c r="H809" s="3" t="str">
        <f>IF([1]SCHEDULE!H809="","",[1]SCHEDULE!H809)</f>
        <v/>
      </c>
      <c r="I809" s="3" t="str">
        <f>IF([1]SCHEDULE!I809="","",[1]SCHEDULE!I809)</f>
        <v/>
      </c>
      <c r="J809" s="3" t="str">
        <f>IF([1]SCHEDULE!J809="","",[1]SCHEDULE!J809)</f>
        <v/>
      </c>
    </row>
    <row r="810" spans="2:10" x14ac:dyDescent="0.25">
      <c r="B810" s="3" t="str">
        <f>IF([1]SCHEDULE!B810="","",[1]SCHEDULE!B810)</f>
        <v>VAL</v>
      </c>
      <c r="C810" s="3">
        <f>IF([1]SCHEDULE!C810="","",[1]SCHEDULE!C810)</f>
        <v>43</v>
      </c>
      <c r="D810" s="1" t="str">
        <f>IF([1]SCHEDULE!D810="","",[1]SCHEDULE!D810)</f>
        <v>Valencia Basket</v>
      </c>
      <c r="E810" s="1" t="str">
        <f>IF([1]SCHEDULE!E810="","",[1]SCHEDULE!E810)</f>
        <v/>
      </c>
      <c r="F810" s="6" t="str">
        <f>IF([1]SCHEDULE!F810="","",[1]SCHEDULE!F810)</f>
        <v/>
      </c>
      <c r="G810" s="3" t="str">
        <f>IF([1]SCHEDULE!G810="","",[1]SCHEDULE!G810)</f>
        <v/>
      </c>
      <c r="H810" s="3" t="str">
        <f>IF([1]SCHEDULE!H810="","",[1]SCHEDULE!H810)</f>
        <v/>
      </c>
      <c r="I810" s="3" t="str">
        <f>IF([1]SCHEDULE!I810="","",[1]SCHEDULE!I810)</f>
        <v/>
      </c>
      <c r="J810" s="3" t="str">
        <f>IF([1]SCHEDULE!J810="","",[1]SCHEDULE!J810)</f>
        <v/>
      </c>
    </row>
    <row r="811" spans="2:10" x14ac:dyDescent="0.25">
      <c r="B811" s="3" t="str">
        <f>IF([1]SCHEDULE!B811="","",[1]SCHEDULE!B811)</f>
        <v>VAL</v>
      </c>
      <c r="C811" s="3">
        <f>IF([1]SCHEDULE!C811="","",[1]SCHEDULE!C811)</f>
        <v>44</v>
      </c>
      <c r="D811" s="1" t="str">
        <f>IF([1]SCHEDULE!D811="","",[1]SCHEDULE!D811)</f>
        <v>Valencia Basket</v>
      </c>
      <c r="E811" s="1" t="str">
        <f>IF([1]SCHEDULE!E811="","",[1]SCHEDULE!E811)</f>
        <v/>
      </c>
      <c r="F811" s="6" t="str">
        <f>IF([1]SCHEDULE!F811="","",[1]SCHEDULE!F811)</f>
        <v/>
      </c>
      <c r="G811" s="3" t="str">
        <f>IF([1]SCHEDULE!G811="","",[1]SCHEDULE!G811)</f>
        <v/>
      </c>
      <c r="H811" s="3" t="str">
        <f>IF([1]SCHEDULE!H811="","",[1]SCHEDULE!H811)</f>
        <v/>
      </c>
      <c r="I811" s="3" t="str">
        <f>IF([1]SCHEDULE!I811="","",[1]SCHEDULE!I811)</f>
        <v/>
      </c>
      <c r="J811" s="3" t="str">
        <f>IF([1]SCHEDULE!J811="","",[1]SCHEDULE!J811)</f>
        <v/>
      </c>
    </row>
    <row r="812" spans="2:10" x14ac:dyDescent="0.25">
      <c r="B812" s="3" t="str">
        <f>IF([1]SCHEDULE!B812="","",[1]SCHEDULE!B812)</f>
        <v>VAL</v>
      </c>
      <c r="C812" s="3">
        <f>IF([1]SCHEDULE!C812="","",[1]SCHEDULE!C812)</f>
        <v>45</v>
      </c>
      <c r="D812" s="1" t="str">
        <f>IF([1]SCHEDULE!D812="","",[1]SCHEDULE!D812)</f>
        <v>Valencia Basket</v>
      </c>
      <c r="E812" s="1" t="str">
        <f>IF([1]SCHEDULE!E812="","",[1]SCHEDULE!E812)</f>
        <v/>
      </c>
      <c r="F812" s="6" t="str">
        <f>IF([1]SCHEDULE!F812="","",[1]SCHEDULE!F812)</f>
        <v/>
      </c>
      <c r="G812" s="3" t="str">
        <f>IF([1]SCHEDULE!G812="","",[1]SCHEDULE!G812)</f>
        <v/>
      </c>
      <c r="H812" s="3" t="str">
        <f>IF([1]SCHEDULE!H812="","",[1]SCHEDULE!H812)</f>
        <v/>
      </c>
      <c r="I812" s="3" t="str">
        <f>IF([1]SCHEDULE!I812="","",[1]SCHEDULE!I812)</f>
        <v/>
      </c>
      <c r="J812" s="3" t="str">
        <f>IF([1]SCHEDULE!J812="","",[1]SCHEDULE!J812)</f>
        <v/>
      </c>
    </row>
    <row r="813" spans="2:10" x14ac:dyDescent="0.25">
      <c r="B813" s="3" t="str">
        <f>IF([1]SCHEDULE!B813="","",[1]SCHEDULE!B813)</f>
        <v>VAL</v>
      </c>
      <c r="C813" s="3">
        <f>IF([1]SCHEDULE!C813="","",[1]SCHEDULE!C813)</f>
        <v>46</v>
      </c>
      <c r="D813" s="1" t="str">
        <f>IF([1]SCHEDULE!D813="","",[1]SCHEDULE!D813)</f>
        <v>Valencia Basket</v>
      </c>
      <c r="E813" s="1" t="str">
        <f>IF([1]SCHEDULE!E813="","",[1]SCHEDULE!E813)</f>
        <v/>
      </c>
      <c r="F813" s="6" t="str">
        <f>IF([1]SCHEDULE!F813="","",[1]SCHEDULE!F813)</f>
        <v/>
      </c>
      <c r="G813" s="3" t="str">
        <f>IF([1]SCHEDULE!G813="","",[1]SCHEDULE!G813)</f>
        <v/>
      </c>
      <c r="H813" s="3" t="str">
        <f>IF([1]SCHEDULE!H813="","",[1]SCHEDULE!H813)</f>
        <v/>
      </c>
      <c r="I813" s="3" t="str">
        <f>IF([1]SCHEDULE!I813="","",[1]SCHEDULE!I813)</f>
        <v/>
      </c>
      <c r="J813" s="3" t="str">
        <f>IF([1]SCHEDULE!J813="","",[1]SCHEDULE!J813)</f>
        <v/>
      </c>
    </row>
    <row r="814" spans="2:10" x14ac:dyDescent="0.25">
      <c r="B814" s="3" t="str">
        <f>IF([1]SCHEDULE!B814="","",[1]SCHEDULE!B814)</f>
        <v>VAL</v>
      </c>
      <c r="C814" s="3">
        <f>IF([1]SCHEDULE!C814="","",[1]SCHEDULE!C814)</f>
        <v>47</v>
      </c>
      <c r="D814" s="1" t="str">
        <f>IF([1]SCHEDULE!D814="","",[1]SCHEDULE!D814)</f>
        <v>Valencia Basket</v>
      </c>
      <c r="E814" s="1" t="str">
        <f>IF([1]SCHEDULE!E814="","",[1]SCHEDULE!E814)</f>
        <v/>
      </c>
      <c r="F814" s="6" t="str">
        <f>IF([1]SCHEDULE!F814="","",[1]SCHEDULE!F814)</f>
        <v/>
      </c>
      <c r="G814" s="3" t="str">
        <f>IF([1]SCHEDULE!G814="","",[1]SCHEDULE!G814)</f>
        <v/>
      </c>
      <c r="H814" s="3" t="str">
        <f>IF([1]SCHEDULE!H814="","",[1]SCHEDULE!H814)</f>
        <v/>
      </c>
      <c r="I814" s="3" t="str">
        <f>IF([1]SCHEDULE!I814="","",[1]SCHEDULE!I814)</f>
        <v/>
      </c>
      <c r="J814" s="3" t="str">
        <f>IF([1]SCHEDULE!J814="","",[1]SCHEDULE!J814)</f>
        <v/>
      </c>
    </row>
    <row r="815" spans="2:10" x14ac:dyDescent="0.25">
      <c r="B815" s="3" t="str">
        <f>IF([1]SCHEDULE!B815="","",[1]SCHEDULE!B815)</f>
        <v>VAL</v>
      </c>
      <c r="C815" s="3">
        <f>IF([1]SCHEDULE!C815="","",[1]SCHEDULE!C815)</f>
        <v>48</v>
      </c>
      <c r="D815" s="1" t="str">
        <f>IF([1]SCHEDULE!D815="","",[1]SCHEDULE!D815)</f>
        <v>Valencia Basket</v>
      </c>
      <c r="E815" s="1" t="str">
        <f>IF([1]SCHEDULE!E815="","",[1]SCHEDULE!E815)</f>
        <v/>
      </c>
      <c r="F815" s="6" t="str">
        <f>IF([1]SCHEDULE!F815="","",[1]SCHEDULE!F815)</f>
        <v/>
      </c>
      <c r="G815" s="3" t="str">
        <f>IF([1]SCHEDULE!G815="","",[1]SCHEDULE!G815)</f>
        <v/>
      </c>
      <c r="H815" s="3" t="str">
        <f>IF([1]SCHEDULE!H815="","",[1]SCHEDULE!H815)</f>
        <v/>
      </c>
      <c r="I815" s="3" t="str">
        <f>IF([1]SCHEDULE!I815="","",[1]SCHEDULE!I815)</f>
        <v/>
      </c>
      <c r="J815" s="3" t="str">
        <f>IF([1]SCHEDULE!J815="","",[1]SCHEDULE!J815)</f>
        <v/>
      </c>
    </row>
    <row r="816" spans="2:10" x14ac:dyDescent="0.25">
      <c r="B816" s="3" t="str">
        <f>IF([1]SCHEDULE!B816="","",[1]SCHEDULE!B816)</f>
        <v>VAL</v>
      </c>
      <c r="C816" s="3">
        <f>IF([1]SCHEDULE!C816="","",[1]SCHEDULE!C816)</f>
        <v>49</v>
      </c>
      <c r="D816" s="1" t="str">
        <f>IF([1]SCHEDULE!D816="","",[1]SCHEDULE!D816)</f>
        <v>Valencia Basket</v>
      </c>
      <c r="E816" s="1" t="str">
        <f>IF([1]SCHEDULE!E816="","",[1]SCHEDULE!E816)</f>
        <v/>
      </c>
      <c r="F816" s="6" t="str">
        <f>IF([1]SCHEDULE!F816="","",[1]SCHEDULE!F816)</f>
        <v/>
      </c>
      <c r="G816" s="3" t="str">
        <f>IF([1]SCHEDULE!G816="","",[1]SCHEDULE!G816)</f>
        <v/>
      </c>
      <c r="H816" s="3" t="str">
        <f>IF([1]SCHEDULE!H816="","",[1]SCHEDULE!H816)</f>
        <v/>
      </c>
      <c r="I816" s="3" t="str">
        <f>IF([1]SCHEDULE!I816="","",[1]SCHEDULE!I816)</f>
        <v/>
      </c>
      <c r="J816" s="3" t="str">
        <f>IF([1]SCHEDULE!J816="","",[1]SCHEDULE!J816)</f>
        <v/>
      </c>
    </row>
    <row r="817" spans="2:10" x14ac:dyDescent="0.25">
      <c r="B817" s="3" t="str">
        <f>IF([1]SCHEDULE!B817="","",[1]SCHEDULE!B817)</f>
        <v>VAL</v>
      </c>
      <c r="C817" s="3">
        <f>IF([1]SCHEDULE!C817="","",[1]SCHEDULE!C817)</f>
        <v>50</v>
      </c>
      <c r="D817" s="1" t="str">
        <f>IF([1]SCHEDULE!D817="","",[1]SCHEDULE!D817)</f>
        <v>Valencia Basket</v>
      </c>
      <c r="E817" s="1" t="str">
        <f>IF([1]SCHEDULE!E817="","",[1]SCHEDULE!E817)</f>
        <v/>
      </c>
      <c r="F817" s="6" t="str">
        <f>IF([1]SCHEDULE!F817="","",[1]SCHEDULE!F817)</f>
        <v/>
      </c>
      <c r="G817" s="3" t="str">
        <f>IF([1]SCHEDULE!G817="","",[1]SCHEDULE!G817)</f>
        <v/>
      </c>
      <c r="H817" s="3" t="str">
        <f>IF([1]SCHEDULE!H817="","",[1]SCHEDULE!H817)</f>
        <v/>
      </c>
      <c r="I817" s="3" t="str">
        <f>IF([1]SCHEDULE!I817="","",[1]SCHEDULE!I817)</f>
        <v/>
      </c>
      <c r="J817" s="3" t="str">
        <f>IF([1]SCHEDULE!J817="","",[1]SCHEDULE!J817)</f>
        <v/>
      </c>
    </row>
    <row r="818" spans="2:10" x14ac:dyDescent="0.25">
      <c r="B818" s="3" t="str">
        <f>IF([1]SCHEDULE!B818="","",[1]SCHEDULE!B818)</f>
        <v>VAL</v>
      </c>
      <c r="C818" s="3">
        <f>IF([1]SCHEDULE!C818="","",[1]SCHEDULE!C818)</f>
        <v>51</v>
      </c>
      <c r="D818" s="1" t="str">
        <f>IF([1]SCHEDULE!D818="","",[1]SCHEDULE!D818)</f>
        <v>Valencia Basket</v>
      </c>
      <c r="E818" s="1" t="str">
        <f>IF([1]SCHEDULE!E818="","",[1]SCHEDULE!E818)</f>
        <v/>
      </c>
      <c r="F818" s="6" t="str">
        <f>IF([1]SCHEDULE!F818="","",[1]SCHEDULE!F818)</f>
        <v/>
      </c>
      <c r="G818" s="3" t="str">
        <f>IF([1]SCHEDULE!G818="","",[1]SCHEDULE!G818)</f>
        <v/>
      </c>
      <c r="H818" s="3" t="str">
        <f>IF([1]SCHEDULE!H818="","",[1]SCHEDULE!H818)</f>
        <v/>
      </c>
      <c r="I818" s="3" t="str">
        <f>IF([1]SCHEDULE!I818="","",[1]SCHEDULE!I818)</f>
        <v/>
      </c>
      <c r="J818" s="3" t="str">
        <f>IF([1]SCHEDULE!J818="","",[1]SCHEDULE!J818)</f>
        <v/>
      </c>
    </row>
    <row r="819" spans="2:10" x14ac:dyDescent="0.25">
      <c r="B819" s="3" t="str">
        <f>IF([1]SCHEDULE!B819="","",[1]SCHEDULE!B819)</f>
        <v>VIR</v>
      </c>
      <c r="C819" s="3">
        <f>IF([1]SCHEDULE!C819="","",[1]SCHEDULE!C819)</f>
        <v>1</v>
      </c>
      <c r="D819" s="1" t="str">
        <f>IF([1]SCHEDULE!D819="","",[1]SCHEDULE!D819)</f>
        <v>Virtus Segafredo Bologna</v>
      </c>
      <c r="E819" s="1" t="str">
        <f>IF([1]SCHEDULE!E819="","",[1]SCHEDULE!E819)</f>
        <v>Zalgiris Kaunas</v>
      </c>
      <c r="F819" s="6">
        <f>IF([1]SCHEDULE!F819="","",[1]SCHEDULE!F819)</f>
        <v>45204</v>
      </c>
      <c r="G819" s="3" t="str">
        <f>IF([1]SCHEDULE!G819="","",[1]SCHEDULE!G819)</f>
        <v>H</v>
      </c>
      <c r="H819" s="3" t="str">
        <f>IF([1]SCHEDULE!H819="","",[1]SCHEDULE!H819)</f>
        <v>ZAL</v>
      </c>
      <c r="I819" s="3" t="str">
        <f>IF([1]SCHEDULE!I819="","",[1]SCHEDULE!I819)</f>
        <v>1.VIR</v>
      </c>
      <c r="J819" s="3" t="str">
        <f>IF([1]SCHEDULE!J819="","",[1]SCHEDULE!J819)</f>
        <v>1.ZAL</v>
      </c>
    </row>
    <row r="820" spans="2:10" x14ac:dyDescent="0.25">
      <c r="B820" s="3" t="str">
        <f>IF([1]SCHEDULE!B820="","",[1]SCHEDULE!B820)</f>
        <v>VIR</v>
      </c>
      <c r="C820" s="3">
        <f>IF([1]SCHEDULE!C820="","",[1]SCHEDULE!C820)</f>
        <v>2</v>
      </c>
      <c r="D820" s="1" t="str">
        <f>IF([1]SCHEDULE!D820="","",[1]SCHEDULE!D820)</f>
        <v>Virtus Segafredo Bologna</v>
      </c>
      <c r="E820" s="1" t="str">
        <f>IF([1]SCHEDULE!E820="","",[1]SCHEDULE!E820)</f>
        <v>AS Monaco</v>
      </c>
      <c r="F820" s="6">
        <f>IF([1]SCHEDULE!F820="","",[1]SCHEDULE!F820)</f>
        <v>45212</v>
      </c>
      <c r="G820" s="3" t="str">
        <f>IF([1]SCHEDULE!G820="","",[1]SCHEDULE!G820)</f>
        <v>A</v>
      </c>
      <c r="H820" s="3" t="str">
        <f>IF([1]SCHEDULE!H820="","",[1]SCHEDULE!H820)</f>
        <v>ASM</v>
      </c>
      <c r="I820" s="3" t="str">
        <f>IF([1]SCHEDULE!I820="","",[1]SCHEDULE!I820)</f>
        <v>2.VIR</v>
      </c>
      <c r="J820" s="3" t="str">
        <f>IF([1]SCHEDULE!J820="","",[1]SCHEDULE!J820)</f>
        <v>2.ASM</v>
      </c>
    </row>
    <row r="821" spans="2:10" x14ac:dyDescent="0.25">
      <c r="B821" s="3" t="str">
        <f>IF([1]SCHEDULE!B821="","",[1]SCHEDULE!B821)</f>
        <v>VIR</v>
      </c>
      <c r="C821" s="3">
        <f>IF([1]SCHEDULE!C821="","",[1]SCHEDULE!C821)</f>
        <v>3</v>
      </c>
      <c r="D821" s="1" t="str">
        <f>IF([1]SCHEDULE!D821="","",[1]SCHEDULE!D821)</f>
        <v>Virtus Segafredo Bologna</v>
      </c>
      <c r="E821" s="1" t="str">
        <f>IF([1]SCHEDULE!E821="","",[1]SCHEDULE!E821)</f>
        <v>ALBA Berlin</v>
      </c>
      <c r="F821" s="6">
        <f>IF([1]SCHEDULE!F821="","",[1]SCHEDULE!F821)</f>
        <v>45217</v>
      </c>
      <c r="G821" s="3" t="str">
        <f>IF([1]SCHEDULE!G821="","",[1]SCHEDULE!G821)</f>
        <v>H</v>
      </c>
      <c r="H821" s="3" t="str">
        <f>IF([1]SCHEDULE!H821="","",[1]SCHEDULE!H821)</f>
        <v>BER</v>
      </c>
      <c r="I821" s="3" t="str">
        <f>IF([1]SCHEDULE!I821="","",[1]SCHEDULE!I821)</f>
        <v>3.VIR</v>
      </c>
      <c r="J821" s="3" t="str">
        <f>IF([1]SCHEDULE!J821="","",[1]SCHEDULE!J821)</f>
        <v>3.BER</v>
      </c>
    </row>
    <row r="822" spans="2:10" x14ac:dyDescent="0.25">
      <c r="B822" s="3" t="str">
        <f>IF([1]SCHEDULE!B822="","",[1]SCHEDULE!B822)</f>
        <v>VIR</v>
      </c>
      <c r="C822" s="3">
        <f>IF([1]SCHEDULE!C822="","",[1]SCHEDULE!C822)</f>
        <v>4</v>
      </c>
      <c r="D822" s="1" t="str">
        <f>IF([1]SCHEDULE!D822="","",[1]SCHEDULE!D822)</f>
        <v>Virtus Segafredo Bologna</v>
      </c>
      <c r="E822" s="1" t="str">
        <f>IF([1]SCHEDULE!E822="","",[1]SCHEDULE!E822)</f>
        <v>Crvena Zvezda Meridianbet Belgrade</v>
      </c>
      <c r="F822" s="6">
        <f>IF([1]SCHEDULE!F822="","",[1]SCHEDULE!F822)</f>
        <v>45219</v>
      </c>
      <c r="G822" s="3" t="str">
        <f>IF([1]SCHEDULE!G822="","",[1]SCHEDULE!G822)</f>
        <v>H</v>
      </c>
      <c r="H822" s="3" t="str">
        <f>IF([1]SCHEDULE!H822="","",[1]SCHEDULE!H822)</f>
        <v>CZB</v>
      </c>
      <c r="I822" s="3" t="str">
        <f>IF([1]SCHEDULE!I822="","",[1]SCHEDULE!I822)</f>
        <v>4.VIR</v>
      </c>
      <c r="J822" s="3" t="str">
        <f>IF([1]SCHEDULE!J822="","",[1]SCHEDULE!J822)</f>
        <v>4.CZB</v>
      </c>
    </row>
    <row r="823" spans="2:10" x14ac:dyDescent="0.25">
      <c r="B823" s="3" t="str">
        <f>IF([1]SCHEDULE!B823="","",[1]SCHEDULE!B823)</f>
        <v>VIR</v>
      </c>
      <c r="C823" s="3">
        <f>IF([1]SCHEDULE!C823="","",[1]SCHEDULE!C823)</f>
        <v>5</v>
      </c>
      <c r="D823" s="1" t="str">
        <f>IF([1]SCHEDULE!D823="","",[1]SCHEDULE!D823)</f>
        <v>Virtus Segafredo Bologna</v>
      </c>
      <c r="E823" s="1" t="str">
        <f>IF([1]SCHEDULE!E823="","",[1]SCHEDULE!E823)</f>
        <v>LDLC ASVEL Villeurbanne</v>
      </c>
      <c r="F823" s="6">
        <f>IF([1]SCHEDULE!F823="","",[1]SCHEDULE!F823)</f>
        <v>45226</v>
      </c>
      <c r="G823" s="3" t="str">
        <f>IF([1]SCHEDULE!G823="","",[1]SCHEDULE!G823)</f>
        <v>A</v>
      </c>
      <c r="H823" s="3" t="str">
        <f>IF([1]SCHEDULE!H823="","",[1]SCHEDULE!H823)</f>
        <v>ASV</v>
      </c>
      <c r="I823" s="3" t="str">
        <f>IF([1]SCHEDULE!I823="","",[1]SCHEDULE!I823)</f>
        <v>5.VIR</v>
      </c>
      <c r="J823" s="3" t="str">
        <f>IF([1]SCHEDULE!J823="","",[1]SCHEDULE!J823)</f>
        <v>5.ASV</v>
      </c>
    </row>
    <row r="824" spans="2:10" x14ac:dyDescent="0.25">
      <c r="B824" s="3" t="str">
        <f>IF([1]SCHEDULE!B824="","",[1]SCHEDULE!B824)</f>
        <v>VIR</v>
      </c>
      <c r="C824" s="3">
        <f>IF([1]SCHEDULE!C824="","",[1]SCHEDULE!C824)</f>
        <v>6</v>
      </c>
      <c r="D824" s="1" t="str">
        <f>IF([1]SCHEDULE!D824="","",[1]SCHEDULE!D824)</f>
        <v>Virtus Segafredo Bologna</v>
      </c>
      <c r="E824" s="1" t="str">
        <f>IF([1]SCHEDULE!E824="","",[1]SCHEDULE!E824)</f>
        <v>Anadolu Efes Istanbul</v>
      </c>
      <c r="F824" s="6">
        <f>IF([1]SCHEDULE!F824="","",[1]SCHEDULE!F824)</f>
        <v>45233</v>
      </c>
      <c r="G824" s="3" t="str">
        <f>IF([1]SCHEDULE!G824="","",[1]SCHEDULE!G824)</f>
        <v>H</v>
      </c>
      <c r="H824" s="3" t="str">
        <f>IF([1]SCHEDULE!H824="","",[1]SCHEDULE!H824)</f>
        <v>EFE</v>
      </c>
      <c r="I824" s="3" t="str">
        <f>IF([1]SCHEDULE!I824="","",[1]SCHEDULE!I824)</f>
        <v>6.VIR</v>
      </c>
      <c r="J824" s="3" t="str">
        <f>IF([1]SCHEDULE!J824="","",[1]SCHEDULE!J824)</f>
        <v>6.EFE</v>
      </c>
    </row>
    <row r="825" spans="2:10" x14ac:dyDescent="0.25">
      <c r="B825" s="3" t="str">
        <f>IF([1]SCHEDULE!B825="","",[1]SCHEDULE!B825)</f>
        <v>VIR</v>
      </c>
      <c r="C825" s="3">
        <f>IF([1]SCHEDULE!C825="","",[1]SCHEDULE!C825)</f>
        <v>7</v>
      </c>
      <c r="D825" s="1" t="str">
        <f>IF([1]SCHEDULE!D825="","",[1]SCHEDULE!D825)</f>
        <v>Virtus Segafredo Bologna</v>
      </c>
      <c r="E825" s="1" t="str">
        <f>IF([1]SCHEDULE!E825="","",[1]SCHEDULE!E825)</f>
        <v>Real Madrid</v>
      </c>
      <c r="F825" s="6">
        <f>IF([1]SCHEDULE!F825="","",[1]SCHEDULE!F825)</f>
        <v>45239</v>
      </c>
      <c r="G825" s="3" t="str">
        <f>IF([1]SCHEDULE!G825="","",[1]SCHEDULE!G825)</f>
        <v>A</v>
      </c>
      <c r="H825" s="3" t="str">
        <f>IF([1]SCHEDULE!H825="","",[1]SCHEDULE!H825)</f>
        <v>RMB</v>
      </c>
      <c r="I825" s="3" t="str">
        <f>IF([1]SCHEDULE!I825="","",[1]SCHEDULE!I825)</f>
        <v>7.VIR</v>
      </c>
      <c r="J825" s="3" t="str">
        <f>IF([1]SCHEDULE!J825="","",[1]SCHEDULE!J825)</f>
        <v>7.RMB</v>
      </c>
    </row>
    <row r="826" spans="2:10" x14ac:dyDescent="0.25">
      <c r="B826" s="3" t="str">
        <f>IF([1]SCHEDULE!B826="","",[1]SCHEDULE!B826)</f>
        <v>VIR</v>
      </c>
      <c r="C826" s="3">
        <f>IF([1]SCHEDULE!C826="","",[1]SCHEDULE!C826)</f>
        <v>8</v>
      </c>
      <c r="D826" s="1" t="str">
        <f>IF([1]SCHEDULE!D826="","",[1]SCHEDULE!D826)</f>
        <v>Virtus Segafredo Bologna</v>
      </c>
      <c r="E826" s="1" t="str">
        <f>IF([1]SCHEDULE!E826="","",[1]SCHEDULE!E826)</f>
        <v>EA7 Emporio Armani Milan</v>
      </c>
      <c r="F826" s="6">
        <f>IF([1]SCHEDULE!F826="","",[1]SCHEDULE!F826)</f>
        <v>45244</v>
      </c>
      <c r="G826" s="3" t="str">
        <f>IF([1]SCHEDULE!G826="","",[1]SCHEDULE!G826)</f>
        <v>H</v>
      </c>
      <c r="H826" s="3" t="str">
        <f>IF([1]SCHEDULE!H826="","",[1]SCHEDULE!H826)</f>
        <v>MIL</v>
      </c>
      <c r="I826" s="3" t="str">
        <f>IF([1]SCHEDULE!I826="","",[1]SCHEDULE!I826)</f>
        <v>8.VIR</v>
      </c>
      <c r="J826" s="3" t="str">
        <f>IF([1]SCHEDULE!J826="","",[1]SCHEDULE!J826)</f>
        <v>8.MIL</v>
      </c>
    </row>
    <row r="827" spans="2:10" x14ac:dyDescent="0.25">
      <c r="B827" s="3" t="str">
        <f>IF([1]SCHEDULE!B827="","",[1]SCHEDULE!B827)</f>
        <v>VIR</v>
      </c>
      <c r="C827" s="3">
        <f>IF([1]SCHEDULE!C827="","",[1]SCHEDULE!C827)</f>
        <v>9</v>
      </c>
      <c r="D827" s="1" t="str">
        <f>IF([1]SCHEDULE!D827="","",[1]SCHEDULE!D827)</f>
        <v>Virtus Segafredo Bologna</v>
      </c>
      <c r="E827" s="1" t="str">
        <f>IF([1]SCHEDULE!E827="","",[1]SCHEDULE!E827)</f>
        <v>Panathinaikos Athens</v>
      </c>
      <c r="F827" s="6">
        <f>IF([1]SCHEDULE!F827="","",[1]SCHEDULE!F827)</f>
        <v>45247</v>
      </c>
      <c r="G827" s="3" t="str">
        <f>IF([1]SCHEDULE!G827="","",[1]SCHEDULE!G827)</f>
        <v>A</v>
      </c>
      <c r="H827" s="3" t="str">
        <f>IF([1]SCHEDULE!H827="","",[1]SCHEDULE!H827)</f>
        <v>PAN</v>
      </c>
      <c r="I827" s="3" t="str">
        <f>IF([1]SCHEDULE!I827="","",[1]SCHEDULE!I827)</f>
        <v>9.VIR</v>
      </c>
      <c r="J827" s="3" t="str">
        <f>IF([1]SCHEDULE!J827="","",[1]SCHEDULE!J827)</f>
        <v>9.PAN</v>
      </c>
    </row>
    <row r="828" spans="2:10" x14ac:dyDescent="0.25">
      <c r="B828" s="3" t="str">
        <f>IF([1]SCHEDULE!B828="","",[1]SCHEDULE!B828)</f>
        <v>VIR</v>
      </c>
      <c r="C828" s="3">
        <f>IF([1]SCHEDULE!C828="","",[1]SCHEDULE!C828)</f>
        <v>10</v>
      </c>
      <c r="D828" s="1" t="str">
        <f>IF([1]SCHEDULE!D828="","",[1]SCHEDULE!D828)</f>
        <v>Virtus Segafredo Bologna</v>
      </c>
      <c r="E828" s="1" t="str">
        <f>IF([1]SCHEDULE!E828="","",[1]SCHEDULE!E828)</f>
        <v>Fenerbahce Beko Istanbul</v>
      </c>
      <c r="F828" s="6">
        <f>IF([1]SCHEDULE!F828="","",[1]SCHEDULE!F828)</f>
        <v>45253</v>
      </c>
      <c r="G828" s="3" t="str">
        <f>IF([1]SCHEDULE!G828="","",[1]SCHEDULE!G828)</f>
        <v>H</v>
      </c>
      <c r="H828" s="3" t="str">
        <f>IF([1]SCHEDULE!H828="","",[1]SCHEDULE!H828)</f>
        <v>FEN</v>
      </c>
      <c r="I828" s="3" t="str">
        <f>IF([1]SCHEDULE!I828="","",[1]SCHEDULE!I828)</f>
        <v>10.VIR</v>
      </c>
      <c r="J828" s="3" t="str">
        <f>IF([1]SCHEDULE!J828="","",[1]SCHEDULE!J828)</f>
        <v>10.FEN</v>
      </c>
    </row>
    <row r="829" spans="2:10" x14ac:dyDescent="0.25">
      <c r="B829" s="3" t="str">
        <f>IF([1]SCHEDULE!B829="","",[1]SCHEDULE!B829)</f>
        <v>VIR</v>
      </c>
      <c r="C829" s="3">
        <f>IF([1]SCHEDULE!C829="","",[1]SCHEDULE!C829)</f>
        <v>11</v>
      </c>
      <c r="D829" s="1" t="str">
        <f>IF([1]SCHEDULE!D829="","",[1]SCHEDULE!D829)</f>
        <v>Virtus Segafredo Bologna</v>
      </c>
      <c r="E829" s="1" t="str">
        <f>IF([1]SCHEDULE!E829="","",[1]SCHEDULE!E829)</f>
        <v>FC Bayern Munich</v>
      </c>
      <c r="F829" s="6">
        <f>IF([1]SCHEDULE!F829="","",[1]SCHEDULE!F829)</f>
        <v>45260</v>
      </c>
      <c r="G829" s="3" t="str">
        <f>IF([1]SCHEDULE!G829="","",[1]SCHEDULE!G829)</f>
        <v>A</v>
      </c>
      <c r="H829" s="3" t="str">
        <f>IF([1]SCHEDULE!H829="","",[1]SCHEDULE!H829)</f>
        <v>BAY</v>
      </c>
      <c r="I829" s="3" t="str">
        <f>IF([1]SCHEDULE!I829="","",[1]SCHEDULE!I829)</f>
        <v>11.VIR</v>
      </c>
      <c r="J829" s="3" t="str">
        <f>IF([1]SCHEDULE!J829="","",[1]SCHEDULE!J829)</f>
        <v>11.BAY</v>
      </c>
    </row>
    <row r="830" spans="2:10" x14ac:dyDescent="0.25">
      <c r="B830" s="3" t="str">
        <f>IF([1]SCHEDULE!B830="","",[1]SCHEDULE!B830)</f>
        <v>VIR</v>
      </c>
      <c r="C830" s="3">
        <f>IF([1]SCHEDULE!C830="","",[1]SCHEDULE!C830)</f>
        <v>12</v>
      </c>
      <c r="D830" s="1" t="str">
        <f>IF([1]SCHEDULE!D830="","",[1]SCHEDULE!D830)</f>
        <v>Virtus Segafredo Bologna</v>
      </c>
      <c r="E830" s="1" t="str">
        <f>IF([1]SCHEDULE!E830="","",[1]SCHEDULE!E830)</f>
        <v>FC Barcelona</v>
      </c>
      <c r="F830" s="6">
        <f>IF([1]SCHEDULE!F830="","",[1]SCHEDULE!F830)</f>
        <v>45266</v>
      </c>
      <c r="G830" s="3" t="str">
        <f>IF([1]SCHEDULE!G830="","",[1]SCHEDULE!G830)</f>
        <v>H</v>
      </c>
      <c r="H830" s="3" t="str">
        <f>IF([1]SCHEDULE!H830="","",[1]SCHEDULE!H830)</f>
        <v>FCB</v>
      </c>
      <c r="I830" s="3" t="str">
        <f>IF([1]SCHEDULE!I830="","",[1]SCHEDULE!I830)</f>
        <v>12.VIR</v>
      </c>
      <c r="J830" s="3" t="str">
        <f>IF([1]SCHEDULE!J830="","",[1]SCHEDULE!J830)</f>
        <v>12.FCB</v>
      </c>
    </row>
    <row r="831" spans="2:10" x14ac:dyDescent="0.25">
      <c r="B831" s="3" t="str">
        <f>IF([1]SCHEDULE!B831="","",[1]SCHEDULE!B831)</f>
        <v>VIR</v>
      </c>
      <c r="C831" s="3">
        <f>IF([1]SCHEDULE!C831="","",[1]SCHEDULE!C831)</f>
        <v>13</v>
      </c>
      <c r="D831" s="1" t="str">
        <f>IF([1]SCHEDULE!D831="","",[1]SCHEDULE!D831)</f>
        <v>Virtus Segafredo Bologna</v>
      </c>
      <c r="E831" s="1" t="str">
        <f>IF([1]SCHEDULE!E831="","",[1]SCHEDULE!E831)</f>
        <v>Maccabi Playtika Tel Aviv</v>
      </c>
      <c r="F831" s="6">
        <f>IF([1]SCHEDULE!F831="","",[1]SCHEDULE!F831)</f>
        <v>45268</v>
      </c>
      <c r="G831" s="3" t="str">
        <f>IF([1]SCHEDULE!G831="","",[1]SCHEDULE!G831)</f>
        <v>H</v>
      </c>
      <c r="H831" s="3" t="str">
        <f>IF([1]SCHEDULE!H831="","",[1]SCHEDULE!H831)</f>
        <v>MTA</v>
      </c>
      <c r="I831" s="3" t="str">
        <f>IF([1]SCHEDULE!I831="","",[1]SCHEDULE!I831)</f>
        <v>13.VIR</v>
      </c>
      <c r="J831" s="3" t="str">
        <f>IF([1]SCHEDULE!J831="","",[1]SCHEDULE!J831)</f>
        <v>13.MTA</v>
      </c>
    </row>
    <row r="832" spans="2:10" x14ac:dyDescent="0.25">
      <c r="B832" s="3" t="str">
        <f>IF([1]SCHEDULE!B832="","",[1]SCHEDULE!B832)</f>
        <v>VIR</v>
      </c>
      <c r="C832" s="3">
        <f>IF([1]SCHEDULE!C832="","",[1]SCHEDULE!C832)</f>
        <v>14</v>
      </c>
      <c r="D832" s="1" t="str">
        <f>IF([1]SCHEDULE!D832="","",[1]SCHEDULE!D832)</f>
        <v>Virtus Segafredo Bologna</v>
      </c>
      <c r="E832" s="1" t="str">
        <f>IF([1]SCHEDULE!E832="","",[1]SCHEDULE!E832)</f>
        <v>Baskonia Vitoria-Gasteiz</v>
      </c>
      <c r="F832" s="6">
        <f>IF([1]SCHEDULE!F832="","",[1]SCHEDULE!F832)</f>
        <v>45274</v>
      </c>
      <c r="G832" s="3" t="str">
        <f>IF([1]SCHEDULE!G832="","",[1]SCHEDULE!G832)</f>
        <v>A</v>
      </c>
      <c r="H832" s="3" t="str">
        <f>IF([1]SCHEDULE!H832="","",[1]SCHEDULE!H832)</f>
        <v>BAS</v>
      </c>
      <c r="I832" s="3" t="str">
        <f>IF([1]SCHEDULE!I832="","",[1]SCHEDULE!I832)</f>
        <v>14.VIR</v>
      </c>
      <c r="J832" s="3" t="str">
        <f>IF([1]SCHEDULE!J832="","",[1]SCHEDULE!J832)</f>
        <v>14.BAS</v>
      </c>
    </row>
    <row r="833" spans="2:10" x14ac:dyDescent="0.25">
      <c r="B833" s="3" t="str">
        <f>IF([1]SCHEDULE!B833="","",[1]SCHEDULE!B833)</f>
        <v>VIR</v>
      </c>
      <c r="C833" s="3">
        <f>IF([1]SCHEDULE!C833="","",[1]SCHEDULE!C833)</f>
        <v>15</v>
      </c>
      <c r="D833" s="1" t="str">
        <f>IF([1]SCHEDULE!D833="","",[1]SCHEDULE!D833)</f>
        <v>Virtus Segafredo Bologna</v>
      </c>
      <c r="E833" s="1" t="str">
        <f>IF([1]SCHEDULE!E833="","",[1]SCHEDULE!E833)</f>
        <v>Olympiacos Piraeus</v>
      </c>
      <c r="F833" s="6">
        <f>IF([1]SCHEDULE!F833="","",[1]SCHEDULE!F833)</f>
        <v>45279</v>
      </c>
      <c r="G833" s="3" t="str">
        <f>IF([1]SCHEDULE!G833="","",[1]SCHEDULE!G833)</f>
        <v>H</v>
      </c>
      <c r="H833" s="3" t="str">
        <f>IF([1]SCHEDULE!H833="","",[1]SCHEDULE!H833)</f>
        <v>OLY</v>
      </c>
      <c r="I833" s="3" t="str">
        <f>IF([1]SCHEDULE!I833="","",[1]SCHEDULE!I833)</f>
        <v>15.VIR</v>
      </c>
      <c r="J833" s="3" t="str">
        <f>IF([1]SCHEDULE!J833="","",[1]SCHEDULE!J833)</f>
        <v>15.OLY</v>
      </c>
    </row>
    <row r="834" spans="2:10" x14ac:dyDescent="0.25">
      <c r="B834" s="3" t="str">
        <f>IF([1]SCHEDULE!B834="","",[1]SCHEDULE!B834)</f>
        <v>VIR</v>
      </c>
      <c r="C834" s="3">
        <f>IF([1]SCHEDULE!C834="","",[1]SCHEDULE!C834)</f>
        <v>16</v>
      </c>
      <c r="D834" s="1" t="str">
        <f>IF([1]SCHEDULE!D834="","",[1]SCHEDULE!D834)</f>
        <v>Virtus Segafredo Bologna</v>
      </c>
      <c r="E834" s="1" t="str">
        <f>IF([1]SCHEDULE!E834="","",[1]SCHEDULE!E834)</f>
        <v>Valencia Basket</v>
      </c>
      <c r="F834" s="6">
        <f>IF([1]SCHEDULE!F834="","",[1]SCHEDULE!F834)</f>
        <v>45281</v>
      </c>
      <c r="G834" s="3" t="str">
        <f>IF([1]SCHEDULE!G834="","",[1]SCHEDULE!G834)</f>
        <v>A</v>
      </c>
      <c r="H834" s="3" t="str">
        <f>IF([1]SCHEDULE!H834="","",[1]SCHEDULE!H834)</f>
        <v>VAL</v>
      </c>
      <c r="I834" s="3" t="str">
        <f>IF([1]SCHEDULE!I834="","",[1]SCHEDULE!I834)</f>
        <v>16.VIR</v>
      </c>
      <c r="J834" s="3" t="str">
        <f>IF([1]SCHEDULE!J834="","",[1]SCHEDULE!J834)</f>
        <v>16.VAL</v>
      </c>
    </row>
    <row r="835" spans="2:10" x14ac:dyDescent="0.25">
      <c r="B835" s="3" t="str">
        <f>IF([1]SCHEDULE!B835="","",[1]SCHEDULE!B835)</f>
        <v>VIR</v>
      </c>
      <c r="C835" s="3">
        <f>IF([1]SCHEDULE!C835="","",[1]SCHEDULE!C835)</f>
        <v>17</v>
      </c>
      <c r="D835" s="1" t="str">
        <f>IF([1]SCHEDULE!D835="","",[1]SCHEDULE!D835)</f>
        <v>Virtus Segafredo Bologna</v>
      </c>
      <c r="E835" s="1" t="str">
        <f>IF([1]SCHEDULE!E835="","",[1]SCHEDULE!E835)</f>
        <v>Partizan Mozzart Bet Belgrade</v>
      </c>
      <c r="F835" s="6">
        <f>IF([1]SCHEDULE!F835="","",[1]SCHEDULE!F835)</f>
        <v>45288</v>
      </c>
      <c r="G835" s="3" t="str">
        <f>IF([1]SCHEDULE!G835="","",[1]SCHEDULE!G835)</f>
        <v>A</v>
      </c>
      <c r="H835" s="3" t="str">
        <f>IF([1]SCHEDULE!H835="","",[1]SCHEDULE!H835)</f>
        <v>PAR</v>
      </c>
      <c r="I835" s="3" t="str">
        <f>IF([1]SCHEDULE!I835="","",[1]SCHEDULE!I835)</f>
        <v>17.VIR</v>
      </c>
      <c r="J835" s="3" t="str">
        <f>IF([1]SCHEDULE!J835="","",[1]SCHEDULE!J835)</f>
        <v>17.PAR</v>
      </c>
    </row>
    <row r="836" spans="2:10" x14ac:dyDescent="0.25">
      <c r="B836" s="3" t="str">
        <f>IF([1]SCHEDULE!B836="","",[1]SCHEDULE!B836)</f>
        <v>VIR</v>
      </c>
      <c r="C836" s="3">
        <f>IF([1]SCHEDULE!C836="","",[1]SCHEDULE!C836)</f>
        <v>18</v>
      </c>
      <c r="D836" s="1" t="str">
        <f>IF([1]SCHEDULE!D836="","",[1]SCHEDULE!D836)</f>
        <v>Virtus Segafredo Bologna</v>
      </c>
      <c r="E836" s="1" t="str">
        <f>IF([1]SCHEDULE!E836="","",[1]SCHEDULE!E836)</f>
        <v>FC Bayern Munich</v>
      </c>
      <c r="F836" s="6">
        <f>IF([1]SCHEDULE!F836="","",[1]SCHEDULE!F836)</f>
        <v>45294</v>
      </c>
      <c r="G836" s="3" t="str">
        <f>IF([1]SCHEDULE!G836="","",[1]SCHEDULE!G836)</f>
        <v>H</v>
      </c>
      <c r="H836" s="3" t="str">
        <f>IF([1]SCHEDULE!H836="","",[1]SCHEDULE!H836)</f>
        <v>BAY</v>
      </c>
      <c r="I836" s="3" t="str">
        <f>IF([1]SCHEDULE!I836="","",[1]SCHEDULE!I836)</f>
        <v>18.VIR</v>
      </c>
      <c r="J836" s="3" t="str">
        <f>IF([1]SCHEDULE!J836="","",[1]SCHEDULE!J836)</f>
        <v>18.BAY</v>
      </c>
    </row>
    <row r="837" spans="2:10" x14ac:dyDescent="0.25">
      <c r="B837" s="3" t="str">
        <f>IF([1]SCHEDULE!B837="","",[1]SCHEDULE!B837)</f>
        <v>VIR</v>
      </c>
      <c r="C837" s="3">
        <f>IF([1]SCHEDULE!C837="","",[1]SCHEDULE!C837)</f>
        <v>19</v>
      </c>
      <c r="D837" s="1" t="str">
        <f>IF([1]SCHEDULE!D837="","",[1]SCHEDULE!D837)</f>
        <v>Virtus Segafredo Bologna</v>
      </c>
      <c r="E837" s="1" t="str">
        <f>IF([1]SCHEDULE!E837="","",[1]SCHEDULE!E837)</f>
        <v>ALBA Berlin</v>
      </c>
      <c r="F837" s="6">
        <f>IF([1]SCHEDULE!F837="","",[1]SCHEDULE!F837)</f>
        <v>45296</v>
      </c>
      <c r="G837" s="3" t="str">
        <f>IF([1]SCHEDULE!G837="","",[1]SCHEDULE!G837)</f>
        <v>A</v>
      </c>
      <c r="H837" s="3" t="str">
        <f>IF([1]SCHEDULE!H837="","",[1]SCHEDULE!H837)</f>
        <v>BER</v>
      </c>
      <c r="I837" s="3" t="str">
        <f>IF([1]SCHEDULE!I837="","",[1]SCHEDULE!I837)</f>
        <v>19.VIR</v>
      </c>
      <c r="J837" s="3" t="str">
        <f>IF([1]SCHEDULE!J837="","",[1]SCHEDULE!J837)</f>
        <v>19.BER</v>
      </c>
    </row>
    <row r="838" spans="2:10" x14ac:dyDescent="0.25">
      <c r="B838" s="3" t="str">
        <f>IF([1]SCHEDULE!B838="","",[1]SCHEDULE!B838)</f>
        <v>VIR</v>
      </c>
      <c r="C838" s="3">
        <f>IF([1]SCHEDULE!C838="","",[1]SCHEDULE!C838)</f>
        <v>20</v>
      </c>
      <c r="D838" s="1" t="str">
        <f>IF([1]SCHEDULE!D838="","",[1]SCHEDULE!D838)</f>
        <v>Virtus Segafredo Bologna</v>
      </c>
      <c r="E838" s="1" t="str">
        <f>IF([1]SCHEDULE!E838="","",[1]SCHEDULE!E838)</f>
        <v>Maccabi Playtika Tel Aviv</v>
      </c>
      <c r="F838" s="6">
        <f>IF([1]SCHEDULE!F838="","",[1]SCHEDULE!F838)</f>
        <v>45301</v>
      </c>
      <c r="G838" s="3" t="str">
        <f>IF([1]SCHEDULE!G838="","",[1]SCHEDULE!G838)</f>
        <v>A</v>
      </c>
      <c r="H838" s="3" t="str">
        <f>IF([1]SCHEDULE!H838="","",[1]SCHEDULE!H838)</f>
        <v>MTA</v>
      </c>
      <c r="I838" s="3" t="str">
        <f>IF([1]SCHEDULE!I838="","",[1]SCHEDULE!I838)</f>
        <v>20.VIR</v>
      </c>
      <c r="J838" s="3" t="str">
        <f>IF([1]SCHEDULE!J838="","",[1]SCHEDULE!J838)</f>
        <v>20.MTA</v>
      </c>
    </row>
    <row r="839" spans="2:10" x14ac:dyDescent="0.25">
      <c r="B839" s="3" t="str">
        <f>IF([1]SCHEDULE!B839="","",[1]SCHEDULE!B839)</f>
        <v>VIR</v>
      </c>
      <c r="C839" s="3">
        <f>IF([1]SCHEDULE!C839="","",[1]SCHEDULE!C839)</f>
        <v>21</v>
      </c>
      <c r="D839" s="1" t="str">
        <f>IF([1]SCHEDULE!D839="","",[1]SCHEDULE!D839)</f>
        <v>Virtus Segafredo Bologna</v>
      </c>
      <c r="E839" s="1" t="str">
        <f>IF([1]SCHEDULE!E839="","",[1]SCHEDULE!E839)</f>
        <v>Anadolu Efes Istanbul</v>
      </c>
      <c r="F839" s="6">
        <f>IF([1]SCHEDULE!F839="","",[1]SCHEDULE!F839)</f>
        <v>45303</v>
      </c>
      <c r="G839" s="3" t="str">
        <f>IF([1]SCHEDULE!G839="","",[1]SCHEDULE!G839)</f>
        <v>A</v>
      </c>
      <c r="H839" s="3" t="str">
        <f>IF([1]SCHEDULE!H839="","",[1]SCHEDULE!H839)</f>
        <v>EFE</v>
      </c>
      <c r="I839" s="3" t="str">
        <f>IF([1]SCHEDULE!I839="","",[1]SCHEDULE!I839)</f>
        <v>21.VIR</v>
      </c>
      <c r="J839" s="3" t="str">
        <f>IF([1]SCHEDULE!J839="","",[1]SCHEDULE!J839)</f>
        <v>21.EFE</v>
      </c>
    </row>
    <row r="840" spans="2:10" x14ac:dyDescent="0.25">
      <c r="B840" s="3" t="str">
        <f>IF([1]SCHEDULE!B840="","",[1]SCHEDULE!B840)</f>
        <v>VIR</v>
      </c>
      <c r="C840" s="3">
        <f>IF([1]SCHEDULE!C840="","",[1]SCHEDULE!C840)</f>
        <v>22</v>
      </c>
      <c r="D840" s="1" t="str">
        <f>IF([1]SCHEDULE!D840="","",[1]SCHEDULE!D840)</f>
        <v>Virtus Segafredo Bologna</v>
      </c>
      <c r="E840" s="1" t="str">
        <f>IF([1]SCHEDULE!E840="","",[1]SCHEDULE!E840)</f>
        <v>LDLC ASVEL Villeurbanne</v>
      </c>
      <c r="F840" s="6">
        <f>IF([1]SCHEDULE!F840="","",[1]SCHEDULE!F840)</f>
        <v>45309</v>
      </c>
      <c r="G840" s="3" t="str">
        <f>IF([1]SCHEDULE!G840="","",[1]SCHEDULE!G840)</f>
        <v>H</v>
      </c>
      <c r="H840" s="3" t="str">
        <f>IF([1]SCHEDULE!H840="","",[1]SCHEDULE!H840)</f>
        <v>ASV</v>
      </c>
      <c r="I840" s="3" t="str">
        <f>IF([1]SCHEDULE!I840="","",[1]SCHEDULE!I840)</f>
        <v>22.VIR</v>
      </c>
      <c r="J840" s="3" t="str">
        <f>IF([1]SCHEDULE!J840="","",[1]SCHEDULE!J840)</f>
        <v>22.ASV</v>
      </c>
    </row>
    <row r="841" spans="2:10" x14ac:dyDescent="0.25">
      <c r="B841" s="3" t="str">
        <f>IF([1]SCHEDULE!B841="","",[1]SCHEDULE!B841)</f>
        <v>VIR</v>
      </c>
      <c r="C841" s="3">
        <f>IF([1]SCHEDULE!C841="","",[1]SCHEDULE!C841)</f>
        <v>23</v>
      </c>
      <c r="D841" s="1" t="str">
        <f>IF([1]SCHEDULE!D841="","",[1]SCHEDULE!D841)</f>
        <v>Virtus Segafredo Bologna</v>
      </c>
      <c r="E841" s="1" t="str">
        <f>IF([1]SCHEDULE!E841="","",[1]SCHEDULE!E841)</f>
        <v>Fenerbahce Beko Istanbul</v>
      </c>
      <c r="F841" s="6">
        <f>IF([1]SCHEDULE!F841="","",[1]SCHEDULE!F841)</f>
        <v>45316</v>
      </c>
      <c r="G841" s="3" t="str">
        <f>IF([1]SCHEDULE!G841="","",[1]SCHEDULE!G841)</f>
        <v>A</v>
      </c>
      <c r="H841" s="3" t="str">
        <f>IF([1]SCHEDULE!H841="","",[1]SCHEDULE!H841)</f>
        <v>FEN</v>
      </c>
      <c r="I841" s="3" t="str">
        <f>IF([1]SCHEDULE!I841="","",[1]SCHEDULE!I841)</f>
        <v>23.VIR</v>
      </c>
      <c r="J841" s="3" t="str">
        <f>IF([1]SCHEDULE!J841="","",[1]SCHEDULE!J841)</f>
        <v>23.FEN</v>
      </c>
    </row>
    <row r="842" spans="2:10" x14ac:dyDescent="0.25">
      <c r="B842" s="3" t="str">
        <f>IF([1]SCHEDULE!B842="","",[1]SCHEDULE!B842)</f>
        <v>VIR</v>
      </c>
      <c r="C842" s="3">
        <f>IF([1]SCHEDULE!C842="","",[1]SCHEDULE!C842)</f>
        <v>24</v>
      </c>
      <c r="D842" s="1" t="str">
        <f>IF([1]SCHEDULE!D842="","",[1]SCHEDULE!D842)</f>
        <v>Virtus Segafredo Bologna</v>
      </c>
      <c r="E842" s="1" t="str">
        <f>IF([1]SCHEDULE!E842="","",[1]SCHEDULE!E842)</f>
        <v>FC Barcelona</v>
      </c>
      <c r="F842" s="6">
        <f>IF([1]SCHEDULE!F842="","",[1]SCHEDULE!F842)</f>
        <v>45322</v>
      </c>
      <c r="G842" s="3" t="str">
        <f>IF([1]SCHEDULE!G842="","",[1]SCHEDULE!G842)</f>
        <v>A</v>
      </c>
      <c r="H842" s="3" t="str">
        <f>IF([1]SCHEDULE!H842="","",[1]SCHEDULE!H842)</f>
        <v>FCB</v>
      </c>
      <c r="I842" s="3" t="str">
        <f>IF([1]SCHEDULE!I842="","",[1]SCHEDULE!I842)</f>
        <v>24.VIR</v>
      </c>
      <c r="J842" s="3" t="str">
        <f>IF([1]SCHEDULE!J842="","",[1]SCHEDULE!J842)</f>
        <v>24.FCB</v>
      </c>
    </row>
    <row r="843" spans="2:10" x14ac:dyDescent="0.25">
      <c r="B843" s="3" t="str">
        <f>IF([1]SCHEDULE!B843="","",[1]SCHEDULE!B843)</f>
        <v>VIR</v>
      </c>
      <c r="C843" s="3">
        <f>IF([1]SCHEDULE!C843="","",[1]SCHEDULE!C843)</f>
        <v>25</v>
      </c>
      <c r="D843" s="1" t="str">
        <f>IF([1]SCHEDULE!D843="","",[1]SCHEDULE!D843)</f>
        <v>Virtus Segafredo Bologna</v>
      </c>
      <c r="E843" s="1" t="str">
        <f>IF([1]SCHEDULE!E843="","",[1]SCHEDULE!E843)</f>
        <v>Partizan Mozzart Bet Belgrade</v>
      </c>
      <c r="F843" s="6">
        <f>IF([1]SCHEDULE!F843="","",[1]SCHEDULE!F843)</f>
        <v>45324</v>
      </c>
      <c r="G843" s="3" t="str">
        <f>IF([1]SCHEDULE!G843="","",[1]SCHEDULE!G843)</f>
        <v>H</v>
      </c>
      <c r="H843" s="3" t="str">
        <f>IF([1]SCHEDULE!H843="","",[1]SCHEDULE!H843)</f>
        <v>PAR</v>
      </c>
      <c r="I843" s="3" t="str">
        <f>IF([1]SCHEDULE!I843="","",[1]SCHEDULE!I843)</f>
        <v>25.VIR</v>
      </c>
      <c r="J843" s="3" t="str">
        <f>IF([1]SCHEDULE!J843="","",[1]SCHEDULE!J843)</f>
        <v>25.PAR</v>
      </c>
    </row>
    <row r="844" spans="2:10" x14ac:dyDescent="0.25">
      <c r="B844" s="3" t="str">
        <f>IF([1]SCHEDULE!B844="","",[1]SCHEDULE!B844)</f>
        <v>VIR</v>
      </c>
      <c r="C844" s="3">
        <f>IF([1]SCHEDULE!C844="","",[1]SCHEDULE!C844)</f>
        <v>26</v>
      </c>
      <c r="D844" s="1" t="str">
        <f>IF([1]SCHEDULE!D844="","",[1]SCHEDULE!D844)</f>
        <v>Virtus Segafredo Bologna</v>
      </c>
      <c r="E844" s="1" t="str">
        <f>IF([1]SCHEDULE!E844="","",[1]SCHEDULE!E844)</f>
        <v>AS Monaco</v>
      </c>
      <c r="F844" s="6">
        <f>IF([1]SCHEDULE!F844="","",[1]SCHEDULE!F844)</f>
        <v>45331</v>
      </c>
      <c r="G844" s="3" t="str">
        <f>IF([1]SCHEDULE!G844="","",[1]SCHEDULE!G844)</f>
        <v>H</v>
      </c>
      <c r="H844" s="3" t="str">
        <f>IF([1]SCHEDULE!H844="","",[1]SCHEDULE!H844)</f>
        <v>ASM</v>
      </c>
      <c r="I844" s="3" t="str">
        <f>IF([1]SCHEDULE!I844="","",[1]SCHEDULE!I844)</f>
        <v>26.VIR</v>
      </c>
      <c r="J844" s="3" t="str">
        <f>IF([1]SCHEDULE!J844="","",[1]SCHEDULE!J844)</f>
        <v>26.ASM</v>
      </c>
    </row>
    <row r="845" spans="2:10" x14ac:dyDescent="0.25">
      <c r="B845" s="3" t="str">
        <f>IF([1]SCHEDULE!B845="","",[1]SCHEDULE!B845)</f>
        <v>VIR</v>
      </c>
      <c r="C845" s="3">
        <f>IF([1]SCHEDULE!C845="","",[1]SCHEDULE!C845)</f>
        <v>27</v>
      </c>
      <c r="D845" s="1" t="str">
        <f>IF([1]SCHEDULE!D845="","",[1]SCHEDULE!D845)</f>
        <v>Virtus Segafredo Bologna</v>
      </c>
      <c r="E845" s="1" t="str">
        <f>IF([1]SCHEDULE!E845="","",[1]SCHEDULE!E845)</f>
        <v>Valencia Basket</v>
      </c>
      <c r="F845" s="6">
        <f>IF([1]SCHEDULE!F845="","",[1]SCHEDULE!F845)</f>
        <v>45351</v>
      </c>
      <c r="G845" s="3" t="str">
        <f>IF([1]SCHEDULE!G845="","",[1]SCHEDULE!G845)</f>
        <v>H</v>
      </c>
      <c r="H845" s="3" t="str">
        <f>IF([1]SCHEDULE!H845="","",[1]SCHEDULE!H845)</f>
        <v>VAL</v>
      </c>
      <c r="I845" s="3" t="str">
        <f>IF([1]SCHEDULE!I845="","",[1]SCHEDULE!I845)</f>
        <v>27.VIR</v>
      </c>
      <c r="J845" s="3" t="str">
        <f>IF([1]SCHEDULE!J845="","",[1]SCHEDULE!J845)</f>
        <v>27.VAL</v>
      </c>
    </row>
    <row r="846" spans="2:10" x14ac:dyDescent="0.25">
      <c r="B846" s="3" t="str">
        <f>IF([1]SCHEDULE!B846="","",[1]SCHEDULE!B846)</f>
        <v>VIR</v>
      </c>
      <c r="C846" s="3">
        <f>IF([1]SCHEDULE!C846="","",[1]SCHEDULE!C846)</f>
        <v>28</v>
      </c>
      <c r="D846" s="1" t="str">
        <f>IF([1]SCHEDULE!D846="","",[1]SCHEDULE!D846)</f>
        <v>Virtus Segafredo Bologna</v>
      </c>
      <c r="E846" s="1" t="str">
        <f>IF([1]SCHEDULE!E846="","",[1]SCHEDULE!E846)</f>
        <v>Olympiacos Piraeus</v>
      </c>
      <c r="F846" s="6">
        <f>IF([1]SCHEDULE!F846="","",[1]SCHEDULE!F846)</f>
        <v>45358</v>
      </c>
      <c r="G846" s="3" t="str">
        <f>IF([1]SCHEDULE!G846="","",[1]SCHEDULE!G846)</f>
        <v>A</v>
      </c>
      <c r="H846" s="3" t="str">
        <f>IF([1]SCHEDULE!H846="","",[1]SCHEDULE!H846)</f>
        <v>OLY</v>
      </c>
      <c r="I846" s="3" t="str">
        <f>IF([1]SCHEDULE!I846="","",[1]SCHEDULE!I846)</f>
        <v>28.VIR</v>
      </c>
      <c r="J846" s="3" t="str">
        <f>IF([1]SCHEDULE!J846="","",[1]SCHEDULE!J846)</f>
        <v>28.OLY</v>
      </c>
    </row>
    <row r="847" spans="2:10" x14ac:dyDescent="0.25">
      <c r="B847" s="3" t="str">
        <f>IF([1]SCHEDULE!B847="","",[1]SCHEDULE!B847)</f>
        <v>VIR</v>
      </c>
      <c r="C847" s="3">
        <f>IF([1]SCHEDULE!C847="","",[1]SCHEDULE!C847)</f>
        <v>29</v>
      </c>
      <c r="D847" s="1" t="str">
        <f>IF([1]SCHEDULE!D847="","",[1]SCHEDULE!D847)</f>
        <v>Virtus Segafredo Bologna</v>
      </c>
      <c r="E847" s="1" t="str">
        <f>IF([1]SCHEDULE!E847="","",[1]SCHEDULE!E847)</f>
        <v>Real Madrid</v>
      </c>
      <c r="F847" s="6">
        <f>IF([1]SCHEDULE!F847="","",[1]SCHEDULE!F847)</f>
        <v>45366</v>
      </c>
      <c r="G847" s="3" t="str">
        <f>IF([1]SCHEDULE!G847="","",[1]SCHEDULE!G847)</f>
        <v>H</v>
      </c>
      <c r="H847" s="3" t="str">
        <f>IF([1]SCHEDULE!H847="","",[1]SCHEDULE!H847)</f>
        <v>RMB</v>
      </c>
      <c r="I847" s="3" t="str">
        <f>IF([1]SCHEDULE!I847="","",[1]SCHEDULE!I847)</f>
        <v>29.VIR</v>
      </c>
      <c r="J847" s="3" t="str">
        <f>IF([1]SCHEDULE!J847="","",[1]SCHEDULE!J847)</f>
        <v>29.RMB</v>
      </c>
    </row>
    <row r="848" spans="2:10" x14ac:dyDescent="0.25">
      <c r="B848" s="3" t="str">
        <f>IF([1]SCHEDULE!B848="","",[1]SCHEDULE!B848)</f>
        <v>VIR</v>
      </c>
      <c r="C848" s="3">
        <f>IF([1]SCHEDULE!C848="","",[1]SCHEDULE!C848)</f>
        <v>30</v>
      </c>
      <c r="D848" s="1" t="str">
        <f>IF([1]SCHEDULE!D848="","",[1]SCHEDULE!D848)</f>
        <v>Virtus Segafredo Bologna</v>
      </c>
      <c r="E848" s="1" t="str">
        <f>IF([1]SCHEDULE!E848="","",[1]SCHEDULE!E848)</f>
        <v>Zalgiris Kaunas</v>
      </c>
      <c r="F848" s="6">
        <f>IF([1]SCHEDULE!F848="","",[1]SCHEDULE!F848)</f>
        <v>45370</v>
      </c>
      <c r="G848" s="3" t="str">
        <f>IF([1]SCHEDULE!G848="","",[1]SCHEDULE!G848)</f>
        <v>A</v>
      </c>
      <c r="H848" s="3" t="str">
        <f>IF([1]SCHEDULE!H848="","",[1]SCHEDULE!H848)</f>
        <v>ZAL</v>
      </c>
      <c r="I848" s="3" t="str">
        <f>IF([1]SCHEDULE!I848="","",[1]SCHEDULE!I848)</f>
        <v>30.VIR</v>
      </c>
      <c r="J848" s="3" t="str">
        <f>IF([1]SCHEDULE!J848="","",[1]SCHEDULE!J848)</f>
        <v>30.ZAL</v>
      </c>
    </row>
    <row r="849" spans="2:10" x14ac:dyDescent="0.25">
      <c r="B849" s="3" t="str">
        <f>IF([1]SCHEDULE!B849="","",[1]SCHEDULE!B849)</f>
        <v>VIR</v>
      </c>
      <c r="C849" s="3">
        <f>IF([1]SCHEDULE!C849="","",[1]SCHEDULE!C849)</f>
        <v>31</v>
      </c>
      <c r="D849" s="1" t="str">
        <f>IF([1]SCHEDULE!D849="","",[1]SCHEDULE!D849)</f>
        <v>Virtus Segafredo Bologna</v>
      </c>
      <c r="E849" s="1" t="str">
        <f>IF([1]SCHEDULE!E849="","",[1]SCHEDULE!E849)</f>
        <v>Crvena Zvezda Meridianbet Belgrade</v>
      </c>
      <c r="F849" s="6">
        <f>IF([1]SCHEDULE!F849="","",[1]SCHEDULE!F849)</f>
        <v>45373</v>
      </c>
      <c r="G849" s="3" t="str">
        <f>IF([1]SCHEDULE!G849="","",[1]SCHEDULE!G849)</f>
        <v>A</v>
      </c>
      <c r="H849" s="3" t="str">
        <f>IF([1]SCHEDULE!H849="","",[1]SCHEDULE!H849)</f>
        <v>CZB</v>
      </c>
      <c r="I849" s="3" t="str">
        <f>IF([1]SCHEDULE!I849="","",[1]SCHEDULE!I849)</f>
        <v>31.VIR</v>
      </c>
      <c r="J849" s="3" t="str">
        <f>IF([1]SCHEDULE!J849="","",[1]SCHEDULE!J849)</f>
        <v>31.CZB</v>
      </c>
    </row>
    <row r="850" spans="2:10" x14ac:dyDescent="0.25">
      <c r="B850" s="3" t="str">
        <f>IF([1]SCHEDULE!B850="","",[1]SCHEDULE!B850)</f>
        <v>VIR</v>
      </c>
      <c r="C850" s="3">
        <f>IF([1]SCHEDULE!C850="","",[1]SCHEDULE!C850)</f>
        <v>32</v>
      </c>
      <c r="D850" s="1" t="str">
        <f>IF([1]SCHEDULE!D850="","",[1]SCHEDULE!D850)</f>
        <v>Virtus Segafredo Bologna</v>
      </c>
      <c r="E850" s="1" t="str">
        <f>IF([1]SCHEDULE!E850="","",[1]SCHEDULE!E850)</f>
        <v>Panathinaikos Athens</v>
      </c>
      <c r="F850" s="6">
        <f>IF([1]SCHEDULE!F850="","",[1]SCHEDULE!F850)</f>
        <v>45380</v>
      </c>
      <c r="G850" s="3" t="str">
        <f>IF([1]SCHEDULE!G850="","",[1]SCHEDULE!G850)</f>
        <v>H</v>
      </c>
      <c r="H850" s="3" t="str">
        <f>IF([1]SCHEDULE!H850="","",[1]SCHEDULE!H850)</f>
        <v>PAN</v>
      </c>
      <c r="I850" s="3" t="str">
        <f>IF([1]SCHEDULE!I850="","",[1]SCHEDULE!I850)</f>
        <v>32.VIR</v>
      </c>
      <c r="J850" s="3" t="str">
        <f>IF([1]SCHEDULE!J850="","",[1]SCHEDULE!J850)</f>
        <v>32.PAN</v>
      </c>
    </row>
    <row r="851" spans="2:10" x14ac:dyDescent="0.25">
      <c r="B851" s="3" t="str">
        <f>IF([1]SCHEDULE!B851="","",[1]SCHEDULE!B851)</f>
        <v>VIR</v>
      </c>
      <c r="C851" s="3">
        <f>IF([1]SCHEDULE!C851="","",[1]SCHEDULE!C851)</f>
        <v>33</v>
      </c>
      <c r="D851" s="1" t="str">
        <f>IF([1]SCHEDULE!D851="","",[1]SCHEDULE!D851)</f>
        <v>Virtus Segafredo Bologna</v>
      </c>
      <c r="E851" s="1" t="str">
        <f>IF([1]SCHEDULE!E851="","",[1]SCHEDULE!E851)</f>
        <v>EA7 Emporio Armani Milan</v>
      </c>
      <c r="F851" s="6">
        <f>IF([1]SCHEDULE!F851="","",[1]SCHEDULE!F851)</f>
        <v>45387</v>
      </c>
      <c r="G851" s="3" t="str">
        <f>IF([1]SCHEDULE!G851="","",[1]SCHEDULE!G851)</f>
        <v>A</v>
      </c>
      <c r="H851" s="3" t="str">
        <f>IF([1]SCHEDULE!H851="","",[1]SCHEDULE!H851)</f>
        <v>MIL</v>
      </c>
      <c r="I851" s="3" t="str">
        <f>IF([1]SCHEDULE!I851="","",[1]SCHEDULE!I851)</f>
        <v>33.VIR</v>
      </c>
      <c r="J851" s="3" t="str">
        <f>IF([1]SCHEDULE!J851="","",[1]SCHEDULE!J851)</f>
        <v>33.MIL</v>
      </c>
    </row>
    <row r="852" spans="2:10" x14ac:dyDescent="0.25">
      <c r="B852" s="3" t="str">
        <f>IF([1]SCHEDULE!B852="","",[1]SCHEDULE!B852)</f>
        <v>VIR</v>
      </c>
      <c r="C852" s="3">
        <f>IF([1]SCHEDULE!C852="","",[1]SCHEDULE!C852)</f>
        <v>34</v>
      </c>
      <c r="D852" s="1" t="str">
        <f>IF([1]SCHEDULE!D852="","",[1]SCHEDULE!D852)</f>
        <v>Virtus Segafredo Bologna</v>
      </c>
      <c r="E852" s="1" t="str">
        <f>IF([1]SCHEDULE!E852="","",[1]SCHEDULE!E852)</f>
        <v>Baskonia Vitoria-Gasteiz</v>
      </c>
      <c r="F852" s="6">
        <f>IF([1]SCHEDULE!F852="","",[1]SCHEDULE!F852)</f>
        <v>45394</v>
      </c>
      <c r="G852" s="3" t="str">
        <f>IF([1]SCHEDULE!G852="","",[1]SCHEDULE!G852)</f>
        <v>H</v>
      </c>
      <c r="H852" s="3" t="str">
        <f>IF([1]SCHEDULE!H852="","",[1]SCHEDULE!H852)</f>
        <v>BAS</v>
      </c>
      <c r="I852" s="3" t="str">
        <f>IF([1]SCHEDULE!I852="","",[1]SCHEDULE!I852)</f>
        <v>34.VIR</v>
      </c>
      <c r="J852" s="3" t="str">
        <f>IF([1]SCHEDULE!J852="","",[1]SCHEDULE!J852)</f>
        <v>34.BAS</v>
      </c>
    </row>
    <row r="853" spans="2:10" x14ac:dyDescent="0.25">
      <c r="B853" s="3" t="str">
        <f>IF([1]SCHEDULE!B853="","",[1]SCHEDULE!B853)</f>
        <v>VIR</v>
      </c>
      <c r="C853" s="3">
        <f>IF([1]SCHEDULE!C853="","",[1]SCHEDULE!C853)</f>
        <v>35</v>
      </c>
      <c r="D853" s="1" t="str">
        <f>IF([1]SCHEDULE!D853="","",[1]SCHEDULE!D853)</f>
        <v>Virtus Segafredo Bologna</v>
      </c>
      <c r="E853" s="1" t="str">
        <f>IF([1]SCHEDULE!E853="","",[1]SCHEDULE!E853)</f>
        <v/>
      </c>
      <c r="F853" s="6" t="str">
        <f>IF([1]SCHEDULE!F853="","",[1]SCHEDULE!F853)</f>
        <v/>
      </c>
      <c r="G853" s="3" t="str">
        <f>IF([1]SCHEDULE!G853="","",[1]SCHEDULE!G853)</f>
        <v/>
      </c>
      <c r="H853" s="3" t="str">
        <f>IF([1]SCHEDULE!H853="","",[1]SCHEDULE!H853)</f>
        <v/>
      </c>
      <c r="I853" s="3" t="str">
        <f>IF([1]SCHEDULE!I853="","",[1]SCHEDULE!I853)</f>
        <v/>
      </c>
      <c r="J853" s="3" t="str">
        <f>IF([1]SCHEDULE!J853="","",[1]SCHEDULE!J853)</f>
        <v/>
      </c>
    </row>
    <row r="854" spans="2:10" x14ac:dyDescent="0.25">
      <c r="B854" s="3" t="str">
        <f>IF([1]SCHEDULE!B854="","",[1]SCHEDULE!B854)</f>
        <v>VIR</v>
      </c>
      <c r="C854" s="3">
        <f>IF([1]SCHEDULE!C854="","",[1]SCHEDULE!C854)</f>
        <v>36</v>
      </c>
      <c r="D854" s="1" t="str">
        <f>IF([1]SCHEDULE!D854="","",[1]SCHEDULE!D854)</f>
        <v>Virtus Segafredo Bologna</v>
      </c>
      <c r="E854" s="1" t="str">
        <f>IF([1]SCHEDULE!E854="","",[1]SCHEDULE!E854)</f>
        <v/>
      </c>
      <c r="F854" s="6" t="str">
        <f>IF([1]SCHEDULE!F854="","",[1]SCHEDULE!F854)</f>
        <v/>
      </c>
      <c r="G854" s="3" t="str">
        <f>IF([1]SCHEDULE!G854="","",[1]SCHEDULE!G854)</f>
        <v/>
      </c>
      <c r="H854" s="3" t="str">
        <f>IF([1]SCHEDULE!H854="","",[1]SCHEDULE!H854)</f>
        <v/>
      </c>
      <c r="I854" s="3" t="str">
        <f>IF([1]SCHEDULE!I854="","",[1]SCHEDULE!I854)</f>
        <v/>
      </c>
      <c r="J854" s="3" t="str">
        <f>IF([1]SCHEDULE!J854="","",[1]SCHEDULE!J854)</f>
        <v/>
      </c>
    </row>
    <row r="855" spans="2:10" x14ac:dyDescent="0.25">
      <c r="B855" s="3" t="str">
        <f>IF([1]SCHEDULE!B855="","",[1]SCHEDULE!B855)</f>
        <v>VIR</v>
      </c>
      <c r="C855" s="3">
        <f>IF([1]SCHEDULE!C855="","",[1]SCHEDULE!C855)</f>
        <v>37</v>
      </c>
      <c r="D855" s="1" t="str">
        <f>IF([1]SCHEDULE!D855="","",[1]SCHEDULE!D855)</f>
        <v>Virtus Segafredo Bologna</v>
      </c>
      <c r="E855" s="1" t="str">
        <f>IF([1]SCHEDULE!E855="","",[1]SCHEDULE!E855)</f>
        <v/>
      </c>
      <c r="F855" s="6" t="str">
        <f>IF([1]SCHEDULE!F855="","",[1]SCHEDULE!F855)</f>
        <v/>
      </c>
      <c r="G855" s="3" t="str">
        <f>IF([1]SCHEDULE!G855="","",[1]SCHEDULE!G855)</f>
        <v/>
      </c>
      <c r="H855" s="3" t="str">
        <f>IF([1]SCHEDULE!H855="","",[1]SCHEDULE!H855)</f>
        <v/>
      </c>
      <c r="I855" s="3" t="str">
        <f>IF([1]SCHEDULE!I855="","",[1]SCHEDULE!I855)</f>
        <v/>
      </c>
      <c r="J855" s="3" t="str">
        <f>IF([1]SCHEDULE!J855="","",[1]SCHEDULE!J855)</f>
        <v/>
      </c>
    </row>
    <row r="856" spans="2:10" x14ac:dyDescent="0.25">
      <c r="B856" s="3" t="str">
        <f>IF([1]SCHEDULE!B856="","",[1]SCHEDULE!B856)</f>
        <v>VIR</v>
      </c>
      <c r="C856" s="3">
        <f>IF([1]SCHEDULE!C856="","",[1]SCHEDULE!C856)</f>
        <v>38</v>
      </c>
      <c r="D856" s="1" t="str">
        <f>IF([1]SCHEDULE!D856="","",[1]SCHEDULE!D856)</f>
        <v>Virtus Segafredo Bologna</v>
      </c>
      <c r="E856" s="1" t="str">
        <f>IF([1]SCHEDULE!E856="","",[1]SCHEDULE!E856)</f>
        <v/>
      </c>
      <c r="F856" s="6" t="str">
        <f>IF([1]SCHEDULE!F856="","",[1]SCHEDULE!F856)</f>
        <v/>
      </c>
      <c r="G856" s="3" t="str">
        <f>IF([1]SCHEDULE!G856="","",[1]SCHEDULE!G856)</f>
        <v/>
      </c>
      <c r="H856" s="3" t="str">
        <f>IF([1]SCHEDULE!H856="","",[1]SCHEDULE!H856)</f>
        <v/>
      </c>
      <c r="I856" s="3" t="str">
        <f>IF([1]SCHEDULE!I856="","",[1]SCHEDULE!I856)</f>
        <v/>
      </c>
      <c r="J856" s="3" t="str">
        <f>IF([1]SCHEDULE!J856="","",[1]SCHEDULE!J856)</f>
        <v/>
      </c>
    </row>
    <row r="857" spans="2:10" x14ac:dyDescent="0.25">
      <c r="B857" s="3" t="str">
        <f>IF([1]SCHEDULE!B857="","",[1]SCHEDULE!B857)</f>
        <v>VIR</v>
      </c>
      <c r="C857" s="3">
        <f>IF([1]SCHEDULE!C857="","",[1]SCHEDULE!C857)</f>
        <v>39</v>
      </c>
      <c r="D857" s="1" t="str">
        <f>IF([1]SCHEDULE!D857="","",[1]SCHEDULE!D857)</f>
        <v>Virtus Segafredo Bologna</v>
      </c>
      <c r="E857" s="1" t="str">
        <f>IF([1]SCHEDULE!E857="","",[1]SCHEDULE!E857)</f>
        <v/>
      </c>
      <c r="F857" s="6" t="str">
        <f>IF([1]SCHEDULE!F857="","",[1]SCHEDULE!F857)</f>
        <v/>
      </c>
      <c r="G857" s="3" t="str">
        <f>IF([1]SCHEDULE!G857="","",[1]SCHEDULE!G857)</f>
        <v/>
      </c>
      <c r="H857" s="3" t="str">
        <f>IF([1]SCHEDULE!H857="","",[1]SCHEDULE!H857)</f>
        <v/>
      </c>
      <c r="I857" s="3" t="str">
        <f>IF([1]SCHEDULE!I857="","",[1]SCHEDULE!I857)</f>
        <v/>
      </c>
      <c r="J857" s="3" t="str">
        <f>IF([1]SCHEDULE!J857="","",[1]SCHEDULE!J857)</f>
        <v/>
      </c>
    </row>
    <row r="858" spans="2:10" x14ac:dyDescent="0.25">
      <c r="B858" s="3" t="str">
        <f>IF([1]SCHEDULE!B858="","",[1]SCHEDULE!B858)</f>
        <v>VIR</v>
      </c>
      <c r="C858" s="3">
        <f>IF([1]SCHEDULE!C858="","",[1]SCHEDULE!C858)</f>
        <v>40</v>
      </c>
      <c r="D858" s="1" t="str">
        <f>IF([1]SCHEDULE!D858="","",[1]SCHEDULE!D858)</f>
        <v>Virtus Segafredo Bologna</v>
      </c>
      <c r="E858" s="1" t="str">
        <f>IF([1]SCHEDULE!E858="","",[1]SCHEDULE!E858)</f>
        <v/>
      </c>
      <c r="F858" s="6" t="str">
        <f>IF([1]SCHEDULE!F858="","",[1]SCHEDULE!F858)</f>
        <v/>
      </c>
      <c r="G858" s="3" t="str">
        <f>IF([1]SCHEDULE!G858="","",[1]SCHEDULE!G858)</f>
        <v/>
      </c>
      <c r="H858" s="3" t="str">
        <f>IF([1]SCHEDULE!H858="","",[1]SCHEDULE!H858)</f>
        <v/>
      </c>
      <c r="I858" s="3" t="str">
        <f>IF([1]SCHEDULE!I858="","",[1]SCHEDULE!I858)</f>
        <v/>
      </c>
      <c r="J858" s="3" t="str">
        <f>IF([1]SCHEDULE!J858="","",[1]SCHEDULE!J858)</f>
        <v/>
      </c>
    </row>
    <row r="859" spans="2:10" x14ac:dyDescent="0.25">
      <c r="B859" s="3" t="str">
        <f>IF([1]SCHEDULE!B859="","",[1]SCHEDULE!B859)</f>
        <v>VIR</v>
      </c>
      <c r="C859" s="3">
        <f>IF([1]SCHEDULE!C859="","",[1]SCHEDULE!C859)</f>
        <v>41</v>
      </c>
      <c r="D859" s="1" t="str">
        <f>IF([1]SCHEDULE!D859="","",[1]SCHEDULE!D859)</f>
        <v>Virtus Segafredo Bologna</v>
      </c>
      <c r="E859" s="1" t="str">
        <f>IF([1]SCHEDULE!E859="","",[1]SCHEDULE!E859)</f>
        <v/>
      </c>
      <c r="F859" s="6" t="str">
        <f>IF([1]SCHEDULE!F859="","",[1]SCHEDULE!F859)</f>
        <v/>
      </c>
      <c r="G859" s="3" t="str">
        <f>IF([1]SCHEDULE!G859="","",[1]SCHEDULE!G859)</f>
        <v/>
      </c>
      <c r="H859" s="3" t="str">
        <f>IF([1]SCHEDULE!H859="","",[1]SCHEDULE!H859)</f>
        <v/>
      </c>
      <c r="I859" s="3" t="str">
        <f>IF([1]SCHEDULE!I859="","",[1]SCHEDULE!I859)</f>
        <v/>
      </c>
      <c r="J859" s="3" t="str">
        <f>IF([1]SCHEDULE!J859="","",[1]SCHEDULE!J859)</f>
        <v/>
      </c>
    </row>
    <row r="860" spans="2:10" x14ac:dyDescent="0.25">
      <c r="B860" s="3" t="str">
        <f>IF([1]SCHEDULE!B860="","",[1]SCHEDULE!B860)</f>
        <v>VIR</v>
      </c>
      <c r="C860" s="3">
        <f>IF([1]SCHEDULE!C860="","",[1]SCHEDULE!C860)</f>
        <v>42</v>
      </c>
      <c r="D860" s="1" t="str">
        <f>IF([1]SCHEDULE!D860="","",[1]SCHEDULE!D860)</f>
        <v>Virtus Segafredo Bologna</v>
      </c>
      <c r="E860" s="1" t="str">
        <f>IF([1]SCHEDULE!E860="","",[1]SCHEDULE!E860)</f>
        <v/>
      </c>
      <c r="F860" s="6" t="str">
        <f>IF([1]SCHEDULE!F860="","",[1]SCHEDULE!F860)</f>
        <v/>
      </c>
      <c r="G860" s="3" t="str">
        <f>IF([1]SCHEDULE!G860="","",[1]SCHEDULE!G860)</f>
        <v/>
      </c>
      <c r="H860" s="3" t="str">
        <f>IF([1]SCHEDULE!H860="","",[1]SCHEDULE!H860)</f>
        <v/>
      </c>
      <c r="I860" s="3" t="str">
        <f>IF([1]SCHEDULE!I860="","",[1]SCHEDULE!I860)</f>
        <v/>
      </c>
      <c r="J860" s="3" t="str">
        <f>IF([1]SCHEDULE!J860="","",[1]SCHEDULE!J860)</f>
        <v/>
      </c>
    </row>
    <row r="861" spans="2:10" x14ac:dyDescent="0.25">
      <c r="B861" s="3" t="str">
        <f>IF([1]SCHEDULE!B861="","",[1]SCHEDULE!B861)</f>
        <v>VIR</v>
      </c>
      <c r="C861" s="3">
        <f>IF([1]SCHEDULE!C861="","",[1]SCHEDULE!C861)</f>
        <v>43</v>
      </c>
      <c r="D861" s="1" t="str">
        <f>IF([1]SCHEDULE!D861="","",[1]SCHEDULE!D861)</f>
        <v>Virtus Segafredo Bologna</v>
      </c>
      <c r="E861" s="1" t="str">
        <f>IF([1]SCHEDULE!E861="","",[1]SCHEDULE!E861)</f>
        <v/>
      </c>
      <c r="F861" s="6" t="str">
        <f>IF([1]SCHEDULE!F861="","",[1]SCHEDULE!F861)</f>
        <v/>
      </c>
      <c r="G861" s="3" t="str">
        <f>IF([1]SCHEDULE!G861="","",[1]SCHEDULE!G861)</f>
        <v/>
      </c>
      <c r="H861" s="3" t="str">
        <f>IF([1]SCHEDULE!H861="","",[1]SCHEDULE!H861)</f>
        <v/>
      </c>
      <c r="I861" s="3" t="str">
        <f>IF([1]SCHEDULE!I861="","",[1]SCHEDULE!I861)</f>
        <v/>
      </c>
      <c r="J861" s="3" t="str">
        <f>IF([1]SCHEDULE!J861="","",[1]SCHEDULE!J861)</f>
        <v/>
      </c>
    </row>
    <row r="862" spans="2:10" x14ac:dyDescent="0.25">
      <c r="B862" s="3" t="str">
        <f>IF([1]SCHEDULE!B862="","",[1]SCHEDULE!B862)</f>
        <v>VIR</v>
      </c>
      <c r="C862" s="3">
        <f>IF([1]SCHEDULE!C862="","",[1]SCHEDULE!C862)</f>
        <v>44</v>
      </c>
      <c r="D862" s="1" t="str">
        <f>IF([1]SCHEDULE!D862="","",[1]SCHEDULE!D862)</f>
        <v>Virtus Segafredo Bologna</v>
      </c>
      <c r="E862" s="1" t="str">
        <f>IF([1]SCHEDULE!E862="","",[1]SCHEDULE!E862)</f>
        <v/>
      </c>
      <c r="F862" s="6" t="str">
        <f>IF([1]SCHEDULE!F862="","",[1]SCHEDULE!F862)</f>
        <v/>
      </c>
      <c r="G862" s="3" t="str">
        <f>IF([1]SCHEDULE!G862="","",[1]SCHEDULE!G862)</f>
        <v/>
      </c>
      <c r="H862" s="3" t="str">
        <f>IF([1]SCHEDULE!H862="","",[1]SCHEDULE!H862)</f>
        <v/>
      </c>
      <c r="I862" s="3" t="str">
        <f>IF([1]SCHEDULE!I862="","",[1]SCHEDULE!I862)</f>
        <v/>
      </c>
      <c r="J862" s="3" t="str">
        <f>IF([1]SCHEDULE!J862="","",[1]SCHEDULE!J862)</f>
        <v/>
      </c>
    </row>
    <row r="863" spans="2:10" x14ac:dyDescent="0.25">
      <c r="B863" s="3" t="str">
        <f>IF([1]SCHEDULE!B863="","",[1]SCHEDULE!B863)</f>
        <v>VIR</v>
      </c>
      <c r="C863" s="3">
        <f>IF([1]SCHEDULE!C863="","",[1]SCHEDULE!C863)</f>
        <v>45</v>
      </c>
      <c r="D863" s="1" t="str">
        <f>IF([1]SCHEDULE!D863="","",[1]SCHEDULE!D863)</f>
        <v>Virtus Segafredo Bologna</v>
      </c>
      <c r="E863" s="1" t="str">
        <f>IF([1]SCHEDULE!E863="","",[1]SCHEDULE!E863)</f>
        <v/>
      </c>
      <c r="F863" s="6" t="str">
        <f>IF([1]SCHEDULE!F863="","",[1]SCHEDULE!F863)</f>
        <v/>
      </c>
      <c r="G863" s="3" t="str">
        <f>IF([1]SCHEDULE!G863="","",[1]SCHEDULE!G863)</f>
        <v/>
      </c>
      <c r="H863" s="3" t="str">
        <f>IF([1]SCHEDULE!H863="","",[1]SCHEDULE!H863)</f>
        <v/>
      </c>
      <c r="I863" s="3" t="str">
        <f>IF([1]SCHEDULE!I863="","",[1]SCHEDULE!I863)</f>
        <v/>
      </c>
      <c r="J863" s="3" t="str">
        <f>IF([1]SCHEDULE!J863="","",[1]SCHEDULE!J863)</f>
        <v/>
      </c>
    </row>
    <row r="864" spans="2:10" x14ac:dyDescent="0.25">
      <c r="B864" s="3" t="str">
        <f>IF([1]SCHEDULE!B864="","",[1]SCHEDULE!B864)</f>
        <v>VIR</v>
      </c>
      <c r="C864" s="3">
        <f>IF([1]SCHEDULE!C864="","",[1]SCHEDULE!C864)</f>
        <v>46</v>
      </c>
      <c r="D864" s="1" t="str">
        <f>IF([1]SCHEDULE!D864="","",[1]SCHEDULE!D864)</f>
        <v>Virtus Segafredo Bologna</v>
      </c>
      <c r="E864" s="1" t="str">
        <f>IF([1]SCHEDULE!E864="","",[1]SCHEDULE!E864)</f>
        <v/>
      </c>
      <c r="F864" s="6" t="str">
        <f>IF([1]SCHEDULE!F864="","",[1]SCHEDULE!F864)</f>
        <v/>
      </c>
      <c r="G864" s="3" t="str">
        <f>IF([1]SCHEDULE!G864="","",[1]SCHEDULE!G864)</f>
        <v/>
      </c>
      <c r="H864" s="3" t="str">
        <f>IF([1]SCHEDULE!H864="","",[1]SCHEDULE!H864)</f>
        <v/>
      </c>
      <c r="I864" s="3" t="str">
        <f>IF([1]SCHEDULE!I864="","",[1]SCHEDULE!I864)</f>
        <v/>
      </c>
      <c r="J864" s="3" t="str">
        <f>IF([1]SCHEDULE!J864="","",[1]SCHEDULE!J864)</f>
        <v/>
      </c>
    </row>
    <row r="865" spans="2:10" x14ac:dyDescent="0.25">
      <c r="B865" s="3" t="str">
        <f>IF([1]SCHEDULE!B865="","",[1]SCHEDULE!B865)</f>
        <v>VIR</v>
      </c>
      <c r="C865" s="3">
        <f>IF([1]SCHEDULE!C865="","",[1]SCHEDULE!C865)</f>
        <v>47</v>
      </c>
      <c r="D865" s="1" t="str">
        <f>IF([1]SCHEDULE!D865="","",[1]SCHEDULE!D865)</f>
        <v>Virtus Segafredo Bologna</v>
      </c>
      <c r="E865" s="1" t="str">
        <f>IF([1]SCHEDULE!E865="","",[1]SCHEDULE!E865)</f>
        <v/>
      </c>
      <c r="F865" s="6" t="str">
        <f>IF([1]SCHEDULE!F865="","",[1]SCHEDULE!F865)</f>
        <v/>
      </c>
      <c r="G865" s="3" t="str">
        <f>IF([1]SCHEDULE!G865="","",[1]SCHEDULE!G865)</f>
        <v/>
      </c>
      <c r="H865" s="3" t="str">
        <f>IF([1]SCHEDULE!H865="","",[1]SCHEDULE!H865)</f>
        <v/>
      </c>
      <c r="I865" s="3" t="str">
        <f>IF([1]SCHEDULE!I865="","",[1]SCHEDULE!I865)</f>
        <v/>
      </c>
      <c r="J865" s="3" t="str">
        <f>IF([1]SCHEDULE!J865="","",[1]SCHEDULE!J865)</f>
        <v/>
      </c>
    </row>
    <row r="866" spans="2:10" x14ac:dyDescent="0.25">
      <c r="B866" s="3" t="str">
        <f>IF([1]SCHEDULE!B866="","",[1]SCHEDULE!B866)</f>
        <v>VIR</v>
      </c>
      <c r="C866" s="3">
        <f>IF([1]SCHEDULE!C866="","",[1]SCHEDULE!C866)</f>
        <v>48</v>
      </c>
      <c r="D866" s="1" t="str">
        <f>IF([1]SCHEDULE!D866="","",[1]SCHEDULE!D866)</f>
        <v>Virtus Segafredo Bologna</v>
      </c>
      <c r="E866" s="1" t="str">
        <f>IF([1]SCHEDULE!E866="","",[1]SCHEDULE!E866)</f>
        <v/>
      </c>
      <c r="F866" s="6" t="str">
        <f>IF([1]SCHEDULE!F866="","",[1]SCHEDULE!F866)</f>
        <v/>
      </c>
      <c r="G866" s="3" t="str">
        <f>IF([1]SCHEDULE!G866="","",[1]SCHEDULE!G866)</f>
        <v/>
      </c>
      <c r="H866" s="3" t="str">
        <f>IF([1]SCHEDULE!H866="","",[1]SCHEDULE!H866)</f>
        <v/>
      </c>
      <c r="I866" s="3" t="str">
        <f>IF([1]SCHEDULE!I866="","",[1]SCHEDULE!I866)</f>
        <v/>
      </c>
      <c r="J866" s="3" t="str">
        <f>IF([1]SCHEDULE!J866="","",[1]SCHEDULE!J866)</f>
        <v/>
      </c>
    </row>
    <row r="867" spans="2:10" x14ac:dyDescent="0.25">
      <c r="B867" s="3" t="str">
        <f>IF([1]SCHEDULE!B867="","",[1]SCHEDULE!B867)</f>
        <v>VIR</v>
      </c>
      <c r="C867" s="3">
        <f>IF([1]SCHEDULE!C867="","",[1]SCHEDULE!C867)</f>
        <v>49</v>
      </c>
      <c r="D867" s="1" t="str">
        <f>IF([1]SCHEDULE!D867="","",[1]SCHEDULE!D867)</f>
        <v>Virtus Segafredo Bologna</v>
      </c>
      <c r="E867" s="1" t="str">
        <f>IF([1]SCHEDULE!E867="","",[1]SCHEDULE!E867)</f>
        <v/>
      </c>
      <c r="F867" s="6" t="str">
        <f>IF([1]SCHEDULE!F867="","",[1]SCHEDULE!F867)</f>
        <v/>
      </c>
      <c r="G867" s="3" t="str">
        <f>IF([1]SCHEDULE!G867="","",[1]SCHEDULE!G867)</f>
        <v/>
      </c>
      <c r="H867" s="3" t="str">
        <f>IF([1]SCHEDULE!H867="","",[1]SCHEDULE!H867)</f>
        <v/>
      </c>
      <c r="I867" s="3" t="str">
        <f>IF([1]SCHEDULE!I867="","",[1]SCHEDULE!I867)</f>
        <v/>
      </c>
      <c r="J867" s="3" t="str">
        <f>IF([1]SCHEDULE!J867="","",[1]SCHEDULE!J867)</f>
        <v/>
      </c>
    </row>
    <row r="868" spans="2:10" x14ac:dyDescent="0.25">
      <c r="B868" s="3" t="str">
        <f>IF([1]SCHEDULE!B868="","",[1]SCHEDULE!B868)</f>
        <v>VIR</v>
      </c>
      <c r="C868" s="3">
        <f>IF([1]SCHEDULE!C868="","",[1]SCHEDULE!C868)</f>
        <v>50</v>
      </c>
      <c r="D868" s="1" t="str">
        <f>IF([1]SCHEDULE!D868="","",[1]SCHEDULE!D868)</f>
        <v>Virtus Segafredo Bologna</v>
      </c>
      <c r="E868" s="1" t="str">
        <f>IF([1]SCHEDULE!E868="","",[1]SCHEDULE!E868)</f>
        <v/>
      </c>
      <c r="F868" s="6" t="str">
        <f>IF([1]SCHEDULE!F868="","",[1]SCHEDULE!F868)</f>
        <v/>
      </c>
      <c r="G868" s="3" t="str">
        <f>IF([1]SCHEDULE!G868="","",[1]SCHEDULE!G868)</f>
        <v/>
      </c>
      <c r="H868" s="3" t="str">
        <f>IF([1]SCHEDULE!H868="","",[1]SCHEDULE!H868)</f>
        <v/>
      </c>
      <c r="I868" s="3" t="str">
        <f>IF([1]SCHEDULE!I868="","",[1]SCHEDULE!I868)</f>
        <v/>
      </c>
      <c r="J868" s="3" t="str">
        <f>IF([1]SCHEDULE!J868="","",[1]SCHEDULE!J868)</f>
        <v/>
      </c>
    </row>
    <row r="869" spans="2:10" x14ac:dyDescent="0.25">
      <c r="B869" s="3" t="str">
        <f>IF([1]SCHEDULE!B869="","",[1]SCHEDULE!B869)</f>
        <v>VIR</v>
      </c>
      <c r="C869" s="3">
        <f>IF([1]SCHEDULE!C869="","",[1]SCHEDULE!C869)</f>
        <v>51</v>
      </c>
      <c r="D869" s="1" t="str">
        <f>IF([1]SCHEDULE!D869="","",[1]SCHEDULE!D869)</f>
        <v>Virtus Segafredo Bologna</v>
      </c>
      <c r="E869" s="1" t="str">
        <f>IF([1]SCHEDULE!E869="","",[1]SCHEDULE!E869)</f>
        <v/>
      </c>
      <c r="F869" s="6" t="str">
        <f>IF([1]SCHEDULE!F869="","",[1]SCHEDULE!F869)</f>
        <v/>
      </c>
      <c r="G869" s="3" t="str">
        <f>IF([1]SCHEDULE!G869="","",[1]SCHEDULE!G869)</f>
        <v/>
      </c>
      <c r="H869" s="3" t="str">
        <f>IF([1]SCHEDULE!H869="","",[1]SCHEDULE!H869)</f>
        <v/>
      </c>
      <c r="I869" s="3" t="str">
        <f>IF([1]SCHEDULE!I869="","",[1]SCHEDULE!I869)</f>
        <v/>
      </c>
      <c r="J869" s="3" t="str">
        <f>IF([1]SCHEDULE!J869="","",[1]SCHEDULE!J869)</f>
        <v/>
      </c>
    </row>
    <row r="870" spans="2:10" x14ac:dyDescent="0.25">
      <c r="B870" s="3" t="str">
        <f>IF([1]SCHEDULE!B870="","",[1]SCHEDULE!B870)</f>
        <v>ZAL</v>
      </c>
      <c r="C870" s="3">
        <f>IF([1]SCHEDULE!C870="","",[1]SCHEDULE!C870)</f>
        <v>1</v>
      </c>
      <c r="D870" s="1" t="str">
        <f>IF([1]SCHEDULE!D870="","",[1]SCHEDULE!D870)</f>
        <v>Zalgiris Kaunas</v>
      </c>
      <c r="E870" s="1" t="str">
        <f>IF([1]SCHEDULE!E870="","",[1]SCHEDULE!E870)</f>
        <v>Virtus Segafredo Bologna</v>
      </c>
      <c r="F870" s="6">
        <f>IF([1]SCHEDULE!F870="","",[1]SCHEDULE!F870)</f>
        <v>45204</v>
      </c>
      <c r="G870" s="3" t="str">
        <f>IF([1]SCHEDULE!G870="","",[1]SCHEDULE!G870)</f>
        <v>A</v>
      </c>
      <c r="H870" s="3" t="str">
        <f>IF([1]SCHEDULE!H870="","",[1]SCHEDULE!H870)</f>
        <v>VIR</v>
      </c>
      <c r="I870" s="3" t="str">
        <f>IF([1]SCHEDULE!I870="","",[1]SCHEDULE!I870)</f>
        <v>1.ZAL</v>
      </c>
      <c r="J870" s="3" t="str">
        <f>IF([1]SCHEDULE!J870="","",[1]SCHEDULE!J870)</f>
        <v>1.VIR</v>
      </c>
    </row>
    <row r="871" spans="2:10" x14ac:dyDescent="0.25">
      <c r="B871" s="3" t="str">
        <f>IF([1]SCHEDULE!B871="","",[1]SCHEDULE!B871)</f>
        <v>ZAL</v>
      </c>
      <c r="C871" s="3">
        <f>IF([1]SCHEDULE!C871="","",[1]SCHEDULE!C871)</f>
        <v>2</v>
      </c>
      <c r="D871" s="1" t="str">
        <f>IF([1]SCHEDULE!D871="","",[1]SCHEDULE!D871)</f>
        <v>Zalgiris Kaunas</v>
      </c>
      <c r="E871" s="1" t="str">
        <f>IF([1]SCHEDULE!E871="","",[1]SCHEDULE!E871)</f>
        <v>Crvena Zvezda Meridianbet Belgrade</v>
      </c>
      <c r="F871" s="6">
        <f>IF([1]SCHEDULE!F871="","",[1]SCHEDULE!F871)</f>
        <v>45212</v>
      </c>
      <c r="G871" s="3" t="str">
        <f>IF([1]SCHEDULE!G871="","",[1]SCHEDULE!G871)</f>
        <v>H</v>
      </c>
      <c r="H871" s="3" t="str">
        <f>IF([1]SCHEDULE!H871="","",[1]SCHEDULE!H871)</f>
        <v>CZB</v>
      </c>
      <c r="I871" s="3" t="str">
        <f>IF([1]SCHEDULE!I871="","",[1]SCHEDULE!I871)</f>
        <v>2.ZAL</v>
      </c>
      <c r="J871" s="3" t="str">
        <f>IF([1]SCHEDULE!J871="","",[1]SCHEDULE!J871)</f>
        <v>2.CZB</v>
      </c>
    </row>
    <row r="872" spans="2:10" x14ac:dyDescent="0.25">
      <c r="B872" s="3" t="str">
        <f>IF([1]SCHEDULE!B872="","",[1]SCHEDULE!B872)</f>
        <v>ZAL</v>
      </c>
      <c r="C872" s="3">
        <f>IF([1]SCHEDULE!C872="","",[1]SCHEDULE!C872)</f>
        <v>3</v>
      </c>
      <c r="D872" s="1" t="str">
        <f>IF([1]SCHEDULE!D872="","",[1]SCHEDULE!D872)</f>
        <v>Zalgiris Kaunas</v>
      </c>
      <c r="E872" s="1" t="str">
        <f>IF([1]SCHEDULE!E872="","",[1]SCHEDULE!E872)</f>
        <v>Real Madrid</v>
      </c>
      <c r="F872" s="6">
        <f>IF([1]SCHEDULE!F872="","",[1]SCHEDULE!F872)</f>
        <v>45216</v>
      </c>
      <c r="G872" s="3" t="str">
        <f>IF([1]SCHEDULE!G872="","",[1]SCHEDULE!G872)</f>
        <v>A</v>
      </c>
      <c r="H872" s="3" t="str">
        <f>IF([1]SCHEDULE!H872="","",[1]SCHEDULE!H872)</f>
        <v>RMB</v>
      </c>
      <c r="I872" s="3" t="str">
        <f>IF([1]SCHEDULE!I872="","",[1]SCHEDULE!I872)</f>
        <v>3.ZAL</v>
      </c>
      <c r="J872" s="3" t="str">
        <f>IF([1]SCHEDULE!J872="","",[1]SCHEDULE!J872)</f>
        <v>3.RMB</v>
      </c>
    </row>
    <row r="873" spans="2:10" x14ac:dyDescent="0.25">
      <c r="B873" s="3" t="str">
        <f>IF([1]SCHEDULE!B873="","",[1]SCHEDULE!B873)</f>
        <v>ZAL</v>
      </c>
      <c r="C873" s="3">
        <f>IF([1]SCHEDULE!C873="","",[1]SCHEDULE!C873)</f>
        <v>4</v>
      </c>
      <c r="D873" s="1" t="str">
        <f>IF([1]SCHEDULE!D873="","",[1]SCHEDULE!D873)</f>
        <v>Zalgiris Kaunas</v>
      </c>
      <c r="E873" s="1" t="str">
        <f>IF([1]SCHEDULE!E873="","",[1]SCHEDULE!E873)</f>
        <v>Baskonia Vitoria-Gasteiz</v>
      </c>
      <c r="F873" s="6">
        <f>IF([1]SCHEDULE!F873="","",[1]SCHEDULE!F873)</f>
        <v>45218</v>
      </c>
      <c r="G873" s="3" t="str">
        <f>IF([1]SCHEDULE!G873="","",[1]SCHEDULE!G873)</f>
        <v>A</v>
      </c>
      <c r="H873" s="3" t="str">
        <f>IF([1]SCHEDULE!H873="","",[1]SCHEDULE!H873)</f>
        <v>BAS</v>
      </c>
      <c r="I873" s="3" t="str">
        <f>IF([1]SCHEDULE!I873="","",[1]SCHEDULE!I873)</f>
        <v>4.ZAL</v>
      </c>
      <c r="J873" s="3" t="str">
        <f>IF([1]SCHEDULE!J873="","",[1]SCHEDULE!J873)</f>
        <v>4.BAS</v>
      </c>
    </row>
    <row r="874" spans="2:10" x14ac:dyDescent="0.25">
      <c r="B874" s="3" t="str">
        <f>IF([1]SCHEDULE!B874="","",[1]SCHEDULE!B874)</f>
        <v>ZAL</v>
      </c>
      <c r="C874" s="3">
        <f>IF([1]SCHEDULE!C874="","",[1]SCHEDULE!C874)</f>
        <v>5</v>
      </c>
      <c r="D874" s="1" t="str">
        <f>IF([1]SCHEDULE!D874="","",[1]SCHEDULE!D874)</f>
        <v>Zalgiris Kaunas</v>
      </c>
      <c r="E874" s="1" t="str">
        <f>IF([1]SCHEDULE!E874="","",[1]SCHEDULE!E874)</f>
        <v>Valencia Basket</v>
      </c>
      <c r="F874" s="6">
        <f>IF([1]SCHEDULE!F874="","",[1]SCHEDULE!F874)</f>
        <v>45226</v>
      </c>
      <c r="G874" s="3" t="str">
        <f>IF([1]SCHEDULE!G874="","",[1]SCHEDULE!G874)</f>
        <v>H</v>
      </c>
      <c r="H874" s="3" t="str">
        <f>IF([1]SCHEDULE!H874="","",[1]SCHEDULE!H874)</f>
        <v>VAL</v>
      </c>
      <c r="I874" s="3" t="str">
        <f>IF([1]SCHEDULE!I874="","",[1]SCHEDULE!I874)</f>
        <v>5.ZAL</v>
      </c>
      <c r="J874" s="3" t="str">
        <f>IF([1]SCHEDULE!J874="","",[1]SCHEDULE!J874)</f>
        <v>5.VAL</v>
      </c>
    </row>
    <row r="875" spans="2:10" x14ac:dyDescent="0.25">
      <c r="B875" s="3" t="str">
        <f>IF([1]SCHEDULE!B875="","",[1]SCHEDULE!B875)</f>
        <v>ZAL</v>
      </c>
      <c r="C875" s="3">
        <f>IF([1]SCHEDULE!C875="","",[1]SCHEDULE!C875)</f>
        <v>6</v>
      </c>
      <c r="D875" s="1" t="str">
        <f>IF([1]SCHEDULE!D875="","",[1]SCHEDULE!D875)</f>
        <v>Zalgiris Kaunas</v>
      </c>
      <c r="E875" s="1" t="str">
        <f>IF([1]SCHEDULE!E875="","",[1]SCHEDULE!E875)</f>
        <v>LDLC ASVEL Villeurbanne</v>
      </c>
      <c r="F875" s="6">
        <f>IF([1]SCHEDULE!F875="","",[1]SCHEDULE!F875)</f>
        <v>45232</v>
      </c>
      <c r="G875" s="3" t="str">
        <f>IF([1]SCHEDULE!G875="","",[1]SCHEDULE!G875)</f>
        <v>H</v>
      </c>
      <c r="H875" s="3" t="str">
        <f>IF([1]SCHEDULE!H875="","",[1]SCHEDULE!H875)</f>
        <v>ASV</v>
      </c>
      <c r="I875" s="3" t="str">
        <f>IF([1]SCHEDULE!I875="","",[1]SCHEDULE!I875)</f>
        <v>6.ZAL</v>
      </c>
      <c r="J875" s="3" t="str">
        <f>IF([1]SCHEDULE!J875="","",[1]SCHEDULE!J875)</f>
        <v>6.ASV</v>
      </c>
    </row>
    <row r="876" spans="2:10" x14ac:dyDescent="0.25">
      <c r="B876" s="3" t="str">
        <f>IF([1]SCHEDULE!B876="","",[1]SCHEDULE!B876)</f>
        <v>ZAL</v>
      </c>
      <c r="C876" s="3">
        <f>IF([1]SCHEDULE!C876="","",[1]SCHEDULE!C876)</f>
        <v>7</v>
      </c>
      <c r="D876" s="1" t="str">
        <f>IF([1]SCHEDULE!D876="","",[1]SCHEDULE!D876)</f>
        <v>Zalgiris Kaunas</v>
      </c>
      <c r="E876" s="1" t="str">
        <f>IF([1]SCHEDULE!E876="","",[1]SCHEDULE!E876)</f>
        <v>Anadolu Efes Istanbul</v>
      </c>
      <c r="F876" s="6">
        <f>IF([1]SCHEDULE!F876="","",[1]SCHEDULE!F876)</f>
        <v>45239</v>
      </c>
      <c r="G876" s="3" t="str">
        <f>IF([1]SCHEDULE!G876="","",[1]SCHEDULE!G876)</f>
        <v>A</v>
      </c>
      <c r="H876" s="3" t="str">
        <f>IF([1]SCHEDULE!H876="","",[1]SCHEDULE!H876)</f>
        <v>EFE</v>
      </c>
      <c r="I876" s="3" t="str">
        <f>IF([1]SCHEDULE!I876="","",[1]SCHEDULE!I876)</f>
        <v>7.ZAL</v>
      </c>
      <c r="J876" s="3" t="str">
        <f>IF([1]SCHEDULE!J876="","",[1]SCHEDULE!J876)</f>
        <v>7.EFE</v>
      </c>
    </row>
    <row r="877" spans="2:10" x14ac:dyDescent="0.25">
      <c r="B877" s="3" t="str">
        <f>IF([1]SCHEDULE!B877="","",[1]SCHEDULE!B877)</f>
        <v>ZAL</v>
      </c>
      <c r="C877" s="3">
        <f>IF([1]SCHEDULE!C877="","",[1]SCHEDULE!C877)</f>
        <v>8</v>
      </c>
      <c r="D877" s="1" t="str">
        <f>IF([1]SCHEDULE!D877="","",[1]SCHEDULE!D877)</f>
        <v>Zalgiris Kaunas</v>
      </c>
      <c r="E877" s="1" t="str">
        <f>IF([1]SCHEDULE!E877="","",[1]SCHEDULE!E877)</f>
        <v>Panathinaikos Athens</v>
      </c>
      <c r="F877" s="6">
        <f>IF([1]SCHEDULE!F877="","",[1]SCHEDULE!F877)</f>
        <v>45245</v>
      </c>
      <c r="G877" s="3" t="str">
        <f>IF([1]SCHEDULE!G877="","",[1]SCHEDULE!G877)</f>
        <v>A</v>
      </c>
      <c r="H877" s="3" t="str">
        <f>IF([1]SCHEDULE!H877="","",[1]SCHEDULE!H877)</f>
        <v>PAN</v>
      </c>
      <c r="I877" s="3" t="str">
        <f>IF([1]SCHEDULE!I877="","",[1]SCHEDULE!I877)</f>
        <v>8.ZAL</v>
      </c>
      <c r="J877" s="3" t="str">
        <f>IF([1]SCHEDULE!J877="","",[1]SCHEDULE!J877)</f>
        <v>8.PAN</v>
      </c>
    </row>
    <row r="878" spans="2:10" x14ac:dyDescent="0.25">
      <c r="B878" s="3" t="str">
        <f>IF([1]SCHEDULE!B878="","",[1]SCHEDULE!B878)</f>
        <v>ZAL</v>
      </c>
      <c r="C878" s="3">
        <f>IF([1]SCHEDULE!C878="","",[1]SCHEDULE!C878)</f>
        <v>9</v>
      </c>
      <c r="D878" s="1" t="str">
        <f>IF([1]SCHEDULE!D878="","",[1]SCHEDULE!D878)</f>
        <v>Zalgiris Kaunas</v>
      </c>
      <c r="E878" s="1" t="str">
        <f>IF([1]SCHEDULE!E878="","",[1]SCHEDULE!E878)</f>
        <v>FC Bayern Munich</v>
      </c>
      <c r="F878" s="6">
        <f>IF([1]SCHEDULE!F878="","",[1]SCHEDULE!F878)</f>
        <v>45247</v>
      </c>
      <c r="G878" s="3" t="str">
        <f>IF([1]SCHEDULE!G878="","",[1]SCHEDULE!G878)</f>
        <v>H</v>
      </c>
      <c r="H878" s="3" t="str">
        <f>IF([1]SCHEDULE!H878="","",[1]SCHEDULE!H878)</f>
        <v>BAY</v>
      </c>
      <c r="I878" s="3" t="str">
        <f>IF([1]SCHEDULE!I878="","",[1]SCHEDULE!I878)</f>
        <v>9.ZAL</v>
      </c>
      <c r="J878" s="3" t="str">
        <f>IF([1]SCHEDULE!J878="","",[1]SCHEDULE!J878)</f>
        <v>9.BAY</v>
      </c>
    </row>
    <row r="879" spans="2:10" x14ac:dyDescent="0.25">
      <c r="B879" s="3" t="str">
        <f>IF([1]SCHEDULE!B879="","",[1]SCHEDULE!B879)</f>
        <v>ZAL</v>
      </c>
      <c r="C879" s="3">
        <f>IF([1]SCHEDULE!C879="","",[1]SCHEDULE!C879)</f>
        <v>10</v>
      </c>
      <c r="D879" s="1" t="str">
        <f>IF([1]SCHEDULE!D879="","",[1]SCHEDULE!D879)</f>
        <v>Zalgiris Kaunas</v>
      </c>
      <c r="E879" s="1" t="str">
        <f>IF([1]SCHEDULE!E879="","",[1]SCHEDULE!E879)</f>
        <v>Olympiacos Piraeus</v>
      </c>
      <c r="F879" s="6">
        <f>IF([1]SCHEDULE!F879="","",[1]SCHEDULE!F879)</f>
        <v>45254</v>
      </c>
      <c r="G879" s="3" t="str">
        <f>IF([1]SCHEDULE!G879="","",[1]SCHEDULE!G879)</f>
        <v>A</v>
      </c>
      <c r="H879" s="3" t="str">
        <f>IF([1]SCHEDULE!H879="","",[1]SCHEDULE!H879)</f>
        <v>OLY</v>
      </c>
      <c r="I879" s="3" t="str">
        <f>IF([1]SCHEDULE!I879="","",[1]SCHEDULE!I879)</f>
        <v>10.ZAL</v>
      </c>
      <c r="J879" s="3" t="str">
        <f>IF([1]SCHEDULE!J879="","",[1]SCHEDULE!J879)</f>
        <v>10.OLY</v>
      </c>
    </row>
    <row r="880" spans="2:10" x14ac:dyDescent="0.25">
      <c r="B880" s="3" t="str">
        <f>IF([1]SCHEDULE!B880="","",[1]SCHEDULE!B880)</f>
        <v>ZAL</v>
      </c>
      <c r="C880" s="3">
        <f>IF([1]SCHEDULE!C880="","",[1]SCHEDULE!C880)</f>
        <v>11</v>
      </c>
      <c r="D880" s="1" t="str">
        <f>IF([1]SCHEDULE!D880="","",[1]SCHEDULE!D880)</f>
        <v>Zalgiris Kaunas</v>
      </c>
      <c r="E880" s="1" t="str">
        <f>IF([1]SCHEDULE!E880="","",[1]SCHEDULE!E880)</f>
        <v>EA7 Emporio Armani Milan</v>
      </c>
      <c r="F880" s="6">
        <f>IF([1]SCHEDULE!F880="","",[1]SCHEDULE!F880)</f>
        <v>45260</v>
      </c>
      <c r="G880" s="3" t="str">
        <f>IF([1]SCHEDULE!G880="","",[1]SCHEDULE!G880)</f>
        <v>A</v>
      </c>
      <c r="H880" s="3" t="str">
        <f>IF([1]SCHEDULE!H880="","",[1]SCHEDULE!H880)</f>
        <v>MIL</v>
      </c>
      <c r="I880" s="3" t="str">
        <f>IF([1]SCHEDULE!I880="","",[1]SCHEDULE!I880)</f>
        <v>11.ZAL</v>
      </c>
      <c r="J880" s="3" t="str">
        <f>IF([1]SCHEDULE!J880="","",[1]SCHEDULE!J880)</f>
        <v>11.MIL</v>
      </c>
    </row>
    <row r="881" spans="2:10" x14ac:dyDescent="0.25">
      <c r="B881" s="3" t="str">
        <f>IF([1]SCHEDULE!B881="","",[1]SCHEDULE!B881)</f>
        <v>ZAL</v>
      </c>
      <c r="C881" s="3">
        <f>IF([1]SCHEDULE!C881="","",[1]SCHEDULE!C881)</f>
        <v>12</v>
      </c>
      <c r="D881" s="1" t="str">
        <f>IF([1]SCHEDULE!D881="","",[1]SCHEDULE!D881)</f>
        <v>Zalgiris Kaunas</v>
      </c>
      <c r="E881" s="1" t="str">
        <f>IF([1]SCHEDULE!E881="","",[1]SCHEDULE!E881)</f>
        <v>ALBA Berlin</v>
      </c>
      <c r="F881" s="6">
        <f>IF([1]SCHEDULE!F881="","",[1]SCHEDULE!F881)</f>
        <v>45265</v>
      </c>
      <c r="G881" s="3" t="str">
        <f>IF([1]SCHEDULE!G881="","",[1]SCHEDULE!G881)</f>
        <v>A</v>
      </c>
      <c r="H881" s="3" t="str">
        <f>IF([1]SCHEDULE!H881="","",[1]SCHEDULE!H881)</f>
        <v>BER</v>
      </c>
      <c r="I881" s="3" t="str">
        <f>IF([1]SCHEDULE!I881="","",[1]SCHEDULE!I881)</f>
        <v>12.ZAL</v>
      </c>
      <c r="J881" s="3" t="str">
        <f>IF([1]SCHEDULE!J881="","",[1]SCHEDULE!J881)</f>
        <v>12.BER</v>
      </c>
    </row>
    <row r="882" spans="2:10" x14ac:dyDescent="0.25">
      <c r="B882" s="3" t="str">
        <f>IF([1]SCHEDULE!B882="","",[1]SCHEDULE!B882)</f>
        <v>ZAL</v>
      </c>
      <c r="C882" s="3">
        <f>IF([1]SCHEDULE!C882="","",[1]SCHEDULE!C882)</f>
        <v>13</v>
      </c>
      <c r="D882" s="1" t="str">
        <f>IF([1]SCHEDULE!D882="","",[1]SCHEDULE!D882)</f>
        <v>Zalgiris Kaunas</v>
      </c>
      <c r="E882" s="1" t="str">
        <f>IF([1]SCHEDULE!E882="","",[1]SCHEDULE!E882)</f>
        <v>AS Monaco</v>
      </c>
      <c r="F882" s="6">
        <f>IF([1]SCHEDULE!F882="","",[1]SCHEDULE!F882)</f>
        <v>45268</v>
      </c>
      <c r="G882" s="3" t="str">
        <f>IF([1]SCHEDULE!G882="","",[1]SCHEDULE!G882)</f>
        <v>H</v>
      </c>
      <c r="H882" s="3" t="str">
        <f>IF([1]SCHEDULE!H882="","",[1]SCHEDULE!H882)</f>
        <v>ASM</v>
      </c>
      <c r="I882" s="3" t="str">
        <f>IF([1]SCHEDULE!I882="","",[1]SCHEDULE!I882)</f>
        <v>13.ZAL</v>
      </c>
      <c r="J882" s="3" t="str">
        <f>IF([1]SCHEDULE!J882="","",[1]SCHEDULE!J882)</f>
        <v>13.ASM</v>
      </c>
    </row>
    <row r="883" spans="2:10" x14ac:dyDescent="0.25">
      <c r="B883" s="3" t="str">
        <f>IF([1]SCHEDULE!B883="","",[1]SCHEDULE!B883)</f>
        <v>ZAL</v>
      </c>
      <c r="C883" s="3">
        <f>IF([1]SCHEDULE!C883="","",[1]SCHEDULE!C883)</f>
        <v>14</v>
      </c>
      <c r="D883" s="1" t="str">
        <f>IF([1]SCHEDULE!D883="","",[1]SCHEDULE!D883)</f>
        <v>Zalgiris Kaunas</v>
      </c>
      <c r="E883" s="1" t="str">
        <f>IF([1]SCHEDULE!E883="","",[1]SCHEDULE!E883)</f>
        <v>Partizan Mozzart Bet Belgrade</v>
      </c>
      <c r="F883" s="6">
        <f>IF([1]SCHEDULE!F883="","",[1]SCHEDULE!F883)</f>
        <v>45274</v>
      </c>
      <c r="G883" s="3" t="str">
        <f>IF([1]SCHEDULE!G883="","",[1]SCHEDULE!G883)</f>
        <v>H</v>
      </c>
      <c r="H883" s="3" t="str">
        <f>IF([1]SCHEDULE!H883="","",[1]SCHEDULE!H883)</f>
        <v>PAR</v>
      </c>
      <c r="I883" s="3" t="str">
        <f>IF([1]SCHEDULE!I883="","",[1]SCHEDULE!I883)</f>
        <v>14.ZAL</v>
      </c>
      <c r="J883" s="3" t="str">
        <f>IF([1]SCHEDULE!J883="","",[1]SCHEDULE!J883)</f>
        <v>14.PAR</v>
      </c>
    </row>
    <row r="884" spans="2:10" x14ac:dyDescent="0.25">
      <c r="B884" s="3" t="str">
        <f>IF([1]SCHEDULE!B884="","",[1]SCHEDULE!B884)</f>
        <v>ZAL</v>
      </c>
      <c r="C884" s="3">
        <f>IF([1]SCHEDULE!C884="","",[1]SCHEDULE!C884)</f>
        <v>15</v>
      </c>
      <c r="D884" s="1" t="str">
        <f>IF([1]SCHEDULE!D884="","",[1]SCHEDULE!D884)</f>
        <v>Zalgiris Kaunas</v>
      </c>
      <c r="E884" s="1" t="str">
        <f>IF([1]SCHEDULE!E884="","",[1]SCHEDULE!E884)</f>
        <v>Fenerbahce Beko Istanbul</v>
      </c>
      <c r="F884" s="6">
        <f>IF([1]SCHEDULE!F884="","",[1]SCHEDULE!F884)</f>
        <v>45280</v>
      </c>
      <c r="G884" s="3" t="str">
        <f>IF([1]SCHEDULE!G884="","",[1]SCHEDULE!G884)</f>
        <v>A</v>
      </c>
      <c r="H884" s="3" t="str">
        <f>IF([1]SCHEDULE!H884="","",[1]SCHEDULE!H884)</f>
        <v>FEN</v>
      </c>
      <c r="I884" s="3" t="str">
        <f>IF([1]SCHEDULE!I884="","",[1]SCHEDULE!I884)</f>
        <v>15.ZAL</v>
      </c>
      <c r="J884" s="3" t="str">
        <f>IF([1]SCHEDULE!J884="","",[1]SCHEDULE!J884)</f>
        <v>15.FEN</v>
      </c>
    </row>
    <row r="885" spans="2:10" x14ac:dyDescent="0.25">
      <c r="B885" s="3" t="str">
        <f>IF([1]SCHEDULE!B885="","",[1]SCHEDULE!B885)</f>
        <v>ZAL</v>
      </c>
      <c r="C885" s="3">
        <f>IF([1]SCHEDULE!C885="","",[1]SCHEDULE!C885)</f>
        <v>16</v>
      </c>
      <c r="D885" s="1" t="str">
        <f>IF([1]SCHEDULE!D885="","",[1]SCHEDULE!D885)</f>
        <v>Zalgiris Kaunas</v>
      </c>
      <c r="E885" s="1" t="str">
        <f>IF([1]SCHEDULE!E885="","",[1]SCHEDULE!E885)</f>
        <v>FC Barcelona</v>
      </c>
      <c r="F885" s="6">
        <f>IF([1]SCHEDULE!F885="","",[1]SCHEDULE!F885)</f>
        <v>45282</v>
      </c>
      <c r="G885" s="3" t="str">
        <f>IF([1]SCHEDULE!G885="","",[1]SCHEDULE!G885)</f>
        <v>H</v>
      </c>
      <c r="H885" s="3" t="str">
        <f>IF([1]SCHEDULE!H885="","",[1]SCHEDULE!H885)</f>
        <v>FCB</v>
      </c>
      <c r="I885" s="3" t="str">
        <f>IF([1]SCHEDULE!I885="","",[1]SCHEDULE!I885)</f>
        <v>16.ZAL</v>
      </c>
      <c r="J885" s="3" t="str">
        <f>IF([1]SCHEDULE!J885="","",[1]SCHEDULE!J885)</f>
        <v>16.FCB</v>
      </c>
    </row>
    <row r="886" spans="2:10" x14ac:dyDescent="0.25">
      <c r="B886" s="3" t="str">
        <f>IF([1]SCHEDULE!B886="","",[1]SCHEDULE!B886)</f>
        <v>ZAL</v>
      </c>
      <c r="C886" s="3">
        <f>IF([1]SCHEDULE!C886="","",[1]SCHEDULE!C886)</f>
        <v>17</v>
      </c>
      <c r="D886" s="1" t="str">
        <f>IF([1]SCHEDULE!D886="","",[1]SCHEDULE!D886)</f>
        <v>Zalgiris Kaunas</v>
      </c>
      <c r="E886" s="1" t="str">
        <f>IF([1]SCHEDULE!E886="","",[1]SCHEDULE!E886)</f>
        <v>Maccabi Playtika Tel Aviv</v>
      </c>
      <c r="F886" s="6">
        <f>IF([1]SCHEDULE!F886="","",[1]SCHEDULE!F886)</f>
        <v>45288</v>
      </c>
      <c r="G886" s="3" t="str">
        <f>IF([1]SCHEDULE!G886="","",[1]SCHEDULE!G886)</f>
        <v>H</v>
      </c>
      <c r="H886" s="3" t="str">
        <f>IF([1]SCHEDULE!H886="","",[1]SCHEDULE!H886)</f>
        <v>MTA</v>
      </c>
      <c r="I886" s="3" t="str">
        <f>IF([1]SCHEDULE!I886="","",[1]SCHEDULE!I886)</f>
        <v>17.ZAL</v>
      </c>
      <c r="J886" s="3" t="str">
        <f>IF([1]SCHEDULE!J886="","",[1]SCHEDULE!J886)</f>
        <v>17.MTA</v>
      </c>
    </row>
    <row r="887" spans="2:10" x14ac:dyDescent="0.25">
      <c r="B887" s="3" t="str">
        <f>IF([1]SCHEDULE!B887="","",[1]SCHEDULE!B887)</f>
        <v>ZAL</v>
      </c>
      <c r="C887" s="3">
        <f>IF([1]SCHEDULE!C887="","",[1]SCHEDULE!C887)</f>
        <v>18</v>
      </c>
      <c r="D887" s="1" t="str">
        <f>IF([1]SCHEDULE!D887="","",[1]SCHEDULE!D887)</f>
        <v>Zalgiris Kaunas</v>
      </c>
      <c r="E887" s="1" t="str">
        <f>IF([1]SCHEDULE!E887="","",[1]SCHEDULE!E887)</f>
        <v>ALBA Berlin</v>
      </c>
      <c r="F887" s="6">
        <f>IF([1]SCHEDULE!F887="","",[1]SCHEDULE!F887)</f>
        <v>45293</v>
      </c>
      <c r="G887" s="3" t="str">
        <f>IF([1]SCHEDULE!G887="","",[1]SCHEDULE!G887)</f>
        <v>H</v>
      </c>
      <c r="H887" s="3" t="str">
        <f>IF([1]SCHEDULE!H887="","",[1]SCHEDULE!H887)</f>
        <v>BER</v>
      </c>
      <c r="I887" s="3" t="str">
        <f>IF([1]SCHEDULE!I887="","",[1]SCHEDULE!I887)</f>
        <v>18.ZAL</v>
      </c>
      <c r="J887" s="3" t="str">
        <f>IF([1]SCHEDULE!J887="","",[1]SCHEDULE!J887)</f>
        <v>18.BER</v>
      </c>
    </row>
    <row r="888" spans="2:10" x14ac:dyDescent="0.25">
      <c r="B888" s="3" t="str">
        <f>IF([1]SCHEDULE!B888="","",[1]SCHEDULE!B888)</f>
        <v>ZAL</v>
      </c>
      <c r="C888" s="3">
        <f>IF([1]SCHEDULE!C888="","",[1]SCHEDULE!C888)</f>
        <v>19</v>
      </c>
      <c r="D888" s="1" t="str">
        <f>IF([1]SCHEDULE!D888="","",[1]SCHEDULE!D888)</f>
        <v>Zalgiris Kaunas</v>
      </c>
      <c r="E888" s="1" t="str">
        <f>IF([1]SCHEDULE!E888="","",[1]SCHEDULE!E888)</f>
        <v>LDLC ASVEL Villeurbanne</v>
      </c>
      <c r="F888" s="6">
        <f>IF([1]SCHEDULE!F888="","",[1]SCHEDULE!F888)</f>
        <v>45295</v>
      </c>
      <c r="G888" s="3" t="str">
        <f>IF([1]SCHEDULE!G888="","",[1]SCHEDULE!G888)</f>
        <v>A</v>
      </c>
      <c r="H888" s="3" t="str">
        <f>IF([1]SCHEDULE!H888="","",[1]SCHEDULE!H888)</f>
        <v>ASV</v>
      </c>
      <c r="I888" s="3" t="str">
        <f>IF([1]SCHEDULE!I888="","",[1]SCHEDULE!I888)</f>
        <v>19.ZAL</v>
      </c>
      <c r="J888" s="3" t="str">
        <f>IF([1]SCHEDULE!J888="","",[1]SCHEDULE!J888)</f>
        <v>19.ASV</v>
      </c>
    </row>
    <row r="889" spans="2:10" x14ac:dyDescent="0.25">
      <c r="B889" s="3" t="str">
        <f>IF([1]SCHEDULE!B889="","",[1]SCHEDULE!B889)</f>
        <v>ZAL</v>
      </c>
      <c r="C889" s="3">
        <f>IF([1]SCHEDULE!C889="","",[1]SCHEDULE!C889)</f>
        <v>20</v>
      </c>
      <c r="D889" s="1" t="str">
        <f>IF([1]SCHEDULE!D889="","",[1]SCHEDULE!D889)</f>
        <v>Zalgiris Kaunas</v>
      </c>
      <c r="E889" s="1" t="str">
        <f>IF([1]SCHEDULE!E889="","",[1]SCHEDULE!E889)</f>
        <v>Valencia Basket</v>
      </c>
      <c r="F889" s="6">
        <f>IF([1]SCHEDULE!F889="","",[1]SCHEDULE!F889)</f>
        <v>45300</v>
      </c>
      <c r="G889" s="3" t="str">
        <f>IF([1]SCHEDULE!G889="","",[1]SCHEDULE!G889)</f>
        <v>A</v>
      </c>
      <c r="H889" s="3" t="str">
        <f>IF([1]SCHEDULE!H889="","",[1]SCHEDULE!H889)</f>
        <v>VAL</v>
      </c>
      <c r="I889" s="3" t="str">
        <f>IF([1]SCHEDULE!I889="","",[1]SCHEDULE!I889)</f>
        <v>20.ZAL</v>
      </c>
      <c r="J889" s="3" t="str">
        <f>IF([1]SCHEDULE!J889="","",[1]SCHEDULE!J889)</f>
        <v>20.VAL</v>
      </c>
    </row>
    <row r="890" spans="2:10" x14ac:dyDescent="0.25">
      <c r="B890" s="3" t="str">
        <f>IF([1]SCHEDULE!B890="","",[1]SCHEDULE!B890)</f>
        <v>ZAL</v>
      </c>
      <c r="C890" s="3">
        <f>IF([1]SCHEDULE!C890="","",[1]SCHEDULE!C890)</f>
        <v>21</v>
      </c>
      <c r="D890" s="1" t="str">
        <f>IF([1]SCHEDULE!D890="","",[1]SCHEDULE!D890)</f>
        <v>Zalgiris Kaunas</v>
      </c>
      <c r="E890" s="1" t="str">
        <f>IF([1]SCHEDULE!E890="","",[1]SCHEDULE!E890)</f>
        <v>FC Barcelona</v>
      </c>
      <c r="F890" s="6">
        <f>IF([1]SCHEDULE!F890="","",[1]SCHEDULE!F890)</f>
        <v>45303</v>
      </c>
      <c r="G890" s="3" t="str">
        <f>IF([1]SCHEDULE!G890="","",[1]SCHEDULE!G890)</f>
        <v>A</v>
      </c>
      <c r="H890" s="3" t="str">
        <f>IF([1]SCHEDULE!H890="","",[1]SCHEDULE!H890)</f>
        <v>FCB</v>
      </c>
      <c r="I890" s="3" t="str">
        <f>IF([1]SCHEDULE!I890="","",[1]SCHEDULE!I890)</f>
        <v>21.ZAL</v>
      </c>
      <c r="J890" s="3" t="str">
        <f>IF([1]SCHEDULE!J890="","",[1]SCHEDULE!J890)</f>
        <v>21.FCB</v>
      </c>
    </row>
    <row r="891" spans="2:10" x14ac:dyDescent="0.25">
      <c r="B891" s="3" t="str">
        <f>IF([1]SCHEDULE!B891="","",[1]SCHEDULE!B891)</f>
        <v>ZAL</v>
      </c>
      <c r="C891" s="3">
        <f>IF([1]SCHEDULE!C891="","",[1]SCHEDULE!C891)</f>
        <v>22</v>
      </c>
      <c r="D891" s="1" t="str">
        <f>IF([1]SCHEDULE!D891="","",[1]SCHEDULE!D891)</f>
        <v>Zalgiris Kaunas</v>
      </c>
      <c r="E891" s="1" t="str">
        <f>IF([1]SCHEDULE!E891="","",[1]SCHEDULE!E891)</f>
        <v>Fenerbahce Beko Istanbul</v>
      </c>
      <c r="F891" s="6">
        <f>IF([1]SCHEDULE!F891="","",[1]SCHEDULE!F891)</f>
        <v>45310</v>
      </c>
      <c r="G891" s="3" t="str">
        <f>IF([1]SCHEDULE!G891="","",[1]SCHEDULE!G891)</f>
        <v>H</v>
      </c>
      <c r="H891" s="3" t="str">
        <f>IF([1]SCHEDULE!H891="","",[1]SCHEDULE!H891)</f>
        <v>FEN</v>
      </c>
      <c r="I891" s="3" t="str">
        <f>IF([1]SCHEDULE!I891="","",[1]SCHEDULE!I891)</f>
        <v>22.ZAL</v>
      </c>
      <c r="J891" s="3" t="str">
        <f>IF([1]SCHEDULE!J891="","",[1]SCHEDULE!J891)</f>
        <v>22.FEN</v>
      </c>
    </row>
    <row r="892" spans="2:10" x14ac:dyDescent="0.25">
      <c r="B892" s="3" t="str">
        <f>IF([1]SCHEDULE!B892="","",[1]SCHEDULE!B892)</f>
        <v>ZAL</v>
      </c>
      <c r="C892" s="3">
        <f>IF([1]SCHEDULE!C892="","",[1]SCHEDULE!C892)</f>
        <v>23</v>
      </c>
      <c r="D892" s="1" t="str">
        <f>IF([1]SCHEDULE!D892="","",[1]SCHEDULE!D892)</f>
        <v>Zalgiris Kaunas</v>
      </c>
      <c r="E892" s="1" t="str">
        <f>IF([1]SCHEDULE!E892="","",[1]SCHEDULE!E892)</f>
        <v>Partizan Mozzart Bet Belgrade</v>
      </c>
      <c r="F892" s="6">
        <f>IF([1]SCHEDULE!F892="","",[1]SCHEDULE!F892)</f>
        <v>45317</v>
      </c>
      <c r="G892" s="3" t="str">
        <f>IF([1]SCHEDULE!G892="","",[1]SCHEDULE!G892)</f>
        <v>A</v>
      </c>
      <c r="H892" s="3" t="str">
        <f>IF([1]SCHEDULE!H892="","",[1]SCHEDULE!H892)</f>
        <v>PAR</v>
      </c>
      <c r="I892" s="3" t="str">
        <f>IF([1]SCHEDULE!I892="","",[1]SCHEDULE!I892)</f>
        <v>23.ZAL</v>
      </c>
      <c r="J892" s="3" t="str">
        <f>IF([1]SCHEDULE!J892="","",[1]SCHEDULE!J892)</f>
        <v>23.PAR</v>
      </c>
    </row>
    <row r="893" spans="2:10" x14ac:dyDescent="0.25">
      <c r="B893" s="3" t="str">
        <f>IF([1]SCHEDULE!B893="","",[1]SCHEDULE!B893)</f>
        <v>ZAL</v>
      </c>
      <c r="C893" s="3">
        <f>IF([1]SCHEDULE!C893="","",[1]SCHEDULE!C893)</f>
        <v>24</v>
      </c>
      <c r="D893" s="1" t="str">
        <f>IF([1]SCHEDULE!D893="","",[1]SCHEDULE!D893)</f>
        <v>Zalgiris Kaunas</v>
      </c>
      <c r="E893" s="1" t="str">
        <f>IF([1]SCHEDULE!E893="","",[1]SCHEDULE!E893)</f>
        <v>Anadolu Efes Istanbul</v>
      </c>
      <c r="F893" s="6">
        <f>IF([1]SCHEDULE!F893="","",[1]SCHEDULE!F893)</f>
        <v>45322</v>
      </c>
      <c r="G893" s="3" t="str">
        <f>IF([1]SCHEDULE!G893="","",[1]SCHEDULE!G893)</f>
        <v>H</v>
      </c>
      <c r="H893" s="3" t="str">
        <f>IF([1]SCHEDULE!H893="","",[1]SCHEDULE!H893)</f>
        <v>EFE</v>
      </c>
      <c r="I893" s="3" t="str">
        <f>IF([1]SCHEDULE!I893="","",[1]SCHEDULE!I893)</f>
        <v>24.ZAL</v>
      </c>
      <c r="J893" s="3" t="str">
        <f>IF([1]SCHEDULE!J893="","",[1]SCHEDULE!J893)</f>
        <v>24.EFE</v>
      </c>
    </row>
    <row r="894" spans="2:10" x14ac:dyDescent="0.25">
      <c r="B894" s="3" t="str">
        <f>IF([1]SCHEDULE!B894="","",[1]SCHEDULE!B894)</f>
        <v>ZAL</v>
      </c>
      <c r="C894" s="3">
        <f>IF([1]SCHEDULE!C894="","",[1]SCHEDULE!C894)</f>
        <v>25</v>
      </c>
      <c r="D894" s="1" t="str">
        <f>IF([1]SCHEDULE!D894="","",[1]SCHEDULE!D894)</f>
        <v>Zalgiris Kaunas</v>
      </c>
      <c r="E894" s="1" t="str">
        <f>IF([1]SCHEDULE!E894="","",[1]SCHEDULE!E894)</f>
        <v>Panathinaikos Athens</v>
      </c>
      <c r="F894" s="6">
        <f>IF([1]SCHEDULE!F894="","",[1]SCHEDULE!F894)</f>
        <v>45324</v>
      </c>
      <c r="G894" s="3" t="str">
        <f>IF([1]SCHEDULE!G894="","",[1]SCHEDULE!G894)</f>
        <v>H</v>
      </c>
      <c r="H894" s="3" t="str">
        <f>IF([1]SCHEDULE!H894="","",[1]SCHEDULE!H894)</f>
        <v>PAN</v>
      </c>
      <c r="I894" s="3" t="str">
        <f>IF([1]SCHEDULE!I894="","",[1]SCHEDULE!I894)</f>
        <v>25.ZAL</v>
      </c>
      <c r="J894" s="3" t="str">
        <f>IF([1]SCHEDULE!J894="","",[1]SCHEDULE!J894)</f>
        <v>25.PAN</v>
      </c>
    </row>
    <row r="895" spans="2:10" x14ac:dyDescent="0.25">
      <c r="B895" s="3" t="str">
        <f>IF([1]SCHEDULE!B895="","",[1]SCHEDULE!B895)</f>
        <v>ZAL</v>
      </c>
      <c r="C895" s="3">
        <f>IF([1]SCHEDULE!C895="","",[1]SCHEDULE!C895)</f>
        <v>26</v>
      </c>
      <c r="D895" s="1" t="str">
        <f>IF([1]SCHEDULE!D895="","",[1]SCHEDULE!D895)</f>
        <v>Zalgiris Kaunas</v>
      </c>
      <c r="E895" s="1" t="str">
        <f>IF([1]SCHEDULE!E895="","",[1]SCHEDULE!E895)</f>
        <v>Crvena Zvezda Meridianbet Belgrade</v>
      </c>
      <c r="F895" s="6">
        <f>IF([1]SCHEDULE!F895="","",[1]SCHEDULE!F895)</f>
        <v>45331</v>
      </c>
      <c r="G895" s="3" t="str">
        <f>IF([1]SCHEDULE!G895="","",[1]SCHEDULE!G895)</f>
        <v>A</v>
      </c>
      <c r="H895" s="3" t="str">
        <f>IF([1]SCHEDULE!H895="","",[1]SCHEDULE!H895)</f>
        <v>CZB</v>
      </c>
      <c r="I895" s="3" t="str">
        <f>IF([1]SCHEDULE!I895="","",[1]SCHEDULE!I895)</f>
        <v>26.ZAL</v>
      </c>
      <c r="J895" s="3" t="str">
        <f>IF([1]SCHEDULE!J895="","",[1]SCHEDULE!J895)</f>
        <v>26.CZB</v>
      </c>
    </row>
    <row r="896" spans="2:10" x14ac:dyDescent="0.25">
      <c r="B896" s="3" t="str">
        <f>IF([1]SCHEDULE!B896="","",[1]SCHEDULE!B896)</f>
        <v>ZAL</v>
      </c>
      <c r="C896" s="3">
        <f>IF([1]SCHEDULE!C896="","",[1]SCHEDULE!C896)</f>
        <v>27</v>
      </c>
      <c r="D896" s="1" t="str">
        <f>IF([1]SCHEDULE!D896="","",[1]SCHEDULE!D896)</f>
        <v>Zalgiris Kaunas</v>
      </c>
      <c r="E896" s="1" t="str">
        <f>IF([1]SCHEDULE!E896="","",[1]SCHEDULE!E896)</f>
        <v>Olympiacos Piraeus</v>
      </c>
      <c r="F896" s="6">
        <f>IF([1]SCHEDULE!F896="","",[1]SCHEDULE!F896)</f>
        <v>45352</v>
      </c>
      <c r="G896" s="3" t="str">
        <f>IF([1]SCHEDULE!G896="","",[1]SCHEDULE!G896)</f>
        <v>H</v>
      </c>
      <c r="H896" s="3" t="str">
        <f>IF([1]SCHEDULE!H896="","",[1]SCHEDULE!H896)</f>
        <v>OLY</v>
      </c>
      <c r="I896" s="3" t="str">
        <f>IF([1]SCHEDULE!I896="","",[1]SCHEDULE!I896)</f>
        <v>27.ZAL</v>
      </c>
      <c r="J896" s="3" t="str">
        <f>IF([1]SCHEDULE!J896="","",[1]SCHEDULE!J896)</f>
        <v>27.OLY</v>
      </c>
    </row>
    <row r="897" spans="2:10" x14ac:dyDescent="0.25">
      <c r="B897" s="3" t="str">
        <f>IF([1]SCHEDULE!B897="","",[1]SCHEDULE!B897)</f>
        <v>ZAL</v>
      </c>
      <c r="C897" s="3">
        <f>IF([1]SCHEDULE!C897="","",[1]SCHEDULE!C897)</f>
        <v>28</v>
      </c>
      <c r="D897" s="1" t="str">
        <f>IF([1]SCHEDULE!D897="","",[1]SCHEDULE!D897)</f>
        <v>Zalgiris Kaunas</v>
      </c>
      <c r="E897" s="1" t="str">
        <f>IF([1]SCHEDULE!E897="","",[1]SCHEDULE!E897)</f>
        <v>Maccabi Playtika Tel Aviv</v>
      </c>
      <c r="F897" s="6">
        <f>IF([1]SCHEDULE!F897="","",[1]SCHEDULE!F897)</f>
        <v>45358</v>
      </c>
      <c r="G897" s="3" t="str">
        <f>IF([1]SCHEDULE!G897="","",[1]SCHEDULE!G897)</f>
        <v>A</v>
      </c>
      <c r="H897" s="3" t="str">
        <f>IF([1]SCHEDULE!H897="","",[1]SCHEDULE!H897)</f>
        <v>MTA</v>
      </c>
      <c r="I897" s="3" t="str">
        <f>IF([1]SCHEDULE!I897="","",[1]SCHEDULE!I897)</f>
        <v>28.ZAL</v>
      </c>
      <c r="J897" s="3" t="str">
        <f>IF([1]SCHEDULE!J897="","",[1]SCHEDULE!J897)</f>
        <v>28.MTA</v>
      </c>
    </row>
    <row r="898" spans="2:10" x14ac:dyDescent="0.25">
      <c r="B898" s="3" t="str">
        <f>IF([1]SCHEDULE!B898="","",[1]SCHEDULE!B898)</f>
        <v>ZAL</v>
      </c>
      <c r="C898" s="3">
        <f>IF([1]SCHEDULE!C898="","",[1]SCHEDULE!C898)</f>
        <v>29</v>
      </c>
      <c r="D898" s="1" t="str">
        <f>IF([1]SCHEDULE!D898="","",[1]SCHEDULE!D898)</f>
        <v>Zalgiris Kaunas</v>
      </c>
      <c r="E898" s="1" t="str">
        <f>IF([1]SCHEDULE!E898="","",[1]SCHEDULE!E898)</f>
        <v>FC Bayern Munich</v>
      </c>
      <c r="F898" s="6">
        <f>IF([1]SCHEDULE!F898="","",[1]SCHEDULE!F898)</f>
        <v>45366</v>
      </c>
      <c r="G898" s="3" t="str">
        <f>IF([1]SCHEDULE!G898="","",[1]SCHEDULE!G898)</f>
        <v>A</v>
      </c>
      <c r="H898" s="3" t="str">
        <f>IF([1]SCHEDULE!H898="","",[1]SCHEDULE!H898)</f>
        <v>BAY</v>
      </c>
      <c r="I898" s="3" t="str">
        <f>IF([1]SCHEDULE!I898="","",[1]SCHEDULE!I898)</f>
        <v>29.ZAL</v>
      </c>
      <c r="J898" s="3" t="str">
        <f>IF([1]SCHEDULE!J898="","",[1]SCHEDULE!J898)</f>
        <v>29.BAY</v>
      </c>
    </row>
    <row r="899" spans="2:10" x14ac:dyDescent="0.25">
      <c r="B899" s="3" t="str">
        <f>IF([1]SCHEDULE!B899="","",[1]SCHEDULE!B899)</f>
        <v>ZAL</v>
      </c>
      <c r="C899" s="3">
        <f>IF([1]SCHEDULE!C899="","",[1]SCHEDULE!C899)</f>
        <v>30</v>
      </c>
      <c r="D899" s="1" t="str">
        <f>IF([1]SCHEDULE!D899="","",[1]SCHEDULE!D899)</f>
        <v>Zalgiris Kaunas</v>
      </c>
      <c r="E899" s="1" t="str">
        <f>IF([1]SCHEDULE!E899="","",[1]SCHEDULE!E899)</f>
        <v>Virtus Segafredo Bologna</v>
      </c>
      <c r="F899" s="6">
        <f>IF([1]SCHEDULE!F899="","",[1]SCHEDULE!F899)</f>
        <v>45370</v>
      </c>
      <c r="G899" s="3" t="str">
        <f>IF([1]SCHEDULE!G899="","",[1]SCHEDULE!G899)</f>
        <v>H</v>
      </c>
      <c r="H899" s="3" t="str">
        <f>IF([1]SCHEDULE!H899="","",[1]SCHEDULE!H899)</f>
        <v>VIR</v>
      </c>
      <c r="I899" s="3" t="str">
        <f>IF([1]SCHEDULE!I899="","",[1]SCHEDULE!I899)</f>
        <v>30.ZAL</v>
      </c>
      <c r="J899" s="3" t="str">
        <f>IF([1]SCHEDULE!J899="","",[1]SCHEDULE!J899)</f>
        <v>30.VIR</v>
      </c>
    </row>
    <row r="900" spans="2:10" x14ac:dyDescent="0.25">
      <c r="B900" s="3" t="str">
        <f>IF([1]SCHEDULE!B900="","",[1]SCHEDULE!B900)</f>
        <v>ZAL</v>
      </c>
      <c r="C900" s="3">
        <f>IF([1]SCHEDULE!C900="","",[1]SCHEDULE!C900)</f>
        <v>31</v>
      </c>
      <c r="D900" s="1" t="str">
        <f>IF([1]SCHEDULE!D900="","",[1]SCHEDULE!D900)</f>
        <v>Zalgiris Kaunas</v>
      </c>
      <c r="E900" s="1" t="str">
        <f>IF([1]SCHEDULE!E900="","",[1]SCHEDULE!E900)</f>
        <v>Baskonia Vitoria-Gasteiz</v>
      </c>
      <c r="F900" s="6">
        <f>IF([1]SCHEDULE!F900="","",[1]SCHEDULE!F900)</f>
        <v>45372</v>
      </c>
      <c r="G900" s="3" t="str">
        <f>IF([1]SCHEDULE!G900="","",[1]SCHEDULE!G900)</f>
        <v>H</v>
      </c>
      <c r="H900" s="3" t="str">
        <f>IF([1]SCHEDULE!H900="","",[1]SCHEDULE!H900)</f>
        <v>BAS</v>
      </c>
      <c r="I900" s="3" t="str">
        <f>IF([1]SCHEDULE!I900="","",[1]SCHEDULE!I900)</f>
        <v>31.ZAL</v>
      </c>
      <c r="J900" s="3" t="str">
        <f>IF([1]SCHEDULE!J900="","",[1]SCHEDULE!J900)</f>
        <v>31.BAS</v>
      </c>
    </row>
    <row r="901" spans="2:10" x14ac:dyDescent="0.25">
      <c r="B901" s="3" t="str">
        <f>IF([1]SCHEDULE!B901="","",[1]SCHEDULE!B901)</f>
        <v>ZAL</v>
      </c>
      <c r="C901" s="3">
        <f>IF([1]SCHEDULE!C901="","",[1]SCHEDULE!C901)</f>
        <v>32</v>
      </c>
      <c r="D901" s="1" t="str">
        <f>IF([1]SCHEDULE!D901="","",[1]SCHEDULE!D901)</f>
        <v>Zalgiris Kaunas</v>
      </c>
      <c r="E901" s="1" t="str">
        <f>IF([1]SCHEDULE!E901="","",[1]SCHEDULE!E901)</f>
        <v>EA7 Emporio Armani Milan</v>
      </c>
      <c r="F901" s="6">
        <f>IF([1]SCHEDULE!F901="","",[1]SCHEDULE!F901)</f>
        <v>45379</v>
      </c>
      <c r="G901" s="3" t="str">
        <f>IF([1]SCHEDULE!G901="","",[1]SCHEDULE!G901)</f>
        <v>H</v>
      </c>
      <c r="H901" s="3" t="str">
        <f>IF([1]SCHEDULE!H901="","",[1]SCHEDULE!H901)</f>
        <v>MIL</v>
      </c>
      <c r="I901" s="3" t="str">
        <f>IF([1]SCHEDULE!I901="","",[1]SCHEDULE!I901)</f>
        <v>32.ZAL</v>
      </c>
      <c r="J901" s="3" t="str">
        <f>IF([1]SCHEDULE!J901="","",[1]SCHEDULE!J901)</f>
        <v>32.MIL</v>
      </c>
    </row>
    <row r="902" spans="2:10" x14ac:dyDescent="0.25">
      <c r="B902" s="3" t="str">
        <f>IF([1]SCHEDULE!B902="","",[1]SCHEDULE!B902)</f>
        <v>ZAL</v>
      </c>
      <c r="C902" s="3">
        <f>IF([1]SCHEDULE!C902="","",[1]SCHEDULE!C902)</f>
        <v>33</v>
      </c>
      <c r="D902" s="1" t="str">
        <f>IF([1]SCHEDULE!D902="","",[1]SCHEDULE!D902)</f>
        <v>Zalgiris Kaunas</v>
      </c>
      <c r="E902" s="1" t="str">
        <f>IF([1]SCHEDULE!E902="","",[1]SCHEDULE!E902)</f>
        <v>AS Monaco</v>
      </c>
      <c r="F902" s="6">
        <f>IF([1]SCHEDULE!F902="","",[1]SCHEDULE!F902)</f>
        <v>45386</v>
      </c>
      <c r="G902" s="3" t="str">
        <f>IF([1]SCHEDULE!G902="","",[1]SCHEDULE!G902)</f>
        <v>A</v>
      </c>
      <c r="H902" s="3" t="str">
        <f>IF([1]SCHEDULE!H902="","",[1]SCHEDULE!H902)</f>
        <v>ASM</v>
      </c>
      <c r="I902" s="3" t="str">
        <f>IF([1]SCHEDULE!I902="","",[1]SCHEDULE!I902)</f>
        <v>33.ZAL</v>
      </c>
      <c r="J902" s="3" t="str">
        <f>IF([1]SCHEDULE!J902="","",[1]SCHEDULE!J902)</f>
        <v>33.ASM</v>
      </c>
    </row>
    <row r="903" spans="2:10" x14ac:dyDescent="0.25">
      <c r="B903" s="3" t="str">
        <f>IF([1]SCHEDULE!B903="","",[1]SCHEDULE!B903)</f>
        <v>ZAL</v>
      </c>
      <c r="C903" s="3">
        <f>IF([1]SCHEDULE!C903="","",[1]SCHEDULE!C903)</f>
        <v>34</v>
      </c>
      <c r="D903" s="1" t="str">
        <f>IF([1]SCHEDULE!D903="","",[1]SCHEDULE!D903)</f>
        <v>Zalgiris Kaunas</v>
      </c>
      <c r="E903" s="1" t="str">
        <f>IF([1]SCHEDULE!E903="","",[1]SCHEDULE!E903)</f>
        <v>Real Madrid</v>
      </c>
      <c r="F903" s="6">
        <f>IF([1]SCHEDULE!F903="","",[1]SCHEDULE!F903)</f>
        <v>45393</v>
      </c>
      <c r="G903" s="3" t="str">
        <f>IF([1]SCHEDULE!G903="","",[1]SCHEDULE!G903)</f>
        <v>H</v>
      </c>
      <c r="H903" s="3" t="str">
        <f>IF([1]SCHEDULE!H903="","",[1]SCHEDULE!H903)</f>
        <v>RMB</v>
      </c>
      <c r="I903" s="3" t="str">
        <f>IF([1]SCHEDULE!I903="","",[1]SCHEDULE!I903)</f>
        <v>34.ZAL</v>
      </c>
      <c r="J903" s="3" t="str">
        <f>IF([1]SCHEDULE!J903="","",[1]SCHEDULE!J903)</f>
        <v>34.RMB</v>
      </c>
    </row>
    <row r="904" spans="2:10" x14ac:dyDescent="0.25">
      <c r="B904" s="3" t="str">
        <f>IF([1]SCHEDULE!B904="","",[1]SCHEDULE!B904)</f>
        <v>ZAL</v>
      </c>
      <c r="C904" s="3">
        <f>IF([1]SCHEDULE!C904="","",[1]SCHEDULE!C904)</f>
        <v>35</v>
      </c>
      <c r="D904" s="1" t="str">
        <f>IF([1]SCHEDULE!D904="","",[1]SCHEDULE!D904)</f>
        <v>Zalgiris Kaunas</v>
      </c>
      <c r="E904" s="1" t="str">
        <f>IF([1]SCHEDULE!E904="","",[1]SCHEDULE!E904)</f>
        <v/>
      </c>
      <c r="F904" s="6" t="str">
        <f>IF([1]SCHEDULE!F904="","",[1]SCHEDULE!F904)</f>
        <v/>
      </c>
      <c r="G904" s="3" t="str">
        <f>IF([1]SCHEDULE!G904="","",[1]SCHEDULE!G904)</f>
        <v/>
      </c>
      <c r="H904" s="3" t="str">
        <f>IF([1]SCHEDULE!H904="","",[1]SCHEDULE!H904)</f>
        <v/>
      </c>
      <c r="I904" s="3" t="str">
        <f>IF([1]SCHEDULE!I904="","",[1]SCHEDULE!I904)</f>
        <v/>
      </c>
      <c r="J904" s="3" t="str">
        <f>IF([1]SCHEDULE!J904="","",[1]SCHEDULE!J904)</f>
        <v/>
      </c>
    </row>
    <row r="905" spans="2:10" x14ac:dyDescent="0.25">
      <c r="B905" s="3" t="str">
        <f>IF([1]SCHEDULE!B905="","",[1]SCHEDULE!B905)</f>
        <v>ZAL</v>
      </c>
      <c r="C905" s="3">
        <f>IF([1]SCHEDULE!C905="","",[1]SCHEDULE!C905)</f>
        <v>36</v>
      </c>
      <c r="D905" s="1" t="str">
        <f>IF([1]SCHEDULE!D905="","",[1]SCHEDULE!D905)</f>
        <v>Zalgiris Kaunas</v>
      </c>
      <c r="E905" s="1" t="str">
        <f>IF([1]SCHEDULE!E905="","",[1]SCHEDULE!E905)</f>
        <v/>
      </c>
      <c r="F905" s="6" t="str">
        <f>IF([1]SCHEDULE!F905="","",[1]SCHEDULE!F905)</f>
        <v/>
      </c>
      <c r="G905" s="3" t="str">
        <f>IF([1]SCHEDULE!G905="","",[1]SCHEDULE!G905)</f>
        <v/>
      </c>
      <c r="H905" s="3" t="str">
        <f>IF([1]SCHEDULE!H905="","",[1]SCHEDULE!H905)</f>
        <v/>
      </c>
      <c r="I905" s="3" t="str">
        <f>IF([1]SCHEDULE!I905="","",[1]SCHEDULE!I905)</f>
        <v/>
      </c>
      <c r="J905" s="3" t="str">
        <f>IF([1]SCHEDULE!J905="","",[1]SCHEDULE!J905)</f>
        <v/>
      </c>
    </row>
    <row r="906" spans="2:10" x14ac:dyDescent="0.25">
      <c r="B906" s="3" t="str">
        <f>IF([1]SCHEDULE!B906="","",[1]SCHEDULE!B906)</f>
        <v>ZAL</v>
      </c>
      <c r="C906" s="3">
        <f>IF([1]SCHEDULE!C906="","",[1]SCHEDULE!C906)</f>
        <v>37</v>
      </c>
      <c r="D906" s="1" t="str">
        <f>IF([1]SCHEDULE!D906="","",[1]SCHEDULE!D906)</f>
        <v>Zalgiris Kaunas</v>
      </c>
      <c r="E906" s="1" t="str">
        <f>IF([1]SCHEDULE!E906="","",[1]SCHEDULE!E906)</f>
        <v/>
      </c>
      <c r="F906" s="6" t="str">
        <f>IF([1]SCHEDULE!F906="","",[1]SCHEDULE!F906)</f>
        <v/>
      </c>
      <c r="G906" s="3" t="str">
        <f>IF([1]SCHEDULE!G906="","",[1]SCHEDULE!G906)</f>
        <v/>
      </c>
      <c r="H906" s="3" t="str">
        <f>IF([1]SCHEDULE!H906="","",[1]SCHEDULE!H906)</f>
        <v/>
      </c>
      <c r="I906" s="3" t="str">
        <f>IF([1]SCHEDULE!I906="","",[1]SCHEDULE!I906)</f>
        <v/>
      </c>
      <c r="J906" s="3" t="str">
        <f>IF([1]SCHEDULE!J906="","",[1]SCHEDULE!J906)</f>
        <v/>
      </c>
    </row>
    <row r="907" spans="2:10" x14ac:dyDescent="0.25">
      <c r="B907" s="3" t="str">
        <f>IF([1]SCHEDULE!B907="","",[1]SCHEDULE!B907)</f>
        <v>ZAL</v>
      </c>
      <c r="C907" s="3">
        <f>IF([1]SCHEDULE!C907="","",[1]SCHEDULE!C907)</f>
        <v>38</v>
      </c>
      <c r="D907" s="1" t="str">
        <f>IF([1]SCHEDULE!D907="","",[1]SCHEDULE!D907)</f>
        <v>Zalgiris Kaunas</v>
      </c>
      <c r="E907" s="1" t="str">
        <f>IF([1]SCHEDULE!E907="","",[1]SCHEDULE!E907)</f>
        <v/>
      </c>
      <c r="F907" s="6" t="str">
        <f>IF([1]SCHEDULE!F907="","",[1]SCHEDULE!F907)</f>
        <v/>
      </c>
      <c r="G907" s="3" t="str">
        <f>IF([1]SCHEDULE!G907="","",[1]SCHEDULE!G907)</f>
        <v/>
      </c>
      <c r="H907" s="3" t="str">
        <f>IF([1]SCHEDULE!H907="","",[1]SCHEDULE!H907)</f>
        <v/>
      </c>
      <c r="I907" s="3" t="str">
        <f>IF([1]SCHEDULE!I907="","",[1]SCHEDULE!I907)</f>
        <v/>
      </c>
      <c r="J907" s="3" t="str">
        <f>IF([1]SCHEDULE!J907="","",[1]SCHEDULE!J907)</f>
        <v/>
      </c>
    </row>
    <row r="908" spans="2:10" x14ac:dyDescent="0.25">
      <c r="B908" s="3" t="str">
        <f>IF([1]SCHEDULE!B908="","",[1]SCHEDULE!B908)</f>
        <v>ZAL</v>
      </c>
      <c r="C908" s="3">
        <f>IF([1]SCHEDULE!C908="","",[1]SCHEDULE!C908)</f>
        <v>39</v>
      </c>
      <c r="D908" s="1" t="str">
        <f>IF([1]SCHEDULE!D908="","",[1]SCHEDULE!D908)</f>
        <v>Zalgiris Kaunas</v>
      </c>
      <c r="E908" s="1" t="str">
        <f>IF([1]SCHEDULE!E908="","",[1]SCHEDULE!E908)</f>
        <v/>
      </c>
      <c r="F908" s="6" t="str">
        <f>IF([1]SCHEDULE!F908="","",[1]SCHEDULE!F908)</f>
        <v/>
      </c>
      <c r="G908" s="3" t="str">
        <f>IF([1]SCHEDULE!G908="","",[1]SCHEDULE!G908)</f>
        <v/>
      </c>
      <c r="H908" s="3" t="str">
        <f>IF([1]SCHEDULE!H908="","",[1]SCHEDULE!H908)</f>
        <v/>
      </c>
      <c r="I908" s="3" t="str">
        <f>IF([1]SCHEDULE!I908="","",[1]SCHEDULE!I908)</f>
        <v/>
      </c>
      <c r="J908" s="3" t="str">
        <f>IF([1]SCHEDULE!J908="","",[1]SCHEDULE!J908)</f>
        <v/>
      </c>
    </row>
    <row r="909" spans="2:10" x14ac:dyDescent="0.25">
      <c r="B909" s="3" t="str">
        <f>IF([1]SCHEDULE!B909="","",[1]SCHEDULE!B909)</f>
        <v>ZAL</v>
      </c>
      <c r="C909" s="3">
        <f>IF([1]SCHEDULE!C909="","",[1]SCHEDULE!C909)</f>
        <v>40</v>
      </c>
      <c r="D909" s="1" t="str">
        <f>IF([1]SCHEDULE!D909="","",[1]SCHEDULE!D909)</f>
        <v>Zalgiris Kaunas</v>
      </c>
      <c r="E909" s="1" t="str">
        <f>IF([1]SCHEDULE!E909="","",[1]SCHEDULE!E909)</f>
        <v/>
      </c>
      <c r="F909" s="6" t="str">
        <f>IF([1]SCHEDULE!F909="","",[1]SCHEDULE!F909)</f>
        <v/>
      </c>
      <c r="G909" s="3" t="str">
        <f>IF([1]SCHEDULE!G909="","",[1]SCHEDULE!G909)</f>
        <v/>
      </c>
      <c r="H909" s="3" t="str">
        <f>IF([1]SCHEDULE!H909="","",[1]SCHEDULE!H909)</f>
        <v/>
      </c>
      <c r="I909" s="3" t="str">
        <f>IF([1]SCHEDULE!I909="","",[1]SCHEDULE!I909)</f>
        <v/>
      </c>
      <c r="J909" s="3" t="str">
        <f>IF([1]SCHEDULE!J909="","",[1]SCHEDULE!J909)</f>
        <v/>
      </c>
    </row>
    <row r="910" spans="2:10" x14ac:dyDescent="0.25">
      <c r="B910" s="3" t="str">
        <f>IF([1]SCHEDULE!B910="","",[1]SCHEDULE!B910)</f>
        <v>ZAL</v>
      </c>
      <c r="C910" s="3">
        <f>IF([1]SCHEDULE!C910="","",[1]SCHEDULE!C910)</f>
        <v>41</v>
      </c>
      <c r="D910" s="1" t="str">
        <f>IF([1]SCHEDULE!D910="","",[1]SCHEDULE!D910)</f>
        <v>Zalgiris Kaunas</v>
      </c>
      <c r="E910" s="1" t="str">
        <f>IF([1]SCHEDULE!E910="","",[1]SCHEDULE!E910)</f>
        <v/>
      </c>
      <c r="F910" s="6" t="str">
        <f>IF([1]SCHEDULE!F910="","",[1]SCHEDULE!F910)</f>
        <v/>
      </c>
      <c r="G910" s="3" t="str">
        <f>IF([1]SCHEDULE!G910="","",[1]SCHEDULE!G910)</f>
        <v/>
      </c>
      <c r="H910" s="3" t="str">
        <f>IF([1]SCHEDULE!H910="","",[1]SCHEDULE!H910)</f>
        <v/>
      </c>
      <c r="I910" s="3" t="str">
        <f>IF([1]SCHEDULE!I910="","",[1]SCHEDULE!I910)</f>
        <v/>
      </c>
      <c r="J910" s="3" t="str">
        <f>IF([1]SCHEDULE!J910="","",[1]SCHEDULE!J910)</f>
        <v/>
      </c>
    </row>
    <row r="911" spans="2:10" x14ac:dyDescent="0.25">
      <c r="B911" s="3" t="str">
        <f>IF([1]SCHEDULE!B911="","",[1]SCHEDULE!B911)</f>
        <v>ZAL</v>
      </c>
      <c r="C911" s="3">
        <f>IF([1]SCHEDULE!C911="","",[1]SCHEDULE!C911)</f>
        <v>42</v>
      </c>
      <c r="D911" s="1" t="str">
        <f>IF([1]SCHEDULE!D911="","",[1]SCHEDULE!D911)</f>
        <v>Zalgiris Kaunas</v>
      </c>
      <c r="E911" s="1" t="str">
        <f>IF([1]SCHEDULE!E911="","",[1]SCHEDULE!E911)</f>
        <v/>
      </c>
      <c r="F911" s="6" t="str">
        <f>IF([1]SCHEDULE!F911="","",[1]SCHEDULE!F911)</f>
        <v/>
      </c>
      <c r="G911" s="3" t="str">
        <f>IF([1]SCHEDULE!G911="","",[1]SCHEDULE!G911)</f>
        <v/>
      </c>
      <c r="H911" s="3" t="str">
        <f>IF([1]SCHEDULE!H911="","",[1]SCHEDULE!H911)</f>
        <v/>
      </c>
      <c r="I911" s="3" t="str">
        <f>IF([1]SCHEDULE!I911="","",[1]SCHEDULE!I911)</f>
        <v/>
      </c>
      <c r="J911" s="3" t="str">
        <f>IF([1]SCHEDULE!J911="","",[1]SCHEDULE!J911)</f>
        <v/>
      </c>
    </row>
    <row r="912" spans="2:10" x14ac:dyDescent="0.25">
      <c r="B912" s="3" t="str">
        <f>IF([1]SCHEDULE!B912="","",[1]SCHEDULE!B912)</f>
        <v>ZAL</v>
      </c>
      <c r="C912" s="3">
        <f>IF([1]SCHEDULE!C912="","",[1]SCHEDULE!C912)</f>
        <v>43</v>
      </c>
      <c r="D912" s="1" t="str">
        <f>IF([1]SCHEDULE!D912="","",[1]SCHEDULE!D912)</f>
        <v>Zalgiris Kaunas</v>
      </c>
      <c r="E912" s="1" t="str">
        <f>IF([1]SCHEDULE!E912="","",[1]SCHEDULE!E912)</f>
        <v/>
      </c>
      <c r="F912" s="6" t="str">
        <f>IF([1]SCHEDULE!F912="","",[1]SCHEDULE!F912)</f>
        <v/>
      </c>
      <c r="G912" s="3" t="str">
        <f>IF([1]SCHEDULE!G912="","",[1]SCHEDULE!G912)</f>
        <v/>
      </c>
      <c r="H912" s="3" t="str">
        <f>IF([1]SCHEDULE!H912="","",[1]SCHEDULE!H912)</f>
        <v/>
      </c>
      <c r="I912" s="3" t="str">
        <f>IF([1]SCHEDULE!I912="","",[1]SCHEDULE!I912)</f>
        <v/>
      </c>
      <c r="J912" s="3" t="str">
        <f>IF([1]SCHEDULE!J912="","",[1]SCHEDULE!J912)</f>
        <v/>
      </c>
    </row>
    <row r="913" spans="2:10" x14ac:dyDescent="0.25">
      <c r="B913" s="3" t="str">
        <f>IF([1]SCHEDULE!B913="","",[1]SCHEDULE!B913)</f>
        <v>ZAL</v>
      </c>
      <c r="C913" s="3">
        <f>IF([1]SCHEDULE!C913="","",[1]SCHEDULE!C913)</f>
        <v>44</v>
      </c>
      <c r="D913" s="1" t="str">
        <f>IF([1]SCHEDULE!D913="","",[1]SCHEDULE!D913)</f>
        <v>Zalgiris Kaunas</v>
      </c>
      <c r="E913" s="1" t="str">
        <f>IF([1]SCHEDULE!E913="","",[1]SCHEDULE!E913)</f>
        <v/>
      </c>
      <c r="F913" s="6" t="str">
        <f>IF([1]SCHEDULE!F913="","",[1]SCHEDULE!F913)</f>
        <v/>
      </c>
      <c r="G913" s="3" t="str">
        <f>IF([1]SCHEDULE!G913="","",[1]SCHEDULE!G913)</f>
        <v/>
      </c>
      <c r="H913" s="3" t="str">
        <f>IF([1]SCHEDULE!H913="","",[1]SCHEDULE!H913)</f>
        <v/>
      </c>
      <c r="I913" s="3" t="str">
        <f>IF([1]SCHEDULE!I913="","",[1]SCHEDULE!I913)</f>
        <v/>
      </c>
      <c r="J913" s="3" t="str">
        <f>IF([1]SCHEDULE!J913="","",[1]SCHEDULE!J913)</f>
        <v/>
      </c>
    </row>
    <row r="914" spans="2:10" x14ac:dyDescent="0.25">
      <c r="B914" s="3" t="str">
        <f>IF([1]SCHEDULE!B914="","",[1]SCHEDULE!B914)</f>
        <v>ZAL</v>
      </c>
      <c r="C914" s="3">
        <f>IF([1]SCHEDULE!C914="","",[1]SCHEDULE!C914)</f>
        <v>45</v>
      </c>
      <c r="D914" s="1" t="str">
        <f>IF([1]SCHEDULE!D914="","",[1]SCHEDULE!D914)</f>
        <v>Zalgiris Kaunas</v>
      </c>
      <c r="E914" s="1" t="str">
        <f>IF([1]SCHEDULE!E914="","",[1]SCHEDULE!E914)</f>
        <v/>
      </c>
      <c r="F914" s="6" t="str">
        <f>IF([1]SCHEDULE!F914="","",[1]SCHEDULE!F914)</f>
        <v/>
      </c>
      <c r="G914" s="3" t="str">
        <f>IF([1]SCHEDULE!G914="","",[1]SCHEDULE!G914)</f>
        <v/>
      </c>
      <c r="H914" s="3" t="str">
        <f>IF([1]SCHEDULE!H914="","",[1]SCHEDULE!H914)</f>
        <v/>
      </c>
      <c r="I914" s="3" t="str">
        <f>IF([1]SCHEDULE!I914="","",[1]SCHEDULE!I914)</f>
        <v/>
      </c>
      <c r="J914" s="3" t="str">
        <f>IF([1]SCHEDULE!J914="","",[1]SCHEDULE!J914)</f>
        <v/>
      </c>
    </row>
    <row r="915" spans="2:10" x14ac:dyDescent="0.25">
      <c r="B915" s="3" t="str">
        <f>IF([1]SCHEDULE!B915="","",[1]SCHEDULE!B915)</f>
        <v>ZAL</v>
      </c>
      <c r="C915" s="3">
        <f>IF([1]SCHEDULE!C915="","",[1]SCHEDULE!C915)</f>
        <v>46</v>
      </c>
      <c r="D915" s="1" t="str">
        <f>IF([1]SCHEDULE!D915="","",[1]SCHEDULE!D915)</f>
        <v>Zalgiris Kaunas</v>
      </c>
      <c r="E915" s="1" t="str">
        <f>IF([1]SCHEDULE!E915="","",[1]SCHEDULE!E915)</f>
        <v/>
      </c>
      <c r="F915" s="6" t="str">
        <f>IF([1]SCHEDULE!F915="","",[1]SCHEDULE!F915)</f>
        <v/>
      </c>
      <c r="G915" s="3" t="str">
        <f>IF([1]SCHEDULE!G915="","",[1]SCHEDULE!G915)</f>
        <v/>
      </c>
      <c r="H915" s="3" t="str">
        <f>IF([1]SCHEDULE!H915="","",[1]SCHEDULE!H915)</f>
        <v/>
      </c>
      <c r="I915" s="3" t="str">
        <f>IF([1]SCHEDULE!I915="","",[1]SCHEDULE!I915)</f>
        <v/>
      </c>
      <c r="J915" s="3" t="str">
        <f>IF([1]SCHEDULE!J915="","",[1]SCHEDULE!J915)</f>
        <v/>
      </c>
    </row>
    <row r="916" spans="2:10" x14ac:dyDescent="0.25">
      <c r="B916" s="3" t="str">
        <f>IF([1]SCHEDULE!B916="","",[1]SCHEDULE!B916)</f>
        <v>ZAL</v>
      </c>
      <c r="C916" s="3">
        <f>IF([1]SCHEDULE!C916="","",[1]SCHEDULE!C916)</f>
        <v>47</v>
      </c>
      <c r="D916" s="1" t="str">
        <f>IF([1]SCHEDULE!D916="","",[1]SCHEDULE!D916)</f>
        <v>Zalgiris Kaunas</v>
      </c>
      <c r="E916" s="1" t="str">
        <f>IF([1]SCHEDULE!E916="","",[1]SCHEDULE!E916)</f>
        <v/>
      </c>
      <c r="F916" s="6" t="str">
        <f>IF([1]SCHEDULE!F916="","",[1]SCHEDULE!F916)</f>
        <v/>
      </c>
      <c r="G916" s="3" t="str">
        <f>IF([1]SCHEDULE!G916="","",[1]SCHEDULE!G916)</f>
        <v/>
      </c>
      <c r="H916" s="3" t="str">
        <f>IF([1]SCHEDULE!H916="","",[1]SCHEDULE!H916)</f>
        <v/>
      </c>
      <c r="I916" s="3" t="str">
        <f>IF([1]SCHEDULE!I916="","",[1]SCHEDULE!I916)</f>
        <v/>
      </c>
      <c r="J916" s="3" t="str">
        <f>IF([1]SCHEDULE!J916="","",[1]SCHEDULE!J916)</f>
        <v/>
      </c>
    </row>
    <row r="917" spans="2:10" x14ac:dyDescent="0.25">
      <c r="B917" s="3" t="str">
        <f>IF([1]SCHEDULE!B917="","",[1]SCHEDULE!B917)</f>
        <v>ZAL</v>
      </c>
      <c r="C917" s="3">
        <f>IF([1]SCHEDULE!C917="","",[1]SCHEDULE!C917)</f>
        <v>48</v>
      </c>
      <c r="D917" s="1" t="str">
        <f>IF([1]SCHEDULE!D917="","",[1]SCHEDULE!D917)</f>
        <v>Zalgiris Kaunas</v>
      </c>
      <c r="E917" s="1" t="str">
        <f>IF([1]SCHEDULE!E917="","",[1]SCHEDULE!E917)</f>
        <v/>
      </c>
      <c r="F917" s="6" t="str">
        <f>IF([1]SCHEDULE!F917="","",[1]SCHEDULE!F917)</f>
        <v/>
      </c>
      <c r="G917" s="3" t="str">
        <f>IF([1]SCHEDULE!G917="","",[1]SCHEDULE!G917)</f>
        <v/>
      </c>
      <c r="H917" s="3" t="str">
        <f>IF([1]SCHEDULE!H917="","",[1]SCHEDULE!H917)</f>
        <v/>
      </c>
      <c r="I917" s="3" t="str">
        <f>IF([1]SCHEDULE!I917="","",[1]SCHEDULE!I917)</f>
        <v/>
      </c>
      <c r="J917" s="3" t="str">
        <f>IF([1]SCHEDULE!J917="","",[1]SCHEDULE!J917)</f>
        <v/>
      </c>
    </row>
    <row r="918" spans="2:10" x14ac:dyDescent="0.25">
      <c r="B918" s="3" t="str">
        <f>IF([1]SCHEDULE!B918="","",[1]SCHEDULE!B918)</f>
        <v>ZAL</v>
      </c>
      <c r="C918" s="3">
        <f>IF([1]SCHEDULE!C918="","",[1]SCHEDULE!C918)</f>
        <v>49</v>
      </c>
      <c r="D918" s="1" t="str">
        <f>IF([1]SCHEDULE!D918="","",[1]SCHEDULE!D918)</f>
        <v>Zalgiris Kaunas</v>
      </c>
      <c r="E918" s="1" t="str">
        <f>IF([1]SCHEDULE!E918="","",[1]SCHEDULE!E918)</f>
        <v/>
      </c>
      <c r="F918" s="6" t="str">
        <f>IF([1]SCHEDULE!F918="","",[1]SCHEDULE!F918)</f>
        <v/>
      </c>
      <c r="G918" s="3" t="str">
        <f>IF([1]SCHEDULE!G918="","",[1]SCHEDULE!G918)</f>
        <v/>
      </c>
      <c r="H918" s="3" t="str">
        <f>IF([1]SCHEDULE!H918="","",[1]SCHEDULE!H918)</f>
        <v/>
      </c>
      <c r="I918" s="3" t="str">
        <f>IF([1]SCHEDULE!I918="","",[1]SCHEDULE!I918)</f>
        <v/>
      </c>
      <c r="J918" s="3" t="str">
        <f>IF([1]SCHEDULE!J918="","",[1]SCHEDULE!J918)</f>
        <v/>
      </c>
    </row>
    <row r="919" spans="2:10" x14ac:dyDescent="0.25">
      <c r="B919" s="3" t="str">
        <f>IF([1]SCHEDULE!B919="","",[1]SCHEDULE!B919)</f>
        <v>ZAL</v>
      </c>
      <c r="C919" s="3">
        <f>IF([1]SCHEDULE!C919="","",[1]SCHEDULE!C919)</f>
        <v>50</v>
      </c>
      <c r="D919" s="1" t="str">
        <f>IF([1]SCHEDULE!D919="","",[1]SCHEDULE!D919)</f>
        <v>Zalgiris Kaunas</v>
      </c>
      <c r="E919" s="1" t="str">
        <f>IF([1]SCHEDULE!E919="","",[1]SCHEDULE!E919)</f>
        <v/>
      </c>
      <c r="F919" s="6" t="str">
        <f>IF([1]SCHEDULE!F919="","",[1]SCHEDULE!F919)</f>
        <v/>
      </c>
      <c r="G919" s="3" t="str">
        <f>IF([1]SCHEDULE!G919="","",[1]SCHEDULE!G919)</f>
        <v/>
      </c>
      <c r="H919" s="3" t="str">
        <f>IF([1]SCHEDULE!H919="","",[1]SCHEDULE!H919)</f>
        <v/>
      </c>
      <c r="I919" s="3" t="str">
        <f>IF([1]SCHEDULE!I919="","",[1]SCHEDULE!I919)</f>
        <v/>
      </c>
      <c r="J919" s="3" t="str">
        <f>IF([1]SCHEDULE!J919="","",[1]SCHEDULE!J919)</f>
        <v/>
      </c>
    </row>
    <row r="920" spans="2:10" x14ac:dyDescent="0.25">
      <c r="B920" s="3" t="str">
        <f>IF([1]SCHEDULE!B920="","",[1]SCHEDULE!B920)</f>
        <v>ZAL</v>
      </c>
      <c r="C920" s="3">
        <f>IF([1]SCHEDULE!C920="","",[1]SCHEDULE!C920)</f>
        <v>51</v>
      </c>
      <c r="D920" s="1" t="str">
        <f>IF([1]SCHEDULE!D920="","",[1]SCHEDULE!D920)</f>
        <v>Zalgiris Kaunas</v>
      </c>
      <c r="E920" s="1" t="str">
        <f>IF([1]SCHEDULE!E920="","",[1]SCHEDULE!E920)</f>
        <v/>
      </c>
      <c r="F920" s="6" t="str">
        <f>IF([1]SCHEDULE!F920="","",[1]SCHEDULE!F920)</f>
        <v/>
      </c>
      <c r="G920" s="3" t="str">
        <f>IF([1]SCHEDULE!G920="","",[1]SCHEDULE!G920)</f>
        <v/>
      </c>
      <c r="H920" s="3" t="str">
        <f>IF([1]SCHEDULE!H920="","",[1]SCHEDULE!H920)</f>
        <v/>
      </c>
      <c r="I920" s="3" t="str">
        <f>IF([1]SCHEDULE!I920="","",[1]SCHEDULE!I920)</f>
        <v/>
      </c>
      <c r="J920" s="3" t="str">
        <f>IF([1]SCHEDULE!J920="","",[1]SCHEDULE!J920)</f>
        <v/>
      </c>
    </row>
    <row r="921" spans="2:10" x14ac:dyDescent="0.25">
      <c r="B921" s="3" t="str">
        <f>IF([1]SCHEDULE!B921="","",[1]SCHEDULE!B921)</f>
        <v/>
      </c>
      <c r="C921" s="3">
        <f>IF([1]SCHEDULE!C921="","",[1]SCHEDULE!C921)</f>
        <v>1</v>
      </c>
      <c r="D921" s="1" t="e">
        <f>IF([1]SCHEDULE!D921="","",[1]SCHEDULE!D921)</f>
        <v>#N/A</v>
      </c>
      <c r="E921" s="1" t="str">
        <f>IF([1]SCHEDULE!E921="","",[1]SCHEDULE!E921)</f>
        <v/>
      </c>
      <c r="F921" s="6" t="str">
        <f>IF([1]SCHEDULE!F921="","",[1]SCHEDULE!F921)</f>
        <v/>
      </c>
      <c r="G921" s="3" t="str">
        <f>IF([1]SCHEDULE!G921="","",[1]SCHEDULE!G921)</f>
        <v/>
      </c>
      <c r="H921" s="3" t="str">
        <f>IF([1]SCHEDULE!H921="","",[1]SCHEDULE!H921)</f>
        <v/>
      </c>
      <c r="I921" s="3" t="str">
        <f>IF([1]SCHEDULE!I921="","",[1]SCHEDULE!I921)</f>
        <v/>
      </c>
      <c r="J921" s="3" t="str">
        <f>IF([1]SCHEDULE!J921="","",[1]SCHEDULE!J921)</f>
        <v/>
      </c>
    </row>
    <row r="922" spans="2:10" x14ac:dyDescent="0.25">
      <c r="B922" s="3" t="str">
        <f>IF([1]SCHEDULE!B922="","",[1]SCHEDULE!B922)</f>
        <v/>
      </c>
      <c r="C922" s="3">
        <f>IF([1]SCHEDULE!C922="","",[1]SCHEDULE!C922)</f>
        <v>2</v>
      </c>
      <c r="D922" s="1" t="e">
        <f>IF([1]SCHEDULE!D922="","",[1]SCHEDULE!D922)</f>
        <v>#N/A</v>
      </c>
      <c r="E922" s="1" t="str">
        <f>IF([1]SCHEDULE!E922="","",[1]SCHEDULE!E922)</f>
        <v/>
      </c>
      <c r="F922" s="6" t="str">
        <f>IF([1]SCHEDULE!F922="","",[1]SCHEDULE!F922)</f>
        <v/>
      </c>
      <c r="G922" s="3" t="str">
        <f>IF([1]SCHEDULE!G922="","",[1]SCHEDULE!G922)</f>
        <v/>
      </c>
      <c r="H922" s="3" t="str">
        <f>IF([1]SCHEDULE!H922="","",[1]SCHEDULE!H922)</f>
        <v/>
      </c>
      <c r="I922" s="3" t="str">
        <f>IF([1]SCHEDULE!I922="","",[1]SCHEDULE!I922)</f>
        <v/>
      </c>
      <c r="J922" s="3" t="str">
        <f>IF([1]SCHEDULE!J922="","",[1]SCHEDULE!J922)</f>
        <v/>
      </c>
    </row>
    <row r="923" spans="2:10" x14ac:dyDescent="0.25">
      <c r="B923" s="3" t="str">
        <f>IF([1]SCHEDULE!B923="","",[1]SCHEDULE!B923)</f>
        <v/>
      </c>
      <c r="C923" s="3">
        <f>IF([1]SCHEDULE!C923="","",[1]SCHEDULE!C923)</f>
        <v>3</v>
      </c>
      <c r="D923" s="1" t="e">
        <f>IF([1]SCHEDULE!D923="","",[1]SCHEDULE!D923)</f>
        <v>#N/A</v>
      </c>
      <c r="E923" s="1" t="str">
        <f>IF([1]SCHEDULE!E923="","",[1]SCHEDULE!E923)</f>
        <v/>
      </c>
      <c r="F923" s="6" t="str">
        <f>IF([1]SCHEDULE!F923="","",[1]SCHEDULE!F923)</f>
        <v/>
      </c>
      <c r="G923" s="3" t="str">
        <f>IF([1]SCHEDULE!G923="","",[1]SCHEDULE!G923)</f>
        <v/>
      </c>
      <c r="H923" s="3" t="str">
        <f>IF([1]SCHEDULE!H923="","",[1]SCHEDULE!H923)</f>
        <v/>
      </c>
      <c r="I923" s="3" t="str">
        <f>IF([1]SCHEDULE!I923="","",[1]SCHEDULE!I923)</f>
        <v/>
      </c>
      <c r="J923" s="3" t="str">
        <f>IF([1]SCHEDULE!J923="","",[1]SCHEDULE!J923)</f>
        <v/>
      </c>
    </row>
    <row r="924" spans="2:10" x14ac:dyDescent="0.25">
      <c r="B924" s="3" t="str">
        <f>IF([1]SCHEDULE!B924="","",[1]SCHEDULE!B924)</f>
        <v/>
      </c>
      <c r="C924" s="3">
        <f>IF([1]SCHEDULE!C924="","",[1]SCHEDULE!C924)</f>
        <v>4</v>
      </c>
      <c r="D924" s="1" t="e">
        <f>IF([1]SCHEDULE!D924="","",[1]SCHEDULE!D924)</f>
        <v>#N/A</v>
      </c>
      <c r="E924" s="1" t="str">
        <f>IF([1]SCHEDULE!E924="","",[1]SCHEDULE!E924)</f>
        <v/>
      </c>
      <c r="F924" s="6" t="str">
        <f>IF([1]SCHEDULE!F924="","",[1]SCHEDULE!F924)</f>
        <v/>
      </c>
      <c r="G924" s="3" t="str">
        <f>IF([1]SCHEDULE!G924="","",[1]SCHEDULE!G924)</f>
        <v/>
      </c>
      <c r="H924" s="3" t="str">
        <f>IF([1]SCHEDULE!H924="","",[1]SCHEDULE!H924)</f>
        <v/>
      </c>
      <c r="I924" s="3" t="str">
        <f>IF([1]SCHEDULE!I924="","",[1]SCHEDULE!I924)</f>
        <v/>
      </c>
      <c r="J924" s="3" t="str">
        <f>IF([1]SCHEDULE!J924="","",[1]SCHEDULE!J924)</f>
        <v/>
      </c>
    </row>
    <row r="925" spans="2:10" x14ac:dyDescent="0.25">
      <c r="B925" s="3" t="str">
        <f>IF([1]SCHEDULE!B925="","",[1]SCHEDULE!B925)</f>
        <v/>
      </c>
      <c r="C925" s="3">
        <f>IF([1]SCHEDULE!C925="","",[1]SCHEDULE!C925)</f>
        <v>5</v>
      </c>
      <c r="D925" s="1" t="e">
        <f>IF([1]SCHEDULE!D925="","",[1]SCHEDULE!D925)</f>
        <v>#N/A</v>
      </c>
      <c r="E925" s="1" t="str">
        <f>IF([1]SCHEDULE!E925="","",[1]SCHEDULE!E925)</f>
        <v/>
      </c>
      <c r="F925" s="6" t="str">
        <f>IF([1]SCHEDULE!F925="","",[1]SCHEDULE!F925)</f>
        <v/>
      </c>
      <c r="G925" s="3" t="str">
        <f>IF([1]SCHEDULE!G925="","",[1]SCHEDULE!G925)</f>
        <v/>
      </c>
      <c r="H925" s="3" t="str">
        <f>IF([1]SCHEDULE!H925="","",[1]SCHEDULE!H925)</f>
        <v/>
      </c>
      <c r="I925" s="3" t="str">
        <f>IF([1]SCHEDULE!I925="","",[1]SCHEDULE!I925)</f>
        <v/>
      </c>
      <c r="J925" s="3" t="str">
        <f>IF([1]SCHEDULE!J925="","",[1]SCHEDULE!J925)</f>
        <v/>
      </c>
    </row>
    <row r="926" spans="2:10" x14ac:dyDescent="0.25">
      <c r="B926" s="3" t="str">
        <f>IF([1]SCHEDULE!B926="","",[1]SCHEDULE!B926)</f>
        <v/>
      </c>
      <c r="C926" s="3">
        <f>IF([1]SCHEDULE!C926="","",[1]SCHEDULE!C926)</f>
        <v>6</v>
      </c>
      <c r="D926" s="1" t="e">
        <f>IF([1]SCHEDULE!D926="","",[1]SCHEDULE!D926)</f>
        <v>#N/A</v>
      </c>
      <c r="E926" s="1" t="str">
        <f>IF([1]SCHEDULE!E926="","",[1]SCHEDULE!E926)</f>
        <v/>
      </c>
      <c r="F926" s="6" t="str">
        <f>IF([1]SCHEDULE!F926="","",[1]SCHEDULE!F926)</f>
        <v/>
      </c>
      <c r="G926" s="3" t="str">
        <f>IF([1]SCHEDULE!G926="","",[1]SCHEDULE!G926)</f>
        <v/>
      </c>
      <c r="H926" s="3" t="str">
        <f>IF([1]SCHEDULE!H926="","",[1]SCHEDULE!H926)</f>
        <v/>
      </c>
      <c r="I926" s="3" t="str">
        <f>IF([1]SCHEDULE!I926="","",[1]SCHEDULE!I926)</f>
        <v/>
      </c>
      <c r="J926" s="3" t="str">
        <f>IF([1]SCHEDULE!J926="","",[1]SCHEDULE!J926)</f>
        <v/>
      </c>
    </row>
    <row r="927" spans="2:10" x14ac:dyDescent="0.25">
      <c r="B927" s="3" t="str">
        <f>IF([1]SCHEDULE!B927="","",[1]SCHEDULE!B927)</f>
        <v/>
      </c>
      <c r="C927" s="3">
        <f>IF([1]SCHEDULE!C927="","",[1]SCHEDULE!C927)</f>
        <v>7</v>
      </c>
      <c r="D927" s="1" t="e">
        <f>IF([1]SCHEDULE!D927="","",[1]SCHEDULE!D927)</f>
        <v>#N/A</v>
      </c>
      <c r="E927" s="1" t="str">
        <f>IF([1]SCHEDULE!E927="","",[1]SCHEDULE!E927)</f>
        <v/>
      </c>
      <c r="F927" s="6" t="str">
        <f>IF([1]SCHEDULE!F927="","",[1]SCHEDULE!F927)</f>
        <v/>
      </c>
      <c r="G927" s="3" t="str">
        <f>IF([1]SCHEDULE!G927="","",[1]SCHEDULE!G927)</f>
        <v/>
      </c>
      <c r="H927" s="3" t="str">
        <f>IF([1]SCHEDULE!H927="","",[1]SCHEDULE!H927)</f>
        <v/>
      </c>
      <c r="I927" s="3" t="str">
        <f>IF([1]SCHEDULE!I927="","",[1]SCHEDULE!I927)</f>
        <v/>
      </c>
      <c r="J927" s="3" t="str">
        <f>IF([1]SCHEDULE!J927="","",[1]SCHEDULE!J927)</f>
        <v/>
      </c>
    </row>
    <row r="928" spans="2:10" x14ac:dyDescent="0.25">
      <c r="B928" s="3" t="str">
        <f>IF([1]SCHEDULE!B928="","",[1]SCHEDULE!B928)</f>
        <v/>
      </c>
      <c r="C928" s="3">
        <f>IF([1]SCHEDULE!C928="","",[1]SCHEDULE!C928)</f>
        <v>8</v>
      </c>
      <c r="D928" s="1" t="e">
        <f>IF([1]SCHEDULE!D928="","",[1]SCHEDULE!D928)</f>
        <v>#N/A</v>
      </c>
      <c r="E928" s="1" t="str">
        <f>IF([1]SCHEDULE!E928="","",[1]SCHEDULE!E928)</f>
        <v/>
      </c>
      <c r="F928" s="6" t="str">
        <f>IF([1]SCHEDULE!F928="","",[1]SCHEDULE!F928)</f>
        <v/>
      </c>
      <c r="G928" s="3" t="str">
        <f>IF([1]SCHEDULE!G928="","",[1]SCHEDULE!G928)</f>
        <v/>
      </c>
      <c r="H928" s="3" t="str">
        <f>IF([1]SCHEDULE!H928="","",[1]SCHEDULE!H928)</f>
        <v/>
      </c>
      <c r="I928" s="3" t="str">
        <f>IF([1]SCHEDULE!I928="","",[1]SCHEDULE!I928)</f>
        <v/>
      </c>
      <c r="J928" s="3" t="str">
        <f>IF([1]SCHEDULE!J928="","",[1]SCHEDULE!J928)</f>
        <v/>
      </c>
    </row>
    <row r="929" spans="2:10" x14ac:dyDescent="0.25">
      <c r="B929" s="3" t="str">
        <f>IF([1]SCHEDULE!B929="","",[1]SCHEDULE!B929)</f>
        <v/>
      </c>
      <c r="C929" s="3">
        <f>IF([1]SCHEDULE!C929="","",[1]SCHEDULE!C929)</f>
        <v>9</v>
      </c>
      <c r="D929" s="1" t="e">
        <f>IF([1]SCHEDULE!D929="","",[1]SCHEDULE!D929)</f>
        <v>#N/A</v>
      </c>
      <c r="E929" s="1" t="str">
        <f>IF([1]SCHEDULE!E929="","",[1]SCHEDULE!E929)</f>
        <v/>
      </c>
      <c r="F929" s="6" t="str">
        <f>IF([1]SCHEDULE!F929="","",[1]SCHEDULE!F929)</f>
        <v/>
      </c>
      <c r="G929" s="3" t="str">
        <f>IF([1]SCHEDULE!G929="","",[1]SCHEDULE!G929)</f>
        <v/>
      </c>
      <c r="H929" s="3" t="str">
        <f>IF([1]SCHEDULE!H929="","",[1]SCHEDULE!H929)</f>
        <v/>
      </c>
      <c r="I929" s="3" t="str">
        <f>IF([1]SCHEDULE!I929="","",[1]SCHEDULE!I929)</f>
        <v/>
      </c>
      <c r="J929" s="3" t="str">
        <f>IF([1]SCHEDULE!J929="","",[1]SCHEDULE!J929)</f>
        <v/>
      </c>
    </row>
    <row r="930" spans="2:10" x14ac:dyDescent="0.25">
      <c r="B930" s="3" t="str">
        <f>IF([1]SCHEDULE!B930="","",[1]SCHEDULE!B930)</f>
        <v/>
      </c>
      <c r="C930" s="3">
        <f>IF([1]SCHEDULE!C930="","",[1]SCHEDULE!C930)</f>
        <v>10</v>
      </c>
      <c r="D930" s="1" t="e">
        <f>IF([1]SCHEDULE!D930="","",[1]SCHEDULE!D930)</f>
        <v>#N/A</v>
      </c>
      <c r="E930" s="1" t="str">
        <f>IF([1]SCHEDULE!E930="","",[1]SCHEDULE!E930)</f>
        <v/>
      </c>
      <c r="F930" s="6" t="str">
        <f>IF([1]SCHEDULE!F930="","",[1]SCHEDULE!F930)</f>
        <v/>
      </c>
      <c r="G930" s="3" t="str">
        <f>IF([1]SCHEDULE!G930="","",[1]SCHEDULE!G930)</f>
        <v/>
      </c>
      <c r="H930" s="3" t="str">
        <f>IF([1]SCHEDULE!H930="","",[1]SCHEDULE!H930)</f>
        <v/>
      </c>
      <c r="I930" s="3" t="str">
        <f>IF([1]SCHEDULE!I930="","",[1]SCHEDULE!I930)</f>
        <v/>
      </c>
      <c r="J930" s="3" t="str">
        <f>IF([1]SCHEDULE!J930="","",[1]SCHEDULE!J930)</f>
        <v/>
      </c>
    </row>
    <row r="931" spans="2:10" x14ac:dyDescent="0.25">
      <c r="B931" s="3" t="str">
        <f>IF([1]SCHEDULE!B931="","",[1]SCHEDULE!B931)</f>
        <v/>
      </c>
      <c r="C931" s="3">
        <f>IF([1]SCHEDULE!C931="","",[1]SCHEDULE!C931)</f>
        <v>11</v>
      </c>
      <c r="D931" s="1" t="e">
        <f>IF([1]SCHEDULE!D931="","",[1]SCHEDULE!D931)</f>
        <v>#N/A</v>
      </c>
      <c r="E931" s="1" t="str">
        <f>IF([1]SCHEDULE!E931="","",[1]SCHEDULE!E931)</f>
        <v/>
      </c>
      <c r="F931" s="6" t="str">
        <f>IF([1]SCHEDULE!F931="","",[1]SCHEDULE!F931)</f>
        <v/>
      </c>
      <c r="G931" s="3" t="str">
        <f>IF([1]SCHEDULE!G931="","",[1]SCHEDULE!G931)</f>
        <v/>
      </c>
      <c r="H931" s="3" t="str">
        <f>IF([1]SCHEDULE!H931="","",[1]SCHEDULE!H931)</f>
        <v/>
      </c>
      <c r="I931" s="3" t="str">
        <f>IF([1]SCHEDULE!I931="","",[1]SCHEDULE!I931)</f>
        <v/>
      </c>
      <c r="J931" s="3" t="str">
        <f>IF([1]SCHEDULE!J931="","",[1]SCHEDULE!J931)</f>
        <v/>
      </c>
    </row>
    <row r="932" spans="2:10" x14ac:dyDescent="0.25">
      <c r="B932" s="3" t="str">
        <f>IF([1]SCHEDULE!B932="","",[1]SCHEDULE!B932)</f>
        <v/>
      </c>
      <c r="C932" s="3">
        <f>IF([1]SCHEDULE!C932="","",[1]SCHEDULE!C932)</f>
        <v>12</v>
      </c>
      <c r="D932" s="1" t="e">
        <f>IF([1]SCHEDULE!D932="","",[1]SCHEDULE!D932)</f>
        <v>#N/A</v>
      </c>
      <c r="E932" s="1" t="str">
        <f>IF([1]SCHEDULE!E932="","",[1]SCHEDULE!E932)</f>
        <v/>
      </c>
      <c r="F932" s="6" t="str">
        <f>IF([1]SCHEDULE!F932="","",[1]SCHEDULE!F932)</f>
        <v/>
      </c>
      <c r="G932" s="3" t="str">
        <f>IF([1]SCHEDULE!G932="","",[1]SCHEDULE!G932)</f>
        <v/>
      </c>
      <c r="H932" s="3" t="str">
        <f>IF([1]SCHEDULE!H932="","",[1]SCHEDULE!H932)</f>
        <v/>
      </c>
      <c r="I932" s="3" t="str">
        <f>IF([1]SCHEDULE!I932="","",[1]SCHEDULE!I932)</f>
        <v/>
      </c>
      <c r="J932" s="3" t="str">
        <f>IF([1]SCHEDULE!J932="","",[1]SCHEDULE!J932)</f>
        <v/>
      </c>
    </row>
    <row r="933" spans="2:10" x14ac:dyDescent="0.25">
      <c r="B933" s="3" t="str">
        <f>IF([1]SCHEDULE!B933="","",[1]SCHEDULE!B933)</f>
        <v/>
      </c>
      <c r="C933" s="3">
        <f>IF([1]SCHEDULE!C933="","",[1]SCHEDULE!C933)</f>
        <v>13</v>
      </c>
      <c r="D933" s="1" t="e">
        <f>IF([1]SCHEDULE!D933="","",[1]SCHEDULE!D933)</f>
        <v>#N/A</v>
      </c>
      <c r="E933" s="1" t="str">
        <f>IF([1]SCHEDULE!E933="","",[1]SCHEDULE!E933)</f>
        <v/>
      </c>
      <c r="F933" s="6" t="str">
        <f>IF([1]SCHEDULE!F933="","",[1]SCHEDULE!F933)</f>
        <v/>
      </c>
      <c r="G933" s="3" t="str">
        <f>IF([1]SCHEDULE!G933="","",[1]SCHEDULE!G933)</f>
        <v/>
      </c>
      <c r="H933" s="3" t="str">
        <f>IF([1]SCHEDULE!H933="","",[1]SCHEDULE!H933)</f>
        <v/>
      </c>
      <c r="I933" s="3" t="str">
        <f>IF([1]SCHEDULE!I933="","",[1]SCHEDULE!I933)</f>
        <v/>
      </c>
      <c r="J933" s="3" t="str">
        <f>IF([1]SCHEDULE!J933="","",[1]SCHEDULE!J933)</f>
        <v/>
      </c>
    </row>
    <row r="934" spans="2:10" x14ac:dyDescent="0.25">
      <c r="B934" s="3" t="str">
        <f>IF([1]SCHEDULE!B934="","",[1]SCHEDULE!B934)</f>
        <v/>
      </c>
      <c r="C934" s="3">
        <f>IF([1]SCHEDULE!C934="","",[1]SCHEDULE!C934)</f>
        <v>14</v>
      </c>
      <c r="D934" s="1" t="e">
        <f>IF([1]SCHEDULE!D934="","",[1]SCHEDULE!D934)</f>
        <v>#N/A</v>
      </c>
      <c r="E934" s="1" t="str">
        <f>IF([1]SCHEDULE!E934="","",[1]SCHEDULE!E934)</f>
        <v/>
      </c>
      <c r="F934" s="6" t="str">
        <f>IF([1]SCHEDULE!F934="","",[1]SCHEDULE!F934)</f>
        <v/>
      </c>
      <c r="G934" s="3" t="str">
        <f>IF([1]SCHEDULE!G934="","",[1]SCHEDULE!G934)</f>
        <v/>
      </c>
      <c r="H934" s="3" t="str">
        <f>IF([1]SCHEDULE!H934="","",[1]SCHEDULE!H934)</f>
        <v/>
      </c>
      <c r="I934" s="3" t="str">
        <f>IF([1]SCHEDULE!I934="","",[1]SCHEDULE!I934)</f>
        <v/>
      </c>
      <c r="J934" s="3" t="str">
        <f>IF([1]SCHEDULE!J934="","",[1]SCHEDULE!J934)</f>
        <v/>
      </c>
    </row>
    <row r="935" spans="2:10" x14ac:dyDescent="0.25">
      <c r="B935" s="3" t="str">
        <f>IF([1]SCHEDULE!B935="","",[1]SCHEDULE!B935)</f>
        <v/>
      </c>
      <c r="C935" s="3">
        <f>IF([1]SCHEDULE!C935="","",[1]SCHEDULE!C935)</f>
        <v>15</v>
      </c>
      <c r="D935" s="1" t="e">
        <f>IF([1]SCHEDULE!D935="","",[1]SCHEDULE!D935)</f>
        <v>#N/A</v>
      </c>
      <c r="E935" s="1" t="str">
        <f>IF([1]SCHEDULE!E935="","",[1]SCHEDULE!E935)</f>
        <v/>
      </c>
      <c r="F935" s="6" t="str">
        <f>IF([1]SCHEDULE!F935="","",[1]SCHEDULE!F935)</f>
        <v/>
      </c>
      <c r="G935" s="3" t="str">
        <f>IF([1]SCHEDULE!G935="","",[1]SCHEDULE!G935)</f>
        <v/>
      </c>
      <c r="H935" s="3" t="str">
        <f>IF([1]SCHEDULE!H935="","",[1]SCHEDULE!H935)</f>
        <v/>
      </c>
      <c r="I935" s="3" t="str">
        <f>IF([1]SCHEDULE!I935="","",[1]SCHEDULE!I935)</f>
        <v/>
      </c>
      <c r="J935" s="3" t="str">
        <f>IF([1]SCHEDULE!J935="","",[1]SCHEDULE!J935)</f>
        <v/>
      </c>
    </row>
    <row r="936" spans="2:10" x14ac:dyDescent="0.25">
      <c r="B936" s="3" t="str">
        <f>IF([1]SCHEDULE!B936="","",[1]SCHEDULE!B936)</f>
        <v/>
      </c>
      <c r="C936" s="3">
        <f>IF([1]SCHEDULE!C936="","",[1]SCHEDULE!C936)</f>
        <v>16</v>
      </c>
      <c r="D936" s="1" t="e">
        <f>IF([1]SCHEDULE!D936="","",[1]SCHEDULE!D936)</f>
        <v>#N/A</v>
      </c>
      <c r="E936" s="1" t="str">
        <f>IF([1]SCHEDULE!E936="","",[1]SCHEDULE!E936)</f>
        <v/>
      </c>
      <c r="F936" s="6" t="str">
        <f>IF([1]SCHEDULE!F936="","",[1]SCHEDULE!F936)</f>
        <v/>
      </c>
      <c r="G936" s="3" t="str">
        <f>IF([1]SCHEDULE!G936="","",[1]SCHEDULE!G936)</f>
        <v/>
      </c>
      <c r="H936" s="3" t="str">
        <f>IF([1]SCHEDULE!H936="","",[1]SCHEDULE!H936)</f>
        <v/>
      </c>
      <c r="I936" s="3" t="str">
        <f>IF([1]SCHEDULE!I936="","",[1]SCHEDULE!I936)</f>
        <v/>
      </c>
      <c r="J936" s="3" t="str">
        <f>IF([1]SCHEDULE!J936="","",[1]SCHEDULE!J936)</f>
        <v/>
      </c>
    </row>
    <row r="937" spans="2:10" x14ac:dyDescent="0.25">
      <c r="B937" s="3" t="str">
        <f>IF([1]SCHEDULE!B937="","",[1]SCHEDULE!B937)</f>
        <v/>
      </c>
      <c r="C937" s="3">
        <f>IF([1]SCHEDULE!C937="","",[1]SCHEDULE!C937)</f>
        <v>17</v>
      </c>
      <c r="D937" s="1" t="e">
        <f>IF([1]SCHEDULE!D937="","",[1]SCHEDULE!D937)</f>
        <v>#N/A</v>
      </c>
      <c r="E937" s="1" t="str">
        <f>IF([1]SCHEDULE!E937="","",[1]SCHEDULE!E937)</f>
        <v/>
      </c>
      <c r="F937" s="6" t="str">
        <f>IF([1]SCHEDULE!F937="","",[1]SCHEDULE!F937)</f>
        <v/>
      </c>
      <c r="G937" s="3" t="str">
        <f>IF([1]SCHEDULE!G937="","",[1]SCHEDULE!G937)</f>
        <v/>
      </c>
      <c r="H937" s="3" t="str">
        <f>IF([1]SCHEDULE!H937="","",[1]SCHEDULE!H937)</f>
        <v/>
      </c>
      <c r="I937" s="3" t="str">
        <f>IF([1]SCHEDULE!I937="","",[1]SCHEDULE!I937)</f>
        <v/>
      </c>
      <c r="J937" s="3" t="str">
        <f>IF([1]SCHEDULE!J937="","",[1]SCHEDULE!J937)</f>
        <v/>
      </c>
    </row>
    <row r="938" spans="2:10" x14ac:dyDescent="0.25">
      <c r="B938" s="3" t="str">
        <f>IF([1]SCHEDULE!B938="","",[1]SCHEDULE!B938)</f>
        <v/>
      </c>
      <c r="C938" s="3">
        <f>IF([1]SCHEDULE!C938="","",[1]SCHEDULE!C938)</f>
        <v>18</v>
      </c>
      <c r="D938" s="1" t="e">
        <f>IF([1]SCHEDULE!D938="","",[1]SCHEDULE!D938)</f>
        <v>#N/A</v>
      </c>
      <c r="E938" s="1" t="str">
        <f>IF([1]SCHEDULE!E938="","",[1]SCHEDULE!E938)</f>
        <v/>
      </c>
      <c r="F938" s="6" t="str">
        <f>IF([1]SCHEDULE!F938="","",[1]SCHEDULE!F938)</f>
        <v/>
      </c>
      <c r="G938" s="3" t="str">
        <f>IF([1]SCHEDULE!G938="","",[1]SCHEDULE!G938)</f>
        <v/>
      </c>
      <c r="H938" s="3" t="str">
        <f>IF([1]SCHEDULE!H938="","",[1]SCHEDULE!H938)</f>
        <v/>
      </c>
      <c r="I938" s="3" t="str">
        <f>IF([1]SCHEDULE!I938="","",[1]SCHEDULE!I938)</f>
        <v/>
      </c>
      <c r="J938" s="3" t="str">
        <f>IF([1]SCHEDULE!J938="","",[1]SCHEDULE!J938)</f>
        <v/>
      </c>
    </row>
    <row r="939" spans="2:10" x14ac:dyDescent="0.25">
      <c r="B939" s="3" t="str">
        <f>IF([1]SCHEDULE!B939="","",[1]SCHEDULE!B939)</f>
        <v/>
      </c>
      <c r="C939" s="3">
        <f>IF([1]SCHEDULE!C939="","",[1]SCHEDULE!C939)</f>
        <v>19</v>
      </c>
      <c r="D939" s="1" t="e">
        <f>IF([1]SCHEDULE!D939="","",[1]SCHEDULE!D939)</f>
        <v>#N/A</v>
      </c>
      <c r="E939" s="1" t="str">
        <f>IF([1]SCHEDULE!E939="","",[1]SCHEDULE!E939)</f>
        <v/>
      </c>
      <c r="F939" s="6" t="str">
        <f>IF([1]SCHEDULE!F939="","",[1]SCHEDULE!F939)</f>
        <v/>
      </c>
      <c r="G939" s="3" t="str">
        <f>IF([1]SCHEDULE!G939="","",[1]SCHEDULE!G939)</f>
        <v/>
      </c>
      <c r="H939" s="3" t="str">
        <f>IF([1]SCHEDULE!H939="","",[1]SCHEDULE!H939)</f>
        <v/>
      </c>
      <c r="I939" s="3" t="str">
        <f>IF([1]SCHEDULE!I939="","",[1]SCHEDULE!I939)</f>
        <v/>
      </c>
      <c r="J939" s="3" t="str">
        <f>IF([1]SCHEDULE!J939="","",[1]SCHEDULE!J939)</f>
        <v/>
      </c>
    </row>
    <row r="940" spans="2:10" x14ac:dyDescent="0.25">
      <c r="B940" s="3" t="str">
        <f>IF([1]SCHEDULE!B940="","",[1]SCHEDULE!B940)</f>
        <v/>
      </c>
      <c r="C940" s="3">
        <f>IF([1]SCHEDULE!C940="","",[1]SCHEDULE!C940)</f>
        <v>20</v>
      </c>
      <c r="D940" s="1" t="e">
        <f>IF([1]SCHEDULE!D940="","",[1]SCHEDULE!D940)</f>
        <v>#N/A</v>
      </c>
      <c r="E940" s="1" t="str">
        <f>IF([1]SCHEDULE!E940="","",[1]SCHEDULE!E940)</f>
        <v/>
      </c>
      <c r="F940" s="6" t="str">
        <f>IF([1]SCHEDULE!F940="","",[1]SCHEDULE!F940)</f>
        <v/>
      </c>
      <c r="G940" s="3" t="str">
        <f>IF([1]SCHEDULE!G940="","",[1]SCHEDULE!G940)</f>
        <v/>
      </c>
      <c r="H940" s="3" t="str">
        <f>IF([1]SCHEDULE!H940="","",[1]SCHEDULE!H940)</f>
        <v/>
      </c>
      <c r="I940" s="3" t="str">
        <f>IF([1]SCHEDULE!I940="","",[1]SCHEDULE!I940)</f>
        <v/>
      </c>
      <c r="J940" s="3" t="str">
        <f>IF([1]SCHEDULE!J940="","",[1]SCHEDULE!J940)</f>
        <v/>
      </c>
    </row>
    <row r="941" spans="2:10" x14ac:dyDescent="0.25">
      <c r="B941" s="3" t="str">
        <f>IF([1]SCHEDULE!B941="","",[1]SCHEDULE!B941)</f>
        <v/>
      </c>
      <c r="C941" s="3">
        <f>IF([1]SCHEDULE!C941="","",[1]SCHEDULE!C941)</f>
        <v>21</v>
      </c>
      <c r="D941" s="1" t="e">
        <f>IF([1]SCHEDULE!D941="","",[1]SCHEDULE!D941)</f>
        <v>#N/A</v>
      </c>
      <c r="E941" s="1" t="str">
        <f>IF([1]SCHEDULE!E941="","",[1]SCHEDULE!E941)</f>
        <v/>
      </c>
      <c r="F941" s="6" t="str">
        <f>IF([1]SCHEDULE!F941="","",[1]SCHEDULE!F941)</f>
        <v/>
      </c>
      <c r="G941" s="3" t="str">
        <f>IF([1]SCHEDULE!G941="","",[1]SCHEDULE!G941)</f>
        <v/>
      </c>
      <c r="H941" s="3" t="str">
        <f>IF([1]SCHEDULE!H941="","",[1]SCHEDULE!H941)</f>
        <v/>
      </c>
      <c r="I941" s="3" t="str">
        <f>IF([1]SCHEDULE!I941="","",[1]SCHEDULE!I941)</f>
        <v/>
      </c>
      <c r="J941" s="3" t="str">
        <f>IF([1]SCHEDULE!J941="","",[1]SCHEDULE!J941)</f>
        <v/>
      </c>
    </row>
    <row r="942" spans="2:10" x14ac:dyDescent="0.25">
      <c r="B942" s="3" t="str">
        <f>IF([1]SCHEDULE!B942="","",[1]SCHEDULE!B942)</f>
        <v/>
      </c>
      <c r="C942" s="3">
        <f>IF([1]SCHEDULE!C942="","",[1]SCHEDULE!C942)</f>
        <v>22</v>
      </c>
      <c r="D942" s="1" t="e">
        <f>IF([1]SCHEDULE!D942="","",[1]SCHEDULE!D942)</f>
        <v>#N/A</v>
      </c>
      <c r="E942" s="1" t="str">
        <f>IF([1]SCHEDULE!E942="","",[1]SCHEDULE!E942)</f>
        <v/>
      </c>
      <c r="F942" s="6" t="str">
        <f>IF([1]SCHEDULE!F942="","",[1]SCHEDULE!F942)</f>
        <v/>
      </c>
      <c r="G942" s="3" t="str">
        <f>IF([1]SCHEDULE!G942="","",[1]SCHEDULE!G942)</f>
        <v/>
      </c>
      <c r="H942" s="3" t="str">
        <f>IF([1]SCHEDULE!H942="","",[1]SCHEDULE!H942)</f>
        <v/>
      </c>
      <c r="I942" s="3" t="str">
        <f>IF([1]SCHEDULE!I942="","",[1]SCHEDULE!I942)</f>
        <v/>
      </c>
      <c r="J942" s="3" t="str">
        <f>IF([1]SCHEDULE!J942="","",[1]SCHEDULE!J942)</f>
        <v/>
      </c>
    </row>
    <row r="943" spans="2:10" x14ac:dyDescent="0.25">
      <c r="B943" s="3" t="str">
        <f>IF([1]SCHEDULE!B943="","",[1]SCHEDULE!B943)</f>
        <v/>
      </c>
      <c r="C943" s="3">
        <f>IF([1]SCHEDULE!C943="","",[1]SCHEDULE!C943)</f>
        <v>23</v>
      </c>
      <c r="D943" s="1" t="e">
        <f>IF([1]SCHEDULE!D943="","",[1]SCHEDULE!D943)</f>
        <v>#N/A</v>
      </c>
      <c r="E943" s="1" t="str">
        <f>IF([1]SCHEDULE!E943="","",[1]SCHEDULE!E943)</f>
        <v/>
      </c>
      <c r="F943" s="6" t="str">
        <f>IF([1]SCHEDULE!F943="","",[1]SCHEDULE!F943)</f>
        <v/>
      </c>
      <c r="G943" s="3" t="str">
        <f>IF([1]SCHEDULE!G943="","",[1]SCHEDULE!G943)</f>
        <v/>
      </c>
      <c r="H943" s="3" t="str">
        <f>IF([1]SCHEDULE!H943="","",[1]SCHEDULE!H943)</f>
        <v/>
      </c>
      <c r="I943" s="3" t="str">
        <f>IF([1]SCHEDULE!I943="","",[1]SCHEDULE!I943)</f>
        <v/>
      </c>
      <c r="J943" s="3" t="str">
        <f>IF([1]SCHEDULE!J943="","",[1]SCHEDULE!J943)</f>
        <v/>
      </c>
    </row>
    <row r="944" spans="2:10" x14ac:dyDescent="0.25">
      <c r="B944" s="3" t="str">
        <f>IF([1]SCHEDULE!B944="","",[1]SCHEDULE!B944)</f>
        <v/>
      </c>
      <c r="C944" s="3">
        <f>IF([1]SCHEDULE!C944="","",[1]SCHEDULE!C944)</f>
        <v>24</v>
      </c>
      <c r="D944" s="1" t="e">
        <f>IF([1]SCHEDULE!D944="","",[1]SCHEDULE!D944)</f>
        <v>#N/A</v>
      </c>
      <c r="E944" s="1" t="str">
        <f>IF([1]SCHEDULE!E944="","",[1]SCHEDULE!E944)</f>
        <v/>
      </c>
      <c r="F944" s="6" t="str">
        <f>IF([1]SCHEDULE!F944="","",[1]SCHEDULE!F944)</f>
        <v/>
      </c>
      <c r="G944" s="3" t="str">
        <f>IF([1]SCHEDULE!G944="","",[1]SCHEDULE!G944)</f>
        <v/>
      </c>
      <c r="H944" s="3" t="str">
        <f>IF([1]SCHEDULE!H944="","",[1]SCHEDULE!H944)</f>
        <v/>
      </c>
      <c r="I944" s="3" t="str">
        <f>IF([1]SCHEDULE!I944="","",[1]SCHEDULE!I944)</f>
        <v/>
      </c>
      <c r="J944" s="3" t="str">
        <f>IF([1]SCHEDULE!J944="","",[1]SCHEDULE!J944)</f>
        <v/>
      </c>
    </row>
    <row r="945" spans="2:10" x14ac:dyDescent="0.25">
      <c r="B945" s="3" t="str">
        <f>IF([1]SCHEDULE!B945="","",[1]SCHEDULE!B945)</f>
        <v/>
      </c>
      <c r="C945" s="3">
        <f>IF([1]SCHEDULE!C945="","",[1]SCHEDULE!C945)</f>
        <v>25</v>
      </c>
      <c r="D945" s="1" t="e">
        <f>IF([1]SCHEDULE!D945="","",[1]SCHEDULE!D945)</f>
        <v>#N/A</v>
      </c>
      <c r="E945" s="1" t="str">
        <f>IF([1]SCHEDULE!E945="","",[1]SCHEDULE!E945)</f>
        <v/>
      </c>
      <c r="F945" s="6" t="str">
        <f>IF([1]SCHEDULE!F945="","",[1]SCHEDULE!F945)</f>
        <v/>
      </c>
      <c r="G945" s="3" t="str">
        <f>IF([1]SCHEDULE!G945="","",[1]SCHEDULE!G945)</f>
        <v/>
      </c>
      <c r="H945" s="3" t="str">
        <f>IF([1]SCHEDULE!H945="","",[1]SCHEDULE!H945)</f>
        <v/>
      </c>
      <c r="I945" s="3" t="str">
        <f>IF([1]SCHEDULE!I945="","",[1]SCHEDULE!I945)</f>
        <v/>
      </c>
      <c r="J945" s="3" t="str">
        <f>IF([1]SCHEDULE!J945="","",[1]SCHEDULE!J945)</f>
        <v/>
      </c>
    </row>
    <row r="946" spans="2:10" x14ac:dyDescent="0.25">
      <c r="B946" s="3" t="str">
        <f>IF([1]SCHEDULE!B946="","",[1]SCHEDULE!B946)</f>
        <v/>
      </c>
      <c r="C946" s="3">
        <f>IF([1]SCHEDULE!C946="","",[1]SCHEDULE!C946)</f>
        <v>26</v>
      </c>
      <c r="D946" s="1" t="e">
        <f>IF([1]SCHEDULE!D946="","",[1]SCHEDULE!D946)</f>
        <v>#N/A</v>
      </c>
      <c r="E946" s="1" t="str">
        <f>IF([1]SCHEDULE!E946="","",[1]SCHEDULE!E946)</f>
        <v/>
      </c>
      <c r="F946" s="6" t="str">
        <f>IF([1]SCHEDULE!F946="","",[1]SCHEDULE!F946)</f>
        <v/>
      </c>
      <c r="G946" s="3" t="str">
        <f>IF([1]SCHEDULE!G946="","",[1]SCHEDULE!G946)</f>
        <v/>
      </c>
      <c r="H946" s="3" t="str">
        <f>IF([1]SCHEDULE!H946="","",[1]SCHEDULE!H946)</f>
        <v/>
      </c>
      <c r="I946" s="3" t="str">
        <f>IF([1]SCHEDULE!I946="","",[1]SCHEDULE!I946)</f>
        <v/>
      </c>
      <c r="J946" s="3" t="str">
        <f>IF([1]SCHEDULE!J946="","",[1]SCHEDULE!J946)</f>
        <v/>
      </c>
    </row>
    <row r="947" spans="2:10" x14ac:dyDescent="0.25">
      <c r="B947" s="3" t="str">
        <f>IF([1]SCHEDULE!B947="","",[1]SCHEDULE!B947)</f>
        <v/>
      </c>
      <c r="C947" s="3">
        <f>IF([1]SCHEDULE!C947="","",[1]SCHEDULE!C947)</f>
        <v>27</v>
      </c>
      <c r="D947" s="1" t="e">
        <f>IF([1]SCHEDULE!D947="","",[1]SCHEDULE!D947)</f>
        <v>#N/A</v>
      </c>
      <c r="E947" s="1" t="str">
        <f>IF([1]SCHEDULE!E947="","",[1]SCHEDULE!E947)</f>
        <v/>
      </c>
      <c r="F947" s="6" t="str">
        <f>IF([1]SCHEDULE!F947="","",[1]SCHEDULE!F947)</f>
        <v/>
      </c>
      <c r="G947" s="3" t="str">
        <f>IF([1]SCHEDULE!G947="","",[1]SCHEDULE!G947)</f>
        <v/>
      </c>
      <c r="H947" s="3" t="str">
        <f>IF([1]SCHEDULE!H947="","",[1]SCHEDULE!H947)</f>
        <v/>
      </c>
      <c r="I947" s="3" t="str">
        <f>IF([1]SCHEDULE!I947="","",[1]SCHEDULE!I947)</f>
        <v/>
      </c>
      <c r="J947" s="3" t="str">
        <f>IF([1]SCHEDULE!J947="","",[1]SCHEDULE!J947)</f>
        <v/>
      </c>
    </row>
    <row r="948" spans="2:10" x14ac:dyDescent="0.25">
      <c r="B948" s="3" t="str">
        <f>IF([1]SCHEDULE!B948="","",[1]SCHEDULE!B948)</f>
        <v/>
      </c>
      <c r="C948" s="3">
        <f>IF([1]SCHEDULE!C948="","",[1]SCHEDULE!C948)</f>
        <v>28</v>
      </c>
      <c r="D948" s="1" t="e">
        <f>IF([1]SCHEDULE!D948="","",[1]SCHEDULE!D948)</f>
        <v>#N/A</v>
      </c>
      <c r="E948" s="1" t="str">
        <f>IF([1]SCHEDULE!E948="","",[1]SCHEDULE!E948)</f>
        <v/>
      </c>
      <c r="F948" s="6" t="str">
        <f>IF([1]SCHEDULE!F948="","",[1]SCHEDULE!F948)</f>
        <v/>
      </c>
      <c r="G948" s="3" t="str">
        <f>IF([1]SCHEDULE!G948="","",[1]SCHEDULE!G948)</f>
        <v/>
      </c>
      <c r="H948" s="3" t="str">
        <f>IF([1]SCHEDULE!H948="","",[1]SCHEDULE!H948)</f>
        <v/>
      </c>
      <c r="I948" s="3" t="str">
        <f>IF([1]SCHEDULE!I948="","",[1]SCHEDULE!I948)</f>
        <v/>
      </c>
      <c r="J948" s="3" t="str">
        <f>IF([1]SCHEDULE!J948="","",[1]SCHEDULE!J948)</f>
        <v/>
      </c>
    </row>
    <row r="949" spans="2:10" x14ac:dyDescent="0.25">
      <c r="B949" s="3" t="str">
        <f>IF([1]SCHEDULE!B949="","",[1]SCHEDULE!B949)</f>
        <v/>
      </c>
      <c r="C949" s="3">
        <f>IF([1]SCHEDULE!C949="","",[1]SCHEDULE!C949)</f>
        <v>29</v>
      </c>
      <c r="D949" s="1" t="e">
        <f>IF([1]SCHEDULE!D949="","",[1]SCHEDULE!D949)</f>
        <v>#N/A</v>
      </c>
      <c r="E949" s="1" t="str">
        <f>IF([1]SCHEDULE!E949="","",[1]SCHEDULE!E949)</f>
        <v/>
      </c>
      <c r="F949" s="6" t="str">
        <f>IF([1]SCHEDULE!F949="","",[1]SCHEDULE!F949)</f>
        <v/>
      </c>
      <c r="G949" s="3" t="str">
        <f>IF([1]SCHEDULE!G949="","",[1]SCHEDULE!G949)</f>
        <v/>
      </c>
      <c r="H949" s="3" t="str">
        <f>IF([1]SCHEDULE!H949="","",[1]SCHEDULE!H949)</f>
        <v/>
      </c>
      <c r="I949" s="3" t="str">
        <f>IF([1]SCHEDULE!I949="","",[1]SCHEDULE!I949)</f>
        <v/>
      </c>
      <c r="J949" s="3" t="str">
        <f>IF([1]SCHEDULE!J949="","",[1]SCHEDULE!J949)</f>
        <v/>
      </c>
    </row>
    <row r="950" spans="2:10" x14ac:dyDescent="0.25">
      <c r="B950" s="3" t="str">
        <f>IF([1]SCHEDULE!B950="","",[1]SCHEDULE!B950)</f>
        <v/>
      </c>
      <c r="C950" s="3">
        <f>IF([1]SCHEDULE!C950="","",[1]SCHEDULE!C950)</f>
        <v>30</v>
      </c>
      <c r="D950" s="1" t="e">
        <f>IF([1]SCHEDULE!D950="","",[1]SCHEDULE!D950)</f>
        <v>#N/A</v>
      </c>
      <c r="E950" s="1" t="str">
        <f>IF([1]SCHEDULE!E950="","",[1]SCHEDULE!E950)</f>
        <v/>
      </c>
      <c r="F950" s="6" t="str">
        <f>IF([1]SCHEDULE!F950="","",[1]SCHEDULE!F950)</f>
        <v/>
      </c>
      <c r="G950" s="3" t="str">
        <f>IF([1]SCHEDULE!G950="","",[1]SCHEDULE!G950)</f>
        <v/>
      </c>
      <c r="H950" s="3" t="str">
        <f>IF([1]SCHEDULE!H950="","",[1]SCHEDULE!H950)</f>
        <v/>
      </c>
      <c r="I950" s="3" t="str">
        <f>IF([1]SCHEDULE!I950="","",[1]SCHEDULE!I950)</f>
        <v/>
      </c>
      <c r="J950" s="3" t="str">
        <f>IF([1]SCHEDULE!J950="","",[1]SCHEDULE!J950)</f>
        <v/>
      </c>
    </row>
    <row r="951" spans="2:10" x14ac:dyDescent="0.25">
      <c r="B951" s="3" t="str">
        <f>IF([1]SCHEDULE!B951="","",[1]SCHEDULE!B951)</f>
        <v/>
      </c>
      <c r="C951" s="3">
        <f>IF([1]SCHEDULE!C951="","",[1]SCHEDULE!C951)</f>
        <v>31</v>
      </c>
      <c r="D951" s="1" t="e">
        <f>IF([1]SCHEDULE!D951="","",[1]SCHEDULE!D951)</f>
        <v>#N/A</v>
      </c>
      <c r="E951" s="1" t="str">
        <f>IF([1]SCHEDULE!E951="","",[1]SCHEDULE!E951)</f>
        <v/>
      </c>
      <c r="F951" s="6" t="str">
        <f>IF([1]SCHEDULE!F951="","",[1]SCHEDULE!F951)</f>
        <v/>
      </c>
      <c r="G951" s="3" t="str">
        <f>IF([1]SCHEDULE!G951="","",[1]SCHEDULE!G951)</f>
        <v/>
      </c>
      <c r="H951" s="3" t="str">
        <f>IF([1]SCHEDULE!H951="","",[1]SCHEDULE!H951)</f>
        <v/>
      </c>
      <c r="I951" s="3" t="str">
        <f>IF([1]SCHEDULE!I951="","",[1]SCHEDULE!I951)</f>
        <v/>
      </c>
      <c r="J951" s="3" t="str">
        <f>IF([1]SCHEDULE!J951="","",[1]SCHEDULE!J951)</f>
        <v/>
      </c>
    </row>
    <row r="952" spans="2:10" x14ac:dyDescent="0.25">
      <c r="B952" s="3" t="str">
        <f>IF([1]SCHEDULE!B952="","",[1]SCHEDULE!B952)</f>
        <v/>
      </c>
      <c r="C952" s="3">
        <f>IF([1]SCHEDULE!C952="","",[1]SCHEDULE!C952)</f>
        <v>32</v>
      </c>
      <c r="D952" s="1" t="e">
        <f>IF([1]SCHEDULE!D952="","",[1]SCHEDULE!D952)</f>
        <v>#N/A</v>
      </c>
      <c r="E952" s="1" t="str">
        <f>IF([1]SCHEDULE!E952="","",[1]SCHEDULE!E952)</f>
        <v/>
      </c>
      <c r="F952" s="6" t="str">
        <f>IF([1]SCHEDULE!F952="","",[1]SCHEDULE!F952)</f>
        <v/>
      </c>
      <c r="G952" s="3" t="str">
        <f>IF([1]SCHEDULE!G952="","",[1]SCHEDULE!G952)</f>
        <v/>
      </c>
      <c r="H952" s="3" t="str">
        <f>IF([1]SCHEDULE!H952="","",[1]SCHEDULE!H952)</f>
        <v/>
      </c>
      <c r="I952" s="3" t="str">
        <f>IF([1]SCHEDULE!I952="","",[1]SCHEDULE!I952)</f>
        <v/>
      </c>
      <c r="J952" s="3" t="str">
        <f>IF([1]SCHEDULE!J952="","",[1]SCHEDULE!J952)</f>
        <v/>
      </c>
    </row>
    <row r="953" spans="2:10" x14ac:dyDescent="0.25">
      <c r="B953" s="3" t="str">
        <f>IF([1]SCHEDULE!B953="","",[1]SCHEDULE!B953)</f>
        <v/>
      </c>
      <c r="C953" s="3">
        <f>IF([1]SCHEDULE!C953="","",[1]SCHEDULE!C953)</f>
        <v>33</v>
      </c>
      <c r="D953" s="1" t="e">
        <f>IF([1]SCHEDULE!D953="","",[1]SCHEDULE!D953)</f>
        <v>#N/A</v>
      </c>
      <c r="E953" s="1" t="str">
        <f>IF([1]SCHEDULE!E953="","",[1]SCHEDULE!E953)</f>
        <v/>
      </c>
      <c r="F953" s="6" t="str">
        <f>IF([1]SCHEDULE!F953="","",[1]SCHEDULE!F953)</f>
        <v/>
      </c>
      <c r="G953" s="3" t="str">
        <f>IF([1]SCHEDULE!G953="","",[1]SCHEDULE!G953)</f>
        <v/>
      </c>
      <c r="H953" s="3" t="str">
        <f>IF([1]SCHEDULE!H953="","",[1]SCHEDULE!H953)</f>
        <v/>
      </c>
      <c r="I953" s="3" t="str">
        <f>IF([1]SCHEDULE!I953="","",[1]SCHEDULE!I953)</f>
        <v/>
      </c>
      <c r="J953" s="3" t="str">
        <f>IF([1]SCHEDULE!J953="","",[1]SCHEDULE!J953)</f>
        <v/>
      </c>
    </row>
    <row r="954" spans="2:10" x14ac:dyDescent="0.25">
      <c r="B954" s="3" t="str">
        <f>IF([1]SCHEDULE!B954="","",[1]SCHEDULE!B954)</f>
        <v/>
      </c>
      <c r="C954" s="3">
        <f>IF([1]SCHEDULE!C954="","",[1]SCHEDULE!C954)</f>
        <v>34</v>
      </c>
      <c r="D954" s="1" t="e">
        <f>IF([1]SCHEDULE!D954="","",[1]SCHEDULE!D954)</f>
        <v>#N/A</v>
      </c>
      <c r="E954" s="1" t="str">
        <f>IF([1]SCHEDULE!E954="","",[1]SCHEDULE!E954)</f>
        <v/>
      </c>
      <c r="F954" s="6" t="str">
        <f>IF([1]SCHEDULE!F954="","",[1]SCHEDULE!F954)</f>
        <v/>
      </c>
      <c r="G954" s="3" t="str">
        <f>IF([1]SCHEDULE!G954="","",[1]SCHEDULE!G954)</f>
        <v/>
      </c>
      <c r="H954" s="3" t="str">
        <f>IF([1]SCHEDULE!H954="","",[1]SCHEDULE!H954)</f>
        <v/>
      </c>
      <c r="I954" s="3" t="str">
        <f>IF([1]SCHEDULE!I954="","",[1]SCHEDULE!I954)</f>
        <v/>
      </c>
      <c r="J954" s="3" t="str">
        <f>IF([1]SCHEDULE!J954="","",[1]SCHEDULE!J954)</f>
        <v/>
      </c>
    </row>
    <row r="955" spans="2:10" x14ac:dyDescent="0.25">
      <c r="B955" s="3" t="str">
        <f>IF([1]SCHEDULE!B955="","",[1]SCHEDULE!B955)</f>
        <v/>
      </c>
      <c r="C955" s="3">
        <f>IF([1]SCHEDULE!C955="","",[1]SCHEDULE!C955)</f>
        <v>35</v>
      </c>
      <c r="D955" s="1" t="e">
        <f>IF([1]SCHEDULE!D955="","",[1]SCHEDULE!D955)</f>
        <v>#N/A</v>
      </c>
      <c r="E955" s="1" t="str">
        <f>IF([1]SCHEDULE!E955="","",[1]SCHEDULE!E955)</f>
        <v/>
      </c>
      <c r="F955" s="6" t="str">
        <f>IF([1]SCHEDULE!F955="","",[1]SCHEDULE!F955)</f>
        <v/>
      </c>
      <c r="G955" s="3" t="str">
        <f>IF([1]SCHEDULE!G955="","",[1]SCHEDULE!G955)</f>
        <v/>
      </c>
      <c r="H955" s="3" t="str">
        <f>IF([1]SCHEDULE!H955="","",[1]SCHEDULE!H955)</f>
        <v/>
      </c>
      <c r="I955" s="3" t="str">
        <f>IF([1]SCHEDULE!I955="","",[1]SCHEDULE!I955)</f>
        <v/>
      </c>
      <c r="J955" s="3" t="str">
        <f>IF([1]SCHEDULE!J955="","",[1]SCHEDULE!J955)</f>
        <v/>
      </c>
    </row>
    <row r="956" spans="2:10" x14ac:dyDescent="0.25">
      <c r="B956" s="3" t="str">
        <f>IF([1]SCHEDULE!B956="","",[1]SCHEDULE!B956)</f>
        <v/>
      </c>
      <c r="C956" s="3">
        <f>IF([1]SCHEDULE!C956="","",[1]SCHEDULE!C956)</f>
        <v>36</v>
      </c>
      <c r="D956" s="1" t="e">
        <f>IF([1]SCHEDULE!D956="","",[1]SCHEDULE!D956)</f>
        <v>#N/A</v>
      </c>
      <c r="E956" s="1" t="str">
        <f>IF([1]SCHEDULE!E956="","",[1]SCHEDULE!E956)</f>
        <v/>
      </c>
      <c r="F956" s="6" t="str">
        <f>IF([1]SCHEDULE!F956="","",[1]SCHEDULE!F956)</f>
        <v/>
      </c>
      <c r="G956" s="3" t="str">
        <f>IF([1]SCHEDULE!G956="","",[1]SCHEDULE!G956)</f>
        <v/>
      </c>
      <c r="H956" s="3" t="str">
        <f>IF([1]SCHEDULE!H956="","",[1]SCHEDULE!H956)</f>
        <v/>
      </c>
      <c r="I956" s="3" t="str">
        <f>IF([1]SCHEDULE!I956="","",[1]SCHEDULE!I956)</f>
        <v/>
      </c>
      <c r="J956" s="3" t="str">
        <f>IF([1]SCHEDULE!J956="","",[1]SCHEDULE!J956)</f>
        <v/>
      </c>
    </row>
    <row r="957" spans="2:10" x14ac:dyDescent="0.25">
      <c r="B957" s="3" t="str">
        <f>IF([1]SCHEDULE!B957="","",[1]SCHEDULE!B957)</f>
        <v/>
      </c>
      <c r="C957" s="3">
        <f>IF([1]SCHEDULE!C957="","",[1]SCHEDULE!C957)</f>
        <v>37</v>
      </c>
      <c r="D957" s="1" t="e">
        <f>IF([1]SCHEDULE!D957="","",[1]SCHEDULE!D957)</f>
        <v>#N/A</v>
      </c>
      <c r="E957" s="1" t="str">
        <f>IF([1]SCHEDULE!E957="","",[1]SCHEDULE!E957)</f>
        <v/>
      </c>
      <c r="F957" s="6" t="str">
        <f>IF([1]SCHEDULE!F957="","",[1]SCHEDULE!F957)</f>
        <v/>
      </c>
      <c r="G957" s="3" t="str">
        <f>IF([1]SCHEDULE!G957="","",[1]SCHEDULE!G957)</f>
        <v/>
      </c>
      <c r="H957" s="3" t="str">
        <f>IF([1]SCHEDULE!H957="","",[1]SCHEDULE!H957)</f>
        <v/>
      </c>
      <c r="I957" s="3" t="str">
        <f>IF([1]SCHEDULE!I957="","",[1]SCHEDULE!I957)</f>
        <v/>
      </c>
      <c r="J957" s="3" t="str">
        <f>IF([1]SCHEDULE!J957="","",[1]SCHEDULE!J957)</f>
        <v/>
      </c>
    </row>
    <row r="958" spans="2:10" x14ac:dyDescent="0.25">
      <c r="B958" s="3" t="str">
        <f>IF([1]SCHEDULE!B958="","",[1]SCHEDULE!B958)</f>
        <v/>
      </c>
      <c r="C958" s="3">
        <f>IF([1]SCHEDULE!C958="","",[1]SCHEDULE!C958)</f>
        <v>38</v>
      </c>
      <c r="D958" s="1" t="e">
        <f>IF([1]SCHEDULE!D958="","",[1]SCHEDULE!D958)</f>
        <v>#N/A</v>
      </c>
      <c r="E958" s="1" t="str">
        <f>IF([1]SCHEDULE!E958="","",[1]SCHEDULE!E958)</f>
        <v/>
      </c>
      <c r="F958" s="6" t="str">
        <f>IF([1]SCHEDULE!F958="","",[1]SCHEDULE!F958)</f>
        <v/>
      </c>
      <c r="G958" s="3" t="str">
        <f>IF([1]SCHEDULE!G958="","",[1]SCHEDULE!G958)</f>
        <v/>
      </c>
      <c r="H958" s="3" t="str">
        <f>IF([1]SCHEDULE!H958="","",[1]SCHEDULE!H958)</f>
        <v/>
      </c>
      <c r="I958" s="3" t="str">
        <f>IF([1]SCHEDULE!I958="","",[1]SCHEDULE!I958)</f>
        <v/>
      </c>
      <c r="J958" s="3" t="str">
        <f>IF([1]SCHEDULE!J958="","",[1]SCHEDULE!J958)</f>
        <v/>
      </c>
    </row>
    <row r="959" spans="2:10" x14ac:dyDescent="0.25">
      <c r="B959" s="3" t="str">
        <f>IF([1]SCHEDULE!B959="","",[1]SCHEDULE!B959)</f>
        <v/>
      </c>
      <c r="C959" s="3">
        <f>IF([1]SCHEDULE!C959="","",[1]SCHEDULE!C959)</f>
        <v>39</v>
      </c>
      <c r="D959" s="1" t="e">
        <f>IF([1]SCHEDULE!D959="","",[1]SCHEDULE!D959)</f>
        <v>#N/A</v>
      </c>
      <c r="E959" s="1" t="str">
        <f>IF([1]SCHEDULE!E959="","",[1]SCHEDULE!E959)</f>
        <v/>
      </c>
      <c r="F959" s="6" t="str">
        <f>IF([1]SCHEDULE!F959="","",[1]SCHEDULE!F959)</f>
        <v/>
      </c>
      <c r="G959" s="3" t="str">
        <f>IF([1]SCHEDULE!G959="","",[1]SCHEDULE!G959)</f>
        <v/>
      </c>
      <c r="H959" s="3" t="str">
        <f>IF([1]SCHEDULE!H959="","",[1]SCHEDULE!H959)</f>
        <v/>
      </c>
      <c r="I959" s="3" t="str">
        <f>IF([1]SCHEDULE!I959="","",[1]SCHEDULE!I959)</f>
        <v/>
      </c>
      <c r="J959" s="3" t="str">
        <f>IF([1]SCHEDULE!J959="","",[1]SCHEDULE!J959)</f>
        <v/>
      </c>
    </row>
    <row r="960" spans="2:10" x14ac:dyDescent="0.25">
      <c r="B960" s="3" t="str">
        <f>IF([1]SCHEDULE!B960="","",[1]SCHEDULE!B960)</f>
        <v/>
      </c>
      <c r="C960" s="3">
        <f>IF([1]SCHEDULE!C960="","",[1]SCHEDULE!C960)</f>
        <v>40</v>
      </c>
      <c r="D960" s="1" t="e">
        <f>IF([1]SCHEDULE!D960="","",[1]SCHEDULE!D960)</f>
        <v>#N/A</v>
      </c>
      <c r="E960" s="1" t="str">
        <f>IF([1]SCHEDULE!E960="","",[1]SCHEDULE!E960)</f>
        <v/>
      </c>
      <c r="F960" s="6" t="str">
        <f>IF([1]SCHEDULE!F960="","",[1]SCHEDULE!F960)</f>
        <v/>
      </c>
      <c r="G960" s="3" t="str">
        <f>IF([1]SCHEDULE!G960="","",[1]SCHEDULE!G960)</f>
        <v/>
      </c>
      <c r="H960" s="3" t="str">
        <f>IF([1]SCHEDULE!H960="","",[1]SCHEDULE!H960)</f>
        <v/>
      </c>
      <c r="I960" s="3" t="str">
        <f>IF([1]SCHEDULE!I960="","",[1]SCHEDULE!I960)</f>
        <v/>
      </c>
      <c r="J960" s="3" t="str">
        <f>IF([1]SCHEDULE!J960="","",[1]SCHEDULE!J960)</f>
        <v/>
      </c>
    </row>
    <row r="961" spans="2:10" x14ac:dyDescent="0.25">
      <c r="B961" s="3" t="str">
        <f>IF([1]SCHEDULE!B961="","",[1]SCHEDULE!B961)</f>
        <v/>
      </c>
      <c r="C961" s="3">
        <f>IF([1]SCHEDULE!C961="","",[1]SCHEDULE!C961)</f>
        <v>41</v>
      </c>
      <c r="D961" s="1" t="e">
        <f>IF([1]SCHEDULE!D961="","",[1]SCHEDULE!D961)</f>
        <v>#N/A</v>
      </c>
      <c r="E961" s="1" t="str">
        <f>IF([1]SCHEDULE!E961="","",[1]SCHEDULE!E961)</f>
        <v/>
      </c>
      <c r="F961" s="6" t="str">
        <f>IF([1]SCHEDULE!F961="","",[1]SCHEDULE!F961)</f>
        <v/>
      </c>
      <c r="G961" s="3" t="str">
        <f>IF([1]SCHEDULE!G961="","",[1]SCHEDULE!G961)</f>
        <v/>
      </c>
      <c r="H961" s="3" t="str">
        <f>IF([1]SCHEDULE!H961="","",[1]SCHEDULE!H961)</f>
        <v/>
      </c>
      <c r="I961" s="3" t="str">
        <f>IF([1]SCHEDULE!I961="","",[1]SCHEDULE!I961)</f>
        <v/>
      </c>
      <c r="J961" s="3" t="str">
        <f>IF([1]SCHEDULE!J961="","",[1]SCHEDULE!J961)</f>
        <v/>
      </c>
    </row>
    <row r="962" spans="2:10" x14ac:dyDescent="0.25">
      <c r="B962" s="3" t="str">
        <f>IF([1]SCHEDULE!B962="","",[1]SCHEDULE!B962)</f>
        <v/>
      </c>
      <c r="C962" s="3">
        <f>IF([1]SCHEDULE!C962="","",[1]SCHEDULE!C962)</f>
        <v>42</v>
      </c>
      <c r="D962" s="1" t="e">
        <f>IF([1]SCHEDULE!D962="","",[1]SCHEDULE!D962)</f>
        <v>#N/A</v>
      </c>
      <c r="E962" s="1" t="str">
        <f>IF([1]SCHEDULE!E962="","",[1]SCHEDULE!E962)</f>
        <v/>
      </c>
      <c r="F962" s="6" t="str">
        <f>IF([1]SCHEDULE!F962="","",[1]SCHEDULE!F962)</f>
        <v/>
      </c>
      <c r="G962" s="3" t="str">
        <f>IF([1]SCHEDULE!G962="","",[1]SCHEDULE!G962)</f>
        <v/>
      </c>
      <c r="H962" s="3" t="str">
        <f>IF([1]SCHEDULE!H962="","",[1]SCHEDULE!H962)</f>
        <v/>
      </c>
      <c r="I962" s="3" t="str">
        <f>IF([1]SCHEDULE!I962="","",[1]SCHEDULE!I962)</f>
        <v/>
      </c>
      <c r="J962" s="3" t="str">
        <f>IF([1]SCHEDULE!J962="","",[1]SCHEDULE!J962)</f>
        <v/>
      </c>
    </row>
    <row r="963" spans="2:10" x14ac:dyDescent="0.25">
      <c r="B963" s="3" t="str">
        <f>IF([1]SCHEDULE!B963="","",[1]SCHEDULE!B963)</f>
        <v/>
      </c>
      <c r="C963" s="3">
        <f>IF([1]SCHEDULE!C963="","",[1]SCHEDULE!C963)</f>
        <v>43</v>
      </c>
      <c r="D963" s="1" t="e">
        <f>IF([1]SCHEDULE!D963="","",[1]SCHEDULE!D963)</f>
        <v>#N/A</v>
      </c>
      <c r="E963" s="1" t="str">
        <f>IF([1]SCHEDULE!E963="","",[1]SCHEDULE!E963)</f>
        <v/>
      </c>
      <c r="F963" s="6" t="str">
        <f>IF([1]SCHEDULE!F963="","",[1]SCHEDULE!F963)</f>
        <v/>
      </c>
      <c r="G963" s="3" t="str">
        <f>IF([1]SCHEDULE!G963="","",[1]SCHEDULE!G963)</f>
        <v/>
      </c>
      <c r="H963" s="3" t="str">
        <f>IF([1]SCHEDULE!H963="","",[1]SCHEDULE!H963)</f>
        <v/>
      </c>
      <c r="I963" s="3" t="str">
        <f>IF([1]SCHEDULE!I963="","",[1]SCHEDULE!I963)</f>
        <v/>
      </c>
      <c r="J963" s="3" t="str">
        <f>IF([1]SCHEDULE!J963="","",[1]SCHEDULE!J963)</f>
        <v/>
      </c>
    </row>
    <row r="964" spans="2:10" x14ac:dyDescent="0.25">
      <c r="B964" s="3" t="str">
        <f>IF([1]SCHEDULE!B964="","",[1]SCHEDULE!B964)</f>
        <v/>
      </c>
      <c r="C964" s="3">
        <f>IF([1]SCHEDULE!C964="","",[1]SCHEDULE!C964)</f>
        <v>44</v>
      </c>
      <c r="D964" s="1" t="e">
        <f>IF([1]SCHEDULE!D964="","",[1]SCHEDULE!D964)</f>
        <v>#N/A</v>
      </c>
      <c r="E964" s="1" t="str">
        <f>IF([1]SCHEDULE!E964="","",[1]SCHEDULE!E964)</f>
        <v/>
      </c>
      <c r="F964" s="6" t="str">
        <f>IF([1]SCHEDULE!F964="","",[1]SCHEDULE!F964)</f>
        <v/>
      </c>
      <c r="G964" s="3" t="str">
        <f>IF([1]SCHEDULE!G964="","",[1]SCHEDULE!G964)</f>
        <v/>
      </c>
      <c r="H964" s="3" t="str">
        <f>IF([1]SCHEDULE!H964="","",[1]SCHEDULE!H964)</f>
        <v/>
      </c>
      <c r="I964" s="3" t="str">
        <f>IF([1]SCHEDULE!I964="","",[1]SCHEDULE!I964)</f>
        <v/>
      </c>
      <c r="J964" s="3" t="str">
        <f>IF([1]SCHEDULE!J964="","",[1]SCHEDULE!J964)</f>
        <v/>
      </c>
    </row>
    <row r="965" spans="2:10" x14ac:dyDescent="0.25">
      <c r="B965" s="3" t="str">
        <f>IF([1]SCHEDULE!B965="","",[1]SCHEDULE!B965)</f>
        <v/>
      </c>
      <c r="C965" s="3">
        <f>IF([1]SCHEDULE!C965="","",[1]SCHEDULE!C965)</f>
        <v>45</v>
      </c>
      <c r="D965" s="1" t="e">
        <f>IF([1]SCHEDULE!D965="","",[1]SCHEDULE!D965)</f>
        <v>#N/A</v>
      </c>
      <c r="E965" s="1" t="str">
        <f>IF([1]SCHEDULE!E965="","",[1]SCHEDULE!E965)</f>
        <v/>
      </c>
      <c r="F965" s="6" t="str">
        <f>IF([1]SCHEDULE!F965="","",[1]SCHEDULE!F965)</f>
        <v/>
      </c>
      <c r="G965" s="3" t="str">
        <f>IF([1]SCHEDULE!G965="","",[1]SCHEDULE!G965)</f>
        <v/>
      </c>
      <c r="H965" s="3" t="str">
        <f>IF([1]SCHEDULE!H965="","",[1]SCHEDULE!H965)</f>
        <v/>
      </c>
      <c r="I965" s="3" t="str">
        <f>IF([1]SCHEDULE!I965="","",[1]SCHEDULE!I965)</f>
        <v/>
      </c>
      <c r="J965" s="3" t="str">
        <f>IF([1]SCHEDULE!J965="","",[1]SCHEDULE!J965)</f>
        <v/>
      </c>
    </row>
    <row r="966" spans="2:10" x14ac:dyDescent="0.25">
      <c r="B966" s="3" t="str">
        <f>IF([1]SCHEDULE!B966="","",[1]SCHEDULE!B966)</f>
        <v/>
      </c>
      <c r="C966" s="3">
        <f>IF([1]SCHEDULE!C966="","",[1]SCHEDULE!C966)</f>
        <v>46</v>
      </c>
      <c r="D966" s="1" t="e">
        <f>IF([1]SCHEDULE!D966="","",[1]SCHEDULE!D966)</f>
        <v>#N/A</v>
      </c>
      <c r="E966" s="1" t="str">
        <f>IF([1]SCHEDULE!E966="","",[1]SCHEDULE!E966)</f>
        <v/>
      </c>
      <c r="F966" s="6" t="str">
        <f>IF([1]SCHEDULE!F966="","",[1]SCHEDULE!F966)</f>
        <v/>
      </c>
      <c r="G966" s="3" t="str">
        <f>IF([1]SCHEDULE!G966="","",[1]SCHEDULE!G966)</f>
        <v/>
      </c>
      <c r="H966" s="3" t="str">
        <f>IF([1]SCHEDULE!H966="","",[1]SCHEDULE!H966)</f>
        <v/>
      </c>
      <c r="I966" s="3" t="str">
        <f>IF([1]SCHEDULE!I966="","",[1]SCHEDULE!I966)</f>
        <v/>
      </c>
      <c r="J966" s="3" t="str">
        <f>IF([1]SCHEDULE!J966="","",[1]SCHEDULE!J966)</f>
        <v/>
      </c>
    </row>
    <row r="967" spans="2:10" x14ac:dyDescent="0.25">
      <c r="B967" s="3" t="str">
        <f>IF([1]SCHEDULE!B967="","",[1]SCHEDULE!B967)</f>
        <v/>
      </c>
      <c r="C967" s="3">
        <f>IF([1]SCHEDULE!C967="","",[1]SCHEDULE!C967)</f>
        <v>47</v>
      </c>
      <c r="D967" s="1" t="e">
        <f>IF([1]SCHEDULE!D967="","",[1]SCHEDULE!D967)</f>
        <v>#N/A</v>
      </c>
      <c r="E967" s="1" t="str">
        <f>IF([1]SCHEDULE!E967="","",[1]SCHEDULE!E967)</f>
        <v/>
      </c>
      <c r="F967" s="6" t="str">
        <f>IF([1]SCHEDULE!F967="","",[1]SCHEDULE!F967)</f>
        <v/>
      </c>
      <c r="G967" s="3" t="str">
        <f>IF([1]SCHEDULE!G967="","",[1]SCHEDULE!G967)</f>
        <v/>
      </c>
      <c r="H967" s="3" t="str">
        <f>IF([1]SCHEDULE!H967="","",[1]SCHEDULE!H967)</f>
        <v/>
      </c>
      <c r="I967" s="3" t="str">
        <f>IF([1]SCHEDULE!I967="","",[1]SCHEDULE!I967)</f>
        <v/>
      </c>
      <c r="J967" s="3" t="str">
        <f>IF([1]SCHEDULE!J967="","",[1]SCHEDULE!J967)</f>
        <v/>
      </c>
    </row>
    <row r="968" spans="2:10" x14ac:dyDescent="0.25">
      <c r="B968" s="3" t="str">
        <f>IF([1]SCHEDULE!B968="","",[1]SCHEDULE!B968)</f>
        <v/>
      </c>
      <c r="C968" s="3">
        <f>IF([1]SCHEDULE!C968="","",[1]SCHEDULE!C968)</f>
        <v>48</v>
      </c>
      <c r="D968" s="1" t="e">
        <f>IF([1]SCHEDULE!D968="","",[1]SCHEDULE!D968)</f>
        <v>#N/A</v>
      </c>
      <c r="E968" s="1" t="str">
        <f>IF([1]SCHEDULE!E968="","",[1]SCHEDULE!E968)</f>
        <v/>
      </c>
      <c r="F968" s="6" t="str">
        <f>IF([1]SCHEDULE!F968="","",[1]SCHEDULE!F968)</f>
        <v/>
      </c>
      <c r="G968" s="3" t="str">
        <f>IF([1]SCHEDULE!G968="","",[1]SCHEDULE!G968)</f>
        <v/>
      </c>
      <c r="H968" s="3" t="str">
        <f>IF([1]SCHEDULE!H968="","",[1]SCHEDULE!H968)</f>
        <v/>
      </c>
      <c r="I968" s="3" t="str">
        <f>IF([1]SCHEDULE!I968="","",[1]SCHEDULE!I968)</f>
        <v/>
      </c>
      <c r="J968" s="3" t="str">
        <f>IF([1]SCHEDULE!J968="","",[1]SCHEDULE!J968)</f>
        <v/>
      </c>
    </row>
    <row r="969" spans="2:10" x14ac:dyDescent="0.25">
      <c r="B969" s="3" t="str">
        <f>IF([1]SCHEDULE!B969="","",[1]SCHEDULE!B969)</f>
        <v/>
      </c>
      <c r="C969" s="3">
        <f>IF([1]SCHEDULE!C969="","",[1]SCHEDULE!C969)</f>
        <v>49</v>
      </c>
      <c r="D969" s="1" t="e">
        <f>IF([1]SCHEDULE!D969="","",[1]SCHEDULE!D969)</f>
        <v>#N/A</v>
      </c>
      <c r="E969" s="1" t="str">
        <f>IF([1]SCHEDULE!E969="","",[1]SCHEDULE!E969)</f>
        <v/>
      </c>
      <c r="F969" s="6" t="str">
        <f>IF([1]SCHEDULE!F969="","",[1]SCHEDULE!F969)</f>
        <v/>
      </c>
      <c r="G969" s="3" t="str">
        <f>IF([1]SCHEDULE!G969="","",[1]SCHEDULE!G969)</f>
        <v/>
      </c>
      <c r="H969" s="3" t="str">
        <f>IF([1]SCHEDULE!H969="","",[1]SCHEDULE!H969)</f>
        <v/>
      </c>
      <c r="I969" s="3" t="str">
        <f>IF([1]SCHEDULE!I969="","",[1]SCHEDULE!I969)</f>
        <v/>
      </c>
      <c r="J969" s="3" t="str">
        <f>IF([1]SCHEDULE!J969="","",[1]SCHEDULE!J969)</f>
        <v/>
      </c>
    </row>
    <row r="970" spans="2:10" x14ac:dyDescent="0.25">
      <c r="B970" s="3" t="str">
        <f>IF([1]SCHEDULE!B970="","",[1]SCHEDULE!B970)</f>
        <v/>
      </c>
      <c r="C970" s="3">
        <f>IF([1]SCHEDULE!C970="","",[1]SCHEDULE!C970)</f>
        <v>50</v>
      </c>
      <c r="D970" s="1" t="e">
        <f>IF([1]SCHEDULE!D970="","",[1]SCHEDULE!D970)</f>
        <v>#N/A</v>
      </c>
      <c r="E970" s="1" t="str">
        <f>IF([1]SCHEDULE!E970="","",[1]SCHEDULE!E970)</f>
        <v/>
      </c>
      <c r="F970" s="6" t="str">
        <f>IF([1]SCHEDULE!F970="","",[1]SCHEDULE!F970)</f>
        <v/>
      </c>
      <c r="G970" s="3" t="str">
        <f>IF([1]SCHEDULE!G970="","",[1]SCHEDULE!G970)</f>
        <v/>
      </c>
      <c r="H970" s="3" t="str">
        <f>IF([1]SCHEDULE!H970="","",[1]SCHEDULE!H970)</f>
        <v/>
      </c>
      <c r="I970" s="3" t="str">
        <f>IF([1]SCHEDULE!I970="","",[1]SCHEDULE!I970)</f>
        <v/>
      </c>
      <c r="J970" s="3" t="str">
        <f>IF([1]SCHEDULE!J970="","",[1]SCHEDULE!J970)</f>
        <v/>
      </c>
    </row>
    <row r="971" spans="2:10" x14ac:dyDescent="0.25">
      <c r="B971" s="3" t="str">
        <f>IF([1]SCHEDULE!B971="","",[1]SCHEDULE!B971)</f>
        <v/>
      </c>
      <c r="C971" s="3">
        <f>IF([1]SCHEDULE!C971="","",[1]SCHEDULE!C971)</f>
        <v>51</v>
      </c>
      <c r="D971" s="1" t="e">
        <f>IF([1]SCHEDULE!D971="","",[1]SCHEDULE!D971)</f>
        <v>#N/A</v>
      </c>
      <c r="E971" s="1" t="str">
        <f>IF([1]SCHEDULE!E971="","",[1]SCHEDULE!E971)</f>
        <v/>
      </c>
      <c r="F971" s="6" t="str">
        <f>IF([1]SCHEDULE!F971="","",[1]SCHEDULE!F971)</f>
        <v/>
      </c>
      <c r="G971" s="3" t="str">
        <f>IF([1]SCHEDULE!G971="","",[1]SCHEDULE!G971)</f>
        <v/>
      </c>
      <c r="H971" s="3" t="str">
        <f>IF([1]SCHEDULE!H971="","",[1]SCHEDULE!H971)</f>
        <v/>
      </c>
      <c r="I971" s="3" t="str">
        <f>IF([1]SCHEDULE!I971="","",[1]SCHEDULE!I971)</f>
        <v/>
      </c>
      <c r="J971" s="3" t="str">
        <f>IF([1]SCHEDULE!J971="","",[1]SCHEDULE!J971)</f>
        <v/>
      </c>
    </row>
    <row r="972" spans="2:10" x14ac:dyDescent="0.25">
      <c r="B972" s="3" t="str">
        <f>IF([1]SCHEDULE!B972="","",[1]SCHEDULE!B972)</f>
        <v/>
      </c>
      <c r="C972" s="3">
        <f>IF([1]SCHEDULE!C972="","",[1]SCHEDULE!C972)</f>
        <v>1</v>
      </c>
      <c r="D972" s="1" t="e">
        <f>IF([1]SCHEDULE!D972="","",[1]SCHEDULE!D972)</f>
        <v>#N/A</v>
      </c>
      <c r="E972" s="1" t="str">
        <f>IF([1]SCHEDULE!E972="","",[1]SCHEDULE!E972)</f>
        <v/>
      </c>
      <c r="F972" s="6" t="str">
        <f>IF([1]SCHEDULE!F972="","",[1]SCHEDULE!F972)</f>
        <v/>
      </c>
      <c r="G972" s="3" t="str">
        <f>IF([1]SCHEDULE!G972="","",[1]SCHEDULE!G972)</f>
        <v/>
      </c>
      <c r="H972" s="3" t="str">
        <f>IF([1]SCHEDULE!H972="","",[1]SCHEDULE!H972)</f>
        <v/>
      </c>
      <c r="I972" s="3" t="str">
        <f>IF([1]SCHEDULE!I972="","",[1]SCHEDULE!I972)</f>
        <v/>
      </c>
      <c r="J972" s="3" t="str">
        <f>IF([1]SCHEDULE!J972="","",[1]SCHEDULE!J972)</f>
        <v/>
      </c>
    </row>
    <row r="973" spans="2:10" x14ac:dyDescent="0.25">
      <c r="B973" s="3" t="str">
        <f>IF([1]SCHEDULE!B973="","",[1]SCHEDULE!B973)</f>
        <v/>
      </c>
      <c r="C973" s="3">
        <f>IF([1]SCHEDULE!C973="","",[1]SCHEDULE!C973)</f>
        <v>2</v>
      </c>
      <c r="D973" s="1" t="e">
        <f>IF([1]SCHEDULE!D973="","",[1]SCHEDULE!D973)</f>
        <v>#N/A</v>
      </c>
      <c r="E973" s="1" t="str">
        <f>IF([1]SCHEDULE!E973="","",[1]SCHEDULE!E973)</f>
        <v/>
      </c>
      <c r="F973" s="6" t="str">
        <f>IF([1]SCHEDULE!F973="","",[1]SCHEDULE!F973)</f>
        <v/>
      </c>
      <c r="G973" s="3" t="str">
        <f>IF([1]SCHEDULE!G973="","",[1]SCHEDULE!G973)</f>
        <v/>
      </c>
      <c r="H973" s="3" t="str">
        <f>IF([1]SCHEDULE!H973="","",[1]SCHEDULE!H973)</f>
        <v/>
      </c>
      <c r="I973" s="3" t="str">
        <f>IF([1]SCHEDULE!I973="","",[1]SCHEDULE!I973)</f>
        <v/>
      </c>
      <c r="J973" s="3" t="str">
        <f>IF([1]SCHEDULE!J973="","",[1]SCHEDULE!J973)</f>
        <v/>
      </c>
    </row>
    <row r="974" spans="2:10" x14ac:dyDescent="0.25">
      <c r="B974" s="3" t="str">
        <f>IF([1]SCHEDULE!B974="","",[1]SCHEDULE!B974)</f>
        <v/>
      </c>
      <c r="C974" s="3">
        <f>IF([1]SCHEDULE!C974="","",[1]SCHEDULE!C974)</f>
        <v>3</v>
      </c>
      <c r="D974" s="1" t="e">
        <f>IF([1]SCHEDULE!D974="","",[1]SCHEDULE!D974)</f>
        <v>#N/A</v>
      </c>
      <c r="E974" s="1" t="str">
        <f>IF([1]SCHEDULE!E974="","",[1]SCHEDULE!E974)</f>
        <v/>
      </c>
      <c r="F974" s="6" t="str">
        <f>IF([1]SCHEDULE!F974="","",[1]SCHEDULE!F974)</f>
        <v/>
      </c>
      <c r="G974" s="3" t="str">
        <f>IF([1]SCHEDULE!G974="","",[1]SCHEDULE!G974)</f>
        <v/>
      </c>
      <c r="H974" s="3" t="str">
        <f>IF([1]SCHEDULE!H974="","",[1]SCHEDULE!H974)</f>
        <v/>
      </c>
      <c r="I974" s="3" t="str">
        <f>IF([1]SCHEDULE!I974="","",[1]SCHEDULE!I974)</f>
        <v/>
      </c>
      <c r="J974" s="3" t="str">
        <f>IF([1]SCHEDULE!J974="","",[1]SCHEDULE!J974)</f>
        <v/>
      </c>
    </row>
    <row r="975" spans="2:10" x14ac:dyDescent="0.25">
      <c r="B975" s="3" t="str">
        <f>IF([1]SCHEDULE!B975="","",[1]SCHEDULE!B975)</f>
        <v/>
      </c>
      <c r="C975" s="3">
        <f>IF([1]SCHEDULE!C975="","",[1]SCHEDULE!C975)</f>
        <v>4</v>
      </c>
      <c r="D975" s="1" t="e">
        <f>IF([1]SCHEDULE!D975="","",[1]SCHEDULE!D975)</f>
        <v>#N/A</v>
      </c>
      <c r="E975" s="1" t="str">
        <f>IF([1]SCHEDULE!E975="","",[1]SCHEDULE!E975)</f>
        <v/>
      </c>
      <c r="F975" s="6" t="str">
        <f>IF([1]SCHEDULE!F975="","",[1]SCHEDULE!F975)</f>
        <v/>
      </c>
      <c r="G975" s="3" t="str">
        <f>IF([1]SCHEDULE!G975="","",[1]SCHEDULE!G975)</f>
        <v/>
      </c>
      <c r="H975" s="3" t="str">
        <f>IF([1]SCHEDULE!H975="","",[1]SCHEDULE!H975)</f>
        <v/>
      </c>
      <c r="I975" s="3" t="str">
        <f>IF([1]SCHEDULE!I975="","",[1]SCHEDULE!I975)</f>
        <v/>
      </c>
      <c r="J975" s="3" t="str">
        <f>IF([1]SCHEDULE!J975="","",[1]SCHEDULE!J975)</f>
        <v/>
      </c>
    </row>
    <row r="976" spans="2:10" x14ac:dyDescent="0.25">
      <c r="B976" s="3" t="str">
        <f>IF([1]SCHEDULE!B976="","",[1]SCHEDULE!B976)</f>
        <v/>
      </c>
      <c r="C976" s="3">
        <f>IF([1]SCHEDULE!C976="","",[1]SCHEDULE!C976)</f>
        <v>5</v>
      </c>
      <c r="D976" s="1" t="e">
        <f>IF([1]SCHEDULE!D976="","",[1]SCHEDULE!D976)</f>
        <v>#N/A</v>
      </c>
      <c r="E976" s="1" t="str">
        <f>IF([1]SCHEDULE!E976="","",[1]SCHEDULE!E976)</f>
        <v/>
      </c>
      <c r="F976" s="6" t="str">
        <f>IF([1]SCHEDULE!F976="","",[1]SCHEDULE!F976)</f>
        <v/>
      </c>
      <c r="G976" s="3" t="str">
        <f>IF([1]SCHEDULE!G976="","",[1]SCHEDULE!G976)</f>
        <v/>
      </c>
      <c r="H976" s="3" t="str">
        <f>IF([1]SCHEDULE!H976="","",[1]SCHEDULE!H976)</f>
        <v/>
      </c>
      <c r="I976" s="3" t="str">
        <f>IF([1]SCHEDULE!I976="","",[1]SCHEDULE!I976)</f>
        <v/>
      </c>
      <c r="J976" s="3" t="str">
        <f>IF([1]SCHEDULE!J976="","",[1]SCHEDULE!J976)</f>
        <v/>
      </c>
    </row>
    <row r="977" spans="2:10" x14ac:dyDescent="0.25">
      <c r="B977" s="3" t="str">
        <f>IF([1]SCHEDULE!B977="","",[1]SCHEDULE!B977)</f>
        <v/>
      </c>
      <c r="C977" s="3">
        <f>IF([1]SCHEDULE!C977="","",[1]SCHEDULE!C977)</f>
        <v>6</v>
      </c>
      <c r="D977" s="1" t="e">
        <f>IF([1]SCHEDULE!D977="","",[1]SCHEDULE!D977)</f>
        <v>#N/A</v>
      </c>
      <c r="E977" s="1" t="str">
        <f>IF([1]SCHEDULE!E977="","",[1]SCHEDULE!E977)</f>
        <v/>
      </c>
      <c r="F977" s="6" t="str">
        <f>IF([1]SCHEDULE!F977="","",[1]SCHEDULE!F977)</f>
        <v/>
      </c>
      <c r="G977" s="3" t="str">
        <f>IF([1]SCHEDULE!G977="","",[1]SCHEDULE!G977)</f>
        <v/>
      </c>
      <c r="H977" s="3" t="str">
        <f>IF([1]SCHEDULE!H977="","",[1]SCHEDULE!H977)</f>
        <v/>
      </c>
      <c r="I977" s="3" t="str">
        <f>IF([1]SCHEDULE!I977="","",[1]SCHEDULE!I977)</f>
        <v/>
      </c>
      <c r="J977" s="3" t="str">
        <f>IF([1]SCHEDULE!J977="","",[1]SCHEDULE!J977)</f>
        <v/>
      </c>
    </row>
    <row r="978" spans="2:10" x14ac:dyDescent="0.25">
      <c r="B978" s="3" t="str">
        <f>IF([1]SCHEDULE!B978="","",[1]SCHEDULE!B978)</f>
        <v/>
      </c>
      <c r="C978" s="3">
        <f>IF([1]SCHEDULE!C978="","",[1]SCHEDULE!C978)</f>
        <v>7</v>
      </c>
      <c r="D978" s="1" t="e">
        <f>IF([1]SCHEDULE!D978="","",[1]SCHEDULE!D978)</f>
        <v>#N/A</v>
      </c>
      <c r="E978" s="1" t="str">
        <f>IF([1]SCHEDULE!E978="","",[1]SCHEDULE!E978)</f>
        <v/>
      </c>
      <c r="F978" s="6" t="str">
        <f>IF([1]SCHEDULE!F978="","",[1]SCHEDULE!F978)</f>
        <v/>
      </c>
      <c r="G978" s="3" t="str">
        <f>IF([1]SCHEDULE!G978="","",[1]SCHEDULE!G978)</f>
        <v/>
      </c>
      <c r="H978" s="3" t="str">
        <f>IF([1]SCHEDULE!H978="","",[1]SCHEDULE!H978)</f>
        <v/>
      </c>
      <c r="I978" s="3" t="str">
        <f>IF([1]SCHEDULE!I978="","",[1]SCHEDULE!I978)</f>
        <v/>
      </c>
      <c r="J978" s="3" t="str">
        <f>IF([1]SCHEDULE!J978="","",[1]SCHEDULE!J978)</f>
        <v/>
      </c>
    </row>
    <row r="979" spans="2:10" x14ac:dyDescent="0.25">
      <c r="B979" s="3" t="str">
        <f>IF([1]SCHEDULE!B979="","",[1]SCHEDULE!B979)</f>
        <v/>
      </c>
      <c r="C979" s="3">
        <f>IF([1]SCHEDULE!C979="","",[1]SCHEDULE!C979)</f>
        <v>8</v>
      </c>
      <c r="D979" s="1" t="e">
        <f>IF([1]SCHEDULE!D979="","",[1]SCHEDULE!D979)</f>
        <v>#N/A</v>
      </c>
      <c r="E979" s="1" t="str">
        <f>IF([1]SCHEDULE!E979="","",[1]SCHEDULE!E979)</f>
        <v/>
      </c>
      <c r="F979" s="6" t="str">
        <f>IF([1]SCHEDULE!F979="","",[1]SCHEDULE!F979)</f>
        <v/>
      </c>
      <c r="G979" s="3" t="str">
        <f>IF([1]SCHEDULE!G979="","",[1]SCHEDULE!G979)</f>
        <v/>
      </c>
      <c r="H979" s="3" t="str">
        <f>IF([1]SCHEDULE!H979="","",[1]SCHEDULE!H979)</f>
        <v/>
      </c>
      <c r="I979" s="3" t="str">
        <f>IF([1]SCHEDULE!I979="","",[1]SCHEDULE!I979)</f>
        <v/>
      </c>
      <c r="J979" s="3" t="str">
        <f>IF([1]SCHEDULE!J979="","",[1]SCHEDULE!J979)</f>
        <v/>
      </c>
    </row>
    <row r="980" spans="2:10" x14ac:dyDescent="0.25">
      <c r="B980" s="3" t="str">
        <f>IF([1]SCHEDULE!B980="","",[1]SCHEDULE!B980)</f>
        <v/>
      </c>
      <c r="C980" s="3">
        <f>IF([1]SCHEDULE!C980="","",[1]SCHEDULE!C980)</f>
        <v>9</v>
      </c>
      <c r="D980" s="1" t="e">
        <f>IF([1]SCHEDULE!D980="","",[1]SCHEDULE!D980)</f>
        <v>#N/A</v>
      </c>
      <c r="E980" s="1" t="str">
        <f>IF([1]SCHEDULE!E980="","",[1]SCHEDULE!E980)</f>
        <v/>
      </c>
      <c r="F980" s="6" t="str">
        <f>IF([1]SCHEDULE!F980="","",[1]SCHEDULE!F980)</f>
        <v/>
      </c>
      <c r="G980" s="3" t="str">
        <f>IF([1]SCHEDULE!G980="","",[1]SCHEDULE!G980)</f>
        <v/>
      </c>
      <c r="H980" s="3" t="str">
        <f>IF([1]SCHEDULE!H980="","",[1]SCHEDULE!H980)</f>
        <v/>
      </c>
      <c r="I980" s="3" t="str">
        <f>IF([1]SCHEDULE!I980="","",[1]SCHEDULE!I980)</f>
        <v/>
      </c>
      <c r="J980" s="3" t="str">
        <f>IF([1]SCHEDULE!J980="","",[1]SCHEDULE!J980)</f>
        <v/>
      </c>
    </row>
    <row r="981" spans="2:10" x14ac:dyDescent="0.25">
      <c r="B981" s="3" t="str">
        <f>IF([1]SCHEDULE!B981="","",[1]SCHEDULE!B981)</f>
        <v/>
      </c>
      <c r="C981" s="3">
        <f>IF([1]SCHEDULE!C981="","",[1]SCHEDULE!C981)</f>
        <v>10</v>
      </c>
      <c r="D981" s="1" t="e">
        <f>IF([1]SCHEDULE!D981="","",[1]SCHEDULE!D981)</f>
        <v>#N/A</v>
      </c>
      <c r="E981" s="1" t="str">
        <f>IF([1]SCHEDULE!E981="","",[1]SCHEDULE!E981)</f>
        <v/>
      </c>
      <c r="F981" s="6" t="str">
        <f>IF([1]SCHEDULE!F981="","",[1]SCHEDULE!F981)</f>
        <v/>
      </c>
      <c r="G981" s="3" t="str">
        <f>IF([1]SCHEDULE!G981="","",[1]SCHEDULE!G981)</f>
        <v/>
      </c>
      <c r="H981" s="3" t="str">
        <f>IF([1]SCHEDULE!H981="","",[1]SCHEDULE!H981)</f>
        <v/>
      </c>
      <c r="I981" s="3" t="str">
        <f>IF([1]SCHEDULE!I981="","",[1]SCHEDULE!I981)</f>
        <v/>
      </c>
      <c r="J981" s="3" t="str">
        <f>IF([1]SCHEDULE!J981="","",[1]SCHEDULE!J981)</f>
        <v/>
      </c>
    </row>
    <row r="982" spans="2:10" x14ac:dyDescent="0.25">
      <c r="B982" s="3" t="str">
        <f>IF([1]SCHEDULE!B982="","",[1]SCHEDULE!B982)</f>
        <v/>
      </c>
      <c r="C982" s="3">
        <f>IF([1]SCHEDULE!C982="","",[1]SCHEDULE!C982)</f>
        <v>11</v>
      </c>
      <c r="D982" s="1" t="e">
        <f>IF([1]SCHEDULE!D982="","",[1]SCHEDULE!D982)</f>
        <v>#N/A</v>
      </c>
      <c r="E982" s="1" t="str">
        <f>IF([1]SCHEDULE!E982="","",[1]SCHEDULE!E982)</f>
        <v/>
      </c>
      <c r="F982" s="6" t="str">
        <f>IF([1]SCHEDULE!F982="","",[1]SCHEDULE!F982)</f>
        <v/>
      </c>
      <c r="G982" s="3" t="str">
        <f>IF([1]SCHEDULE!G982="","",[1]SCHEDULE!G982)</f>
        <v/>
      </c>
      <c r="H982" s="3" t="str">
        <f>IF([1]SCHEDULE!H982="","",[1]SCHEDULE!H982)</f>
        <v/>
      </c>
      <c r="I982" s="3" t="str">
        <f>IF([1]SCHEDULE!I982="","",[1]SCHEDULE!I982)</f>
        <v/>
      </c>
      <c r="J982" s="3" t="str">
        <f>IF([1]SCHEDULE!J982="","",[1]SCHEDULE!J982)</f>
        <v/>
      </c>
    </row>
    <row r="983" spans="2:10" x14ac:dyDescent="0.25">
      <c r="B983" s="3" t="str">
        <f>IF([1]SCHEDULE!B983="","",[1]SCHEDULE!B983)</f>
        <v/>
      </c>
      <c r="C983" s="3">
        <f>IF([1]SCHEDULE!C983="","",[1]SCHEDULE!C983)</f>
        <v>12</v>
      </c>
      <c r="D983" s="1" t="e">
        <f>IF([1]SCHEDULE!D983="","",[1]SCHEDULE!D983)</f>
        <v>#N/A</v>
      </c>
      <c r="E983" s="1" t="str">
        <f>IF([1]SCHEDULE!E983="","",[1]SCHEDULE!E983)</f>
        <v/>
      </c>
      <c r="F983" s="6" t="str">
        <f>IF([1]SCHEDULE!F983="","",[1]SCHEDULE!F983)</f>
        <v/>
      </c>
      <c r="G983" s="3" t="str">
        <f>IF([1]SCHEDULE!G983="","",[1]SCHEDULE!G983)</f>
        <v/>
      </c>
      <c r="H983" s="3" t="str">
        <f>IF([1]SCHEDULE!H983="","",[1]SCHEDULE!H983)</f>
        <v/>
      </c>
      <c r="I983" s="3" t="str">
        <f>IF([1]SCHEDULE!I983="","",[1]SCHEDULE!I983)</f>
        <v/>
      </c>
      <c r="J983" s="3" t="str">
        <f>IF([1]SCHEDULE!J983="","",[1]SCHEDULE!J983)</f>
        <v/>
      </c>
    </row>
    <row r="984" spans="2:10" x14ac:dyDescent="0.25">
      <c r="B984" s="3" t="str">
        <f>IF([1]SCHEDULE!B984="","",[1]SCHEDULE!B984)</f>
        <v/>
      </c>
      <c r="C984" s="3">
        <f>IF([1]SCHEDULE!C984="","",[1]SCHEDULE!C984)</f>
        <v>13</v>
      </c>
      <c r="D984" s="1" t="e">
        <f>IF([1]SCHEDULE!D984="","",[1]SCHEDULE!D984)</f>
        <v>#N/A</v>
      </c>
      <c r="E984" s="1" t="str">
        <f>IF([1]SCHEDULE!E984="","",[1]SCHEDULE!E984)</f>
        <v/>
      </c>
      <c r="F984" s="6" t="str">
        <f>IF([1]SCHEDULE!F984="","",[1]SCHEDULE!F984)</f>
        <v/>
      </c>
      <c r="G984" s="3" t="str">
        <f>IF([1]SCHEDULE!G984="","",[1]SCHEDULE!G984)</f>
        <v/>
      </c>
      <c r="H984" s="3" t="str">
        <f>IF([1]SCHEDULE!H984="","",[1]SCHEDULE!H984)</f>
        <v/>
      </c>
      <c r="I984" s="3" t="str">
        <f>IF([1]SCHEDULE!I984="","",[1]SCHEDULE!I984)</f>
        <v/>
      </c>
      <c r="J984" s="3" t="str">
        <f>IF([1]SCHEDULE!J984="","",[1]SCHEDULE!J984)</f>
        <v/>
      </c>
    </row>
    <row r="985" spans="2:10" x14ac:dyDescent="0.25">
      <c r="B985" s="3" t="str">
        <f>IF([1]SCHEDULE!B985="","",[1]SCHEDULE!B985)</f>
        <v/>
      </c>
      <c r="C985" s="3">
        <f>IF([1]SCHEDULE!C985="","",[1]SCHEDULE!C985)</f>
        <v>14</v>
      </c>
      <c r="D985" s="1" t="e">
        <f>IF([1]SCHEDULE!D985="","",[1]SCHEDULE!D985)</f>
        <v>#N/A</v>
      </c>
      <c r="E985" s="1" t="str">
        <f>IF([1]SCHEDULE!E985="","",[1]SCHEDULE!E985)</f>
        <v/>
      </c>
      <c r="F985" s="6" t="str">
        <f>IF([1]SCHEDULE!F985="","",[1]SCHEDULE!F985)</f>
        <v/>
      </c>
      <c r="G985" s="3" t="str">
        <f>IF([1]SCHEDULE!G985="","",[1]SCHEDULE!G985)</f>
        <v/>
      </c>
      <c r="H985" s="3" t="str">
        <f>IF([1]SCHEDULE!H985="","",[1]SCHEDULE!H985)</f>
        <v/>
      </c>
      <c r="I985" s="3" t="str">
        <f>IF([1]SCHEDULE!I985="","",[1]SCHEDULE!I985)</f>
        <v/>
      </c>
      <c r="J985" s="3" t="str">
        <f>IF([1]SCHEDULE!J985="","",[1]SCHEDULE!J985)</f>
        <v/>
      </c>
    </row>
    <row r="986" spans="2:10" x14ac:dyDescent="0.25">
      <c r="B986" s="3" t="str">
        <f>IF([1]SCHEDULE!B986="","",[1]SCHEDULE!B986)</f>
        <v/>
      </c>
      <c r="C986" s="3">
        <f>IF([1]SCHEDULE!C986="","",[1]SCHEDULE!C986)</f>
        <v>15</v>
      </c>
      <c r="D986" s="1" t="e">
        <f>IF([1]SCHEDULE!D986="","",[1]SCHEDULE!D986)</f>
        <v>#N/A</v>
      </c>
      <c r="E986" s="1" t="str">
        <f>IF([1]SCHEDULE!E986="","",[1]SCHEDULE!E986)</f>
        <v/>
      </c>
      <c r="F986" s="6" t="str">
        <f>IF([1]SCHEDULE!F986="","",[1]SCHEDULE!F986)</f>
        <v/>
      </c>
      <c r="G986" s="3" t="str">
        <f>IF([1]SCHEDULE!G986="","",[1]SCHEDULE!G986)</f>
        <v/>
      </c>
      <c r="H986" s="3" t="str">
        <f>IF([1]SCHEDULE!H986="","",[1]SCHEDULE!H986)</f>
        <v/>
      </c>
      <c r="I986" s="3" t="str">
        <f>IF([1]SCHEDULE!I986="","",[1]SCHEDULE!I986)</f>
        <v/>
      </c>
      <c r="J986" s="3" t="str">
        <f>IF([1]SCHEDULE!J986="","",[1]SCHEDULE!J986)</f>
        <v/>
      </c>
    </row>
    <row r="987" spans="2:10" x14ac:dyDescent="0.25">
      <c r="B987" s="3" t="str">
        <f>IF([1]SCHEDULE!B987="","",[1]SCHEDULE!B987)</f>
        <v/>
      </c>
      <c r="C987" s="3">
        <f>IF([1]SCHEDULE!C987="","",[1]SCHEDULE!C987)</f>
        <v>16</v>
      </c>
      <c r="D987" s="1" t="e">
        <f>IF([1]SCHEDULE!D987="","",[1]SCHEDULE!D987)</f>
        <v>#N/A</v>
      </c>
      <c r="E987" s="1" t="str">
        <f>IF([1]SCHEDULE!E987="","",[1]SCHEDULE!E987)</f>
        <v/>
      </c>
      <c r="F987" s="6" t="str">
        <f>IF([1]SCHEDULE!F987="","",[1]SCHEDULE!F987)</f>
        <v/>
      </c>
      <c r="G987" s="3" t="str">
        <f>IF([1]SCHEDULE!G987="","",[1]SCHEDULE!G987)</f>
        <v/>
      </c>
      <c r="H987" s="3" t="str">
        <f>IF([1]SCHEDULE!H987="","",[1]SCHEDULE!H987)</f>
        <v/>
      </c>
      <c r="I987" s="3" t="str">
        <f>IF([1]SCHEDULE!I987="","",[1]SCHEDULE!I987)</f>
        <v/>
      </c>
      <c r="J987" s="3" t="str">
        <f>IF([1]SCHEDULE!J987="","",[1]SCHEDULE!J987)</f>
        <v/>
      </c>
    </row>
    <row r="988" spans="2:10" x14ac:dyDescent="0.25">
      <c r="B988" s="3" t="str">
        <f>IF([1]SCHEDULE!B988="","",[1]SCHEDULE!B988)</f>
        <v/>
      </c>
      <c r="C988" s="3">
        <f>IF([1]SCHEDULE!C988="","",[1]SCHEDULE!C988)</f>
        <v>17</v>
      </c>
      <c r="D988" s="1" t="e">
        <f>IF([1]SCHEDULE!D988="","",[1]SCHEDULE!D988)</f>
        <v>#N/A</v>
      </c>
      <c r="E988" s="1" t="str">
        <f>IF([1]SCHEDULE!E988="","",[1]SCHEDULE!E988)</f>
        <v/>
      </c>
      <c r="F988" s="6" t="str">
        <f>IF([1]SCHEDULE!F988="","",[1]SCHEDULE!F988)</f>
        <v/>
      </c>
      <c r="G988" s="3" t="str">
        <f>IF([1]SCHEDULE!G988="","",[1]SCHEDULE!G988)</f>
        <v/>
      </c>
      <c r="H988" s="3" t="str">
        <f>IF([1]SCHEDULE!H988="","",[1]SCHEDULE!H988)</f>
        <v/>
      </c>
      <c r="I988" s="3" t="str">
        <f>IF([1]SCHEDULE!I988="","",[1]SCHEDULE!I988)</f>
        <v/>
      </c>
      <c r="J988" s="3" t="str">
        <f>IF([1]SCHEDULE!J988="","",[1]SCHEDULE!J988)</f>
        <v/>
      </c>
    </row>
    <row r="989" spans="2:10" x14ac:dyDescent="0.25">
      <c r="B989" s="3" t="str">
        <f>IF([1]SCHEDULE!B989="","",[1]SCHEDULE!B989)</f>
        <v/>
      </c>
      <c r="C989" s="3">
        <f>IF([1]SCHEDULE!C989="","",[1]SCHEDULE!C989)</f>
        <v>18</v>
      </c>
      <c r="D989" s="1" t="e">
        <f>IF([1]SCHEDULE!D989="","",[1]SCHEDULE!D989)</f>
        <v>#N/A</v>
      </c>
      <c r="E989" s="1" t="str">
        <f>IF([1]SCHEDULE!E989="","",[1]SCHEDULE!E989)</f>
        <v/>
      </c>
      <c r="F989" s="6" t="str">
        <f>IF([1]SCHEDULE!F989="","",[1]SCHEDULE!F989)</f>
        <v/>
      </c>
      <c r="G989" s="3" t="str">
        <f>IF([1]SCHEDULE!G989="","",[1]SCHEDULE!G989)</f>
        <v/>
      </c>
      <c r="H989" s="3" t="str">
        <f>IF([1]SCHEDULE!H989="","",[1]SCHEDULE!H989)</f>
        <v/>
      </c>
      <c r="I989" s="3" t="str">
        <f>IF([1]SCHEDULE!I989="","",[1]SCHEDULE!I989)</f>
        <v/>
      </c>
      <c r="J989" s="3" t="str">
        <f>IF([1]SCHEDULE!J989="","",[1]SCHEDULE!J989)</f>
        <v/>
      </c>
    </row>
    <row r="990" spans="2:10" x14ac:dyDescent="0.25">
      <c r="B990" s="3" t="str">
        <f>IF([1]SCHEDULE!B990="","",[1]SCHEDULE!B990)</f>
        <v/>
      </c>
      <c r="C990" s="3">
        <f>IF([1]SCHEDULE!C990="","",[1]SCHEDULE!C990)</f>
        <v>19</v>
      </c>
      <c r="D990" s="1" t="e">
        <f>IF([1]SCHEDULE!D990="","",[1]SCHEDULE!D990)</f>
        <v>#N/A</v>
      </c>
      <c r="E990" s="1" t="str">
        <f>IF([1]SCHEDULE!E990="","",[1]SCHEDULE!E990)</f>
        <v/>
      </c>
      <c r="F990" s="6" t="str">
        <f>IF([1]SCHEDULE!F990="","",[1]SCHEDULE!F990)</f>
        <v/>
      </c>
      <c r="G990" s="3" t="str">
        <f>IF([1]SCHEDULE!G990="","",[1]SCHEDULE!G990)</f>
        <v/>
      </c>
      <c r="H990" s="3" t="str">
        <f>IF([1]SCHEDULE!H990="","",[1]SCHEDULE!H990)</f>
        <v/>
      </c>
      <c r="I990" s="3" t="str">
        <f>IF([1]SCHEDULE!I990="","",[1]SCHEDULE!I990)</f>
        <v/>
      </c>
      <c r="J990" s="3" t="str">
        <f>IF([1]SCHEDULE!J990="","",[1]SCHEDULE!J990)</f>
        <v/>
      </c>
    </row>
    <row r="991" spans="2:10" x14ac:dyDescent="0.25">
      <c r="B991" s="3" t="str">
        <f>IF([1]SCHEDULE!B991="","",[1]SCHEDULE!B991)</f>
        <v/>
      </c>
      <c r="C991" s="3">
        <f>IF([1]SCHEDULE!C991="","",[1]SCHEDULE!C991)</f>
        <v>20</v>
      </c>
      <c r="D991" s="1" t="e">
        <f>IF([1]SCHEDULE!D991="","",[1]SCHEDULE!D991)</f>
        <v>#N/A</v>
      </c>
      <c r="E991" s="1" t="str">
        <f>IF([1]SCHEDULE!E991="","",[1]SCHEDULE!E991)</f>
        <v/>
      </c>
      <c r="F991" s="6" t="str">
        <f>IF([1]SCHEDULE!F991="","",[1]SCHEDULE!F991)</f>
        <v/>
      </c>
      <c r="G991" s="3" t="str">
        <f>IF([1]SCHEDULE!G991="","",[1]SCHEDULE!G991)</f>
        <v/>
      </c>
      <c r="H991" s="3" t="str">
        <f>IF([1]SCHEDULE!H991="","",[1]SCHEDULE!H991)</f>
        <v/>
      </c>
      <c r="I991" s="3" t="str">
        <f>IF([1]SCHEDULE!I991="","",[1]SCHEDULE!I991)</f>
        <v/>
      </c>
      <c r="J991" s="3" t="str">
        <f>IF([1]SCHEDULE!J991="","",[1]SCHEDULE!J991)</f>
        <v/>
      </c>
    </row>
    <row r="992" spans="2:10" x14ac:dyDescent="0.25">
      <c r="B992" s="3" t="str">
        <f>IF([1]SCHEDULE!B992="","",[1]SCHEDULE!B992)</f>
        <v/>
      </c>
      <c r="C992" s="3">
        <f>IF([1]SCHEDULE!C992="","",[1]SCHEDULE!C992)</f>
        <v>21</v>
      </c>
      <c r="D992" s="1" t="e">
        <f>IF([1]SCHEDULE!D992="","",[1]SCHEDULE!D992)</f>
        <v>#N/A</v>
      </c>
      <c r="E992" s="1" t="str">
        <f>IF([1]SCHEDULE!E992="","",[1]SCHEDULE!E992)</f>
        <v/>
      </c>
      <c r="F992" s="6" t="str">
        <f>IF([1]SCHEDULE!F992="","",[1]SCHEDULE!F992)</f>
        <v/>
      </c>
      <c r="G992" s="3" t="str">
        <f>IF([1]SCHEDULE!G992="","",[1]SCHEDULE!G992)</f>
        <v/>
      </c>
      <c r="H992" s="3" t="str">
        <f>IF([1]SCHEDULE!H992="","",[1]SCHEDULE!H992)</f>
        <v/>
      </c>
      <c r="I992" s="3" t="str">
        <f>IF([1]SCHEDULE!I992="","",[1]SCHEDULE!I992)</f>
        <v/>
      </c>
      <c r="J992" s="3" t="str">
        <f>IF([1]SCHEDULE!J992="","",[1]SCHEDULE!J992)</f>
        <v/>
      </c>
    </row>
    <row r="993" spans="2:10" x14ac:dyDescent="0.25">
      <c r="B993" s="3" t="str">
        <f>IF([1]SCHEDULE!B993="","",[1]SCHEDULE!B993)</f>
        <v/>
      </c>
      <c r="C993" s="3">
        <f>IF([1]SCHEDULE!C993="","",[1]SCHEDULE!C993)</f>
        <v>22</v>
      </c>
      <c r="D993" s="1" t="e">
        <f>IF([1]SCHEDULE!D993="","",[1]SCHEDULE!D993)</f>
        <v>#N/A</v>
      </c>
      <c r="E993" s="1" t="str">
        <f>IF([1]SCHEDULE!E993="","",[1]SCHEDULE!E993)</f>
        <v/>
      </c>
      <c r="F993" s="6" t="str">
        <f>IF([1]SCHEDULE!F993="","",[1]SCHEDULE!F993)</f>
        <v/>
      </c>
      <c r="G993" s="3" t="str">
        <f>IF([1]SCHEDULE!G993="","",[1]SCHEDULE!G993)</f>
        <v/>
      </c>
      <c r="H993" s="3" t="str">
        <f>IF([1]SCHEDULE!H993="","",[1]SCHEDULE!H993)</f>
        <v/>
      </c>
      <c r="I993" s="3" t="str">
        <f>IF([1]SCHEDULE!I993="","",[1]SCHEDULE!I993)</f>
        <v/>
      </c>
      <c r="J993" s="3" t="str">
        <f>IF([1]SCHEDULE!J993="","",[1]SCHEDULE!J993)</f>
        <v/>
      </c>
    </row>
    <row r="994" spans="2:10" x14ac:dyDescent="0.25">
      <c r="B994" s="3" t="str">
        <f>IF([1]SCHEDULE!B994="","",[1]SCHEDULE!B994)</f>
        <v/>
      </c>
      <c r="C994" s="3">
        <f>IF([1]SCHEDULE!C994="","",[1]SCHEDULE!C994)</f>
        <v>23</v>
      </c>
      <c r="D994" s="1" t="e">
        <f>IF([1]SCHEDULE!D994="","",[1]SCHEDULE!D994)</f>
        <v>#N/A</v>
      </c>
      <c r="E994" s="1" t="str">
        <f>IF([1]SCHEDULE!E994="","",[1]SCHEDULE!E994)</f>
        <v/>
      </c>
      <c r="F994" s="6" t="str">
        <f>IF([1]SCHEDULE!F994="","",[1]SCHEDULE!F994)</f>
        <v/>
      </c>
      <c r="G994" s="3" t="str">
        <f>IF([1]SCHEDULE!G994="","",[1]SCHEDULE!G994)</f>
        <v/>
      </c>
      <c r="H994" s="3" t="str">
        <f>IF([1]SCHEDULE!H994="","",[1]SCHEDULE!H994)</f>
        <v/>
      </c>
      <c r="I994" s="3" t="str">
        <f>IF([1]SCHEDULE!I994="","",[1]SCHEDULE!I994)</f>
        <v/>
      </c>
      <c r="J994" s="3" t="str">
        <f>IF([1]SCHEDULE!J994="","",[1]SCHEDULE!J994)</f>
        <v/>
      </c>
    </row>
    <row r="995" spans="2:10" x14ac:dyDescent="0.25">
      <c r="B995" s="3" t="str">
        <f>IF([1]SCHEDULE!B995="","",[1]SCHEDULE!B995)</f>
        <v/>
      </c>
      <c r="C995" s="3">
        <f>IF([1]SCHEDULE!C995="","",[1]SCHEDULE!C995)</f>
        <v>24</v>
      </c>
      <c r="D995" s="1" t="e">
        <f>IF([1]SCHEDULE!D995="","",[1]SCHEDULE!D995)</f>
        <v>#N/A</v>
      </c>
      <c r="E995" s="1" t="str">
        <f>IF([1]SCHEDULE!E995="","",[1]SCHEDULE!E995)</f>
        <v/>
      </c>
      <c r="F995" s="6" t="str">
        <f>IF([1]SCHEDULE!F995="","",[1]SCHEDULE!F995)</f>
        <v/>
      </c>
      <c r="G995" s="3" t="str">
        <f>IF([1]SCHEDULE!G995="","",[1]SCHEDULE!G995)</f>
        <v/>
      </c>
      <c r="H995" s="3" t="str">
        <f>IF([1]SCHEDULE!H995="","",[1]SCHEDULE!H995)</f>
        <v/>
      </c>
      <c r="I995" s="3" t="str">
        <f>IF([1]SCHEDULE!I995="","",[1]SCHEDULE!I995)</f>
        <v/>
      </c>
      <c r="J995" s="3" t="str">
        <f>IF([1]SCHEDULE!J995="","",[1]SCHEDULE!J995)</f>
        <v/>
      </c>
    </row>
    <row r="996" spans="2:10" x14ac:dyDescent="0.25">
      <c r="B996" s="3" t="str">
        <f>IF([1]SCHEDULE!B996="","",[1]SCHEDULE!B996)</f>
        <v/>
      </c>
      <c r="C996" s="3">
        <f>IF([1]SCHEDULE!C996="","",[1]SCHEDULE!C996)</f>
        <v>25</v>
      </c>
      <c r="D996" s="1" t="e">
        <f>IF([1]SCHEDULE!D996="","",[1]SCHEDULE!D996)</f>
        <v>#N/A</v>
      </c>
      <c r="E996" s="1" t="str">
        <f>IF([1]SCHEDULE!E996="","",[1]SCHEDULE!E996)</f>
        <v/>
      </c>
      <c r="F996" s="6" t="str">
        <f>IF([1]SCHEDULE!F996="","",[1]SCHEDULE!F996)</f>
        <v/>
      </c>
      <c r="G996" s="3" t="str">
        <f>IF([1]SCHEDULE!G996="","",[1]SCHEDULE!G996)</f>
        <v/>
      </c>
      <c r="H996" s="3" t="str">
        <f>IF([1]SCHEDULE!H996="","",[1]SCHEDULE!H996)</f>
        <v/>
      </c>
      <c r="I996" s="3" t="str">
        <f>IF([1]SCHEDULE!I996="","",[1]SCHEDULE!I996)</f>
        <v/>
      </c>
      <c r="J996" s="3" t="str">
        <f>IF([1]SCHEDULE!J996="","",[1]SCHEDULE!J996)</f>
        <v/>
      </c>
    </row>
    <row r="997" spans="2:10" x14ac:dyDescent="0.25">
      <c r="B997" s="3" t="str">
        <f>IF([1]SCHEDULE!B997="","",[1]SCHEDULE!B997)</f>
        <v/>
      </c>
      <c r="C997" s="3">
        <f>IF([1]SCHEDULE!C997="","",[1]SCHEDULE!C997)</f>
        <v>26</v>
      </c>
      <c r="D997" s="1" t="e">
        <f>IF([1]SCHEDULE!D997="","",[1]SCHEDULE!D997)</f>
        <v>#N/A</v>
      </c>
      <c r="E997" s="1" t="str">
        <f>IF([1]SCHEDULE!E997="","",[1]SCHEDULE!E997)</f>
        <v/>
      </c>
      <c r="F997" s="6" t="str">
        <f>IF([1]SCHEDULE!F997="","",[1]SCHEDULE!F997)</f>
        <v/>
      </c>
      <c r="G997" s="3" t="str">
        <f>IF([1]SCHEDULE!G997="","",[1]SCHEDULE!G997)</f>
        <v/>
      </c>
      <c r="H997" s="3" t="str">
        <f>IF([1]SCHEDULE!H997="","",[1]SCHEDULE!H997)</f>
        <v/>
      </c>
      <c r="I997" s="3" t="str">
        <f>IF([1]SCHEDULE!I997="","",[1]SCHEDULE!I997)</f>
        <v/>
      </c>
      <c r="J997" s="3" t="str">
        <f>IF([1]SCHEDULE!J997="","",[1]SCHEDULE!J997)</f>
        <v/>
      </c>
    </row>
    <row r="998" spans="2:10" x14ac:dyDescent="0.25">
      <c r="B998" s="3" t="str">
        <f>IF([1]SCHEDULE!B998="","",[1]SCHEDULE!B998)</f>
        <v/>
      </c>
      <c r="C998" s="3">
        <f>IF([1]SCHEDULE!C998="","",[1]SCHEDULE!C998)</f>
        <v>27</v>
      </c>
      <c r="D998" s="1" t="e">
        <f>IF([1]SCHEDULE!D998="","",[1]SCHEDULE!D998)</f>
        <v>#N/A</v>
      </c>
      <c r="E998" s="1" t="str">
        <f>IF([1]SCHEDULE!E998="","",[1]SCHEDULE!E998)</f>
        <v/>
      </c>
      <c r="F998" s="6" t="str">
        <f>IF([1]SCHEDULE!F998="","",[1]SCHEDULE!F998)</f>
        <v/>
      </c>
      <c r="G998" s="3" t="str">
        <f>IF([1]SCHEDULE!G998="","",[1]SCHEDULE!G998)</f>
        <v/>
      </c>
      <c r="H998" s="3" t="str">
        <f>IF([1]SCHEDULE!H998="","",[1]SCHEDULE!H998)</f>
        <v/>
      </c>
      <c r="I998" s="3" t="str">
        <f>IF([1]SCHEDULE!I998="","",[1]SCHEDULE!I998)</f>
        <v/>
      </c>
      <c r="J998" s="3" t="str">
        <f>IF([1]SCHEDULE!J998="","",[1]SCHEDULE!J998)</f>
        <v/>
      </c>
    </row>
    <row r="999" spans="2:10" x14ac:dyDescent="0.25">
      <c r="B999" s="3" t="str">
        <f>IF([1]SCHEDULE!B999="","",[1]SCHEDULE!B999)</f>
        <v/>
      </c>
      <c r="C999" s="3">
        <f>IF([1]SCHEDULE!C999="","",[1]SCHEDULE!C999)</f>
        <v>28</v>
      </c>
      <c r="D999" s="1" t="e">
        <f>IF([1]SCHEDULE!D999="","",[1]SCHEDULE!D999)</f>
        <v>#N/A</v>
      </c>
      <c r="E999" s="1" t="str">
        <f>IF([1]SCHEDULE!E999="","",[1]SCHEDULE!E999)</f>
        <v/>
      </c>
      <c r="F999" s="6" t="str">
        <f>IF([1]SCHEDULE!F999="","",[1]SCHEDULE!F999)</f>
        <v/>
      </c>
      <c r="G999" s="3" t="str">
        <f>IF([1]SCHEDULE!G999="","",[1]SCHEDULE!G999)</f>
        <v/>
      </c>
      <c r="H999" s="3" t="str">
        <f>IF([1]SCHEDULE!H999="","",[1]SCHEDULE!H999)</f>
        <v/>
      </c>
      <c r="I999" s="3" t="str">
        <f>IF([1]SCHEDULE!I999="","",[1]SCHEDULE!I999)</f>
        <v/>
      </c>
      <c r="J999" s="3" t="str">
        <f>IF([1]SCHEDULE!J999="","",[1]SCHEDULE!J999)</f>
        <v/>
      </c>
    </row>
    <row r="1000" spans="2:10" x14ac:dyDescent="0.25">
      <c r="B1000" s="3" t="str">
        <f>IF([1]SCHEDULE!B1000="","",[1]SCHEDULE!B1000)</f>
        <v/>
      </c>
      <c r="C1000" s="3">
        <f>IF([1]SCHEDULE!C1000="","",[1]SCHEDULE!C1000)</f>
        <v>29</v>
      </c>
      <c r="D1000" s="1" t="e">
        <f>IF([1]SCHEDULE!D1000="","",[1]SCHEDULE!D1000)</f>
        <v>#N/A</v>
      </c>
      <c r="E1000" s="1" t="str">
        <f>IF([1]SCHEDULE!E1000="","",[1]SCHEDULE!E1000)</f>
        <v/>
      </c>
      <c r="F1000" s="6" t="str">
        <f>IF([1]SCHEDULE!F1000="","",[1]SCHEDULE!F1000)</f>
        <v/>
      </c>
      <c r="G1000" s="3" t="str">
        <f>IF([1]SCHEDULE!G1000="","",[1]SCHEDULE!G1000)</f>
        <v/>
      </c>
      <c r="H1000" s="3" t="str">
        <f>IF([1]SCHEDULE!H1000="","",[1]SCHEDULE!H1000)</f>
        <v/>
      </c>
      <c r="I1000" s="3" t="str">
        <f>IF([1]SCHEDULE!I1000="","",[1]SCHEDULE!I1000)</f>
        <v/>
      </c>
      <c r="J1000" s="3" t="str">
        <f>IF([1]SCHEDULE!J1000="","",[1]SCHEDULE!J1000)</f>
        <v/>
      </c>
    </row>
    <row r="1001" spans="2:10" x14ac:dyDescent="0.25">
      <c r="B1001" s="3" t="str">
        <f>IF([1]SCHEDULE!B1001="","",[1]SCHEDULE!B1001)</f>
        <v/>
      </c>
      <c r="C1001" s="3">
        <f>IF([1]SCHEDULE!C1001="","",[1]SCHEDULE!C1001)</f>
        <v>30</v>
      </c>
      <c r="D1001" s="1" t="e">
        <f>IF([1]SCHEDULE!D1001="","",[1]SCHEDULE!D1001)</f>
        <v>#N/A</v>
      </c>
      <c r="E1001" s="1" t="str">
        <f>IF([1]SCHEDULE!E1001="","",[1]SCHEDULE!E1001)</f>
        <v/>
      </c>
      <c r="F1001" s="6" t="str">
        <f>IF([1]SCHEDULE!F1001="","",[1]SCHEDULE!F1001)</f>
        <v/>
      </c>
      <c r="G1001" s="3" t="str">
        <f>IF([1]SCHEDULE!G1001="","",[1]SCHEDULE!G1001)</f>
        <v/>
      </c>
      <c r="H1001" s="3" t="str">
        <f>IF([1]SCHEDULE!H1001="","",[1]SCHEDULE!H1001)</f>
        <v/>
      </c>
      <c r="I1001" s="3" t="str">
        <f>IF([1]SCHEDULE!I1001="","",[1]SCHEDULE!I1001)</f>
        <v/>
      </c>
      <c r="J1001" s="3" t="str">
        <f>IF([1]SCHEDULE!J1001="","",[1]SCHEDULE!J1001)</f>
        <v/>
      </c>
    </row>
    <row r="1002" spans="2:10" x14ac:dyDescent="0.25">
      <c r="B1002" s="3" t="str">
        <f>IF([1]SCHEDULE!B1002="","",[1]SCHEDULE!B1002)</f>
        <v/>
      </c>
      <c r="C1002" s="3">
        <f>IF([1]SCHEDULE!C1002="","",[1]SCHEDULE!C1002)</f>
        <v>31</v>
      </c>
      <c r="D1002" s="1" t="e">
        <f>IF([1]SCHEDULE!D1002="","",[1]SCHEDULE!D1002)</f>
        <v>#N/A</v>
      </c>
      <c r="E1002" s="1" t="str">
        <f>IF([1]SCHEDULE!E1002="","",[1]SCHEDULE!E1002)</f>
        <v/>
      </c>
      <c r="F1002" s="6" t="str">
        <f>IF([1]SCHEDULE!F1002="","",[1]SCHEDULE!F1002)</f>
        <v/>
      </c>
      <c r="G1002" s="3" t="str">
        <f>IF([1]SCHEDULE!G1002="","",[1]SCHEDULE!G1002)</f>
        <v/>
      </c>
      <c r="H1002" s="3" t="str">
        <f>IF([1]SCHEDULE!H1002="","",[1]SCHEDULE!H1002)</f>
        <v/>
      </c>
      <c r="I1002" s="3" t="str">
        <f>IF([1]SCHEDULE!I1002="","",[1]SCHEDULE!I1002)</f>
        <v/>
      </c>
      <c r="J1002" s="3" t="str">
        <f>IF([1]SCHEDULE!J1002="","",[1]SCHEDULE!J1002)</f>
        <v/>
      </c>
    </row>
    <row r="1003" spans="2:10" x14ac:dyDescent="0.25">
      <c r="B1003" s="3" t="str">
        <f>IF([1]SCHEDULE!B1003="","",[1]SCHEDULE!B1003)</f>
        <v/>
      </c>
      <c r="C1003" s="3">
        <f>IF([1]SCHEDULE!C1003="","",[1]SCHEDULE!C1003)</f>
        <v>32</v>
      </c>
      <c r="D1003" s="1" t="e">
        <f>IF([1]SCHEDULE!D1003="","",[1]SCHEDULE!D1003)</f>
        <v>#N/A</v>
      </c>
      <c r="E1003" s="1" t="str">
        <f>IF([1]SCHEDULE!E1003="","",[1]SCHEDULE!E1003)</f>
        <v/>
      </c>
      <c r="F1003" s="6" t="str">
        <f>IF([1]SCHEDULE!F1003="","",[1]SCHEDULE!F1003)</f>
        <v/>
      </c>
      <c r="G1003" s="3" t="str">
        <f>IF([1]SCHEDULE!G1003="","",[1]SCHEDULE!G1003)</f>
        <v/>
      </c>
      <c r="H1003" s="3" t="str">
        <f>IF([1]SCHEDULE!H1003="","",[1]SCHEDULE!H1003)</f>
        <v/>
      </c>
      <c r="I1003" s="3" t="str">
        <f>IF([1]SCHEDULE!I1003="","",[1]SCHEDULE!I1003)</f>
        <v/>
      </c>
      <c r="J1003" s="3" t="str">
        <f>IF([1]SCHEDULE!J1003="","",[1]SCHEDULE!J1003)</f>
        <v/>
      </c>
    </row>
    <row r="1004" spans="2:10" x14ac:dyDescent="0.25">
      <c r="B1004" s="3" t="str">
        <f>IF([1]SCHEDULE!B1004="","",[1]SCHEDULE!B1004)</f>
        <v/>
      </c>
      <c r="C1004" s="3">
        <f>IF([1]SCHEDULE!C1004="","",[1]SCHEDULE!C1004)</f>
        <v>33</v>
      </c>
      <c r="D1004" s="1" t="e">
        <f>IF([1]SCHEDULE!D1004="","",[1]SCHEDULE!D1004)</f>
        <v>#N/A</v>
      </c>
      <c r="E1004" s="1" t="str">
        <f>IF([1]SCHEDULE!E1004="","",[1]SCHEDULE!E1004)</f>
        <v/>
      </c>
      <c r="F1004" s="6" t="str">
        <f>IF([1]SCHEDULE!F1004="","",[1]SCHEDULE!F1004)</f>
        <v/>
      </c>
      <c r="G1004" s="3" t="str">
        <f>IF([1]SCHEDULE!G1004="","",[1]SCHEDULE!G1004)</f>
        <v/>
      </c>
      <c r="H1004" s="3" t="str">
        <f>IF([1]SCHEDULE!H1004="","",[1]SCHEDULE!H1004)</f>
        <v/>
      </c>
      <c r="I1004" s="3" t="str">
        <f>IF([1]SCHEDULE!I1004="","",[1]SCHEDULE!I1004)</f>
        <v/>
      </c>
      <c r="J1004" s="3" t="str">
        <f>IF([1]SCHEDULE!J1004="","",[1]SCHEDULE!J1004)</f>
        <v/>
      </c>
    </row>
    <row r="1005" spans="2:10" x14ac:dyDescent="0.25">
      <c r="B1005" s="3" t="str">
        <f>IF([1]SCHEDULE!B1005="","",[1]SCHEDULE!B1005)</f>
        <v/>
      </c>
      <c r="C1005" s="3">
        <f>IF([1]SCHEDULE!C1005="","",[1]SCHEDULE!C1005)</f>
        <v>34</v>
      </c>
      <c r="D1005" s="1" t="e">
        <f>IF([1]SCHEDULE!D1005="","",[1]SCHEDULE!D1005)</f>
        <v>#N/A</v>
      </c>
      <c r="E1005" s="1" t="str">
        <f>IF([1]SCHEDULE!E1005="","",[1]SCHEDULE!E1005)</f>
        <v/>
      </c>
      <c r="F1005" s="6" t="str">
        <f>IF([1]SCHEDULE!F1005="","",[1]SCHEDULE!F1005)</f>
        <v/>
      </c>
      <c r="G1005" s="3" t="str">
        <f>IF([1]SCHEDULE!G1005="","",[1]SCHEDULE!G1005)</f>
        <v/>
      </c>
      <c r="H1005" s="3" t="str">
        <f>IF([1]SCHEDULE!H1005="","",[1]SCHEDULE!H1005)</f>
        <v/>
      </c>
      <c r="I1005" s="3" t="str">
        <f>IF([1]SCHEDULE!I1005="","",[1]SCHEDULE!I1005)</f>
        <v/>
      </c>
      <c r="J1005" s="3" t="str">
        <f>IF([1]SCHEDULE!J1005="","",[1]SCHEDULE!J1005)</f>
        <v/>
      </c>
    </row>
    <row r="1006" spans="2:10" x14ac:dyDescent="0.25">
      <c r="B1006" s="3" t="str">
        <f>IF([1]SCHEDULE!B1006="","",[1]SCHEDULE!B1006)</f>
        <v/>
      </c>
      <c r="C1006" s="3">
        <f>IF([1]SCHEDULE!C1006="","",[1]SCHEDULE!C1006)</f>
        <v>35</v>
      </c>
      <c r="D1006" s="1" t="e">
        <f>IF([1]SCHEDULE!D1006="","",[1]SCHEDULE!D1006)</f>
        <v>#N/A</v>
      </c>
      <c r="E1006" s="1" t="str">
        <f>IF([1]SCHEDULE!E1006="","",[1]SCHEDULE!E1006)</f>
        <v/>
      </c>
      <c r="F1006" s="6" t="str">
        <f>IF([1]SCHEDULE!F1006="","",[1]SCHEDULE!F1006)</f>
        <v/>
      </c>
      <c r="G1006" s="3" t="str">
        <f>IF([1]SCHEDULE!G1006="","",[1]SCHEDULE!G1006)</f>
        <v/>
      </c>
      <c r="H1006" s="3" t="str">
        <f>IF([1]SCHEDULE!H1006="","",[1]SCHEDULE!H1006)</f>
        <v/>
      </c>
      <c r="I1006" s="3" t="str">
        <f>IF([1]SCHEDULE!I1006="","",[1]SCHEDULE!I1006)</f>
        <v/>
      </c>
      <c r="J1006" s="3" t="str">
        <f>IF([1]SCHEDULE!J1006="","",[1]SCHEDULE!J1006)</f>
        <v/>
      </c>
    </row>
    <row r="1007" spans="2:10" x14ac:dyDescent="0.25">
      <c r="B1007" s="3" t="str">
        <f>IF([1]SCHEDULE!B1007="","",[1]SCHEDULE!B1007)</f>
        <v/>
      </c>
      <c r="C1007" s="3">
        <f>IF([1]SCHEDULE!C1007="","",[1]SCHEDULE!C1007)</f>
        <v>36</v>
      </c>
      <c r="D1007" s="1" t="e">
        <f>IF([1]SCHEDULE!D1007="","",[1]SCHEDULE!D1007)</f>
        <v>#N/A</v>
      </c>
      <c r="E1007" s="1" t="str">
        <f>IF([1]SCHEDULE!E1007="","",[1]SCHEDULE!E1007)</f>
        <v/>
      </c>
      <c r="F1007" s="6" t="str">
        <f>IF([1]SCHEDULE!F1007="","",[1]SCHEDULE!F1007)</f>
        <v/>
      </c>
      <c r="G1007" s="3" t="str">
        <f>IF([1]SCHEDULE!G1007="","",[1]SCHEDULE!G1007)</f>
        <v/>
      </c>
      <c r="H1007" s="3" t="str">
        <f>IF([1]SCHEDULE!H1007="","",[1]SCHEDULE!H1007)</f>
        <v/>
      </c>
      <c r="I1007" s="3" t="str">
        <f>IF([1]SCHEDULE!I1007="","",[1]SCHEDULE!I1007)</f>
        <v/>
      </c>
      <c r="J1007" s="3" t="str">
        <f>IF([1]SCHEDULE!J1007="","",[1]SCHEDULE!J1007)</f>
        <v/>
      </c>
    </row>
    <row r="1008" spans="2:10" x14ac:dyDescent="0.25">
      <c r="B1008" s="3" t="str">
        <f>IF([1]SCHEDULE!B1008="","",[1]SCHEDULE!B1008)</f>
        <v/>
      </c>
      <c r="C1008" s="3">
        <f>IF([1]SCHEDULE!C1008="","",[1]SCHEDULE!C1008)</f>
        <v>37</v>
      </c>
      <c r="D1008" s="1" t="e">
        <f>IF([1]SCHEDULE!D1008="","",[1]SCHEDULE!D1008)</f>
        <v>#N/A</v>
      </c>
      <c r="E1008" s="1" t="str">
        <f>IF([1]SCHEDULE!E1008="","",[1]SCHEDULE!E1008)</f>
        <v/>
      </c>
      <c r="F1008" s="6" t="str">
        <f>IF([1]SCHEDULE!F1008="","",[1]SCHEDULE!F1008)</f>
        <v/>
      </c>
      <c r="G1008" s="3" t="str">
        <f>IF([1]SCHEDULE!G1008="","",[1]SCHEDULE!G1008)</f>
        <v/>
      </c>
      <c r="H1008" s="3" t="str">
        <f>IF([1]SCHEDULE!H1008="","",[1]SCHEDULE!H1008)</f>
        <v/>
      </c>
      <c r="I1008" s="3" t="str">
        <f>IF([1]SCHEDULE!I1008="","",[1]SCHEDULE!I1008)</f>
        <v/>
      </c>
      <c r="J1008" s="3" t="str">
        <f>IF([1]SCHEDULE!J1008="","",[1]SCHEDULE!J1008)</f>
        <v/>
      </c>
    </row>
    <row r="1009" spans="2:10" x14ac:dyDescent="0.25">
      <c r="B1009" s="3" t="str">
        <f>IF([1]SCHEDULE!B1009="","",[1]SCHEDULE!B1009)</f>
        <v/>
      </c>
      <c r="C1009" s="3">
        <f>IF([1]SCHEDULE!C1009="","",[1]SCHEDULE!C1009)</f>
        <v>38</v>
      </c>
      <c r="D1009" s="1" t="e">
        <f>IF([1]SCHEDULE!D1009="","",[1]SCHEDULE!D1009)</f>
        <v>#N/A</v>
      </c>
      <c r="E1009" s="1" t="str">
        <f>IF([1]SCHEDULE!E1009="","",[1]SCHEDULE!E1009)</f>
        <v/>
      </c>
      <c r="F1009" s="6" t="str">
        <f>IF([1]SCHEDULE!F1009="","",[1]SCHEDULE!F1009)</f>
        <v/>
      </c>
      <c r="G1009" s="3" t="str">
        <f>IF([1]SCHEDULE!G1009="","",[1]SCHEDULE!G1009)</f>
        <v/>
      </c>
      <c r="H1009" s="3" t="str">
        <f>IF([1]SCHEDULE!H1009="","",[1]SCHEDULE!H1009)</f>
        <v/>
      </c>
      <c r="I1009" s="3" t="str">
        <f>IF([1]SCHEDULE!I1009="","",[1]SCHEDULE!I1009)</f>
        <v/>
      </c>
      <c r="J1009" s="3" t="str">
        <f>IF([1]SCHEDULE!J1009="","",[1]SCHEDULE!J1009)</f>
        <v/>
      </c>
    </row>
    <row r="1010" spans="2:10" x14ac:dyDescent="0.25">
      <c r="B1010" s="3" t="str">
        <f>IF([1]SCHEDULE!B1010="","",[1]SCHEDULE!B1010)</f>
        <v/>
      </c>
      <c r="C1010" s="3">
        <f>IF([1]SCHEDULE!C1010="","",[1]SCHEDULE!C1010)</f>
        <v>39</v>
      </c>
      <c r="D1010" s="1" t="e">
        <f>IF([1]SCHEDULE!D1010="","",[1]SCHEDULE!D1010)</f>
        <v>#N/A</v>
      </c>
      <c r="E1010" s="1" t="str">
        <f>IF([1]SCHEDULE!E1010="","",[1]SCHEDULE!E1010)</f>
        <v/>
      </c>
      <c r="F1010" s="6" t="str">
        <f>IF([1]SCHEDULE!F1010="","",[1]SCHEDULE!F1010)</f>
        <v/>
      </c>
      <c r="G1010" s="3" t="str">
        <f>IF([1]SCHEDULE!G1010="","",[1]SCHEDULE!G1010)</f>
        <v/>
      </c>
      <c r="H1010" s="3" t="str">
        <f>IF([1]SCHEDULE!H1010="","",[1]SCHEDULE!H1010)</f>
        <v/>
      </c>
      <c r="I1010" s="3" t="str">
        <f>IF([1]SCHEDULE!I1010="","",[1]SCHEDULE!I1010)</f>
        <v/>
      </c>
      <c r="J1010" s="3" t="str">
        <f>IF([1]SCHEDULE!J1010="","",[1]SCHEDULE!J1010)</f>
        <v/>
      </c>
    </row>
    <row r="1011" spans="2:10" x14ac:dyDescent="0.25">
      <c r="B1011" s="3" t="str">
        <f>IF([1]SCHEDULE!B1011="","",[1]SCHEDULE!B1011)</f>
        <v/>
      </c>
      <c r="C1011" s="3">
        <f>IF([1]SCHEDULE!C1011="","",[1]SCHEDULE!C1011)</f>
        <v>40</v>
      </c>
      <c r="D1011" s="1" t="e">
        <f>IF([1]SCHEDULE!D1011="","",[1]SCHEDULE!D1011)</f>
        <v>#N/A</v>
      </c>
      <c r="E1011" s="1" t="str">
        <f>IF([1]SCHEDULE!E1011="","",[1]SCHEDULE!E1011)</f>
        <v/>
      </c>
      <c r="F1011" s="6" t="str">
        <f>IF([1]SCHEDULE!F1011="","",[1]SCHEDULE!F1011)</f>
        <v/>
      </c>
      <c r="G1011" s="3" t="str">
        <f>IF([1]SCHEDULE!G1011="","",[1]SCHEDULE!G1011)</f>
        <v/>
      </c>
      <c r="H1011" s="3" t="str">
        <f>IF([1]SCHEDULE!H1011="","",[1]SCHEDULE!H1011)</f>
        <v/>
      </c>
      <c r="I1011" s="3" t="str">
        <f>IF([1]SCHEDULE!I1011="","",[1]SCHEDULE!I1011)</f>
        <v/>
      </c>
      <c r="J1011" s="3" t="str">
        <f>IF([1]SCHEDULE!J1011="","",[1]SCHEDULE!J1011)</f>
        <v/>
      </c>
    </row>
    <row r="1012" spans="2:10" x14ac:dyDescent="0.25">
      <c r="B1012" s="3" t="str">
        <f>IF([1]SCHEDULE!B1012="","",[1]SCHEDULE!B1012)</f>
        <v/>
      </c>
      <c r="C1012" s="3">
        <f>IF([1]SCHEDULE!C1012="","",[1]SCHEDULE!C1012)</f>
        <v>41</v>
      </c>
      <c r="D1012" s="1" t="e">
        <f>IF([1]SCHEDULE!D1012="","",[1]SCHEDULE!D1012)</f>
        <v>#N/A</v>
      </c>
      <c r="E1012" s="1" t="str">
        <f>IF([1]SCHEDULE!E1012="","",[1]SCHEDULE!E1012)</f>
        <v/>
      </c>
      <c r="F1012" s="6" t="str">
        <f>IF([1]SCHEDULE!F1012="","",[1]SCHEDULE!F1012)</f>
        <v/>
      </c>
      <c r="G1012" s="3" t="str">
        <f>IF([1]SCHEDULE!G1012="","",[1]SCHEDULE!G1012)</f>
        <v/>
      </c>
      <c r="H1012" s="3" t="str">
        <f>IF([1]SCHEDULE!H1012="","",[1]SCHEDULE!H1012)</f>
        <v/>
      </c>
      <c r="I1012" s="3" t="str">
        <f>IF([1]SCHEDULE!I1012="","",[1]SCHEDULE!I1012)</f>
        <v/>
      </c>
      <c r="J1012" s="3" t="str">
        <f>IF([1]SCHEDULE!J1012="","",[1]SCHEDULE!J1012)</f>
        <v/>
      </c>
    </row>
    <row r="1013" spans="2:10" x14ac:dyDescent="0.25">
      <c r="B1013" s="3" t="str">
        <f>IF([1]SCHEDULE!B1013="","",[1]SCHEDULE!B1013)</f>
        <v/>
      </c>
      <c r="C1013" s="3">
        <f>IF([1]SCHEDULE!C1013="","",[1]SCHEDULE!C1013)</f>
        <v>42</v>
      </c>
      <c r="D1013" s="1" t="e">
        <f>IF([1]SCHEDULE!D1013="","",[1]SCHEDULE!D1013)</f>
        <v>#N/A</v>
      </c>
      <c r="E1013" s="1" t="str">
        <f>IF([1]SCHEDULE!E1013="","",[1]SCHEDULE!E1013)</f>
        <v/>
      </c>
      <c r="F1013" s="6" t="str">
        <f>IF([1]SCHEDULE!F1013="","",[1]SCHEDULE!F1013)</f>
        <v/>
      </c>
      <c r="G1013" s="3" t="str">
        <f>IF([1]SCHEDULE!G1013="","",[1]SCHEDULE!G1013)</f>
        <v/>
      </c>
      <c r="H1013" s="3" t="str">
        <f>IF([1]SCHEDULE!H1013="","",[1]SCHEDULE!H1013)</f>
        <v/>
      </c>
      <c r="I1013" s="3" t="str">
        <f>IF([1]SCHEDULE!I1013="","",[1]SCHEDULE!I1013)</f>
        <v/>
      </c>
      <c r="J1013" s="3" t="str">
        <f>IF([1]SCHEDULE!J1013="","",[1]SCHEDULE!J1013)</f>
        <v/>
      </c>
    </row>
    <row r="1014" spans="2:10" x14ac:dyDescent="0.25">
      <c r="B1014" s="3" t="str">
        <f>IF([1]SCHEDULE!B1014="","",[1]SCHEDULE!B1014)</f>
        <v/>
      </c>
      <c r="C1014" s="3">
        <f>IF([1]SCHEDULE!C1014="","",[1]SCHEDULE!C1014)</f>
        <v>43</v>
      </c>
      <c r="D1014" s="1" t="e">
        <f>IF([1]SCHEDULE!D1014="","",[1]SCHEDULE!D1014)</f>
        <v>#N/A</v>
      </c>
      <c r="E1014" s="1" t="str">
        <f>IF([1]SCHEDULE!E1014="","",[1]SCHEDULE!E1014)</f>
        <v/>
      </c>
      <c r="F1014" s="6" t="str">
        <f>IF([1]SCHEDULE!F1014="","",[1]SCHEDULE!F1014)</f>
        <v/>
      </c>
      <c r="G1014" s="3" t="str">
        <f>IF([1]SCHEDULE!G1014="","",[1]SCHEDULE!G1014)</f>
        <v/>
      </c>
      <c r="H1014" s="3" t="str">
        <f>IF([1]SCHEDULE!H1014="","",[1]SCHEDULE!H1014)</f>
        <v/>
      </c>
      <c r="I1014" s="3" t="str">
        <f>IF([1]SCHEDULE!I1014="","",[1]SCHEDULE!I1014)</f>
        <v/>
      </c>
      <c r="J1014" s="3" t="str">
        <f>IF([1]SCHEDULE!J1014="","",[1]SCHEDULE!J1014)</f>
        <v/>
      </c>
    </row>
    <row r="1015" spans="2:10" x14ac:dyDescent="0.25">
      <c r="B1015" s="3" t="str">
        <f>IF([1]SCHEDULE!B1015="","",[1]SCHEDULE!B1015)</f>
        <v/>
      </c>
      <c r="C1015" s="3">
        <f>IF([1]SCHEDULE!C1015="","",[1]SCHEDULE!C1015)</f>
        <v>44</v>
      </c>
      <c r="D1015" s="1" t="e">
        <f>IF([1]SCHEDULE!D1015="","",[1]SCHEDULE!D1015)</f>
        <v>#N/A</v>
      </c>
      <c r="E1015" s="1" t="str">
        <f>IF([1]SCHEDULE!E1015="","",[1]SCHEDULE!E1015)</f>
        <v/>
      </c>
      <c r="F1015" s="6" t="str">
        <f>IF([1]SCHEDULE!F1015="","",[1]SCHEDULE!F1015)</f>
        <v/>
      </c>
      <c r="G1015" s="3" t="str">
        <f>IF([1]SCHEDULE!G1015="","",[1]SCHEDULE!G1015)</f>
        <v/>
      </c>
      <c r="H1015" s="3" t="str">
        <f>IF([1]SCHEDULE!H1015="","",[1]SCHEDULE!H1015)</f>
        <v/>
      </c>
      <c r="I1015" s="3" t="str">
        <f>IF([1]SCHEDULE!I1015="","",[1]SCHEDULE!I1015)</f>
        <v/>
      </c>
      <c r="J1015" s="3" t="str">
        <f>IF([1]SCHEDULE!J1015="","",[1]SCHEDULE!J1015)</f>
        <v/>
      </c>
    </row>
    <row r="1016" spans="2:10" x14ac:dyDescent="0.25">
      <c r="B1016" s="3" t="str">
        <f>IF([1]SCHEDULE!B1016="","",[1]SCHEDULE!B1016)</f>
        <v/>
      </c>
      <c r="C1016" s="3">
        <f>IF([1]SCHEDULE!C1016="","",[1]SCHEDULE!C1016)</f>
        <v>45</v>
      </c>
      <c r="D1016" s="1" t="e">
        <f>IF([1]SCHEDULE!D1016="","",[1]SCHEDULE!D1016)</f>
        <v>#N/A</v>
      </c>
      <c r="E1016" s="1" t="str">
        <f>IF([1]SCHEDULE!E1016="","",[1]SCHEDULE!E1016)</f>
        <v/>
      </c>
      <c r="F1016" s="6" t="str">
        <f>IF([1]SCHEDULE!F1016="","",[1]SCHEDULE!F1016)</f>
        <v/>
      </c>
      <c r="G1016" s="3" t="str">
        <f>IF([1]SCHEDULE!G1016="","",[1]SCHEDULE!G1016)</f>
        <v/>
      </c>
      <c r="H1016" s="3" t="str">
        <f>IF([1]SCHEDULE!H1016="","",[1]SCHEDULE!H1016)</f>
        <v/>
      </c>
      <c r="I1016" s="3" t="str">
        <f>IF([1]SCHEDULE!I1016="","",[1]SCHEDULE!I1016)</f>
        <v/>
      </c>
      <c r="J1016" s="3" t="str">
        <f>IF([1]SCHEDULE!J1016="","",[1]SCHEDULE!J1016)</f>
        <v/>
      </c>
    </row>
    <row r="1017" spans="2:10" x14ac:dyDescent="0.25">
      <c r="B1017" s="3" t="str">
        <f>IF([1]SCHEDULE!B1017="","",[1]SCHEDULE!B1017)</f>
        <v/>
      </c>
      <c r="C1017" s="3">
        <f>IF([1]SCHEDULE!C1017="","",[1]SCHEDULE!C1017)</f>
        <v>46</v>
      </c>
      <c r="D1017" s="1" t="e">
        <f>IF([1]SCHEDULE!D1017="","",[1]SCHEDULE!D1017)</f>
        <v>#N/A</v>
      </c>
      <c r="E1017" s="1" t="str">
        <f>IF([1]SCHEDULE!E1017="","",[1]SCHEDULE!E1017)</f>
        <v/>
      </c>
      <c r="F1017" s="6" t="str">
        <f>IF([1]SCHEDULE!F1017="","",[1]SCHEDULE!F1017)</f>
        <v/>
      </c>
      <c r="G1017" s="3" t="str">
        <f>IF([1]SCHEDULE!G1017="","",[1]SCHEDULE!G1017)</f>
        <v/>
      </c>
      <c r="H1017" s="3" t="str">
        <f>IF([1]SCHEDULE!H1017="","",[1]SCHEDULE!H1017)</f>
        <v/>
      </c>
      <c r="I1017" s="3" t="str">
        <f>IF([1]SCHEDULE!I1017="","",[1]SCHEDULE!I1017)</f>
        <v/>
      </c>
      <c r="J1017" s="3" t="str">
        <f>IF([1]SCHEDULE!J1017="","",[1]SCHEDULE!J1017)</f>
        <v/>
      </c>
    </row>
    <row r="1018" spans="2:10" x14ac:dyDescent="0.25">
      <c r="B1018" s="3" t="str">
        <f>IF([1]SCHEDULE!B1018="","",[1]SCHEDULE!B1018)</f>
        <v/>
      </c>
      <c r="C1018" s="3">
        <f>IF([1]SCHEDULE!C1018="","",[1]SCHEDULE!C1018)</f>
        <v>47</v>
      </c>
      <c r="D1018" s="1" t="e">
        <f>IF([1]SCHEDULE!D1018="","",[1]SCHEDULE!D1018)</f>
        <v>#N/A</v>
      </c>
      <c r="E1018" s="1" t="str">
        <f>IF([1]SCHEDULE!E1018="","",[1]SCHEDULE!E1018)</f>
        <v/>
      </c>
      <c r="F1018" s="6" t="str">
        <f>IF([1]SCHEDULE!F1018="","",[1]SCHEDULE!F1018)</f>
        <v/>
      </c>
      <c r="G1018" s="3" t="str">
        <f>IF([1]SCHEDULE!G1018="","",[1]SCHEDULE!G1018)</f>
        <v/>
      </c>
      <c r="H1018" s="3" t="str">
        <f>IF([1]SCHEDULE!H1018="","",[1]SCHEDULE!H1018)</f>
        <v/>
      </c>
      <c r="I1018" s="3" t="str">
        <f>IF([1]SCHEDULE!I1018="","",[1]SCHEDULE!I1018)</f>
        <v/>
      </c>
      <c r="J1018" s="3" t="str">
        <f>IF([1]SCHEDULE!J1018="","",[1]SCHEDULE!J1018)</f>
        <v/>
      </c>
    </row>
    <row r="1019" spans="2:10" x14ac:dyDescent="0.25">
      <c r="B1019" s="3" t="str">
        <f>IF([1]SCHEDULE!B1019="","",[1]SCHEDULE!B1019)</f>
        <v/>
      </c>
      <c r="C1019" s="3">
        <f>IF([1]SCHEDULE!C1019="","",[1]SCHEDULE!C1019)</f>
        <v>48</v>
      </c>
      <c r="D1019" s="1" t="e">
        <f>IF([1]SCHEDULE!D1019="","",[1]SCHEDULE!D1019)</f>
        <v>#N/A</v>
      </c>
      <c r="E1019" s="1" t="str">
        <f>IF([1]SCHEDULE!E1019="","",[1]SCHEDULE!E1019)</f>
        <v/>
      </c>
      <c r="F1019" s="6" t="str">
        <f>IF([1]SCHEDULE!F1019="","",[1]SCHEDULE!F1019)</f>
        <v/>
      </c>
      <c r="G1019" s="3" t="str">
        <f>IF([1]SCHEDULE!G1019="","",[1]SCHEDULE!G1019)</f>
        <v/>
      </c>
      <c r="H1019" s="3" t="str">
        <f>IF([1]SCHEDULE!H1019="","",[1]SCHEDULE!H1019)</f>
        <v/>
      </c>
      <c r="I1019" s="3" t="str">
        <f>IF([1]SCHEDULE!I1019="","",[1]SCHEDULE!I1019)</f>
        <v/>
      </c>
      <c r="J1019" s="3" t="str">
        <f>IF([1]SCHEDULE!J1019="","",[1]SCHEDULE!J1019)</f>
        <v/>
      </c>
    </row>
    <row r="1020" spans="2:10" x14ac:dyDescent="0.25">
      <c r="B1020" s="3" t="str">
        <f>IF([1]SCHEDULE!B1020="","",[1]SCHEDULE!B1020)</f>
        <v/>
      </c>
      <c r="C1020" s="3">
        <f>IF([1]SCHEDULE!C1020="","",[1]SCHEDULE!C1020)</f>
        <v>49</v>
      </c>
      <c r="D1020" s="1" t="e">
        <f>IF([1]SCHEDULE!D1020="","",[1]SCHEDULE!D1020)</f>
        <v>#N/A</v>
      </c>
      <c r="E1020" s="1" t="str">
        <f>IF([1]SCHEDULE!E1020="","",[1]SCHEDULE!E1020)</f>
        <v/>
      </c>
      <c r="F1020" s="6" t="str">
        <f>IF([1]SCHEDULE!F1020="","",[1]SCHEDULE!F1020)</f>
        <v/>
      </c>
      <c r="G1020" s="3" t="str">
        <f>IF([1]SCHEDULE!G1020="","",[1]SCHEDULE!G1020)</f>
        <v/>
      </c>
      <c r="H1020" s="3" t="str">
        <f>IF([1]SCHEDULE!H1020="","",[1]SCHEDULE!H1020)</f>
        <v/>
      </c>
      <c r="I1020" s="3" t="str">
        <f>IF([1]SCHEDULE!I1020="","",[1]SCHEDULE!I1020)</f>
        <v/>
      </c>
      <c r="J1020" s="3" t="str">
        <f>IF([1]SCHEDULE!J1020="","",[1]SCHEDULE!J1020)</f>
        <v/>
      </c>
    </row>
    <row r="1021" spans="2:10" x14ac:dyDescent="0.25">
      <c r="B1021" s="3" t="str">
        <f>IF([1]SCHEDULE!B1021="","",[1]SCHEDULE!B1021)</f>
        <v/>
      </c>
      <c r="C1021" s="3">
        <f>IF([1]SCHEDULE!C1021="","",[1]SCHEDULE!C1021)</f>
        <v>50</v>
      </c>
      <c r="D1021" s="1" t="e">
        <f>IF([1]SCHEDULE!D1021="","",[1]SCHEDULE!D1021)</f>
        <v>#N/A</v>
      </c>
      <c r="E1021" s="1" t="str">
        <f>IF([1]SCHEDULE!E1021="","",[1]SCHEDULE!E1021)</f>
        <v/>
      </c>
      <c r="F1021" s="6" t="str">
        <f>IF([1]SCHEDULE!F1021="","",[1]SCHEDULE!F1021)</f>
        <v/>
      </c>
      <c r="G1021" s="3" t="str">
        <f>IF([1]SCHEDULE!G1021="","",[1]SCHEDULE!G1021)</f>
        <v/>
      </c>
      <c r="H1021" s="3" t="str">
        <f>IF([1]SCHEDULE!H1021="","",[1]SCHEDULE!H1021)</f>
        <v/>
      </c>
      <c r="I1021" s="3" t="str">
        <f>IF([1]SCHEDULE!I1021="","",[1]SCHEDULE!I1021)</f>
        <v/>
      </c>
      <c r="J1021" s="3" t="str">
        <f>IF([1]SCHEDULE!J1021="","",[1]SCHEDULE!J1021)</f>
        <v/>
      </c>
    </row>
    <row r="1022" spans="2:10" x14ac:dyDescent="0.25">
      <c r="B1022" s="3" t="str">
        <f>IF([1]SCHEDULE!B1022="","",[1]SCHEDULE!B1022)</f>
        <v/>
      </c>
      <c r="C1022" s="3">
        <f>IF([1]SCHEDULE!C1022="","",[1]SCHEDULE!C1022)</f>
        <v>51</v>
      </c>
      <c r="D1022" s="1" t="e">
        <f>IF([1]SCHEDULE!D1022="","",[1]SCHEDULE!D1022)</f>
        <v>#N/A</v>
      </c>
      <c r="E1022" s="1" t="str">
        <f>IF([1]SCHEDULE!E1022="","",[1]SCHEDULE!E1022)</f>
        <v/>
      </c>
      <c r="F1022" s="6" t="str">
        <f>IF([1]SCHEDULE!F1022="","",[1]SCHEDULE!F1022)</f>
        <v/>
      </c>
      <c r="G1022" s="3" t="str">
        <f>IF([1]SCHEDULE!G1022="","",[1]SCHEDULE!G1022)</f>
        <v/>
      </c>
      <c r="H1022" s="3" t="str">
        <f>IF([1]SCHEDULE!H1022="","",[1]SCHEDULE!H1022)</f>
        <v/>
      </c>
      <c r="I1022" s="3" t="str">
        <f>IF([1]SCHEDULE!I1022="","",[1]SCHEDULE!I1022)</f>
        <v/>
      </c>
      <c r="J1022" s="3" t="str">
        <f>IF([1]SCHEDULE!J1022="","",[1]SCHEDULE!J1022)</f>
        <v/>
      </c>
    </row>
    <row r="1023" spans="2:10" x14ac:dyDescent="0.25">
      <c r="B1023" s="3" t="str">
        <f>IF([1]SCHEDULE!B1023="","",[1]SCHEDULE!B1023)</f>
        <v/>
      </c>
      <c r="C1023" s="3">
        <f>IF([1]SCHEDULE!C1023="","",[1]SCHEDULE!C1023)</f>
        <v>1</v>
      </c>
      <c r="D1023" s="1" t="e">
        <f>IF([1]SCHEDULE!D1023="","",[1]SCHEDULE!D1023)</f>
        <v>#N/A</v>
      </c>
      <c r="E1023" s="1" t="str">
        <f>IF([1]SCHEDULE!E1023="","",[1]SCHEDULE!E1023)</f>
        <v/>
      </c>
      <c r="F1023" s="6" t="str">
        <f>IF([1]SCHEDULE!F1023="","",[1]SCHEDULE!F1023)</f>
        <v/>
      </c>
      <c r="G1023" s="3" t="str">
        <f>IF([1]SCHEDULE!G1023="","",[1]SCHEDULE!G1023)</f>
        <v/>
      </c>
      <c r="H1023" s="3" t="str">
        <f>IF([1]SCHEDULE!H1023="","",[1]SCHEDULE!H1023)</f>
        <v/>
      </c>
      <c r="I1023" s="3" t="str">
        <f>IF([1]SCHEDULE!I1023="","",[1]SCHEDULE!I1023)</f>
        <v/>
      </c>
      <c r="J1023" s="3" t="str">
        <f>IF([1]SCHEDULE!J1023="","",[1]SCHEDULE!J1023)</f>
        <v/>
      </c>
    </row>
    <row r="1024" spans="2:10" x14ac:dyDescent="0.25">
      <c r="B1024" s="3" t="str">
        <f>IF([1]SCHEDULE!B1024="","",[1]SCHEDULE!B1024)</f>
        <v/>
      </c>
      <c r="C1024" s="3">
        <f>IF([1]SCHEDULE!C1024="","",[1]SCHEDULE!C1024)</f>
        <v>2</v>
      </c>
      <c r="D1024" s="1" t="e">
        <f>IF([1]SCHEDULE!D1024="","",[1]SCHEDULE!D1024)</f>
        <v>#N/A</v>
      </c>
      <c r="E1024" s="1" t="str">
        <f>IF([1]SCHEDULE!E1024="","",[1]SCHEDULE!E1024)</f>
        <v/>
      </c>
      <c r="F1024" s="6" t="str">
        <f>IF([1]SCHEDULE!F1024="","",[1]SCHEDULE!F1024)</f>
        <v/>
      </c>
      <c r="G1024" s="3" t="str">
        <f>IF([1]SCHEDULE!G1024="","",[1]SCHEDULE!G1024)</f>
        <v/>
      </c>
      <c r="H1024" s="3" t="str">
        <f>IF([1]SCHEDULE!H1024="","",[1]SCHEDULE!H1024)</f>
        <v/>
      </c>
      <c r="I1024" s="3" t="str">
        <f>IF([1]SCHEDULE!I1024="","",[1]SCHEDULE!I1024)</f>
        <v/>
      </c>
      <c r="J1024" s="3" t="str">
        <f>IF([1]SCHEDULE!J1024="","",[1]SCHEDULE!J1024)</f>
        <v/>
      </c>
    </row>
    <row r="1025" spans="2:10" x14ac:dyDescent="0.25">
      <c r="B1025" s="3" t="str">
        <f>IF([1]SCHEDULE!B1025="","",[1]SCHEDULE!B1025)</f>
        <v/>
      </c>
      <c r="C1025" s="3">
        <f>IF([1]SCHEDULE!C1025="","",[1]SCHEDULE!C1025)</f>
        <v>3</v>
      </c>
      <c r="D1025" s="1" t="e">
        <f>IF([1]SCHEDULE!D1025="","",[1]SCHEDULE!D1025)</f>
        <v>#N/A</v>
      </c>
      <c r="E1025" s="1" t="str">
        <f>IF([1]SCHEDULE!E1025="","",[1]SCHEDULE!E1025)</f>
        <v/>
      </c>
      <c r="F1025" s="6" t="str">
        <f>IF([1]SCHEDULE!F1025="","",[1]SCHEDULE!F1025)</f>
        <v/>
      </c>
      <c r="G1025" s="3" t="str">
        <f>IF([1]SCHEDULE!G1025="","",[1]SCHEDULE!G1025)</f>
        <v/>
      </c>
      <c r="H1025" s="3" t="str">
        <f>IF([1]SCHEDULE!H1025="","",[1]SCHEDULE!H1025)</f>
        <v/>
      </c>
      <c r="I1025" s="3" t="str">
        <f>IF([1]SCHEDULE!I1025="","",[1]SCHEDULE!I1025)</f>
        <v/>
      </c>
      <c r="J1025" s="3" t="str">
        <f>IF([1]SCHEDULE!J1025="","",[1]SCHEDULE!J1025)</f>
        <v/>
      </c>
    </row>
    <row r="1026" spans="2:10" x14ac:dyDescent="0.25">
      <c r="B1026" s="3" t="str">
        <f>IF([1]SCHEDULE!B1026="","",[1]SCHEDULE!B1026)</f>
        <v/>
      </c>
      <c r="C1026" s="3">
        <f>IF([1]SCHEDULE!C1026="","",[1]SCHEDULE!C1026)</f>
        <v>4</v>
      </c>
      <c r="D1026" s="1" t="e">
        <f>IF([1]SCHEDULE!D1026="","",[1]SCHEDULE!D1026)</f>
        <v>#N/A</v>
      </c>
      <c r="E1026" s="1" t="str">
        <f>IF([1]SCHEDULE!E1026="","",[1]SCHEDULE!E1026)</f>
        <v/>
      </c>
      <c r="F1026" s="6" t="str">
        <f>IF([1]SCHEDULE!F1026="","",[1]SCHEDULE!F1026)</f>
        <v/>
      </c>
      <c r="G1026" s="3" t="str">
        <f>IF([1]SCHEDULE!G1026="","",[1]SCHEDULE!G1026)</f>
        <v/>
      </c>
      <c r="H1026" s="3" t="str">
        <f>IF([1]SCHEDULE!H1026="","",[1]SCHEDULE!H1026)</f>
        <v/>
      </c>
      <c r="I1026" s="3" t="str">
        <f>IF([1]SCHEDULE!I1026="","",[1]SCHEDULE!I1026)</f>
        <v/>
      </c>
      <c r="J1026" s="3" t="str">
        <f>IF([1]SCHEDULE!J1026="","",[1]SCHEDULE!J1026)</f>
        <v/>
      </c>
    </row>
    <row r="1027" spans="2:10" x14ac:dyDescent="0.25">
      <c r="B1027" s="3" t="str">
        <f>IF([1]SCHEDULE!B1027="","",[1]SCHEDULE!B1027)</f>
        <v/>
      </c>
      <c r="C1027" s="3">
        <f>IF([1]SCHEDULE!C1027="","",[1]SCHEDULE!C1027)</f>
        <v>5</v>
      </c>
      <c r="D1027" s="1" t="e">
        <f>IF([1]SCHEDULE!D1027="","",[1]SCHEDULE!D1027)</f>
        <v>#N/A</v>
      </c>
      <c r="E1027" s="1" t="str">
        <f>IF([1]SCHEDULE!E1027="","",[1]SCHEDULE!E1027)</f>
        <v/>
      </c>
      <c r="F1027" s="6" t="str">
        <f>IF([1]SCHEDULE!F1027="","",[1]SCHEDULE!F1027)</f>
        <v/>
      </c>
      <c r="G1027" s="3" t="str">
        <f>IF([1]SCHEDULE!G1027="","",[1]SCHEDULE!G1027)</f>
        <v/>
      </c>
      <c r="H1027" s="3" t="str">
        <f>IF([1]SCHEDULE!H1027="","",[1]SCHEDULE!H1027)</f>
        <v/>
      </c>
      <c r="I1027" s="3" t="str">
        <f>IF([1]SCHEDULE!I1027="","",[1]SCHEDULE!I1027)</f>
        <v/>
      </c>
      <c r="J1027" s="3" t="str">
        <f>IF([1]SCHEDULE!J1027="","",[1]SCHEDULE!J1027)</f>
        <v/>
      </c>
    </row>
    <row r="1028" spans="2:10" x14ac:dyDescent="0.25">
      <c r="B1028" s="3" t="str">
        <f>IF([1]SCHEDULE!B1028="","",[1]SCHEDULE!B1028)</f>
        <v/>
      </c>
      <c r="C1028" s="3">
        <f>IF([1]SCHEDULE!C1028="","",[1]SCHEDULE!C1028)</f>
        <v>6</v>
      </c>
      <c r="D1028" s="1" t="e">
        <f>IF([1]SCHEDULE!D1028="","",[1]SCHEDULE!D1028)</f>
        <v>#N/A</v>
      </c>
      <c r="E1028" s="1" t="str">
        <f>IF([1]SCHEDULE!E1028="","",[1]SCHEDULE!E1028)</f>
        <v/>
      </c>
      <c r="F1028" s="6" t="str">
        <f>IF([1]SCHEDULE!F1028="","",[1]SCHEDULE!F1028)</f>
        <v/>
      </c>
      <c r="G1028" s="3" t="str">
        <f>IF([1]SCHEDULE!G1028="","",[1]SCHEDULE!G1028)</f>
        <v/>
      </c>
      <c r="H1028" s="3" t="str">
        <f>IF([1]SCHEDULE!H1028="","",[1]SCHEDULE!H1028)</f>
        <v/>
      </c>
      <c r="I1028" s="3" t="str">
        <f>IF([1]SCHEDULE!I1028="","",[1]SCHEDULE!I1028)</f>
        <v/>
      </c>
      <c r="J1028" s="3" t="str">
        <f>IF([1]SCHEDULE!J1028="","",[1]SCHEDULE!J1028)</f>
        <v/>
      </c>
    </row>
    <row r="1029" spans="2:10" x14ac:dyDescent="0.25">
      <c r="B1029" s="3" t="str">
        <f>IF([1]SCHEDULE!B1029="","",[1]SCHEDULE!B1029)</f>
        <v/>
      </c>
      <c r="C1029" s="3">
        <f>IF([1]SCHEDULE!C1029="","",[1]SCHEDULE!C1029)</f>
        <v>7</v>
      </c>
      <c r="D1029" s="1" t="e">
        <f>IF([1]SCHEDULE!D1029="","",[1]SCHEDULE!D1029)</f>
        <v>#N/A</v>
      </c>
      <c r="E1029" s="1" t="str">
        <f>IF([1]SCHEDULE!E1029="","",[1]SCHEDULE!E1029)</f>
        <v/>
      </c>
      <c r="F1029" s="6" t="str">
        <f>IF([1]SCHEDULE!F1029="","",[1]SCHEDULE!F1029)</f>
        <v/>
      </c>
      <c r="G1029" s="3" t="str">
        <f>IF([1]SCHEDULE!G1029="","",[1]SCHEDULE!G1029)</f>
        <v/>
      </c>
      <c r="H1029" s="3" t="str">
        <f>IF([1]SCHEDULE!H1029="","",[1]SCHEDULE!H1029)</f>
        <v/>
      </c>
      <c r="I1029" s="3" t="str">
        <f>IF([1]SCHEDULE!I1029="","",[1]SCHEDULE!I1029)</f>
        <v/>
      </c>
      <c r="J1029" s="3" t="str">
        <f>IF([1]SCHEDULE!J1029="","",[1]SCHEDULE!J1029)</f>
        <v/>
      </c>
    </row>
    <row r="1030" spans="2:10" x14ac:dyDescent="0.25">
      <c r="B1030" s="3" t="str">
        <f>IF([1]SCHEDULE!B1030="","",[1]SCHEDULE!B1030)</f>
        <v/>
      </c>
      <c r="C1030" s="3">
        <f>IF([1]SCHEDULE!C1030="","",[1]SCHEDULE!C1030)</f>
        <v>8</v>
      </c>
      <c r="D1030" s="1" t="e">
        <f>IF([1]SCHEDULE!D1030="","",[1]SCHEDULE!D1030)</f>
        <v>#N/A</v>
      </c>
      <c r="E1030" s="1" t="str">
        <f>IF([1]SCHEDULE!E1030="","",[1]SCHEDULE!E1030)</f>
        <v/>
      </c>
      <c r="F1030" s="6" t="str">
        <f>IF([1]SCHEDULE!F1030="","",[1]SCHEDULE!F1030)</f>
        <v/>
      </c>
      <c r="G1030" s="3" t="str">
        <f>IF([1]SCHEDULE!G1030="","",[1]SCHEDULE!G1030)</f>
        <v/>
      </c>
      <c r="H1030" s="3" t="str">
        <f>IF([1]SCHEDULE!H1030="","",[1]SCHEDULE!H1030)</f>
        <v/>
      </c>
      <c r="I1030" s="3" t="str">
        <f>IF([1]SCHEDULE!I1030="","",[1]SCHEDULE!I1030)</f>
        <v/>
      </c>
      <c r="J1030" s="3" t="str">
        <f>IF([1]SCHEDULE!J1030="","",[1]SCHEDULE!J1030)</f>
        <v/>
      </c>
    </row>
    <row r="1031" spans="2:10" x14ac:dyDescent="0.25">
      <c r="B1031" s="3" t="str">
        <f>IF([1]SCHEDULE!B1031="","",[1]SCHEDULE!B1031)</f>
        <v/>
      </c>
      <c r="C1031" s="3">
        <f>IF([1]SCHEDULE!C1031="","",[1]SCHEDULE!C1031)</f>
        <v>9</v>
      </c>
      <c r="D1031" s="1" t="e">
        <f>IF([1]SCHEDULE!D1031="","",[1]SCHEDULE!D1031)</f>
        <v>#N/A</v>
      </c>
      <c r="E1031" s="1" t="str">
        <f>IF([1]SCHEDULE!E1031="","",[1]SCHEDULE!E1031)</f>
        <v/>
      </c>
      <c r="F1031" s="6" t="str">
        <f>IF([1]SCHEDULE!F1031="","",[1]SCHEDULE!F1031)</f>
        <v/>
      </c>
      <c r="G1031" s="3" t="str">
        <f>IF([1]SCHEDULE!G1031="","",[1]SCHEDULE!G1031)</f>
        <v/>
      </c>
      <c r="H1031" s="3" t="str">
        <f>IF([1]SCHEDULE!H1031="","",[1]SCHEDULE!H1031)</f>
        <v/>
      </c>
      <c r="I1031" s="3" t="str">
        <f>IF([1]SCHEDULE!I1031="","",[1]SCHEDULE!I1031)</f>
        <v/>
      </c>
      <c r="J1031" s="3" t="str">
        <f>IF([1]SCHEDULE!J1031="","",[1]SCHEDULE!J1031)</f>
        <v/>
      </c>
    </row>
    <row r="1032" spans="2:10" x14ac:dyDescent="0.25">
      <c r="B1032" s="3" t="str">
        <f>IF([1]SCHEDULE!B1032="","",[1]SCHEDULE!B1032)</f>
        <v/>
      </c>
      <c r="C1032" s="3">
        <f>IF([1]SCHEDULE!C1032="","",[1]SCHEDULE!C1032)</f>
        <v>10</v>
      </c>
      <c r="D1032" s="1" t="e">
        <f>IF([1]SCHEDULE!D1032="","",[1]SCHEDULE!D1032)</f>
        <v>#N/A</v>
      </c>
      <c r="E1032" s="1" t="str">
        <f>IF([1]SCHEDULE!E1032="","",[1]SCHEDULE!E1032)</f>
        <v/>
      </c>
      <c r="F1032" s="6" t="str">
        <f>IF([1]SCHEDULE!F1032="","",[1]SCHEDULE!F1032)</f>
        <v/>
      </c>
      <c r="G1032" s="3" t="str">
        <f>IF([1]SCHEDULE!G1032="","",[1]SCHEDULE!G1032)</f>
        <v/>
      </c>
      <c r="H1032" s="3" t="str">
        <f>IF([1]SCHEDULE!H1032="","",[1]SCHEDULE!H1032)</f>
        <v/>
      </c>
      <c r="I1032" s="3" t="str">
        <f>IF([1]SCHEDULE!I1032="","",[1]SCHEDULE!I1032)</f>
        <v/>
      </c>
      <c r="J1032" s="3" t="str">
        <f>IF([1]SCHEDULE!J1032="","",[1]SCHEDULE!J1032)</f>
        <v/>
      </c>
    </row>
    <row r="1033" spans="2:10" x14ac:dyDescent="0.25">
      <c r="B1033" s="3" t="str">
        <f>IF([1]SCHEDULE!B1033="","",[1]SCHEDULE!B1033)</f>
        <v/>
      </c>
      <c r="C1033" s="3">
        <f>IF([1]SCHEDULE!C1033="","",[1]SCHEDULE!C1033)</f>
        <v>11</v>
      </c>
      <c r="D1033" s="1" t="e">
        <f>IF([1]SCHEDULE!D1033="","",[1]SCHEDULE!D1033)</f>
        <v>#N/A</v>
      </c>
      <c r="E1033" s="1" t="str">
        <f>IF([1]SCHEDULE!E1033="","",[1]SCHEDULE!E1033)</f>
        <v/>
      </c>
      <c r="F1033" s="6" t="str">
        <f>IF([1]SCHEDULE!F1033="","",[1]SCHEDULE!F1033)</f>
        <v/>
      </c>
      <c r="G1033" s="3" t="str">
        <f>IF([1]SCHEDULE!G1033="","",[1]SCHEDULE!G1033)</f>
        <v/>
      </c>
      <c r="H1033" s="3" t="str">
        <f>IF([1]SCHEDULE!H1033="","",[1]SCHEDULE!H1033)</f>
        <v/>
      </c>
      <c r="I1033" s="3" t="str">
        <f>IF([1]SCHEDULE!I1033="","",[1]SCHEDULE!I1033)</f>
        <v/>
      </c>
      <c r="J1033" s="3" t="str">
        <f>IF([1]SCHEDULE!J1033="","",[1]SCHEDULE!J1033)</f>
        <v/>
      </c>
    </row>
    <row r="1034" spans="2:10" x14ac:dyDescent="0.25">
      <c r="B1034" s="3" t="str">
        <f>IF([1]SCHEDULE!B1034="","",[1]SCHEDULE!B1034)</f>
        <v/>
      </c>
      <c r="C1034" s="3">
        <f>IF([1]SCHEDULE!C1034="","",[1]SCHEDULE!C1034)</f>
        <v>12</v>
      </c>
      <c r="D1034" s="1" t="e">
        <f>IF([1]SCHEDULE!D1034="","",[1]SCHEDULE!D1034)</f>
        <v>#N/A</v>
      </c>
      <c r="E1034" s="1" t="str">
        <f>IF([1]SCHEDULE!E1034="","",[1]SCHEDULE!E1034)</f>
        <v/>
      </c>
      <c r="F1034" s="6" t="str">
        <f>IF([1]SCHEDULE!F1034="","",[1]SCHEDULE!F1034)</f>
        <v/>
      </c>
      <c r="G1034" s="3" t="str">
        <f>IF([1]SCHEDULE!G1034="","",[1]SCHEDULE!G1034)</f>
        <v/>
      </c>
      <c r="H1034" s="3" t="str">
        <f>IF([1]SCHEDULE!H1034="","",[1]SCHEDULE!H1034)</f>
        <v/>
      </c>
      <c r="I1034" s="3" t="str">
        <f>IF([1]SCHEDULE!I1034="","",[1]SCHEDULE!I1034)</f>
        <v/>
      </c>
      <c r="J1034" s="3" t="str">
        <f>IF([1]SCHEDULE!J1034="","",[1]SCHEDULE!J1034)</f>
        <v/>
      </c>
    </row>
    <row r="1035" spans="2:10" x14ac:dyDescent="0.25">
      <c r="B1035" s="3" t="str">
        <f>IF([1]SCHEDULE!B1035="","",[1]SCHEDULE!B1035)</f>
        <v/>
      </c>
      <c r="C1035" s="3">
        <f>IF([1]SCHEDULE!C1035="","",[1]SCHEDULE!C1035)</f>
        <v>13</v>
      </c>
      <c r="D1035" s="1" t="e">
        <f>IF([1]SCHEDULE!D1035="","",[1]SCHEDULE!D1035)</f>
        <v>#N/A</v>
      </c>
      <c r="E1035" s="1" t="str">
        <f>IF([1]SCHEDULE!E1035="","",[1]SCHEDULE!E1035)</f>
        <v/>
      </c>
      <c r="F1035" s="6" t="str">
        <f>IF([1]SCHEDULE!F1035="","",[1]SCHEDULE!F1035)</f>
        <v/>
      </c>
      <c r="G1035" s="3" t="str">
        <f>IF([1]SCHEDULE!G1035="","",[1]SCHEDULE!G1035)</f>
        <v/>
      </c>
      <c r="H1035" s="3" t="str">
        <f>IF([1]SCHEDULE!H1035="","",[1]SCHEDULE!H1035)</f>
        <v/>
      </c>
      <c r="I1035" s="3" t="str">
        <f>IF([1]SCHEDULE!I1035="","",[1]SCHEDULE!I1035)</f>
        <v/>
      </c>
      <c r="J1035" s="3" t="str">
        <f>IF([1]SCHEDULE!J1035="","",[1]SCHEDULE!J1035)</f>
        <v/>
      </c>
    </row>
    <row r="1036" spans="2:10" x14ac:dyDescent="0.25">
      <c r="B1036" s="3" t="str">
        <f>IF([1]SCHEDULE!B1036="","",[1]SCHEDULE!B1036)</f>
        <v/>
      </c>
      <c r="C1036" s="3">
        <f>IF([1]SCHEDULE!C1036="","",[1]SCHEDULE!C1036)</f>
        <v>14</v>
      </c>
      <c r="D1036" s="1" t="e">
        <f>IF([1]SCHEDULE!D1036="","",[1]SCHEDULE!D1036)</f>
        <v>#N/A</v>
      </c>
      <c r="E1036" s="1" t="str">
        <f>IF([1]SCHEDULE!E1036="","",[1]SCHEDULE!E1036)</f>
        <v/>
      </c>
      <c r="F1036" s="6" t="str">
        <f>IF([1]SCHEDULE!F1036="","",[1]SCHEDULE!F1036)</f>
        <v/>
      </c>
      <c r="G1036" s="3" t="str">
        <f>IF([1]SCHEDULE!G1036="","",[1]SCHEDULE!G1036)</f>
        <v/>
      </c>
      <c r="H1036" s="3" t="str">
        <f>IF([1]SCHEDULE!H1036="","",[1]SCHEDULE!H1036)</f>
        <v/>
      </c>
      <c r="I1036" s="3" t="str">
        <f>IF([1]SCHEDULE!I1036="","",[1]SCHEDULE!I1036)</f>
        <v/>
      </c>
      <c r="J1036" s="3" t="str">
        <f>IF([1]SCHEDULE!J1036="","",[1]SCHEDULE!J1036)</f>
        <v/>
      </c>
    </row>
    <row r="1037" spans="2:10" x14ac:dyDescent="0.25">
      <c r="B1037" s="3" t="str">
        <f>IF([1]SCHEDULE!B1037="","",[1]SCHEDULE!B1037)</f>
        <v/>
      </c>
      <c r="C1037" s="3">
        <f>IF([1]SCHEDULE!C1037="","",[1]SCHEDULE!C1037)</f>
        <v>15</v>
      </c>
      <c r="D1037" s="1" t="e">
        <f>IF([1]SCHEDULE!D1037="","",[1]SCHEDULE!D1037)</f>
        <v>#N/A</v>
      </c>
      <c r="E1037" s="1" t="str">
        <f>IF([1]SCHEDULE!E1037="","",[1]SCHEDULE!E1037)</f>
        <v/>
      </c>
      <c r="F1037" s="6" t="str">
        <f>IF([1]SCHEDULE!F1037="","",[1]SCHEDULE!F1037)</f>
        <v/>
      </c>
      <c r="G1037" s="3" t="str">
        <f>IF([1]SCHEDULE!G1037="","",[1]SCHEDULE!G1037)</f>
        <v/>
      </c>
      <c r="H1037" s="3" t="str">
        <f>IF([1]SCHEDULE!H1037="","",[1]SCHEDULE!H1037)</f>
        <v/>
      </c>
      <c r="I1037" s="3" t="str">
        <f>IF([1]SCHEDULE!I1037="","",[1]SCHEDULE!I1037)</f>
        <v/>
      </c>
      <c r="J1037" s="3" t="str">
        <f>IF([1]SCHEDULE!J1037="","",[1]SCHEDULE!J1037)</f>
        <v/>
      </c>
    </row>
    <row r="1038" spans="2:10" x14ac:dyDescent="0.25">
      <c r="B1038" s="3" t="str">
        <f>IF([1]SCHEDULE!B1038="","",[1]SCHEDULE!B1038)</f>
        <v/>
      </c>
      <c r="C1038" s="3">
        <f>IF([1]SCHEDULE!C1038="","",[1]SCHEDULE!C1038)</f>
        <v>16</v>
      </c>
      <c r="D1038" s="1" t="e">
        <f>IF([1]SCHEDULE!D1038="","",[1]SCHEDULE!D1038)</f>
        <v>#N/A</v>
      </c>
      <c r="E1038" s="1" t="str">
        <f>IF([1]SCHEDULE!E1038="","",[1]SCHEDULE!E1038)</f>
        <v/>
      </c>
      <c r="F1038" s="6" t="str">
        <f>IF([1]SCHEDULE!F1038="","",[1]SCHEDULE!F1038)</f>
        <v/>
      </c>
      <c r="G1038" s="3" t="str">
        <f>IF([1]SCHEDULE!G1038="","",[1]SCHEDULE!G1038)</f>
        <v/>
      </c>
      <c r="H1038" s="3" t="str">
        <f>IF([1]SCHEDULE!H1038="","",[1]SCHEDULE!H1038)</f>
        <v/>
      </c>
      <c r="I1038" s="3" t="str">
        <f>IF([1]SCHEDULE!I1038="","",[1]SCHEDULE!I1038)</f>
        <v/>
      </c>
      <c r="J1038" s="3" t="str">
        <f>IF([1]SCHEDULE!J1038="","",[1]SCHEDULE!J1038)</f>
        <v/>
      </c>
    </row>
    <row r="1039" spans="2:10" x14ac:dyDescent="0.25">
      <c r="B1039" s="3" t="str">
        <f>IF([1]SCHEDULE!B1039="","",[1]SCHEDULE!B1039)</f>
        <v/>
      </c>
      <c r="C1039" s="3">
        <f>IF([1]SCHEDULE!C1039="","",[1]SCHEDULE!C1039)</f>
        <v>17</v>
      </c>
      <c r="D1039" s="1" t="e">
        <f>IF([1]SCHEDULE!D1039="","",[1]SCHEDULE!D1039)</f>
        <v>#N/A</v>
      </c>
      <c r="E1039" s="1" t="str">
        <f>IF([1]SCHEDULE!E1039="","",[1]SCHEDULE!E1039)</f>
        <v/>
      </c>
      <c r="F1039" s="6" t="str">
        <f>IF([1]SCHEDULE!F1039="","",[1]SCHEDULE!F1039)</f>
        <v/>
      </c>
      <c r="G1039" s="3" t="str">
        <f>IF([1]SCHEDULE!G1039="","",[1]SCHEDULE!G1039)</f>
        <v/>
      </c>
      <c r="H1039" s="3" t="str">
        <f>IF([1]SCHEDULE!H1039="","",[1]SCHEDULE!H1039)</f>
        <v/>
      </c>
      <c r="I1039" s="3" t="str">
        <f>IF([1]SCHEDULE!I1039="","",[1]SCHEDULE!I1039)</f>
        <v/>
      </c>
      <c r="J1039" s="3" t="str">
        <f>IF([1]SCHEDULE!J1039="","",[1]SCHEDULE!J1039)</f>
        <v/>
      </c>
    </row>
    <row r="1040" spans="2:10" x14ac:dyDescent="0.25">
      <c r="B1040" s="3" t="str">
        <f>IF([1]SCHEDULE!B1040="","",[1]SCHEDULE!B1040)</f>
        <v/>
      </c>
      <c r="C1040" s="3">
        <f>IF([1]SCHEDULE!C1040="","",[1]SCHEDULE!C1040)</f>
        <v>18</v>
      </c>
      <c r="D1040" s="1" t="e">
        <f>IF([1]SCHEDULE!D1040="","",[1]SCHEDULE!D1040)</f>
        <v>#N/A</v>
      </c>
      <c r="E1040" s="1" t="str">
        <f>IF([1]SCHEDULE!E1040="","",[1]SCHEDULE!E1040)</f>
        <v/>
      </c>
      <c r="F1040" s="6" t="str">
        <f>IF([1]SCHEDULE!F1040="","",[1]SCHEDULE!F1040)</f>
        <v/>
      </c>
      <c r="G1040" s="3" t="str">
        <f>IF([1]SCHEDULE!G1040="","",[1]SCHEDULE!G1040)</f>
        <v/>
      </c>
      <c r="H1040" s="3" t="str">
        <f>IF([1]SCHEDULE!H1040="","",[1]SCHEDULE!H1040)</f>
        <v/>
      </c>
      <c r="I1040" s="3" t="str">
        <f>IF([1]SCHEDULE!I1040="","",[1]SCHEDULE!I1040)</f>
        <v/>
      </c>
      <c r="J1040" s="3" t="str">
        <f>IF([1]SCHEDULE!J1040="","",[1]SCHEDULE!J1040)</f>
        <v/>
      </c>
    </row>
    <row r="1041" spans="2:10" x14ac:dyDescent="0.25">
      <c r="B1041" s="3" t="str">
        <f>IF([1]SCHEDULE!B1041="","",[1]SCHEDULE!B1041)</f>
        <v/>
      </c>
      <c r="C1041" s="3">
        <f>IF([1]SCHEDULE!C1041="","",[1]SCHEDULE!C1041)</f>
        <v>19</v>
      </c>
      <c r="D1041" s="1" t="e">
        <f>IF([1]SCHEDULE!D1041="","",[1]SCHEDULE!D1041)</f>
        <v>#N/A</v>
      </c>
      <c r="E1041" s="1" t="str">
        <f>IF([1]SCHEDULE!E1041="","",[1]SCHEDULE!E1041)</f>
        <v/>
      </c>
      <c r="F1041" s="6" t="str">
        <f>IF([1]SCHEDULE!F1041="","",[1]SCHEDULE!F1041)</f>
        <v/>
      </c>
      <c r="G1041" s="3" t="str">
        <f>IF([1]SCHEDULE!G1041="","",[1]SCHEDULE!G1041)</f>
        <v/>
      </c>
      <c r="H1041" s="3" t="str">
        <f>IF([1]SCHEDULE!H1041="","",[1]SCHEDULE!H1041)</f>
        <v/>
      </c>
      <c r="I1041" s="3" t="str">
        <f>IF([1]SCHEDULE!I1041="","",[1]SCHEDULE!I1041)</f>
        <v/>
      </c>
      <c r="J1041" s="3" t="str">
        <f>IF([1]SCHEDULE!J1041="","",[1]SCHEDULE!J1041)</f>
        <v/>
      </c>
    </row>
    <row r="1042" spans="2:10" x14ac:dyDescent="0.25">
      <c r="B1042" s="3" t="str">
        <f>IF([1]SCHEDULE!B1042="","",[1]SCHEDULE!B1042)</f>
        <v/>
      </c>
      <c r="C1042" s="3">
        <f>IF([1]SCHEDULE!C1042="","",[1]SCHEDULE!C1042)</f>
        <v>20</v>
      </c>
      <c r="D1042" s="1" t="e">
        <f>IF([1]SCHEDULE!D1042="","",[1]SCHEDULE!D1042)</f>
        <v>#N/A</v>
      </c>
      <c r="E1042" s="1" t="str">
        <f>IF([1]SCHEDULE!E1042="","",[1]SCHEDULE!E1042)</f>
        <v/>
      </c>
      <c r="F1042" s="6" t="str">
        <f>IF([1]SCHEDULE!F1042="","",[1]SCHEDULE!F1042)</f>
        <v/>
      </c>
      <c r="G1042" s="3" t="str">
        <f>IF([1]SCHEDULE!G1042="","",[1]SCHEDULE!G1042)</f>
        <v/>
      </c>
      <c r="H1042" s="3" t="str">
        <f>IF([1]SCHEDULE!H1042="","",[1]SCHEDULE!H1042)</f>
        <v/>
      </c>
      <c r="I1042" s="3" t="str">
        <f>IF([1]SCHEDULE!I1042="","",[1]SCHEDULE!I1042)</f>
        <v/>
      </c>
      <c r="J1042" s="3" t="str">
        <f>IF([1]SCHEDULE!J1042="","",[1]SCHEDULE!J1042)</f>
        <v/>
      </c>
    </row>
    <row r="1043" spans="2:10" x14ac:dyDescent="0.25">
      <c r="B1043" s="3" t="str">
        <f>IF([1]SCHEDULE!B1043="","",[1]SCHEDULE!B1043)</f>
        <v/>
      </c>
      <c r="C1043" s="3">
        <f>IF([1]SCHEDULE!C1043="","",[1]SCHEDULE!C1043)</f>
        <v>21</v>
      </c>
      <c r="D1043" s="1" t="e">
        <f>IF([1]SCHEDULE!D1043="","",[1]SCHEDULE!D1043)</f>
        <v>#N/A</v>
      </c>
      <c r="E1043" s="1" t="str">
        <f>IF([1]SCHEDULE!E1043="","",[1]SCHEDULE!E1043)</f>
        <v/>
      </c>
      <c r="F1043" s="6" t="str">
        <f>IF([1]SCHEDULE!F1043="","",[1]SCHEDULE!F1043)</f>
        <v/>
      </c>
      <c r="G1043" s="3" t="str">
        <f>IF([1]SCHEDULE!G1043="","",[1]SCHEDULE!G1043)</f>
        <v/>
      </c>
      <c r="H1043" s="3" t="str">
        <f>IF([1]SCHEDULE!H1043="","",[1]SCHEDULE!H1043)</f>
        <v/>
      </c>
      <c r="I1043" s="3" t="str">
        <f>IF([1]SCHEDULE!I1043="","",[1]SCHEDULE!I1043)</f>
        <v/>
      </c>
      <c r="J1043" s="3" t="str">
        <f>IF([1]SCHEDULE!J1043="","",[1]SCHEDULE!J1043)</f>
        <v/>
      </c>
    </row>
    <row r="1044" spans="2:10" x14ac:dyDescent="0.25">
      <c r="B1044" s="3" t="str">
        <f>IF([1]SCHEDULE!B1044="","",[1]SCHEDULE!B1044)</f>
        <v/>
      </c>
      <c r="C1044" s="3">
        <f>IF([1]SCHEDULE!C1044="","",[1]SCHEDULE!C1044)</f>
        <v>22</v>
      </c>
      <c r="D1044" s="1" t="e">
        <f>IF([1]SCHEDULE!D1044="","",[1]SCHEDULE!D1044)</f>
        <v>#N/A</v>
      </c>
      <c r="E1044" s="1" t="str">
        <f>IF([1]SCHEDULE!E1044="","",[1]SCHEDULE!E1044)</f>
        <v/>
      </c>
      <c r="F1044" s="6" t="str">
        <f>IF([1]SCHEDULE!F1044="","",[1]SCHEDULE!F1044)</f>
        <v/>
      </c>
      <c r="G1044" s="3" t="str">
        <f>IF([1]SCHEDULE!G1044="","",[1]SCHEDULE!G1044)</f>
        <v/>
      </c>
      <c r="H1044" s="3" t="str">
        <f>IF([1]SCHEDULE!H1044="","",[1]SCHEDULE!H1044)</f>
        <v/>
      </c>
      <c r="I1044" s="3" t="str">
        <f>IF([1]SCHEDULE!I1044="","",[1]SCHEDULE!I1044)</f>
        <v/>
      </c>
      <c r="J1044" s="3" t="str">
        <f>IF([1]SCHEDULE!J1044="","",[1]SCHEDULE!J1044)</f>
        <v/>
      </c>
    </row>
    <row r="1045" spans="2:10" x14ac:dyDescent="0.25">
      <c r="B1045" s="3" t="str">
        <f>IF([1]SCHEDULE!B1045="","",[1]SCHEDULE!B1045)</f>
        <v/>
      </c>
      <c r="C1045" s="3">
        <f>IF([1]SCHEDULE!C1045="","",[1]SCHEDULE!C1045)</f>
        <v>23</v>
      </c>
      <c r="D1045" s="1" t="e">
        <f>IF([1]SCHEDULE!D1045="","",[1]SCHEDULE!D1045)</f>
        <v>#N/A</v>
      </c>
      <c r="E1045" s="1" t="str">
        <f>IF([1]SCHEDULE!E1045="","",[1]SCHEDULE!E1045)</f>
        <v/>
      </c>
      <c r="F1045" s="6" t="str">
        <f>IF([1]SCHEDULE!F1045="","",[1]SCHEDULE!F1045)</f>
        <v/>
      </c>
      <c r="G1045" s="3" t="str">
        <f>IF([1]SCHEDULE!G1045="","",[1]SCHEDULE!G1045)</f>
        <v/>
      </c>
      <c r="H1045" s="3" t="str">
        <f>IF([1]SCHEDULE!H1045="","",[1]SCHEDULE!H1045)</f>
        <v/>
      </c>
      <c r="I1045" s="3" t="str">
        <f>IF([1]SCHEDULE!I1045="","",[1]SCHEDULE!I1045)</f>
        <v/>
      </c>
      <c r="J1045" s="3" t="str">
        <f>IF([1]SCHEDULE!J1045="","",[1]SCHEDULE!J1045)</f>
        <v/>
      </c>
    </row>
    <row r="1046" spans="2:10" x14ac:dyDescent="0.25">
      <c r="B1046" s="3" t="str">
        <f>IF([1]SCHEDULE!B1046="","",[1]SCHEDULE!B1046)</f>
        <v/>
      </c>
      <c r="C1046" s="3">
        <f>IF([1]SCHEDULE!C1046="","",[1]SCHEDULE!C1046)</f>
        <v>24</v>
      </c>
      <c r="D1046" s="1" t="e">
        <f>IF([1]SCHEDULE!D1046="","",[1]SCHEDULE!D1046)</f>
        <v>#N/A</v>
      </c>
      <c r="E1046" s="1" t="str">
        <f>IF([1]SCHEDULE!E1046="","",[1]SCHEDULE!E1046)</f>
        <v/>
      </c>
      <c r="F1046" s="6" t="str">
        <f>IF([1]SCHEDULE!F1046="","",[1]SCHEDULE!F1046)</f>
        <v/>
      </c>
      <c r="G1046" s="3" t="str">
        <f>IF([1]SCHEDULE!G1046="","",[1]SCHEDULE!G1046)</f>
        <v/>
      </c>
      <c r="H1046" s="3" t="str">
        <f>IF([1]SCHEDULE!H1046="","",[1]SCHEDULE!H1046)</f>
        <v/>
      </c>
      <c r="I1046" s="3" t="str">
        <f>IF([1]SCHEDULE!I1046="","",[1]SCHEDULE!I1046)</f>
        <v/>
      </c>
      <c r="J1046" s="3" t="str">
        <f>IF([1]SCHEDULE!J1046="","",[1]SCHEDULE!J1046)</f>
        <v/>
      </c>
    </row>
    <row r="1047" spans="2:10" x14ac:dyDescent="0.25">
      <c r="B1047" s="3" t="str">
        <f>IF([1]SCHEDULE!B1047="","",[1]SCHEDULE!B1047)</f>
        <v/>
      </c>
      <c r="C1047" s="3">
        <f>IF([1]SCHEDULE!C1047="","",[1]SCHEDULE!C1047)</f>
        <v>25</v>
      </c>
      <c r="D1047" s="1" t="e">
        <f>IF([1]SCHEDULE!D1047="","",[1]SCHEDULE!D1047)</f>
        <v>#N/A</v>
      </c>
      <c r="E1047" s="1" t="str">
        <f>IF([1]SCHEDULE!E1047="","",[1]SCHEDULE!E1047)</f>
        <v/>
      </c>
      <c r="F1047" s="6" t="str">
        <f>IF([1]SCHEDULE!F1047="","",[1]SCHEDULE!F1047)</f>
        <v/>
      </c>
      <c r="G1047" s="3" t="str">
        <f>IF([1]SCHEDULE!G1047="","",[1]SCHEDULE!G1047)</f>
        <v/>
      </c>
      <c r="H1047" s="3" t="str">
        <f>IF([1]SCHEDULE!H1047="","",[1]SCHEDULE!H1047)</f>
        <v/>
      </c>
      <c r="I1047" s="3" t="str">
        <f>IF([1]SCHEDULE!I1047="","",[1]SCHEDULE!I1047)</f>
        <v/>
      </c>
      <c r="J1047" s="3" t="str">
        <f>IF([1]SCHEDULE!J1047="","",[1]SCHEDULE!J1047)</f>
        <v/>
      </c>
    </row>
    <row r="1048" spans="2:10" x14ac:dyDescent="0.25">
      <c r="B1048" s="3" t="str">
        <f>IF([1]SCHEDULE!B1048="","",[1]SCHEDULE!B1048)</f>
        <v/>
      </c>
      <c r="C1048" s="3">
        <f>IF([1]SCHEDULE!C1048="","",[1]SCHEDULE!C1048)</f>
        <v>26</v>
      </c>
      <c r="D1048" s="1" t="e">
        <f>IF([1]SCHEDULE!D1048="","",[1]SCHEDULE!D1048)</f>
        <v>#N/A</v>
      </c>
      <c r="E1048" s="1" t="str">
        <f>IF([1]SCHEDULE!E1048="","",[1]SCHEDULE!E1048)</f>
        <v/>
      </c>
      <c r="F1048" s="6" t="str">
        <f>IF([1]SCHEDULE!F1048="","",[1]SCHEDULE!F1048)</f>
        <v/>
      </c>
      <c r="G1048" s="3" t="str">
        <f>IF([1]SCHEDULE!G1048="","",[1]SCHEDULE!G1048)</f>
        <v/>
      </c>
      <c r="H1048" s="3" t="str">
        <f>IF([1]SCHEDULE!H1048="","",[1]SCHEDULE!H1048)</f>
        <v/>
      </c>
      <c r="I1048" s="3" t="str">
        <f>IF([1]SCHEDULE!I1048="","",[1]SCHEDULE!I1048)</f>
        <v/>
      </c>
      <c r="J1048" s="3" t="str">
        <f>IF([1]SCHEDULE!J1048="","",[1]SCHEDULE!J1048)</f>
        <v/>
      </c>
    </row>
    <row r="1049" spans="2:10" x14ac:dyDescent="0.25">
      <c r="B1049" s="3" t="str">
        <f>IF([1]SCHEDULE!B1049="","",[1]SCHEDULE!B1049)</f>
        <v/>
      </c>
      <c r="C1049" s="3">
        <f>IF([1]SCHEDULE!C1049="","",[1]SCHEDULE!C1049)</f>
        <v>27</v>
      </c>
      <c r="D1049" s="1" t="e">
        <f>IF([1]SCHEDULE!D1049="","",[1]SCHEDULE!D1049)</f>
        <v>#N/A</v>
      </c>
      <c r="E1049" s="1" t="str">
        <f>IF([1]SCHEDULE!E1049="","",[1]SCHEDULE!E1049)</f>
        <v/>
      </c>
      <c r="F1049" s="6" t="str">
        <f>IF([1]SCHEDULE!F1049="","",[1]SCHEDULE!F1049)</f>
        <v/>
      </c>
      <c r="G1049" s="3" t="str">
        <f>IF([1]SCHEDULE!G1049="","",[1]SCHEDULE!G1049)</f>
        <v/>
      </c>
      <c r="H1049" s="3" t="str">
        <f>IF([1]SCHEDULE!H1049="","",[1]SCHEDULE!H1049)</f>
        <v/>
      </c>
      <c r="I1049" s="3" t="str">
        <f>IF([1]SCHEDULE!I1049="","",[1]SCHEDULE!I1049)</f>
        <v/>
      </c>
      <c r="J1049" s="3" t="str">
        <f>IF([1]SCHEDULE!J1049="","",[1]SCHEDULE!J1049)</f>
        <v/>
      </c>
    </row>
    <row r="1050" spans="2:10" x14ac:dyDescent="0.25">
      <c r="B1050" s="3" t="str">
        <f>IF([1]SCHEDULE!B1050="","",[1]SCHEDULE!B1050)</f>
        <v/>
      </c>
      <c r="C1050" s="3">
        <f>IF([1]SCHEDULE!C1050="","",[1]SCHEDULE!C1050)</f>
        <v>28</v>
      </c>
      <c r="D1050" s="1" t="e">
        <f>IF([1]SCHEDULE!D1050="","",[1]SCHEDULE!D1050)</f>
        <v>#N/A</v>
      </c>
      <c r="E1050" s="1" t="str">
        <f>IF([1]SCHEDULE!E1050="","",[1]SCHEDULE!E1050)</f>
        <v/>
      </c>
      <c r="F1050" s="6" t="str">
        <f>IF([1]SCHEDULE!F1050="","",[1]SCHEDULE!F1050)</f>
        <v/>
      </c>
      <c r="G1050" s="3" t="str">
        <f>IF([1]SCHEDULE!G1050="","",[1]SCHEDULE!G1050)</f>
        <v/>
      </c>
      <c r="H1050" s="3" t="str">
        <f>IF([1]SCHEDULE!H1050="","",[1]SCHEDULE!H1050)</f>
        <v/>
      </c>
      <c r="I1050" s="3" t="str">
        <f>IF([1]SCHEDULE!I1050="","",[1]SCHEDULE!I1050)</f>
        <v/>
      </c>
      <c r="J1050" s="3" t="str">
        <f>IF([1]SCHEDULE!J1050="","",[1]SCHEDULE!J1050)</f>
        <v/>
      </c>
    </row>
    <row r="1051" spans="2:10" x14ac:dyDescent="0.25">
      <c r="B1051" s="3" t="str">
        <f>IF([1]SCHEDULE!B1051="","",[1]SCHEDULE!B1051)</f>
        <v/>
      </c>
      <c r="C1051" s="3">
        <f>IF([1]SCHEDULE!C1051="","",[1]SCHEDULE!C1051)</f>
        <v>29</v>
      </c>
      <c r="D1051" s="1" t="e">
        <f>IF([1]SCHEDULE!D1051="","",[1]SCHEDULE!D1051)</f>
        <v>#N/A</v>
      </c>
      <c r="E1051" s="1" t="str">
        <f>IF([1]SCHEDULE!E1051="","",[1]SCHEDULE!E1051)</f>
        <v/>
      </c>
      <c r="F1051" s="6" t="str">
        <f>IF([1]SCHEDULE!F1051="","",[1]SCHEDULE!F1051)</f>
        <v/>
      </c>
      <c r="G1051" s="3" t="str">
        <f>IF([1]SCHEDULE!G1051="","",[1]SCHEDULE!G1051)</f>
        <v/>
      </c>
      <c r="H1051" s="3" t="str">
        <f>IF([1]SCHEDULE!H1051="","",[1]SCHEDULE!H1051)</f>
        <v/>
      </c>
      <c r="I1051" s="3" t="str">
        <f>IF([1]SCHEDULE!I1051="","",[1]SCHEDULE!I1051)</f>
        <v/>
      </c>
      <c r="J1051" s="3" t="str">
        <f>IF([1]SCHEDULE!J1051="","",[1]SCHEDULE!J1051)</f>
        <v/>
      </c>
    </row>
    <row r="1052" spans="2:10" x14ac:dyDescent="0.25">
      <c r="B1052" s="3" t="str">
        <f>IF([1]SCHEDULE!B1052="","",[1]SCHEDULE!B1052)</f>
        <v/>
      </c>
      <c r="C1052" s="3">
        <f>IF([1]SCHEDULE!C1052="","",[1]SCHEDULE!C1052)</f>
        <v>30</v>
      </c>
      <c r="D1052" s="1" t="e">
        <f>IF([1]SCHEDULE!D1052="","",[1]SCHEDULE!D1052)</f>
        <v>#N/A</v>
      </c>
      <c r="E1052" s="1" t="str">
        <f>IF([1]SCHEDULE!E1052="","",[1]SCHEDULE!E1052)</f>
        <v/>
      </c>
      <c r="F1052" s="6" t="str">
        <f>IF([1]SCHEDULE!F1052="","",[1]SCHEDULE!F1052)</f>
        <v/>
      </c>
      <c r="G1052" s="3" t="str">
        <f>IF([1]SCHEDULE!G1052="","",[1]SCHEDULE!G1052)</f>
        <v/>
      </c>
      <c r="H1052" s="3" t="str">
        <f>IF([1]SCHEDULE!H1052="","",[1]SCHEDULE!H1052)</f>
        <v/>
      </c>
      <c r="I1052" s="3" t="str">
        <f>IF([1]SCHEDULE!I1052="","",[1]SCHEDULE!I1052)</f>
        <v/>
      </c>
      <c r="J1052" s="3" t="str">
        <f>IF([1]SCHEDULE!J1052="","",[1]SCHEDULE!J1052)</f>
        <v/>
      </c>
    </row>
    <row r="1053" spans="2:10" x14ac:dyDescent="0.25">
      <c r="B1053" s="3" t="str">
        <f>IF([1]SCHEDULE!B1053="","",[1]SCHEDULE!B1053)</f>
        <v/>
      </c>
      <c r="C1053" s="3">
        <f>IF([1]SCHEDULE!C1053="","",[1]SCHEDULE!C1053)</f>
        <v>31</v>
      </c>
      <c r="D1053" s="1" t="e">
        <f>IF([1]SCHEDULE!D1053="","",[1]SCHEDULE!D1053)</f>
        <v>#N/A</v>
      </c>
      <c r="E1053" s="1" t="str">
        <f>IF([1]SCHEDULE!E1053="","",[1]SCHEDULE!E1053)</f>
        <v/>
      </c>
      <c r="F1053" s="6" t="str">
        <f>IF([1]SCHEDULE!F1053="","",[1]SCHEDULE!F1053)</f>
        <v/>
      </c>
      <c r="G1053" s="3" t="str">
        <f>IF([1]SCHEDULE!G1053="","",[1]SCHEDULE!G1053)</f>
        <v/>
      </c>
      <c r="H1053" s="3" t="str">
        <f>IF([1]SCHEDULE!H1053="","",[1]SCHEDULE!H1053)</f>
        <v/>
      </c>
      <c r="I1053" s="3" t="str">
        <f>IF([1]SCHEDULE!I1053="","",[1]SCHEDULE!I1053)</f>
        <v/>
      </c>
      <c r="J1053" s="3" t="str">
        <f>IF([1]SCHEDULE!J1053="","",[1]SCHEDULE!J1053)</f>
        <v/>
      </c>
    </row>
    <row r="1054" spans="2:10" x14ac:dyDescent="0.25">
      <c r="B1054" s="3" t="str">
        <f>IF([1]SCHEDULE!B1054="","",[1]SCHEDULE!B1054)</f>
        <v/>
      </c>
      <c r="C1054" s="3">
        <f>IF([1]SCHEDULE!C1054="","",[1]SCHEDULE!C1054)</f>
        <v>32</v>
      </c>
      <c r="D1054" s="1" t="e">
        <f>IF([1]SCHEDULE!D1054="","",[1]SCHEDULE!D1054)</f>
        <v>#N/A</v>
      </c>
      <c r="E1054" s="1" t="str">
        <f>IF([1]SCHEDULE!E1054="","",[1]SCHEDULE!E1054)</f>
        <v/>
      </c>
      <c r="F1054" s="6" t="str">
        <f>IF([1]SCHEDULE!F1054="","",[1]SCHEDULE!F1054)</f>
        <v/>
      </c>
      <c r="G1054" s="3" t="str">
        <f>IF([1]SCHEDULE!G1054="","",[1]SCHEDULE!G1054)</f>
        <v/>
      </c>
      <c r="H1054" s="3" t="str">
        <f>IF([1]SCHEDULE!H1054="","",[1]SCHEDULE!H1054)</f>
        <v/>
      </c>
      <c r="I1054" s="3" t="str">
        <f>IF([1]SCHEDULE!I1054="","",[1]SCHEDULE!I1054)</f>
        <v/>
      </c>
      <c r="J1054" s="3" t="str">
        <f>IF([1]SCHEDULE!J1054="","",[1]SCHEDULE!J1054)</f>
        <v/>
      </c>
    </row>
    <row r="1055" spans="2:10" x14ac:dyDescent="0.25">
      <c r="B1055" s="3" t="str">
        <f>IF([1]SCHEDULE!B1055="","",[1]SCHEDULE!B1055)</f>
        <v/>
      </c>
      <c r="C1055" s="3">
        <f>IF([1]SCHEDULE!C1055="","",[1]SCHEDULE!C1055)</f>
        <v>33</v>
      </c>
      <c r="D1055" s="1" t="e">
        <f>IF([1]SCHEDULE!D1055="","",[1]SCHEDULE!D1055)</f>
        <v>#N/A</v>
      </c>
      <c r="E1055" s="1" t="str">
        <f>IF([1]SCHEDULE!E1055="","",[1]SCHEDULE!E1055)</f>
        <v/>
      </c>
      <c r="F1055" s="6" t="str">
        <f>IF([1]SCHEDULE!F1055="","",[1]SCHEDULE!F1055)</f>
        <v/>
      </c>
      <c r="G1055" s="3" t="str">
        <f>IF([1]SCHEDULE!G1055="","",[1]SCHEDULE!G1055)</f>
        <v/>
      </c>
      <c r="H1055" s="3" t="str">
        <f>IF([1]SCHEDULE!H1055="","",[1]SCHEDULE!H1055)</f>
        <v/>
      </c>
      <c r="I1055" s="3" t="str">
        <f>IF([1]SCHEDULE!I1055="","",[1]SCHEDULE!I1055)</f>
        <v/>
      </c>
      <c r="J1055" s="3" t="str">
        <f>IF([1]SCHEDULE!J1055="","",[1]SCHEDULE!J1055)</f>
        <v/>
      </c>
    </row>
    <row r="1056" spans="2:10" x14ac:dyDescent="0.25">
      <c r="B1056" s="3" t="str">
        <f>IF([1]SCHEDULE!B1056="","",[1]SCHEDULE!B1056)</f>
        <v/>
      </c>
      <c r="C1056" s="3">
        <f>IF([1]SCHEDULE!C1056="","",[1]SCHEDULE!C1056)</f>
        <v>34</v>
      </c>
      <c r="D1056" s="1" t="e">
        <f>IF([1]SCHEDULE!D1056="","",[1]SCHEDULE!D1056)</f>
        <v>#N/A</v>
      </c>
      <c r="E1056" s="1" t="str">
        <f>IF([1]SCHEDULE!E1056="","",[1]SCHEDULE!E1056)</f>
        <v/>
      </c>
      <c r="F1056" s="6" t="str">
        <f>IF([1]SCHEDULE!F1056="","",[1]SCHEDULE!F1056)</f>
        <v/>
      </c>
      <c r="G1056" s="3" t="str">
        <f>IF([1]SCHEDULE!G1056="","",[1]SCHEDULE!G1056)</f>
        <v/>
      </c>
      <c r="H1056" s="3" t="str">
        <f>IF([1]SCHEDULE!H1056="","",[1]SCHEDULE!H1056)</f>
        <v/>
      </c>
      <c r="I1056" s="3" t="str">
        <f>IF([1]SCHEDULE!I1056="","",[1]SCHEDULE!I1056)</f>
        <v/>
      </c>
      <c r="J1056" s="3" t="str">
        <f>IF([1]SCHEDULE!J1056="","",[1]SCHEDULE!J1056)</f>
        <v/>
      </c>
    </row>
    <row r="1057" spans="2:10" x14ac:dyDescent="0.25">
      <c r="B1057" s="3" t="str">
        <f>IF([1]SCHEDULE!B1057="","",[1]SCHEDULE!B1057)</f>
        <v/>
      </c>
      <c r="C1057" s="3">
        <f>IF([1]SCHEDULE!C1057="","",[1]SCHEDULE!C1057)</f>
        <v>35</v>
      </c>
      <c r="D1057" s="1" t="e">
        <f>IF([1]SCHEDULE!D1057="","",[1]SCHEDULE!D1057)</f>
        <v>#N/A</v>
      </c>
      <c r="E1057" s="1" t="str">
        <f>IF([1]SCHEDULE!E1057="","",[1]SCHEDULE!E1057)</f>
        <v/>
      </c>
      <c r="F1057" s="6" t="str">
        <f>IF([1]SCHEDULE!F1057="","",[1]SCHEDULE!F1057)</f>
        <v/>
      </c>
      <c r="G1057" s="3" t="str">
        <f>IF([1]SCHEDULE!G1057="","",[1]SCHEDULE!G1057)</f>
        <v/>
      </c>
      <c r="H1057" s="3" t="str">
        <f>IF([1]SCHEDULE!H1057="","",[1]SCHEDULE!H1057)</f>
        <v/>
      </c>
      <c r="I1057" s="3" t="str">
        <f>IF([1]SCHEDULE!I1057="","",[1]SCHEDULE!I1057)</f>
        <v/>
      </c>
      <c r="J1057" s="3" t="str">
        <f>IF([1]SCHEDULE!J1057="","",[1]SCHEDULE!J1057)</f>
        <v/>
      </c>
    </row>
    <row r="1058" spans="2:10" x14ac:dyDescent="0.25">
      <c r="B1058" s="3" t="str">
        <f>IF([1]SCHEDULE!B1058="","",[1]SCHEDULE!B1058)</f>
        <v/>
      </c>
      <c r="C1058" s="3">
        <f>IF([1]SCHEDULE!C1058="","",[1]SCHEDULE!C1058)</f>
        <v>36</v>
      </c>
      <c r="D1058" s="1" t="e">
        <f>IF([1]SCHEDULE!D1058="","",[1]SCHEDULE!D1058)</f>
        <v>#N/A</v>
      </c>
      <c r="E1058" s="1" t="str">
        <f>IF([1]SCHEDULE!E1058="","",[1]SCHEDULE!E1058)</f>
        <v/>
      </c>
      <c r="F1058" s="6" t="str">
        <f>IF([1]SCHEDULE!F1058="","",[1]SCHEDULE!F1058)</f>
        <v/>
      </c>
      <c r="G1058" s="3" t="str">
        <f>IF([1]SCHEDULE!G1058="","",[1]SCHEDULE!G1058)</f>
        <v/>
      </c>
      <c r="H1058" s="3" t="str">
        <f>IF([1]SCHEDULE!H1058="","",[1]SCHEDULE!H1058)</f>
        <v/>
      </c>
      <c r="I1058" s="3" t="str">
        <f>IF([1]SCHEDULE!I1058="","",[1]SCHEDULE!I1058)</f>
        <v/>
      </c>
      <c r="J1058" s="3" t="str">
        <f>IF([1]SCHEDULE!J1058="","",[1]SCHEDULE!J1058)</f>
        <v/>
      </c>
    </row>
    <row r="1059" spans="2:10" x14ac:dyDescent="0.25">
      <c r="B1059" s="3" t="str">
        <f>IF([1]SCHEDULE!B1059="","",[1]SCHEDULE!B1059)</f>
        <v/>
      </c>
      <c r="C1059" s="3">
        <f>IF([1]SCHEDULE!C1059="","",[1]SCHEDULE!C1059)</f>
        <v>37</v>
      </c>
      <c r="D1059" s="1" t="e">
        <f>IF([1]SCHEDULE!D1059="","",[1]SCHEDULE!D1059)</f>
        <v>#N/A</v>
      </c>
      <c r="E1059" s="1" t="str">
        <f>IF([1]SCHEDULE!E1059="","",[1]SCHEDULE!E1059)</f>
        <v/>
      </c>
      <c r="F1059" s="6" t="str">
        <f>IF([1]SCHEDULE!F1059="","",[1]SCHEDULE!F1059)</f>
        <v/>
      </c>
      <c r="G1059" s="3" t="str">
        <f>IF([1]SCHEDULE!G1059="","",[1]SCHEDULE!G1059)</f>
        <v/>
      </c>
      <c r="H1059" s="3" t="str">
        <f>IF([1]SCHEDULE!H1059="","",[1]SCHEDULE!H1059)</f>
        <v/>
      </c>
      <c r="I1059" s="3" t="str">
        <f>IF([1]SCHEDULE!I1059="","",[1]SCHEDULE!I1059)</f>
        <v/>
      </c>
      <c r="J1059" s="3" t="str">
        <f>IF([1]SCHEDULE!J1059="","",[1]SCHEDULE!J1059)</f>
        <v/>
      </c>
    </row>
    <row r="1060" spans="2:10" x14ac:dyDescent="0.25">
      <c r="B1060" s="3" t="str">
        <f>IF([1]SCHEDULE!B1060="","",[1]SCHEDULE!B1060)</f>
        <v/>
      </c>
      <c r="C1060" s="3">
        <f>IF([1]SCHEDULE!C1060="","",[1]SCHEDULE!C1060)</f>
        <v>38</v>
      </c>
      <c r="D1060" s="1" t="e">
        <f>IF([1]SCHEDULE!D1060="","",[1]SCHEDULE!D1060)</f>
        <v>#N/A</v>
      </c>
      <c r="E1060" s="1" t="str">
        <f>IF([1]SCHEDULE!E1060="","",[1]SCHEDULE!E1060)</f>
        <v/>
      </c>
      <c r="F1060" s="6" t="str">
        <f>IF([1]SCHEDULE!F1060="","",[1]SCHEDULE!F1060)</f>
        <v/>
      </c>
      <c r="G1060" s="3" t="str">
        <f>IF([1]SCHEDULE!G1060="","",[1]SCHEDULE!G1060)</f>
        <v/>
      </c>
      <c r="H1060" s="3" t="str">
        <f>IF([1]SCHEDULE!H1060="","",[1]SCHEDULE!H1060)</f>
        <v/>
      </c>
      <c r="I1060" s="3" t="str">
        <f>IF([1]SCHEDULE!I1060="","",[1]SCHEDULE!I1060)</f>
        <v/>
      </c>
      <c r="J1060" s="3" t="str">
        <f>IF([1]SCHEDULE!J1060="","",[1]SCHEDULE!J1060)</f>
        <v/>
      </c>
    </row>
    <row r="1061" spans="2:10" x14ac:dyDescent="0.25">
      <c r="B1061" s="3" t="str">
        <f>IF([1]SCHEDULE!B1061="","",[1]SCHEDULE!B1061)</f>
        <v/>
      </c>
      <c r="C1061" s="3">
        <f>IF([1]SCHEDULE!C1061="","",[1]SCHEDULE!C1061)</f>
        <v>39</v>
      </c>
      <c r="D1061" s="1" t="e">
        <f>IF([1]SCHEDULE!D1061="","",[1]SCHEDULE!D1061)</f>
        <v>#N/A</v>
      </c>
      <c r="E1061" s="1" t="str">
        <f>IF([1]SCHEDULE!E1061="","",[1]SCHEDULE!E1061)</f>
        <v/>
      </c>
      <c r="F1061" s="6" t="str">
        <f>IF([1]SCHEDULE!F1061="","",[1]SCHEDULE!F1061)</f>
        <v/>
      </c>
      <c r="G1061" s="3" t="str">
        <f>IF([1]SCHEDULE!G1061="","",[1]SCHEDULE!G1061)</f>
        <v/>
      </c>
      <c r="H1061" s="3" t="str">
        <f>IF([1]SCHEDULE!H1061="","",[1]SCHEDULE!H1061)</f>
        <v/>
      </c>
      <c r="I1061" s="3" t="str">
        <f>IF([1]SCHEDULE!I1061="","",[1]SCHEDULE!I1061)</f>
        <v/>
      </c>
      <c r="J1061" s="3" t="str">
        <f>IF([1]SCHEDULE!J1061="","",[1]SCHEDULE!J1061)</f>
        <v/>
      </c>
    </row>
    <row r="1062" spans="2:10" x14ac:dyDescent="0.25">
      <c r="B1062" s="3" t="str">
        <f>IF([1]SCHEDULE!B1062="","",[1]SCHEDULE!B1062)</f>
        <v/>
      </c>
      <c r="C1062" s="3">
        <f>IF([1]SCHEDULE!C1062="","",[1]SCHEDULE!C1062)</f>
        <v>40</v>
      </c>
      <c r="D1062" s="1" t="e">
        <f>IF([1]SCHEDULE!D1062="","",[1]SCHEDULE!D1062)</f>
        <v>#N/A</v>
      </c>
      <c r="E1062" s="1" t="str">
        <f>IF([1]SCHEDULE!E1062="","",[1]SCHEDULE!E1062)</f>
        <v/>
      </c>
      <c r="F1062" s="6" t="str">
        <f>IF([1]SCHEDULE!F1062="","",[1]SCHEDULE!F1062)</f>
        <v/>
      </c>
      <c r="G1062" s="3" t="str">
        <f>IF([1]SCHEDULE!G1062="","",[1]SCHEDULE!G1062)</f>
        <v/>
      </c>
      <c r="H1062" s="3" t="str">
        <f>IF([1]SCHEDULE!H1062="","",[1]SCHEDULE!H1062)</f>
        <v/>
      </c>
      <c r="I1062" s="3" t="str">
        <f>IF([1]SCHEDULE!I1062="","",[1]SCHEDULE!I1062)</f>
        <v/>
      </c>
      <c r="J1062" s="3" t="str">
        <f>IF([1]SCHEDULE!J1062="","",[1]SCHEDULE!J1062)</f>
        <v/>
      </c>
    </row>
    <row r="1063" spans="2:10" x14ac:dyDescent="0.25">
      <c r="B1063" s="3" t="str">
        <f>IF([1]SCHEDULE!B1063="","",[1]SCHEDULE!B1063)</f>
        <v/>
      </c>
      <c r="C1063" s="3">
        <f>IF([1]SCHEDULE!C1063="","",[1]SCHEDULE!C1063)</f>
        <v>41</v>
      </c>
      <c r="D1063" s="1" t="e">
        <f>IF([1]SCHEDULE!D1063="","",[1]SCHEDULE!D1063)</f>
        <v>#N/A</v>
      </c>
      <c r="E1063" s="1" t="str">
        <f>IF([1]SCHEDULE!E1063="","",[1]SCHEDULE!E1063)</f>
        <v/>
      </c>
      <c r="F1063" s="6" t="str">
        <f>IF([1]SCHEDULE!F1063="","",[1]SCHEDULE!F1063)</f>
        <v/>
      </c>
      <c r="G1063" s="3" t="str">
        <f>IF([1]SCHEDULE!G1063="","",[1]SCHEDULE!G1063)</f>
        <v/>
      </c>
      <c r="H1063" s="3" t="str">
        <f>IF([1]SCHEDULE!H1063="","",[1]SCHEDULE!H1063)</f>
        <v/>
      </c>
      <c r="I1063" s="3" t="str">
        <f>IF([1]SCHEDULE!I1063="","",[1]SCHEDULE!I1063)</f>
        <v/>
      </c>
      <c r="J1063" s="3" t="str">
        <f>IF([1]SCHEDULE!J1063="","",[1]SCHEDULE!J1063)</f>
        <v/>
      </c>
    </row>
    <row r="1064" spans="2:10" x14ac:dyDescent="0.25">
      <c r="B1064" s="3" t="str">
        <f>IF([1]SCHEDULE!B1064="","",[1]SCHEDULE!B1064)</f>
        <v/>
      </c>
      <c r="C1064" s="3">
        <f>IF([1]SCHEDULE!C1064="","",[1]SCHEDULE!C1064)</f>
        <v>42</v>
      </c>
      <c r="D1064" s="1" t="e">
        <f>IF([1]SCHEDULE!D1064="","",[1]SCHEDULE!D1064)</f>
        <v>#N/A</v>
      </c>
      <c r="E1064" s="1" t="str">
        <f>IF([1]SCHEDULE!E1064="","",[1]SCHEDULE!E1064)</f>
        <v/>
      </c>
      <c r="F1064" s="6" t="str">
        <f>IF([1]SCHEDULE!F1064="","",[1]SCHEDULE!F1064)</f>
        <v/>
      </c>
      <c r="G1064" s="3" t="str">
        <f>IF([1]SCHEDULE!G1064="","",[1]SCHEDULE!G1064)</f>
        <v/>
      </c>
      <c r="H1064" s="3" t="str">
        <f>IF([1]SCHEDULE!H1064="","",[1]SCHEDULE!H1064)</f>
        <v/>
      </c>
      <c r="I1064" s="3" t="str">
        <f>IF([1]SCHEDULE!I1064="","",[1]SCHEDULE!I1064)</f>
        <v/>
      </c>
      <c r="J1064" s="3" t="str">
        <f>IF([1]SCHEDULE!J1064="","",[1]SCHEDULE!J1064)</f>
        <v/>
      </c>
    </row>
    <row r="1065" spans="2:10" x14ac:dyDescent="0.25">
      <c r="B1065" s="3" t="str">
        <f>IF([1]SCHEDULE!B1065="","",[1]SCHEDULE!B1065)</f>
        <v/>
      </c>
      <c r="C1065" s="3">
        <f>IF([1]SCHEDULE!C1065="","",[1]SCHEDULE!C1065)</f>
        <v>43</v>
      </c>
      <c r="D1065" s="1" t="e">
        <f>IF([1]SCHEDULE!D1065="","",[1]SCHEDULE!D1065)</f>
        <v>#N/A</v>
      </c>
      <c r="E1065" s="1" t="str">
        <f>IF([1]SCHEDULE!E1065="","",[1]SCHEDULE!E1065)</f>
        <v/>
      </c>
      <c r="F1065" s="6" t="str">
        <f>IF([1]SCHEDULE!F1065="","",[1]SCHEDULE!F1065)</f>
        <v/>
      </c>
      <c r="G1065" s="3" t="str">
        <f>IF([1]SCHEDULE!G1065="","",[1]SCHEDULE!G1065)</f>
        <v/>
      </c>
      <c r="H1065" s="3" t="str">
        <f>IF([1]SCHEDULE!H1065="","",[1]SCHEDULE!H1065)</f>
        <v/>
      </c>
      <c r="I1065" s="3" t="str">
        <f>IF([1]SCHEDULE!I1065="","",[1]SCHEDULE!I1065)</f>
        <v/>
      </c>
      <c r="J1065" s="3" t="str">
        <f>IF([1]SCHEDULE!J1065="","",[1]SCHEDULE!J1065)</f>
        <v/>
      </c>
    </row>
    <row r="1066" spans="2:10" x14ac:dyDescent="0.25">
      <c r="B1066" s="3" t="str">
        <f>IF([1]SCHEDULE!B1066="","",[1]SCHEDULE!B1066)</f>
        <v/>
      </c>
      <c r="C1066" s="3">
        <f>IF([1]SCHEDULE!C1066="","",[1]SCHEDULE!C1066)</f>
        <v>44</v>
      </c>
      <c r="D1066" s="1" t="e">
        <f>IF([1]SCHEDULE!D1066="","",[1]SCHEDULE!D1066)</f>
        <v>#N/A</v>
      </c>
      <c r="E1066" s="1" t="str">
        <f>IF([1]SCHEDULE!E1066="","",[1]SCHEDULE!E1066)</f>
        <v/>
      </c>
      <c r="F1066" s="6" t="str">
        <f>IF([1]SCHEDULE!F1066="","",[1]SCHEDULE!F1066)</f>
        <v/>
      </c>
      <c r="G1066" s="3" t="str">
        <f>IF([1]SCHEDULE!G1066="","",[1]SCHEDULE!G1066)</f>
        <v/>
      </c>
      <c r="H1066" s="3" t="str">
        <f>IF([1]SCHEDULE!H1066="","",[1]SCHEDULE!H1066)</f>
        <v/>
      </c>
      <c r="I1066" s="3" t="str">
        <f>IF([1]SCHEDULE!I1066="","",[1]SCHEDULE!I1066)</f>
        <v/>
      </c>
      <c r="J1066" s="3" t="str">
        <f>IF([1]SCHEDULE!J1066="","",[1]SCHEDULE!J1066)</f>
        <v/>
      </c>
    </row>
    <row r="1067" spans="2:10" x14ac:dyDescent="0.25">
      <c r="B1067" s="3" t="str">
        <f>IF([1]SCHEDULE!B1067="","",[1]SCHEDULE!B1067)</f>
        <v/>
      </c>
      <c r="C1067" s="3">
        <f>IF([1]SCHEDULE!C1067="","",[1]SCHEDULE!C1067)</f>
        <v>45</v>
      </c>
      <c r="D1067" s="1" t="e">
        <f>IF([1]SCHEDULE!D1067="","",[1]SCHEDULE!D1067)</f>
        <v>#N/A</v>
      </c>
      <c r="E1067" s="1" t="str">
        <f>IF([1]SCHEDULE!E1067="","",[1]SCHEDULE!E1067)</f>
        <v/>
      </c>
      <c r="F1067" s="6" t="str">
        <f>IF([1]SCHEDULE!F1067="","",[1]SCHEDULE!F1067)</f>
        <v/>
      </c>
      <c r="G1067" s="3" t="str">
        <f>IF([1]SCHEDULE!G1067="","",[1]SCHEDULE!G1067)</f>
        <v/>
      </c>
      <c r="H1067" s="3" t="str">
        <f>IF([1]SCHEDULE!H1067="","",[1]SCHEDULE!H1067)</f>
        <v/>
      </c>
      <c r="I1067" s="3" t="str">
        <f>IF([1]SCHEDULE!I1067="","",[1]SCHEDULE!I1067)</f>
        <v/>
      </c>
      <c r="J1067" s="3" t="str">
        <f>IF([1]SCHEDULE!J1067="","",[1]SCHEDULE!J1067)</f>
        <v/>
      </c>
    </row>
    <row r="1068" spans="2:10" x14ac:dyDescent="0.25">
      <c r="B1068" s="3" t="str">
        <f>IF([1]SCHEDULE!B1068="","",[1]SCHEDULE!B1068)</f>
        <v/>
      </c>
      <c r="C1068" s="3">
        <f>IF([1]SCHEDULE!C1068="","",[1]SCHEDULE!C1068)</f>
        <v>46</v>
      </c>
      <c r="D1068" s="1" t="e">
        <f>IF([1]SCHEDULE!D1068="","",[1]SCHEDULE!D1068)</f>
        <v>#N/A</v>
      </c>
      <c r="E1068" s="1" t="str">
        <f>IF([1]SCHEDULE!E1068="","",[1]SCHEDULE!E1068)</f>
        <v/>
      </c>
      <c r="F1068" s="6" t="str">
        <f>IF([1]SCHEDULE!F1068="","",[1]SCHEDULE!F1068)</f>
        <v/>
      </c>
      <c r="G1068" s="3" t="str">
        <f>IF([1]SCHEDULE!G1068="","",[1]SCHEDULE!G1068)</f>
        <v/>
      </c>
      <c r="H1068" s="3" t="str">
        <f>IF([1]SCHEDULE!H1068="","",[1]SCHEDULE!H1068)</f>
        <v/>
      </c>
      <c r="I1068" s="3" t="str">
        <f>IF([1]SCHEDULE!I1068="","",[1]SCHEDULE!I1068)</f>
        <v/>
      </c>
      <c r="J1068" s="3" t="str">
        <f>IF([1]SCHEDULE!J1068="","",[1]SCHEDULE!J1068)</f>
        <v/>
      </c>
    </row>
    <row r="1069" spans="2:10" x14ac:dyDescent="0.25">
      <c r="B1069" s="3" t="str">
        <f>IF([1]SCHEDULE!B1069="","",[1]SCHEDULE!B1069)</f>
        <v/>
      </c>
      <c r="C1069" s="3">
        <f>IF([1]SCHEDULE!C1069="","",[1]SCHEDULE!C1069)</f>
        <v>47</v>
      </c>
      <c r="D1069" s="1" t="e">
        <f>IF([1]SCHEDULE!D1069="","",[1]SCHEDULE!D1069)</f>
        <v>#N/A</v>
      </c>
      <c r="E1069" s="1" t="str">
        <f>IF([1]SCHEDULE!E1069="","",[1]SCHEDULE!E1069)</f>
        <v/>
      </c>
      <c r="F1069" s="6" t="str">
        <f>IF([1]SCHEDULE!F1069="","",[1]SCHEDULE!F1069)</f>
        <v/>
      </c>
      <c r="G1069" s="3" t="str">
        <f>IF([1]SCHEDULE!G1069="","",[1]SCHEDULE!G1069)</f>
        <v/>
      </c>
      <c r="H1069" s="3" t="str">
        <f>IF([1]SCHEDULE!H1069="","",[1]SCHEDULE!H1069)</f>
        <v/>
      </c>
      <c r="I1069" s="3" t="str">
        <f>IF([1]SCHEDULE!I1069="","",[1]SCHEDULE!I1069)</f>
        <v/>
      </c>
      <c r="J1069" s="3" t="str">
        <f>IF([1]SCHEDULE!J1069="","",[1]SCHEDULE!J1069)</f>
        <v/>
      </c>
    </row>
    <row r="1070" spans="2:10" x14ac:dyDescent="0.25">
      <c r="B1070" s="3" t="str">
        <f>IF([1]SCHEDULE!B1070="","",[1]SCHEDULE!B1070)</f>
        <v/>
      </c>
      <c r="C1070" s="3">
        <f>IF([1]SCHEDULE!C1070="","",[1]SCHEDULE!C1070)</f>
        <v>48</v>
      </c>
      <c r="D1070" s="1" t="e">
        <f>IF([1]SCHEDULE!D1070="","",[1]SCHEDULE!D1070)</f>
        <v>#N/A</v>
      </c>
      <c r="E1070" s="1" t="str">
        <f>IF([1]SCHEDULE!E1070="","",[1]SCHEDULE!E1070)</f>
        <v/>
      </c>
      <c r="F1070" s="6" t="str">
        <f>IF([1]SCHEDULE!F1070="","",[1]SCHEDULE!F1070)</f>
        <v/>
      </c>
      <c r="G1070" s="3" t="str">
        <f>IF([1]SCHEDULE!G1070="","",[1]SCHEDULE!G1070)</f>
        <v/>
      </c>
      <c r="H1070" s="3" t="str">
        <f>IF([1]SCHEDULE!H1070="","",[1]SCHEDULE!H1070)</f>
        <v/>
      </c>
      <c r="I1070" s="3" t="str">
        <f>IF([1]SCHEDULE!I1070="","",[1]SCHEDULE!I1070)</f>
        <v/>
      </c>
      <c r="J1070" s="3" t="str">
        <f>IF([1]SCHEDULE!J1070="","",[1]SCHEDULE!J1070)</f>
        <v/>
      </c>
    </row>
    <row r="1071" spans="2:10" x14ac:dyDescent="0.25">
      <c r="B1071" s="3" t="str">
        <f>IF([1]SCHEDULE!B1071="","",[1]SCHEDULE!B1071)</f>
        <v/>
      </c>
      <c r="C1071" s="3">
        <f>IF([1]SCHEDULE!C1071="","",[1]SCHEDULE!C1071)</f>
        <v>49</v>
      </c>
      <c r="D1071" s="1" t="e">
        <f>IF([1]SCHEDULE!D1071="","",[1]SCHEDULE!D1071)</f>
        <v>#N/A</v>
      </c>
      <c r="E1071" s="1" t="str">
        <f>IF([1]SCHEDULE!E1071="","",[1]SCHEDULE!E1071)</f>
        <v/>
      </c>
      <c r="F1071" s="6" t="str">
        <f>IF([1]SCHEDULE!F1071="","",[1]SCHEDULE!F1071)</f>
        <v/>
      </c>
      <c r="G1071" s="3" t="str">
        <f>IF([1]SCHEDULE!G1071="","",[1]SCHEDULE!G1071)</f>
        <v/>
      </c>
      <c r="H1071" s="3" t="str">
        <f>IF([1]SCHEDULE!H1071="","",[1]SCHEDULE!H1071)</f>
        <v/>
      </c>
      <c r="I1071" s="3" t="str">
        <f>IF([1]SCHEDULE!I1071="","",[1]SCHEDULE!I1071)</f>
        <v/>
      </c>
      <c r="J1071" s="3" t="str">
        <f>IF([1]SCHEDULE!J1071="","",[1]SCHEDULE!J1071)</f>
        <v/>
      </c>
    </row>
    <row r="1072" spans="2:10" x14ac:dyDescent="0.25">
      <c r="B1072" s="3" t="str">
        <f>IF([1]SCHEDULE!B1072="","",[1]SCHEDULE!B1072)</f>
        <v/>
      </c>
      <c r="C1072" s="3">
        <f>IF([1]SCHEDULE!C1072="","",[1]SCHEDULE!C1072)</f>
        <v>50</v>
      </c>
      <c r="D1072" s="1" t="e">
        <f>IF([1]SCHEDULE!D1072="","",[1]SCHEDULE!D1072)</f>
        <v>#N/A</v>
      </c>
      <c r="E1072" s="1" t="str">
        <f>IF([1]SCHEDULE!E1072="","",[1]SCHEDULE!E1072)</f>
        <v/>
      </c>
      <c r="F1072" s="6" t="str">
        <f>IF([1]SCHEDULE!F1072="","",[1]SCHEDULE!F1072)</f>
        <v/>
      </c>
      <c r="G1072" s="3" t="str">
        <f>IF([1]SCHEDULE!G1072="","",[1]SCHEDULE!G1072)</f>
        <v/>
      </c>
      <c r="H1072" s="3" t="str">
        <f>IF([1]SCHEDULE!H1072="","",[1]SCHEDULE!H1072)</f>
        <v/>
      </c>
      <c r="I1072" s="3" t="str">
        <f>IF([1]SCHEDULE!I1072="","",[1]SCHEDULE!I1072)</f>
        <v/>
      </c>
      <c r="J1072" s="3" t="str">
        <f>IF([1]SCHEDULE!J1072="","",[1]SCHEDULE!J1072)</f>
        <v/>
      </c>
    </row>
    <row r="1073" spans="2:10" x14ac:dyDescent="0.25">
      <c r="B1073" s="3" t="str">
        <f>IF([1]SCHEDULE!B1073="","",[1]SCHEDULE!B1073)</f>
        <v/>
      </c>
      <c r="C1073" s="3">
        <f>IF([1]SCHEDULE!C1073="","",[1]SCHEDULE!C1073)</f>
        <v>51</v>
      </c>
      <c r="D1073" s="1" t="e">
        <f>IF([1]SCHEDULE!D1073="","",[1]SCHEDULE!D1073)</f>
        <v>#N/A</v>
      </c>
      <c r="E1073" s="1" t="str">
        <f>IF([1]SCHEDULE!E1073="","",[1]SCHEDULE!E1073)</f>
        <v/>
      </c>
      <c r="F1073" s="6" t="str">
        <f>IF([1]SCHEDULE!F1073="","",[1]SCHEDULE!F1073)</f>
        <v/>
      </c>
      <c r="G1073" s="3" t="str">
        <f>IF([1]SCHEDULE!G1073="","",[1]SCHEDULE!G1073)</f>
        <v/>
      </c>
      <c r="H1073" s="3" t="str">
        <f>IF([1]SCHEDULE!H1073="","",[1]SCHEDULE!H1073)</f>
        <v/>
      </c>
      <c r="I1073" s="3" t="str">
        <f>IF([1]SCHEDULE!I1073="","",[1]SCHEDULE!I1073)</f>
        <v/>
      </c>
      <c r="J1073" s="3" t="str">
        <f>IF([1]SCHEDULE!J1073="","",[1]SCHEDULE!J1073)</f>
        <v/>
      </c>
    </row>
    <row r="1074" spans="2:10" x14ac:dyDescent="0.25">
      <c r="B1074" s="3" t="str">
        <f>IF([1]SCHEDULE!B1074="","",[1]SCHEDULE!B1074)</f>
        <v/>
      </c>
      <c r="C1074" s="3">
        <f>IF([1]SCHEDULE!C1074="","",[1]SCHEDULE!C1074)</f>
        <v>1</v>
      </c>
      <c r="D1074" s="1" t="e">
        <f>IF([1]SCHEDULE!D1074="","",[1]SCHEDULE!D1074)</f>
        <v>#N/A</v>
      </c>
      <c r="E1074" s="1" t="str">
        <f>IF([1]SCHEDULE!E1074="","",[1]SCHEDULE!E1074)</f>
        <v/>
      </c>
      <c r="F1074" s="6" t="str">
        <f>IF([1]SCHEDULE!F1074="","",[1]SCHEDULE!F1074)</f>
        <v/>
      </c>
      <c r="G1074" s="3" t="str">
        <f>IF([1]SCHEDULE!G1074="","",[1]SCHEDULE!G1074)</f>
        <v/>
      </c>
      <c r="H1074" s="3" t="str">
        <f>IF([1]SCHEDULE!H1074="","",[1]SCHEDULE!H1074)</f>
        <v/>
      </c>
      <c r="I1074" s="3" t="str">
        <f>IF([1]SCHEDULE!I1074="","",[1]SCHEDULE!I1074)</f>
        <v/>
      </c>
      <c r="J1074" s="3" t="str">
        <f>IF([1]SCHEDULE!J1074="","",[1]SCHEDULE!J1074)</f>
        <v/>
      </c>
    </row>
    <row r="1075" spans="2:10" x14ac:dyDescent="0.25">
      <c r="B1075" s="3" t="str">
        <f>IF([1]SCHEDULE!B1075="","",[1]SCHEDULE!B1075)</f>
        <v/>
      </c>
      <c r="C1075" s="3">
        <f>IF([1]SCHEDULE!C1075="","",[1]SCHEDULE!C1075)</f>
        <v>2</v>
      </c>
      <c r="D1075" s="1" t="e">
        <f>IF([1]SCHEDULE!D1075="","",[1]SCHEDULE!D1075)</f>
        <v>#N/A</v>
      </c>
      <c r="E1075" s="1" t="str">
        <f>IF([1]SCHEDULE!E1075="","",[1]SCHEDULE!E1075)</f>
        <v/>
      </c>
      <c r="F1075" s="6" t="str">
        <f>IF([1]SCHEDULE!F1075="","",[1]SCHEDULE!F1075)</f>
        <v/>
      </c>
      <c r="G1075" s="3" t="str">
        <f>IF([1]SCHEDULE!G1075="","",[1]SCHEDULE!G1075)</f>
        <v/>
      </c>
      <c r="H1075" s="3" t="str">
        <f>IF([1]SCHEDULE!H1075="","",[1]SCHEDULE!H1075)</f>
        <v/>
      </c>
      <c r="I1075" s="3" t="str">
        <f>IF([1]SCHEDULE!I1075="","",[1]SCHEDULE!I1075)</f>
        <v/>
      </c>
      <c r="J1075" s="3" t="str">
        <f>IF([1]SCHEDULE!J1075="","",[1]SCHEDULE!J1075)</f>
        <v/>
      </c>
    </row>
    <row r="1076" spans="2:10" x14ac:dyDescent="0.25">
      <c r="B1076" s="3" t="str">
        <f>IF([1]SCHEDULE!B1076="","",[1]SCHEDULE!B1076)</f>
        <v/>
      </c>
      <c r="C1076" s="3">
        <f>IF([1]SCHEDULE!C1076="","",[1]SCHEDULE!C1076)</f>
        <v>3</v>
      </c>
      <c r="D1076" s="1" t="e">
        <f>IF([1]SCHEDULE!D1076="","",[1]SCHEDULE!D1076)</f>
        <v>#N/A</v>
      </c>
      <c r="E1076" s="1" t="str">
        <f>IF([1]SCHEDULE!E1076="","",[1]SCHEDULE!E1076)</f>
        <v/>
      </c>
      <c r="F1076" s="6" t="str">
        <f>IF([1]SCHEDULE!F1076="","",[1]SCHEDULE!F1076)</f>
        <v/>
      </c>
      <c r="G1076" s="3" t="str">
        <f>IF([1]SCHEDULE!G1076="","",[1]SCHEDULE!G1076)</f>
        <v/>
      </c>
      <c r="H1076" s="3" t="str">
        <f>IF([1]SCHEDULE!H1076="","",[1]SCHEDULE!H1076)</f>
        <v/>
      </c>
      <c r="I1076" s="3" t="str">
        <f>IF([1]SCHEDULE!I1076="","",[1]SCHEDULE!I1076)</f>
        <v/>
      </c>
      <c r="J1076" s="3" t="str">
        <f>IF([1]SCHEDULE!J1076="","",[1]SCHEDULE!J1076)</f>
        <v/>
      </c>
    </row>
    <row r="1077" spans="2:10" x14ac:dyDescent="0.25">
      <c r="B1077" s="3" t="str">
        <f>IF([1]SCHEDULE!B1077="","",[1]SCHEDULE!B1077)</f>
        <v/>
      </c>
      <c r="C1077" s="3">
        <f>IF([1]SCHEDULE!C1077="","",[1]SCHEDULE!C1077)</f>
        <v>4</v>
      </c>
      <c r="D1077" s="1" t="e">
        <f>IF([1]SCHEDULE!D1077="","",[1]SCHEDULE!D1077)</f>
        <v>#N/A</v>
      </c>
      <c r="E1077" s="1" t="str">
        <f>IF([1]SCHEDULE!E1077="","",[1]SCHEDULE!E1077)</f>
        <v/>
      </c>
      <c r="F1077" s="6" t="str">
        <f>IF([1]SCHEDULE!F1077="","",[1]SCHEDULE!F1077)</f>
        <v/>
      </c>
      <c r="G1077" s="3" t="str">
        <f>IF([1]SCHEDULE!G1077="","",[1]SCHEDULE!G1077)</f>
        <v/>
      </c>
      <c r="H1077" s="3" t="str">
        <f>IF([1]SCHEDULE!H1077="","",[1]SCHEDULE!H1077)</f>
        <v/>
      </c>
      <c r="I1077" s="3" t="str">
        <f>IF([1]SCHEDULE!I1077="","",[1]SCHEDULE!I1077)</f>
        <v/>
      </c>
      <c r="J1077" s="3" t="str">
        <f>IF([1]SCHEDULE!J1077="","",[1]SCHEDULE!J1077)</f>
        <v/>
      </c>
    </row>
    <row r="1078" spans="2:10" x14ac:dyDescent="0.25">
      <c r="B1078" s="3" t="str">
        <f>IF([1]SCHEDULE!B1078="","",[1]SCHEDULE!B1078)</f>
        <v/>
      </c>
      <c r="C1078" s="3">
        <f>IF([1]SCHEDULE!C1078="","",[1]SCHEDULE!C1078)</f>
        <v>5</v>
      </c>
      <c r="D1078" s="1" t="e">
        <f>IF([1]SCHEDULE!D1078="","",[1]SCHEDULE!D1078)</f>
        <v>#N/A</v>
      </c>
      <c r="E1078" s="1" t="str">
        <f>IF([1]SCHEDULE!E1078="","",[1]SCHEDULE!E1078)</f>
        <v/>
      </c>
      <c r="F1078" s="6" t="str">
        <f>IF([1]SCHEDULE!F1078="","",[1]SCHEDULE!F1078)</f>
        <v/>
      </c>
      <c r="G1078" s="3" t="str">
        <f>IF([1]SCHEDULE!G1078="","",[1]SCHEDULE!G1078)</f>
        <v/>
      </c>
      <c r="H1078" s="3" t="str">
        <f>IF([1]SCHEDULE!H1078="","",[1]SCHEDULE!H1078)</f>
        <v/>
      </c>
      <c r="I1078" s="3" t="str">
        <f>IF([1]SCHEDULE!I1078="","",[1]SCHEDULE!I1078)</f>
        <v/>
      </c>
      <c r="J1078" s="3" t="str">
        <f>IF([1]SCHEDULE!J1078="","",[1]SCHEDULE!J1078)</f>
        <v/>
      </c>
    </row>
    <row r="1079" spans="2:10" x14ac:dyDescent="0.25">
      <c r="B1079" s="3" t="str">
        <f>IF([1]SCHEDULE!B1079="","",[1]SCHEDULE!B1079)</f>
        <v/>
      </c>
      <c r="C1079" s="3">
        <f>IF([1]SCHEDULE!C1079="","",[1]SCHEDULE!C1079)</f>
        <v>6</v>
      </c>
      <c r="D1079" s="1" t="e">
        <f>IF([1]SCHEDULE!D1079="","",[1]SCHEDULE!D1079)</f>
        <v>#N/A</v>
      </c>
      <c r="E1079" s="1" t="str">
        <f>IF([1]SCHEDULE!E1079="","",[1]SCHEDULE!E1079)</f>
        <v/>
      </c>
      <c r="F1079" s="6" t="str">
        <f>IF([1]SCHEDULE!F1079="","",[1]SCHEDULE!F1079)</f>
        <v/>
      </c>
      <c r="G1079" s="3" t="str">
        <f>IF([1]SCHEDULE!G1079="","",[1]SCHEDULE!G1079)</f>
        <v/>
      </c>
      <c r="H1079" s="3" t="str">
        <f>IF([1]SCHEDULE!H1079="","",[1]SCHEDULE!H1079)</f>
        <v/>
      </c>
      <c r="I1079" s="3" t="str">
        <f>IF([1]SCHEDULE!I1079="","",[1]SCHEDULE!I1079)</f>
        <v/>
      </c>
      <c r="J1079" s="3" t="str">
        <f>IF([1]SCHEDULE!J1079="","",[1]SCHEDULE!J1079)</f>
        <v/>
      </c>
    </row>
    <row r="1080" spans="2:10" x14ac:dyDescent="0.25">
      <c r="B1080" s="3" t="str">
        <f>IF([1]SCHEDULE!B1080="","",[1]SCHEDULE!B1080)</f>
        <v/>
      </c>
      <c r="C1080" s="3">
        <f>IF([1]SCHEDULE!C1080="","",[1]SCHEDULE!C1080)</f>
        <v>7</v>
      </c>
      <c r="D1080" s="1" t="e">
        <f>IF([1]SCHEDULE!D1080="","",[1]SCHEDULE!D1080)</f>
        <v>#N/A</v>
      </c>
      <c r="E1080" s="1" t="str">
        <f>IF([1]SCHEDULE!E1080="","",[1]SCHEDULE!E1080)</f>
        <v/>
      </c>
      <c r="F1080" s="6" t="str">
        <f>IF([1]SCHEDULE!F1080="","",[1]SCHEDULE!F1080)</f>
        <v/>
      </c>
      <c r="G1080" s="3" t="str">
        <f>IF([1]SCHEDULE!G1080="","",[1]SCHEDULE!G1080)</f>
        <v/>
      </c>
      <c r="H1080" s="3" t="str">
        <f>IF([1]SCHEDULE!H1080="","",[1]SCHEDULE!H1080)</f>
        <v/>
      </c>
      <c r="I1080" s="3" t="str">
        <f>IF([1]SCHEDULE!I1080="","",[1]SCHEDULE!I1080)</f>
        <v/>
      </c>
      <c r="J1080" s="3" t="str">
        <f>IF([1]SCHEDULE!J1080="","",[1]SCHEDULE!J1080)</f>
        <v/>
      </c>
    </row>
    <row r="1081" spans="2:10" x14ac:dyDescent="0.25">
      <c r="B1081" s="3" t="str">
        <f>IF([1]SCHEDULE!B1081="","",[1]SCHEDULE!B1081)</f>
        <v/>
      </c>
      <c r="C1081" s="3">
        <f>IF([1]SCHEDULE!C1081="","",[1]SCHEDULE!C1081)</f>
        <v>8</v>
      </c>
      <c r="D1081" s="1" t="e">
        <f>IF([1]SCHEDULE!D1081="","",[1]SCHEDULE!D1081)</f>
        <v>#N/A</v>
      </c>
      <c r="E1081" s="1" t="str">
        <f>IF([1]SCHEDULE!E1081="","",[1]SCHEDULE!E1081)</f>
        <v/>
      </c>
      <c r="F1081" s="6" t="str">
        <f>IF([1]SCHEDULE!F1081="","",[1]SCHEDULE!F1081)</f>
        <v/>
      </c>
      <c r="G1081" s="3" t="str">
        <f>IF([1]SCHEDULE!G1081="","",[1]SCHEDULE!G1081)</f>
        <v/>
      </c>
      <c r="H1081" s="3" t="str">
        <f>IF([1]SCHEDULE!H1081="","",[1]SCHEDULE!H1081)</f>
        <v/>
      </c>
      <c r="I1081" s="3" t="str">
        <f>IF([1]SCHEDULE!I1081="","",[1]SCHEDULE!I1081)</f>
        <v/>
      </c>
      <c r="J1081" s="3" t="str">
        <f>IF([1]SCHEDULE!J1081="","",[1]SCHEDULE!J1081)</f>
        <v/>
      </c>
    </row>
    <row r="1082" spans="2:10" x14ac:dyDescent="0.25">
      <c r="B1082" s="3" t="str">
        <f>IF([1]SCHEDULE!B1082="","",[1]SCHEDULE!B1082)</f>
        <v/>
      </c>
      <c r="C1082" s="3">
        <f>IF([1]SCHEDULE!C1082="","",[1]SCHEDULE!C1082)</f>
        <v>9</v>
      </c>
      <c r="D1082" s="1" t="e">
        <f>IF([1]SCHEDULE!D1082="","",[1]SCHEDULE!D1082)</f>
        <v>#N/A</v>
      </c>
      <c r="E1082" s="1" t="str">
        <f>IF([1]SCHEDULE!E1082="","",[1]SCHEDULE!E1082)</f>
        <v/>
      </c>
      <c r="F1082" s="6" t="str">
        <f>IF([1]SCHEDULE!F1082="","",[1]SCHEDULE!F1082)</f>
        <v/>
      </c>
      <c r="G1082" s="3" t="str">
        <f>IF([1]SCHEDULE!G1082="","",[1]SCHEDULE!G1082)</f>
        <v/>
      </c>
      <c r="H1082" s="3" t="str">
        <f>IF([1]SCHEDULE!H1082="","",[1]SCHEDULE!H1082)</f>
        <v/>
      </c>
      <c r="I1082" s="3" t="str">
        <f>IF([1]SCHEDULE!I1082="","",[1]SCHEDULE!I1082)</f>
        <v/>
      </c>
      <c r="J1082" s="3" t="str">
        <f>IF([1]SCHEDULE!J1082="","",[1]SCHEDULE!J1082)</f>
        <v/>
      </c>
    </row>
    <row r="1083" spans="2:10" x14ac:dyDescent="0.25">
      <c r="B1083" s="3" t="str">
        <f>IF([1]SCHEDULE!B1083="","",[1]SCHEDULE!B1083)</f>
        <v/>
      </c>
      <c r="C1083" s="3">
        <f>IF([1]SCHEDULE!C1083="","",[1]SCHEDULE!C1083)</f>
        <v>10</v>
      </c>
      <c r="D1083" s="1" t="e">
        <f>IF([1]SCHEDULE!D1083="","",[1]SCHEDULE!D1083)</f>
        <v>#N/A</v>
      </c>
      <c r="E1083" s="1" t="str">
        <f>IF([1]SCHEDULE!E1083="","",[1]SCHEDULE!E1083)</f>
        <v/>
      </c>
      <c r="F1083" s="6" t="str">
        <f>IF([1]SCHEDULE!F1083="","",[1]SCHEDULE!F1083)</f>
        <v/>
      </c>
      <c r="G1083" s="3" t="str">
        <f>IF([1]SCHEDULE!G1083="","",[1]SCHEDULE!G1083)</f>
        <v/>
      </c>
      <c r="H1083" s="3" t="str">
        <f>IF([1]SCHEDULE!H1083="","",[1]SCHEDULE!H1083)</f>
        <v/>
      </c>
      <c r="I1083" s="3" t="str">
        <f>IF([1]SCHEDULE!I1083="","",[1]SCHEDULE!I1083)</f>
        <v/>
      </c>
      <c r="J1083" s="3" t="str">
        <f>IF([1]SCHEDULE!J1083="","",[1]SCHEDULE!J1083)</f>
        <v/>
      </c>
    </row>
    <row r="1084" spans="2:10" x14ac:dyDescent="0.25">
      <c r="B1084" s="3" t="str">
        <f>IF([1]SCHEDULE!B1084="","",[1]SCHEDULE!B1084)</f>
        <v/>
      </c>
      <c r="C1084" s="3">
        <f>IF([1]SCHEDULE!C1084="","",[1]SCHEDULE!C1084)</f>
        <v>11</v>
      </c>
      <c r="D1084" s="1" t="e">
        <f>IF([1]SCHEDULE!D1084="","",[1]SCHEDULE!D1084)</f>
        <v>#N/A</v>
      </c>
      <c r="E1084" s="1" t="str">
        <f>IF([1]SCHEDULE!E1084="","",[1]SCHEDULE!E1084)</f>
        <v/>
      </c>
      <c r="F1084" s="6" t="str">
        <f>IF([1]SCHEDULE!F1084="","",[1]SCHEDULE!F1084)</f>
        <v/>
      </c>
      <c r="G1084" s="3" t="str">
        <f>IF([1]SCHEDULE!G1084="","",[1]SCHEDULE!G1084)</f>
        <v/>
      </c>
      <c r="H1084" s="3" t="str">
        <f>IF([1]SCHEDULE!H1084="","",[1]SCHEDULE!H1084)</f>
        <v/>
      </c>
      <c r="I1084" s="3" t="str">
        <f>IF([1]SCHEDULE!I1084="","",[1]SCHEDULE!I1084)</f>
        <v/>
      </c>
      <c r="J1084" s="3" t="str">
        <f>IF([1]SCHEDULE!J1084="","",[1]SCHEDULE!J1084)</f>
        <v/>
      </c>
    </row>
    <row r="1085" spans="2:10" x14ac:dyDescent="0.25">
      <c r="B1085" s="3" t="str">
        <f>IF([1]SCHEDULE!B1085="","",[1]SCHEDULE!B1085)</f>
        <v/>
      </c>
      <c r="C1085" s="3">
        <f>IF([1]SCHEDULE!C1085="","",[1]SCHEDULE!C1085)</f>
        <v>12</v>
      </c>
      <c r="D1085" s="1" t="e">
        <f>IF([1]SCHEDULE!D1085="","",[1]SCHEDULE!D1085)</f>
        <v>#N/A</v>
      </c>
      <c r="E1085" s="1" t="str">
        <f>IF([1]SCHEDULE!E1085="","",[1]SCHEDULE!E1085)</f>
        <v/>
      </c>
      <c r="F1085" s="6" t="str">
        <f>IF([1]SCHEDULE!F1085="","",[1]SCHEDULE!F1085)</f>
        <v/>
      </c>
      <c r="G1085" s="3" t="str">
        <f>IF([1]SCHEDULE!G1085="","",[1]SCHEDULE!G1085)</f>
        <v/>
      </c>
      <c r="H1085" s="3" t="str">
        <f>IF([1]SCHEDULE!H1085="","",[1]SCHEDULE!H1085)</f>
        <v/>
      </c>
      <c r="I1085" s="3" t="str">
        <f>IF([1]SCHEDULE!I1085="","",[1]SCHEDULE!I1085)</f>
        <v/>
      </c>
      <c r="J1085" s="3" t="str">
        <f>IF([1]SCHEDULE!J1085="","",[1]SCHEDULE!J1085)</f>
        <v/>
      </c>
    </row>
    <row r="1086" spans="2:10" x14ac:dyDescent="0.25">
      <c r="B1086" s="3" t="str">
        <f>IF([1]SCHEDULE!B1086="","",[1]SCHEDULE!B1086)</f>
        <v/>
      </c>
      <c r="C1086" s="3">
        <f>IF([1]SCHEDULE!C1086="","",[1]SCHEDULE!C1086)</f>
        <v>13</v>
      </c>
      <c r="D1086" s="1" t="e">
        <f>IF([1]SCHEDULE!D1086="","",[1]SCHEDULE!D1086)</f>
        <v>#N/A</v>
      </c>
      <c r="E1086" s="1" t="str">
        <f>IF([1]SCHEDULE!E1086="","",[1]SCHEDULE!E1086)</f>
        <v/>
      </c>
      <c r="F1086" s="6" t="str">
        <f>IF([1]SCHEDULE!F1086="","",[1]SCHEDULE!F1086)</f>
        <v/>
      </c>
      <c r="G1086" s="3" t="str">
        <f>IF([1]SCHEDULE!G1086="","",[1]SCHEDULE!G1086)</f>
        <v/>
      </c>
      <c r="H1086" s="3" t="str">
        <f>IF([1]SCHEDULE!H1086="","",[1]SCHEDULE!H1086)</f>
        <v/>
      </c>
      <c r="I1086" s="3" t="str">
        <f>IF([1]SCHEDULE!I1086="","",[1]SCHEDULE!I1086)</f>
        <v/>
      </c>
      <c r="J1086" s="3" t="str">
        <f>IF([1]SCHEDULE!J1086="","",[1]SCHEDULE!J1086)</f>
        <v/>
      </c>
    </row>
    <row r="1087" spans="2:10" x14ac:dyDescent="0.25">
      <c r="B1087" s="3" t="str">
        <f>IF([1]SCHEDULE!B1087="","",[1]SCHEDULE!B1087)</f>
        <v/>
      </c>
      <c r="C1087" s="3">
        <f>IF([1]SCHEDULE!C1087="","",[1]SCHEDULE!C1087)</f>
        <v>14</v>
      </c>
      <c r="D1087" s="1" t="e">
        <f>IF([1]SCHEDULE!D1087="","",[1]SCHEDULE!D1087)</f>
        <v>#N/A</v>
      </c>
      <c r="E1087" s="1" t="str">
        <f>IF([1]SCHEDULE!E1087="","",[1]SCHEDULE!E1087)</f>
        <v/>
      </c>
      <c r="F1087" s="6" t="str">
        <f>IF([1]SCHEDULE!F1087="","",[1]SCHEDULE!F1087)</f>
        <v/>
      </c>
      <c r="G1087" s="3" t="str">
        <f>IF([1]SCHEDULE!G1087="","",[1]SCHEDULE!G1087)</f>
        <v/>
      </c>
      <c r="H1087" s="3" t="str">
        <f>IF([1]SCHEDULE!H1087="","",[1]SCHEDULE!H1087)</f>
        <v/>
      </c>
      <c r="I1087" s="3" t="str">
        <f>IF([1]SCHEDULE!I1087="","",[1]SCHEDULE!I1087)</f>
        <v/>
      </c>
      <c r="J1087" s="3" t="str">
        <f>IF([1]SCHEDULE!J1087="","",[1]SCHEDULE!J1087)</f>
        <v/>
      </c>
    </row>
    <row r="1088" spans="2:10" x14ac:dyDescent="0.25">
      <c r="B1088" s="3" t="str">
        <f>IF([1]SCHEDULE!B1088="","",[1]SCHEDULE!B1088)</f>
        <v/>
      </c>
      <c r="C1088" s="3">
        <f>IF([1]SCHEDULE!C1088="","",[1]SCHEDULE!C1088)</f>
        <v>15</v>
      </c>
      <c r="D1088" s="1" t="e">
        <f>IF([1]SCHEDULE!D1088="","",[1]SCHEDULE!D1088)</f>
        <v>#N/A</v>
      </c>
      <c r="E1088" s="1" t="str">
        <f>IF([1]SCHEDULE!E1088="","",[1]SCHEDULE!E1088)</f>
        <v/>
      </c>
      <c r="F1088" s="6" t="str">
        <f>IF([1]SCHEDULE!F1088="","",[1]SCHEDULE!F1088)</f>
        <v/>
      </c>
      <c r="G1088" s="3" t="str">
        <f>IF([1]SCHEDULE!G1088="","",[1]SCHEDULE!G1088)</f>
        <v/>
      </c>
      <c r="H1088" s="3" t="str">
        <f>IF([1]SCHEDULE!H1088="","",[1]SCHEDULE!H1088)</f>
        <v/>
      </c>
      <c r="I1088" s="3" t="str">
        <f>IF([1]SCHEDULE!I1088="","",[1]SCHEDULE!I1088)</f>
        <v/>
      </c>
      <c r="J1088" s="3" t="str">
        <f>IF([1]SCHEDULE!J1088="","",[1]SCHEDULE!J1088)</f>
        <v/>
      </c>
    </row>
    <row r="1089" spans="2:10" x14ac:dyDescent="0.25">
      <c r="B1089" s="3" t="str">
        <f>IF([1]SCHEDULE!B1089="","",[1]SCHEDULE!B1089)</f>
        <v/>
      </c>
      <c r="C1089" s="3">
        <f>IF([1]SCHEDULE!C1089="","",[1]SCHEDULE!C1089)</f>
        <v>16</v>
      </c>
      <c r="D1089" s="1" t="e">
        <f>IF([1]SCHEDULE!D1089="","",[1]SCHEDULE!D1089)</f>
        <v>#N/A</v>
      </c>
      <c r="E1089" s="1" t="str">
        <f>IF([1]SCHEDULE!E1089="","",[1]SCHEDULE!E1089)</f>
        <v/>
      </c>
      <c r="F1089" s="6" t="str">
        <f>IF([1]SCHEDULE!F1089="","",[1]SCHEDULE!F1089)</f>
        <v/>
      </c>
      <c r="G1089" s="3" t="str">
        <f>IF([1]SCHEDULE!G1089="","",[1]SCHEDULE!G1089)</f>
        <v/>
      </c>
      <c r="H1089" s="3" t="str">
        <f>IF([1]SCHEDULE!H1089="","",[1]SCHEDULE!H1089)</f>
        <v/>
      </c>
      <c r="I1089" s="3" t="str">
        <f>IF([1]SCHEDULE!I1089="","",[1]SCHEDULE!I1089)</f>
        <v/>
      </c>
      <c r="J1089" s="3" t="str">
        <f>IF([1]SCHEDULE!J1089="","",[1]SCHEDULE!J1089)</f>
        <v/>
      </c>
    </row>
    <row r="1090" spans="2:10" x14ac:dyDescent="0.25">
      <c r="B1090" s="3" t="str">
        <f>IF([1]SCHEDULE!B1090="","",[1]SCHEDULE!B1090)</f>
        <v/>
      </c>
      <c r="C1090" s="3">
        <f>IF([1]SCHEDULE!C1090="","",[1]SCHEDULE!C1090)</f>
        <v>17</v>
      </c>
      <c r="D1090" s="1" t="e">
        <f>IF([1]SCHEDULE!D1090="","",[1]SCHEDULE!D1090)</f>
        <v>#N/A</v>
      </c>
      <c r="E1090" s="1" t="str">
        <f>IF([1]SCHEDULE!E1090="","",[1]SCHEDULE!E1090)</f>
        <v/>
      </c>
      <c r="F1090" s="6" t="str">
        <f>IF([1]SCHEDULE!F1090="","",[1]SCHEDULE!F1090)</f>
        <v/>
      </c>
      <c r="G1090" s="3" t="str">
        <f>IF([1]SCHEDULE!G1090="","",[1]SCHEDULE!G1090)</f>
        <v/>
      </c>
      <c r="H1090" s="3" t="str">
        <f>IF([1]SCHEDULE!H1090="","",[1]SCHEDULE!H1090)</f>
        <v/>
      </c>
      <c r="I1090" s="3" t="str">
        <f>IF([1]SCHEDULE!I1090="","",[1]SCHEDULE!I1090)</f>
        <v/>
      </c>
      <c r="J1090" s="3" t="str">
        <f>IF([1]SCHEDULE!J1090="","",[1]SCHEDULE!J1090)</f>
        <v/>
      </c>
    </row>
    <row r="1091" spans="2:10" x14ac:dyDescent="0.25">
      <c r="B1091" s="3" t="str">
        <f>IF([1]SCHEDULE!B1091="","",[1]SCHEDULE!B1091)</f>
        <v/>
      </c>
      <c r="C1091" s="3">
        <f>IF([1]SCHEDULE!C1091="","",[1]SCHEDULE!C1091)</f>
        <v>18</v>
      </c>
      <c r="D1091" s="1" t="e">
        <f>IF([1]SCHEDULE!D1091="","",[1]SCHEDULE!D1091)</f>
        <v>#N/A</v>
      </c>
      <c r="E1091" s="1" t="str">
        <f>IF([1]SCHEDULE!E1091="","",[1]SCHEDULE!E1091)</f>
        <v/>
      </c>
      <c r="F1091" s="6" t="str">
        <f>IF([1]SCHEDULE!F1091="","",[1]SCHEDULE!F1091)</f>
        <v/>
      </c>
      <c r="G1091" s="3" t="str">
        <f>IF([1]SCHEDULE!G1091="","",[1]SCHEDULE!G1091)</f>
        <v/>
      </c>
      <c r="H1091" s="3" t="str">
        <f>IF([1]SCHEDULE!H1091="","",[1]SCHEDULE!H1091)</f>
        <v/>
      </c>
      <c r="I1091" s="3" t="str">
        <f>IF([1]SCHEDULE!I1091="","",[1]SCHEDULE!I1091)</f>
        <v/>
      </c>
      <c r="J1091" s="3" t="str">
        <f>IF([1]SCHEDULE!J1091="","",[1]SCHEDULE!J1091)</f>
        <v/>
      </c>
    </row>
    <row r="1092" spans="2:10" x14ac:dyDescent="0.25">
      <c r="B1092" s="3" t="str">
        <f>IF([1]SCHEDULE!B1092="","",[1]SCHEDULE!B1092)</f>
        <v/>
      </c>
      <c r="C1092" s="3">
        <f>IF([1]SCHEDULE!C1092="","",[1]SCHEDULE!C1092)</f>
        <v>19</v>
      </c>
      <c r="D1092" s="1" t="e">
        <f>IF([1]SCHEDULE!D1092="","",[1]SCHEDULE!D1092)</f>
        <v>#N/A</v>
      </c>
      <c r="E1092" s="1" t="str">
        <f>IF([1]SCHEDULE!E1092="","",[1]SCHEDULE!E1092)</f>
        <v/>
      </c>
      <c r="F1092" s="6" t="str">
        <f>IF([1]SCHEDULE!F1092="","",[1]SCHEDULE!F1092)</f>
        <v/>
      </c>
      <c r="G1092" s="3" t="str">
        <f>IF([1]SCHEDULE!G1092="","",[1]SCHEDULE!G1092)</f>
        <v/>
      </c>
      <c r="H1092" s="3" t="str">
        <f>IF([1]SCHEDULE!H1092="","",[1]SCHEDULE!H1092)</f>
        <v/>
      </c>
      <c r="I1092" s="3" t="str">
        <f>IF([1]SCHEDULE!I1092="","",[1]SCHEDULE!I1092)</f>
        <v/>
      </c>
      <c r="J1092" s="3" t="str">
        <f>IF([1]SCHEDULE!J1092="","",[1]SCHEDULE!J1092)</f>
        <v/>
      </c>
    </row>
    <row r="1093" spans="2:10" x14ac:dyDescent="0.25">
      <c r="B1093" s="3" t="str">
        <f>IF([1]SCHEDULE!B1093="","",[1]SCHEDULE!B1093)</f>
        <v/>
      </c>
      <c r="C1093" s="3">
        <f>IF([1]SCHEDULE!C1093="","",[1]SCHEDULE!C1093)</f>
        <v>20</v>
      </c>
      <c r="D1093" s="1" t="e">
        <f>IF([1]SCHEDULE!D1093="","",[1]SCHEDULE!D1093)</f>
        <v>#N/A</v>
      </c>
      <c r="E1093" s="1" t="str">
        <f>IF([1]SCHEDULE!E1093="","",[1]SCHEDULE!E1093)</f>
        <v/>
      </c>
      <c r="F1093" s="6" t="str">
        <f>IF([1]SCHEDULE!F1093="","",[1]SCHEDULE!F1093)</f>
        <v/>
      </c>
      <c r="G1093" s="3" t="str">
        <f>IF([1]SCHEDULE!G1093="","",[1]SCHEDULE!G1093)</f>
        <v/>
      </c>
      <c r="H1093" s="3" t="str">
        <f>IF([1]SCHEDULE!H1093="","",[1]SCHEDULE!H1093)</f>
        <v/>
      </c>
      <c r="I1093" s="3" t="str">
        <f>IF([1]SCHEDULE!I1093="","",[1]SCHEDULE!I1093)</f>
        <v/>
      </c>
      <c r="J1093" s="3" t="str">
        <f>IF([1]SCHEDULE!J1093="","",[1]SCHEDULE!J1093)</f>
        <v/>
      </c>
    </row>
    <row r="1094" spans="2:10" x14ac:dyDescent="0.25">
      <c r="B1094" s="3" t="str">
        <f>IF([1]SCHEDULE!B1094="","",[1]SCHEDULE!B1094)</f>
        <v/>
      </c>
      <c r="C1094" s="3">
        <f>IF([1]SCHEDULE!C1094="","",[1]SCHEDULE!C1094)</f>
        <v>21</v>
      </c>
      <c r="D1094" s="1" t="e">
        <f>IF([1]SCHEDULE!D1094="","",[1]SCHEDULE!D1094)</f>
        <v>#N/A</v>
      </c>
      <c r="E1094" s="1" t="str">
        <f>IF([1]SCHEDULE!E1094="","",[1]SCHEDULE!E1094)</f>
        <v/>
      </c>
      <c r="F1094" s="6" t="str">
        <f>IF([1]SCHEDULE!F1094="","",[1]SCHEDULE!F1094)</f>
        <v/>
      </c>
      <c r="G1094" s="3" t="str">
        <f>IF([1]SCHEDULE!G1094="","",[1]SCHEDULE!G1094)</f>
        <v/>
      </c>
      <c r="H1094" s="3" t="str">
        <f>IF([1]SCHEDULE!H1094="","",[1]SCHEDULE!H1094)</f>
        <v/>
      </c>
      <c r="I1094" s="3" t="str">
        <f>IF([1]SCHEDULE!I1094="","",[1]SCHEDULE!I1094)</f>
        <v/>
      </c>
      <c r="J1094" s="3" t="str">
        <f>IF([1]SCHEDULE!J1094="","",[1]SCHEDULE!J1094)</f>
        <v/>
      </c>
    </row>
    <row r="1095" spans="2:10" x14ac:dyDescent="0.25">
      <c r="B1095" s="3" t="str">
        <f>IF([1]SCHEDULE!B1095="","",[1]SCHEDULE!B1095)</f>
        <v/>
      </c>
      <c r="C1095" s="3">
        <f>IF([1]SCHEDULE!C1095="","",[1]SCHEDULE!C1095)</f>
        <v>22</v>
      </c>
      <c r="D1095" s="1" t="e">
        <f>IF([1]SCHEDULE!D1095="","",[1]SCHEDULE!D1095)</f>
        <v>#N/A</v>
      </c>
      <c r="E1095" s="1" t="str">
        <f>IF([1]SCHEDULE!E1095="","",[1]SCHEDULE!E1095)</f>
        <v/>
      </c>
      <c r="F1095" s="6" t="str">
        <f>IF([1]SCHEDULE!F1095="","",[1]SCHEDULE!F1095)</f>
        <v/>
      </c>
      <c r="G1095" s="3" t="str">
        <f>IF([1]SCHEDULE!G1095="","",[1]SCHEDULE!G1095)</f>
        <v/>
      </c>
      <c r="H1095" s="3" t="str">
        <f>IF([1]SCHEDULE!H1095="","",[1]SCHEDULE!H1095)</f>
        <v/>
      </c>
      <c r="I1095" s="3" t="str">
        <f>IF([1]SCHEDULE!I1095="","",[1]SCHEDULE!I1095)</f>
        <v/>
      </c>
      <c r="J1095" s="3" t="str">
        <f>IF([1]SCHEDULE!J1095="","",[1]SCHEDULE!J1095)</f>
        <v/>
      </c>
    </row>
    <row r="1096" spans="2:10" x14ac:dyDescent="0.25">
      <c r="B1096" s="3" t="str">
        <f>IF([1]SCHEDULE!B1096="","",[1]SCHEDULE!B1096)</f>
        <v/>
      </c>
      <c r="C1096" s="3">
        <f>IF([1]SCHEDULE!C1096="","",[1]SCHEDULE!C1096)</f>
        <v>23</v>
      </c>
      <c r="D1096" s="1" t="e">
        <f>IF([1]SCHEDULE!D1096="","",[1]SCHEDULE!D1096)</f>
        <v>#N/A</v>
      </c>
      <c r="E1096" s="1" t="str">
        <f>IF([1]SCHEDULE!E1096="","",[1]SCHEDULE!E1096)</f>
        <v/>
      </c>
      <c r="F1096" s="6" t="str">
        <f>IF([1]SCHEDULE!F1096="","",[1]SCHEDULE!F1096)</f>
        <v/>
      </c>
      <c r="G1096" s="3" t="str">
        <f>IF([1]SCHEDULE!G1096="","",[1]SCHEDULE!G1096)</f>
        <v/>
      </c>
      <c r="H1096" s="3" t="str">
        <f>IF([1]SCHEDULE!H1096="","",[1]SCHEDULE!H1096)</f>
        <v/>
      </c>
      <c r="I1096" s="3" t="str">
        <f>IF([1]SCHEDULE!I1096="","",[1]SCHEDULE!I1096)</f>
        <v/>
      </c>
      <c r="J1096" s="3" t="str">
        <f>IF([1]SCHEDULE!J1096="","",[1]SCHEDULE!J1096)</f>
        <v/>
      </c>
    </row>
    <row r="1097" spans="2:10" x14ac:dyDescent="0.25">
      <c r="B1097" s="3" t="str">
        <f>IF([1]SCHEDULE!B1097="","",[1]SCHEDULE!B1097)</f>
        <v/>
      </c>
      <c r="C1097" s="3">
        <f>IF([1]SCHEDULE!C1097="","",[1]SCHEDULE!C1097)</f>
        <v>24</v>
      </c>
      <c r="D1097" s="1" t="e">
        <f>IF([1]SCHEDULE!D1097="","",[1]SCHEDULE!D1097)</f>
        <v>#N/A</v>
      </c>
      <c r="E1097" s="1" t="str">
        <f>IF([1]SCHEDULE!E1097="","",[1]SCHEDULE!E1097)</f>
        <v/>
      </c>
      <c r="F1097" s="6" t="str">
        <f>IF([1]SCHEDULE!F1097="","",[1]SCHEDULE!F1097)</f>
        <v/>
      </c>
      <c r="G1097" s="3" t="str">
        <f>IF([1]SCHEDULE!G1097="","",[1]SCHEDULE!G1097)</f>
        <v/>
      </c>
      <c r="H1097" s="3" t="str">
        <f>IF([1]SCHEDULE!H1097="","",[1]SCHEDULE!H1097)</f>
        <v/>
      </c>
      <c r="I1097" s="3" t="str">
        <f>IF([1]SCHEDULE!I1097="","",[1]SCHEDULE!I1097)</f>
        <v/>
      </c>
      <c r="J1097" s="3" t="str">
        <f>IF([1]SCHEDULE!J1097="","",[1]SCHEDULE!J1097)</f>
        <v/>
      </c>
    </row>
    <row r="1098" spans="2:10" x14ac:dyDescent="0.25">
      <c r="B1098" s="3" t="str">
        <f>IF([1]SCHEDULE!B1098="","",[1]SCHEDULE!B1098)</f>
        <v/>
      </c>
      <c r="C1098" s="3">
        <f>IF([1]SCHEDULE!C1098="","",[1]SCHEDULE!C1098)</f>
        <v>25</v>
      </c>
      <c r="D1098" s="1" t="e">
        <f>IF([1]SCHEDULE!D1098="","",[1]SCHEDULE!D1098)</f>
        <v>#N/A</v>
      </c>
      <c r="E1098" s="1" t="str">
        <f>IF([1]SCHEDULE!E1098="","",[1]SCHEDULE!E1098)</f>
        <v/>
      </c>
      <c r="F1098" s="6" t="str">
        <f>IF([1]SCHEDULE!F1098="","",[1]SCHEDULE!F1098)</f>
        <v/>
      </c>
      <c r="G1098" s="3" t="str">
        <f>IF([1]SCHEDULE!G1098="","",[1]SCHEDULE!G1098)</f>
        <v/>
      </c>
      <c r="H1098" s="3" t="str">
        <f>IF([1]SCHEDULE!H1098="","",[1]SCHEDULE!H1098)</f>
        <v/>
      </c>
      <c r="I1098" s="3" t="str">
        <f>IF([1]SCHEDULE!I1098="","",[1]SCHEDULE!I1098)</f>
        <v/>
      </c>
      <c r="J1098" s="3" t="str">
        <f>IF([1]SCHEDULE!J1098="","",[1]SCHEDULE!J1098)</f>
        <v/>
      </c>
    </row>
    <row r="1099" spans="2:10" x14ac:dyDescent="0.25">
      <c r="B1099" s="3" t="str">
        <f>IF([1]SCHEDULE!B1099="","",[1]SCHEDULE!B1099)</f>
        <v/>
      </c>
      <c r="C1099" s="3">
        <f>IF([1]SCHEDULE!C1099="","",[1]SCHEDULE!C1099)</f>
        <v>26</v>
      </c>
      <c r="D1099" s="1" t="e">
        <f>IF([1]SCHEDULE!D1099="","",[1]SCHEDULE!D1099)</f>
        <v>#N/A</v>
      </c>
      <c r="E1099" s="1" t="str">
        <f>IF([1]SCHEDULE!E1099="","",[1]SCHEDULE!E1099)</f>
        <v/>
      </c>
      <c r="F1099" s="6" t="str">
        <f>IF([1]SCHEDULE!F1099="","",[1]SCHEDULE!F1099)</f>
        <v/>
      </c>
      <c r="G1099" s="3" t="str">
        <f>IF([1]SCHEDULE!G1099="","",[1]SCHEDULE!G1099)</f>
        <v/>
      </c>
      <c r="H1099" s="3" t="str">
        <f>IF([1]SCHEDULE!H1099="","",[1]SCHEDULE!H1099)</f>
        <v/>
      </c>
      <c r="I1099" s="3" t="str">
        <f>IF([1]SCHEDULE!I1099="","",[1]SCHEDULE!I1099)</f>
        <v/>
      </c>
      <c r="J1099" s="3" t="str">
        <f>IF([1]SCHEDULE!J1099="","",[1]SCHEDULE!J1099)</f>
        <v/>
      </c>
    </row>
    <row r="1100" spans="2:10" x14ac:dyDescent="0.25">
      <c r="B1100" s="3" t="str">
        <f>IF([1]SCHEDULE!B1100="","",[1]SCHEDULE!B1100)</f>
        <v/>
      </c>
      <c r="C1100" s="3">
        <f>IF([1]SCHEDULE!C1100="","",[1]SCHEDULE!C1100)</f>
        <v>27</v>
      </c>
      <c r="D1100" s="1" t="e">
        <f>IF([1]SCHEDULE!D1100="","",[1]SCHEDULE!D1100)</f>
        <v>#N/A</v>
      </c>
      <c r="E1100" s="1" t="str">
        <f>IF([1]SCHEDULE!E1100="","",[1]SCHEDULE!E1100)</f>
        <v/>
      </c>
      <c r="F1100" s="6" t="str">
        <f>IF([1]SCHEDULE!F1100="","",[1]SCHEDULE!F1100)</f>
        <v/>
      </c>
      <c r="G1100" s="3" t="str">
        <f>IF([1]SCHEDULE!G1100="","",[1]SCHEDULE!G1100)</f>
        <v/>
      </c>
      <c r="H1100" s="3" t="str">
        <f>IF([1]SCHEDULE!H1100="","",[1]SCHEDULE!H1100)</f>
        <v/>
      </c>
      <c r="I1100" s="3" t="str">
        <f>IF([1]SCHEDULE!I1100="","",[1]SCHEDULE!I1100)</f>
        <v/>
      </c>
      <c r="J1100" s="3" t="str">
        <f>IF([1]SCHEDULE!J1100="","",[1]SCHEDULE!J1100)</f>
        <v/>
      </c>
    </row>
    <row r="1101" spans="2:10" x14ac:dyDescent="0.25">
      <c r="B1101" s="3" t="str">
        <f>IF([1]SCHEDULE!B1101="","",[1]SCHEDULE!B1101)</f>
        <v/>
      </c>
      <c r="C1101" s="3">
        <f>IF([1]SCHEDULE!C1101="","",[1]SCHEDULE!C1101)</f>
        <v>28</v>
      </c>
      <c r="D1101" s="1" t="e">
        <f>IF([1]SCHEDULE!D1101="","",[1]SCHEDULE!D1101)</f>
        <v>#N/A</v>
      </c>
      <c r="E1101" s="1" t="str">
        <f>IF([1]SCHEDULE!E1101="","",[1]SCHEDULE!E1101)</f>
        <v/>
      </c>
      <c r="F1101" s="6" t="str">
        <f>IF([1]SCHEDULE!F1101="","",[1]SCHEDULE!F1101)</f>
        <v/>
      </c>
      <c r="G1101" s="3" t="str">
        <f>IF([1]SCHEDULE!G1101="","",[1]SCHEDULE!G1101)</f>
        <v/>
      </c>
      <c r="H1101" s="3" t="str">
        <f>IF([1]SCHEDULE!H1101="","",[1]SCHEDULE!H1101)</f>
        <v/>
      </c>
      <c r="I1101" s="3" t="str">
        <f>IF([1]SCHEDULE!I1101="","",[1]SCHEDULE!I1101)</f>
        <v/>
      </c>
      <c r="J1101" s="3" t="str">
        <f>IF([1]SCHEDULE!J1101="","",[1]SCHEDULE!J1101)</f>
        <v/>
      </c>
    </row>
    <row r="1102" spans="2:10" x14ac:dyDescent="0.25">
      <c r="B1102" s="3" t="str">
        <f>IF([1]SCHEDULE!B1102="","",[1]SCHEDULE!B1102)</f>
        <v/>
      </c>
      <c r="C1102" s="3">
        <f>IF([1]SCHEDULE!C1102="","",[1]SCHEDULE!C1102)</f>
        <v>29</v>
      </c>
      <c r="D1102" s="1" t="e">
        <f>IF([1]SCHEDULE!D1102="","",[1]SCHEDULE!D1102)</f>
        <v>#N/A</v>
      </c>
      <c r="E1102" s="1" t="str">
        <f>IF([1]SCHEDULE!E1102="","",[1]SCHEDULE!E1102)</f>
        <v/>
      </c>
      <c r="F1102" s="6" t="str">
        <f>IF([1]SCHEDULE!F1102="","",[1]SCHEDULE!F1102)</f>
        <v/>
      </c>
      <c r="G1102" s="3" t="str">
        <f>IF([1]SCHEDULE!G1102="","",[1]SCHEDULE!G1102)</f>
        <v/>
      </c>
      <c r="H1102" s="3" t="str">
        <f>IF([1]SCHEDULE!H1102="","",[1]SCHEDULE!H1102)</f>
        <v/>
      </c>
      <c r="I1102" s="3" t="str">
        <f>IF([1]SCHEDULE!I1102="","",[1]SCHEDULE!I1102)</f>
        <v/>
      </c>
      <c r="J1102" s="3" t="str">
        <f>IF([1]SCHEDULE!J1102="","",[1]SCHEDULE!J1102)</f>
        <v/>
      </c>
    </row>
    <row r="1103" spans="2:10" x14ac:dyDescent="0.25">
      <c r="B1103" s="3" t="str">
        <f>IF([1]SCHEDULE!B1103="","",[1]SCHEDULE!B1103)</f>
        <v/>
      </c>
      <c r="C1103" s="3">
        <f>IF([1]SCHEDULE!C1103="","",[1]SCHEDULE!C1103)</f>
        <v>30</v>
      </c>
      <c r="D1103" s="1" t="e">
        <f>IF([1]SCHEDULE!D1103="","",[1]SCHEDULE!D1103)</f>
        <v>#N/A</v>
      </c>
      <c r="E1103" s="1" t="str">
        <f>IF([1]SCHEDULE!E1103="","",[1]SCHEDULE!E1103)</f>
        <v/>
      </c>
      <c r="F1103" s="6" t="str">
        <f>IF([1]SCHEDULE!F1103="","",[1]SCHEDULE!F1103)</f>
        <v/>
      </c>
      <c r="G1103" s="3" t="str">
        <f>IF([1]SCHEDULE!G1103="","",[1]SCHEDULE!G1103)</f>
        <v/>
      </c>
      <c r="H1103" s="3" t="str">
        <f>IF([1]SCHEDULE!H1103="","",[1]SCHEDULE!H1103)</f>
        <v/>
      </c>
      <c r="I1103" s="3" t="str">
        <f>IF([1]SCHEDULE!I1103="","",[1]SCHEDULE!I1103)</f>
        <v/>
      </c>
      <c r="J1103" s="3" t="str">
        <f>IF([1]SCHEDULE!J1103="","",[1]SCHEDULE!J1103)</f>
        <v/>
      </c>
    </row>
    <row r="1104" spans="2:10" x14ac:dyDescent="0.25">
      <c r="B1104" s="3" t="str">
        <f>IF([1]SCHEDULE!B1104="","",[1]SCHEDULE!B1104)</f>
        <v/>
      </c>
      <c r="C1104" s="3">
        <f>IF([1]SCHEDULE!C1104="","",[1]SCHEDULE!C1104)</f>
        <v>31</v>
      </c>
      <c r="D1104" s="1" t="e">
        <f>IF([1]SCHEDULE!D1104="","",[1]SCHEDULE!D1104)</f>
        <v>#N/A</v>
      </c>
      <c r="E1104" s="1" t="str">
        <f>IF([1]SCHEDULE!E1104="","",[1]SCHEDULE!E1104)</f>
        <v/>
      </c>
      <c r="F1104" s="6" t="str">
        <f>IF([1]SCHEDULE!F1104="","",[1]SCHEDULE!F1104)</f>
        <v/>
      </c>
      <c r="G1104" s="3" t="str">
        <f>IF([1]SCHEDULE!G1104="","",[1]SCHEDULE!G1104)</f>
        <v/>
      </c>
      <c r="H1104" s="3" t="str">
        <f>IF([1]SCHEDULE!H1104="","",[1]SCHEDULE!H1104)</f>
        <v/>
      </c>
      <c r="I1104" s="3" t="str">
        <f>IF([1]SCHEDULE!I1104="","",[1]SCHEDULE!I1104)</f>
        <v/>
      </c>
      <c r="J1104" s="3" t="str">
        <f>IF([1]SCHEDULE!J1104="","",[1]SCHEDULE!J1104)</f>
        <v/>
      </c>
    </row>
    <row r="1105" spans="2:10" x14ac:dyDescent="0.25">
      <c r="B1105" s="3" t="str">
        <f>IF([1]SCHEDULE!B1105="","",[1]SCHEDULE!B1105)</f>
        <v/>
      </c>
      <c r="C1105" s="3">
        <f>IF([1]SCHEDULE!C1105="","",[1]SCHEDULE!C1105)</f>
        <v>32</v>
      </c>
      <c r="D1105" s="1" t="e">
        <f>IF([1]SCHEDULE!D1105="","",[1]SCHEDULE!D1105)</f>
        <v>#N/A</v>
      </c>
      <c r="E1105" s="1" t="str">
        <f>IF([1]SCHEDULE!E1105="","",[1]SCHEDULE!E1105)</f>
        <v/>
      </c>
      <c r="F1105" s="6" t="str">
        <f>IF([1]SCHEDULE!F1105="","",[1]SCHEDULE!F1105)</f>
        <v/>
      </c>
      <c r="G1105" s="3" t="str">
        <f>IF([1]SCHEDULE!G1105="","",[1]SCHEDULE!G1105)</f>
        <v/>
      </c>
      <c r="H1105" s="3" t="str">
        <f>IF([1]SCHEDULE!H1105="","",[1]SCHEDULE!H1105)</f>
        <v/>
      </c>
      <c r="I1105" s="3" t="str">
        <f>IF([1]SCHEDULE!I1105="","",[1]SCHEDULE!I1105)</f>
        <v/>
      </c>
      <c r="J1105" s="3" t="str">
        <f>IF([1]SCHEDULE!J1105="","",[1]SCHEDULE!J1105)</f>
        <v/>
      </c>
    </row>
    <row r="1106" spans="2:10" x14ac:dyDescent="0.25">
      <c r="B1106" s="3" t="str">
        <f>IF([1]SCHEDULE!B1106="","",[1]SCHEDULE!B1106)</f>
        <v/>
      </c>
      <c r="C1106" s="3">
        <f>IF([1]SCHEDULE!C1106="","",[1]SCHEDULE!C1106)</f>
        <v>33</v>
      </c>
      <c r="D1106" s="1" t="e">
        <f>IF([1]SCHEDULE!D1106="","",[1]SCHEDULE!D1106)</f>
        <v>#N/A</v>
      </c>
      <c r="E1106" s="1" t="str">
        <f>IF([1]SCHEDULE!E1106="","",[1]SCHEDULE!E1106)</f>
        <v/>
      </c>
      <c r="F1106" s="6" t="str">
        <f>IF([1]SCHEDULE!F1106="","",[1]SCHEDULE!F1106)</f>
        <v/>
      </c>
      <c r="G1106" s="3" t="str">
        <f>IF([1]SCHEDULE!G1106="","",[1]SCHEDULE!G1106)</f>
        <v/>
      </c>
      <c r="H1106" s="3" t="str">
        <f>IF([1]SCHEDULE!H1106="","",[1]SCHEDULE!H1106)</f>
        <v/>
      </c>
      <c r="I1106" s="3" t="str">
        <f>IF([1]SCHEDULE!I1106="","",[1]SCHEDULE!I1106)</f>
        <v/>
      </c>
      <c r="J1106" s="3" t="str">
        <f>IF([1]SCHEDULE!J1106="","",[1]SCHEDULE!J1106)</f>
        <v/>
      </c>
    </row>
    <row r="1107" spans="2:10" x14ac:dyDescent="0.25">
      <c r="B1107" s="3" t="str">
        <f>IF([1]SCHEDULE!B1107="","",[1]SCHEDULE!B1107)</f>
        <v/>
      </c>
      <c r="C1107" s="3">
        <f>IF([1]SCHEDULE!C1107="","",[1]SCHEDULE!C1107)</f>
        <v>34</v>
      </c>
      <c r="D1107" s="1" t="e">
        <f>IF([1]SCHEDULE!D1107="","",[1]SCHEDULE!D1107)</f>
        <v>#N/A</v>
      </c>
      <c r="E1107" s="1" t="str">
        <f>IF([1]SCHEDULE!E1107="","",[1]SCHEDULE!E1107)</f>
        <v/>
      </c>
      <c r="F1107" s="6" t="str">
        <f>IF([1]SCHEDULE!F1107="","",[1]SCHEDULE!F1107)</f>
        <v/>
      </c>
      <c r="G1107" s="3" t="str">
        <f>IF([1]SCHEDULE!G1107="","",[1]SCHEDULE!G1107)</f>
        <v/>
      </c>
      <c r="H1107" s="3" t="str">
        <f>IF([1]SCHEDULE!H1107="","",[1]SCHEDULE!H1107)</f>
        <v/>
      </c>
      <c r="I1107" s="3" t="str">
        <f>IF([1]SCHEDULE!I1107="","",[1]SCHEDULE!I1107)</f>
        <v/>
      </c>
      <c r="J1107" s="3" t="str">
        <f>IF([1]SCHEDULE!J1107="","",[1]SCHEDULE!J1107)</f>
        <v/>
      </c>
    </row>
    <row r="1108" spans="2:10" x14ac:dyDescent="0.25">
      <c r="B1108" s="3" t="str">
        <f>IF([1]SCHEDULE!B1108="","",[1]SCHEDULE!B1108)</f>
        <v/>
      </c>
      <c r="C1108" s="3">
        <f>IF([1]SCHEDULE!C1108="","",[1]SCHEDULE!C1108)</f>
        <v>35</v>
      </c>
      <c r="D1108" s="1" t="e">
        <f>IF([1]SCHEDULE!D1108="","",[1]SCHEDULE!D1108)</f>
        <v>#N/A</v>
      </c>
      <c r="E1108" s="1" t="str">
        <f>IF([1]SCHEDULE!E1108="","",[1]SCHEDULE!E1108)</f>
        <v/>
      </c>
      <c r="F1108" s="6" t="str">
        <f>IF([1]SCHEDULE!F1108="","",[1]SCHEDULE!F1108)</f>
        <v/>
      </c>
      <c r="G1108" s="3" t="str">
        <f>IF([1]SCHEDULE!G1108="","",[1]SCHEDULE!G1108)</f>
        <v/>
      </c>
      <c r="H1108" s="3" t="str">
        <f>IF([1]SCHEDULE!H1108="","",[1]SCHEDULE!H1108)</f>
        <v/>
      </c>
      <c r="I1108" s="3" t="str">
        <f>IF([1]SCHEDULE!I1108="","",[1]SCHEDULE!I1108)</f>
        <v/>
      </c>
      <c r="J1108" s="3" t="str">
        <f>IF([1]SCHEDULE!J1108="","",[1]SCHEDULE!J1108)</f>
        <v/>
      </c>
    </row>
    <row r="1109" spans="2:10" x14ac:dyDescent="0.25">
      <c r="B1109" s="3" t="str">
        <f>IF([1]SCHEDULE!B1109="","",[1]SCHEDULE!B1109)</f>
        <v/>
      </c>
      <c r="C1109" s="3">
        <f>IF([1]SCHEDULE!C1109="","",[1]SCHEDULE!C1109)</f>
        <v>36</v>
      </c>
      <c r="D1109" s="1" t="e">
        <f>IF([1]SCHEDULE!D1109="","",[1]SCHEDULE!D1109)</f>
        <v>#N/A</v>
      </c>
      <c r="E1109" s="1" t="str">
        <f>IF([1]SCHEDULE!E1109="","",[1]SCHEDULE!E1109)</f>
        <v/>
      </c>
      <c r="F1109" s="6" t="str">
        <f>IF([1]SCHEDULE!F1109="","",[1]SCHEDULE!F1109)</f>
        <v/>
      </c>
      <c r="G1109" s="3" t="str">
        <f>IF([1]SCHEDULE!G1109="","",[1]SCHEDULE!G1109)</f>
        <v/>
      </c>
      <c r="H1109" s="3" t="str">
        <f>IF([1]SCHEDULE!H1109="","",[1]SCHEDULE!H1109)</f>
        <v/>
      </c>
      <c r="I1109" s="3" t="str">
        <f>IF([1]SCHEDULE!I1109="","",[1]SCHEDULE!I1109)</f>
        <v/>
      </c>
      <c r="J1109" s="3" t="str">
        <f>IF([1]SCHEDULE!J1109="","",[1]SCHEDULE!J1109)</f>
        <v/>
      </c>
    </row>
    <row r="1110" spans="2:10" x14ac:dyDescent="0.25">
      <c r="B1110" s="3" t="str">
        <f>IF([1]SCHEDULE!B1110="","",[1]SCHEDULE!B1110)</f>
        <v/>
      </c>
      <c r="C1110" s="3">
        <f>IF([1]SCHEDULE!C1110="","",[1]SCHEDULE!C1110)</f>
        <v>37</v>
      </c>
      <c r="D1110" s="1" t="e">
        <f>IF([1]SCHEDULE!D1110="","",[1]SCHEDULE!D1110)</f>
        <v>#N/A</v>
      </c>
      <c r="E1110" s="1" t="str">
        <f>IF([1]SCHEDULE!E1110="","",[1]SCHEDULE!E1110)</f>
        <v/>
      </c>
      <c r="F1110" s="6" t="str">
        <f>IF([1]SCHEDULE!F1110="","",[1]SCHEDULE!F1110)</f>
        <v/>
      </c>
      <c r="G1110" s="3" t="str">
        <f>IF([1]SCHEDULE!G1110="","",[1]SCHEDULE!G1110)</f>
        <v/>
      </c>
      <c r="H1110" s="3" t="str">
        <f>IF([1]SCHEDULE!H1110="","",[1]SCHEDULE!H1110)</f>
        <v/>
      </c>
      <c r="I1110" s="3" t="str">
        <f>IF([1]SCHEDULE!I1110="","",[1]SCHEDULE!I1110)</f>
        <v/>
      </c>
      <c r="J1110" s="3" t="str">
        <f>IF([1]SCHEDULE!J1110="","",[1]SCHEDULE!J1110)</f>
        <v/>
      </c>
    </row>
    <row r="1111" spans="2:10" x14ac:dyDescent="0.25">
      <c r="B1111" s="3" t="str">
        <f>IF([1]SCHEDULE!B1111="","",[1]SCHEDULE!B1111)</f>
        <v/>
      </c>
      <c r="C1111" s="3">
        <f>IF([1]SCHEDULE!C1111="","",[1]SCHEDULE!C1111)</f>
        <v>38</v>
      </c>
      <c r="D1111" s="1" t="e">
        <f>IF([1]SCHEDULE!D1111="","",[1]SCHEDULE!D1111)</f>
        <v>#N/A</v>
      </c>
      <c r="E1111" s="1" t="str">
        <f>IF([1]SCHEDULE!E1111="","",[1]SCHEDULE!E1111)</f>
        <v/>
      </c>
      <c r="F1111" s="6" t="str">
        <f>IF([1]SCHEDULE!F1111="","",[1]SCHEDULE!F1111)</f>
        <v/>
      </c>
      <c r="G1111" s="3" t="str">
        <f>IF([1]SCHEDULE!G1111="","",[1]SCHEDULE!G1111)</f>
        <v/>
      </c>
      <c r="H1111" s="3" t="str">
        <f>IF([1]SCHEDULE!H1111="","",[1]SCHEDULE!H1111)</f>
        <v/>
      </c>
      <c r="I1111" s="3" t="str">
        <f>IF([1]SCHEDULE!I1111="","",[1]SCHEDULE!I1111)</f>
        <v/>
      </c>
      <c r="J1111" s="3" t="str">
        <f>IF([1]SCHEDULE!J1111="","",[1]SCHEDULE!J1111)</f>
        <v/>
      </c>
    </row>
    <row r="1112" spans="2:10" x14ac:dyDescent="0.25">
      <c r="B1112" s="3" t="str">
        <f>IF([1]SCHEDULE!B1112="","",[1]SCHEDULE!B1112)</f>
        <v/>
      </c>
      <c r="C1112" s="3">
        <f>IF([1]SCHEDULE!C1112="","",[1]SCHEDULE!C1112)</f>
        <v>39</v>
      </c>
      <c r="D1112" s="1" t="e">
        <f>IF([1]SCHEDULE!D1112="","",[1]SCHEDULE!D1112)</f>
        <v>#N/A</v>
      </c>
      <c r="E1112" s="1" t="str">
        <f>IF([1]SCHEDULE!E1112="","",[1]SCHEDULE!E1112)</f>
        <v/>
      </c>
      <c r="F1112" s="6" t="str">
        <f>IF([1]SCHEDULE!F1112="","",[1]SCHEDULE!F1112)</f>
        <v/>
      </c>
      <c r="G1112" s="3" t="str">
        <f>IF([1]SCHEDULE!G1112="","",[1]SCHEDULE!G1112)</f>
        <v/>
      </c>
      <c r="H1112" s="3" t="str">
        <f>IF([1]SCHEDULE!H1112="","",[1]SCHEDULE!H1112)</f>
        <v/>
      </c>
      <c r="I1112" s="3" t="str">
        <f>IF([1]SCHEDULE!I1112="","",[1]SCHEDULE!I1112)</f>
        <v/>
      </c>
      <c r="J1112" s="3" t="str">
        <f>IF([1]SCHEDULE!J1112="","",[1]SCHEDULE!J1112)</f>
        <v/>
      </c>
    </row>
    <row r="1113" spans="2:10" x14ac:dyDescent="0.25">
      <c r="B1113" s="3" t="str">
        <f>IF([1]SCHEDULE!B1113="","",[1]SCHEDULE!B1113)</f>
        <v/>
      </c>
      <c r="C1113" s="3">
        <f>IF([1]SCHEDULE!C1113="","",[1]SCHEDULE!C1113)</f>
        <v>40</v>
      </c>
      <c r="D1113" s="1" t="e">
        <f>IF([1]SCHEDULE!D1113="","",[1]SCHEDULE!D1113)</f>
        <v>#N/A</v>
      </c>
      <c r="E1113" s="1" t="str">
        <f>IF([1]SCHEDULE!E1113="","",[1]SCHEDULE!E1113)</f>
        <v/>
      </c>
      <c r="F1113" s="6" t="str">
        <f>IF([1]SCHEDULE!F1113="","",[1]SCHEDULE!F1113)</f>
        <v/>
      </c>
      <c r="G1113" s="3" t="str">
        <f>IF([1]SCHEDULE!G1113="","",[1]SCHEDULE!G1113)</f>
        <v/>
      </c>
      <c r="H1113" s="3" t="str">
        <f>IF([1]SCHEDULE!H1113="","",[1]SCHEDULE!H1113)</f>
        <v/>
      </c>
      <c r="I1113" s="3" t="str">
        <f>IF([1]SCHEDULE!I1113="","",[1]SCHEDULE!I1113)</f>
        <v/>
      </c>
      <c r="J1113" s="3" t="str">
        <f>IF([1]SCHEDULE!J1113="","",[1]SCHEDULE!J1113)</f>
        <v/>
      </c>
    </row>
    <row r="1114" spans="2:10" x14ac:dyDescent="0.25">
      <c r="B1114" s="3" t="str">
        <f>IF([1]SCHEDULE!B1114="","",[1]SCHEDULE!B1114)</f>
        <v/>
      </c>
      <c r="C1114" s="3">
        <f>IF([1]SCHEDULE!C1114="","",[1]SCHEDULE!C1114)</f>
        <v>41</v>
      </c>
      <c r="D1114" s="1" t="e">
        <f>IF([1]SCHEDULE!D1114="","",[1]SCHEDULE!D1114)</f>
        <v>#N/A</v>
      </c>
      <c r="E1114" s="1" t="str">
        <f>IF([1]SCHEDULE!E1114="","",[1]SCHEDULE!E1114)</f>
        <v/>
      </c>
      <c r="F1114" s="6" t="str">
        <f>IF([1]SCHEDULE!F1114="","",[1]SCHEDULE!F1114)</f>
        <v/>
      </c>
      <c r="G1114" s="3" t="str">
        <f>IF([1]SCHEDULE!G1114="","",[1]SCHEDULE!G1114)</f>
        <v/>
      </c>
      <c r="H1114" s="3" t="str">
        <f>IF([1]SCHEDULE!H1114="","",[1]SCHEDULE!H1114)</f>
        <v/>
      </c>
      <c r="I1114" s="3" t="str">
        <f>IF([1]SCHEDULE!I1114="","",[1]SCHEDULE!I1114)</f>
        <v/>
      </c>
      <c r="J1114" s="3" t="str">
        <f>IF([1]SCHEDULE!J1114="","",[1]SCHEDULE!J1114)</f>
        <v/>
      </c>
    </row>
    <row r="1115" spans="2:10" x14ac:dyDescent="0.25">
      <c r="B1115" s="3" t="str">
        <f>IF([1]SCHEDULE!B1115="","",[1]SCHEDULE!B1115)</f>
        <v/>
      </c>
      <c r="C1115" s="3">
        <f>IF([1]SCHEDULE!C1115="","",[1]SCHEDULE!C1115)</f>
        <v>42</v>
      </c>
      <c r="D1115" s="1" t="e">
        <f>IF([1]SCHEDULE!D1115="","",[1]SCHEDULE!D1115)</f>
        <v>#N/A</v>
      </c>
      <c r="E1115" s="1" t="str">
        <f>IF([1]SCHEDULE!E1115="","",[1]SCHEDULE!E1115)</f>
        <v/>
      </c>
      <c r="F1115" s="6" t="str">
        <f>IF([1]SCHEDULE!F1115="","",[1]SCHEDULE!F1115)</f>
        <v/>
      </c>
      <c r="G1115" s="3" t="str">
        <f>IF([1]SCHEDULE!G1115="","",[1]SCHEDULE!G1115)</f>
        <v/>
      </c>
      <c r="H1115" s="3" t="str">
        <f>IF([1]SCHEDULE!H1115="","",[1]SCHEDULE!H1115)</f>
        <v/>
      </c>
      <c r="I1115" s="3" t="str">
        <f>IF([1]SCHEDULE!I1115="","",[1]SCHEDULE!I1115)</f>
        <v/>
      </c>
      <c r="J1115" s="3" t="str">
        <f>IF([1]SCHEDULE!J1115="","",[1]SCHEDULE!J1115)</f>
        <v/>
      </c>
    </row>
    <row r="1116" spans="2:10" x14ac:dyDescent="0.25">
      <c r="B1116" s="3" t="str">
        <f>IF([1]SCHEDULE!B1116="","",[1]SCHEDULE!B1116)</f>
        <v/>
      </c>
      <c r="C1116" s="3">
        <f>IF([1]SCHEDULE!C1116="","",[1]SCHEDULE!C1116)</f>
        <v>43</v>
      </c>
      <c r="D1116" s="1" t="e">
        <f>IF([1]SCHEDULE!D1116="","",[1]SCHEDULE!D1116)</f>
        <v>#N/A</v>
      </c>
      <c r="E1116" s="1" t="str">
        <f>IF([1]SCHEDULE!E1116="","",[1]SCHEDULE!E1116)</f>
        <v/>
      </c>
      <c r="F1116" s="6" t="str">
        <f>IF([1]SCHEDULE!F1116="","",[1]SCHEDULE!F1116)</f>
        <v/>
      </c>
      <c r="G1116" s="3" t="str">
        <f>IF([1]SCHEDULE!G1116="","",[1]SCHEDULE!G1116)</f>
        <v/>
      </c>
      <c r="H1116" s="3" t="str">
        <f>IF([1]SCHEDULE!H1116="","",[1]SCHEDULE!H1116)</f>
        <v/>
      </c>
      <c r="I1116" s="3" t="str">
        <f>IF([1]SCHEDULE!I1116="","",[1]SCHEDULE!I1116)</f>
        <v/>
      </c>
      <c r="J1116" s="3" t="str">
        <f>IF([1]SCHEDULE!J1116="","",[1]SCHEDULE!J1116)</f>
        <v/>
      </c>
    </row>
    <row r="1117" spans="2:10" x14ac:dyDescent="0.25">
      <c r="B1117" s="3" t="str">
        <f>IF([1]SCHEDULE!B1117="","",[1]SCHEDULE!B1117)</f>
        <v/>
      </c>
      <c r="C1117" s="3">
        <f>IF([1]SCHEDULE!C1117="","",[1]SCHEDULE!C1117)</f>
        <v>44</v>
      </c>
      <c r="D1117" s="1" t="e">
        <f>IF([1]SCHEDULE!D1117="","",[1]SCHEDULE!D1117)</f>
        <v>#N/A</v>
      </c>
      <c r="E1117" s="1" t="str">
        <f>IF([1]SCHEDULE!E1117="","",[1]SCHEDULE!E1117)</f>
        <v/>
      </c>
      <c r="F1117" s="6" t="str">
        <f>IF([1]SCHEDULE!F1117="","",[1]SCHEDULE!F1117)</f>
        <v/>
      </c>
      <c r="G1117" s="3" t="str">
        <f>IF([1]SCHEDULE!G1117="","",[1]SCHEDULE!G1117)</f>
        <v/>
      </c>
      <c r="H1117" s="3" t="str">
        <f>IF([1]SCHEDULE!H1117="","",[1]SCHEDULE!H1117)</f>
        <v/>
      </c>
      <c r="I1117" s="3" t="str">
        <f>IF([1]SCHEDULE!I1117="","",[1]SCHEDULE!I1117)</f>
        <v/>
      </c>
      <c r="J1117" s="3" t="str">
        <f>IF([1]SCHEDULE!J1117="","",[1]SCHEDULE!J1117)</f>
        <v/>
      </c>
    </row>
    <row r="1118" spans="2:10" x14ac:dyDescent="0.25">
      <c r="B1118" s="3" t="str">
        <f>IF([1]SCHEDULE!B1118="","",[1]SCHEDULE!B1118)</f>
        <v/>
      </c>
      <c r="C1118" s="3">
        <f>IF([1]SCHEDULE!C1118="","",[1]SCHEDULE!C1118)</f>
        <v>45</v>
      </c>
      <c r="D1118" s="1" t="e">
        <f>IF([1]SCHEDULE!D1118="","",[1]SCHEDULE!D1118)</f>
        <v>#N/A</v>
      </c>
      <c r="E1118" s="1" t="str">
        <f>IF([1]SCHEDULE!E1118="","",[1]SCHEDULE!E1118)</f>
        <v/>
      </c>
      <c r="F1118" s="6" t="str">
        <f>IF([1]SCHEDULE!F1118="","",[1]SCHEDULE!F1118)</f>
        <v/>
      </c>
      <c r="G1118" s="3" t="str">
        <f>IF([1]SCHEDULE!G1118="","",[1]SCHEDULE!G1118)</f>
        <v/>
      </c>
      <c r="H1118" s="3" t="str">
        <f>IF([1]SCHEDULE!H1118="","",[1]SCHEDULE!H1118)</f>
        <v/>
      </c>
      <c r="I1118" s="3" t="str">
        <f>IF([1]SCHEDULE!I1118="","",[1]SCHEDULE!I1118)</f>
        <v/>
      </c>
      <c r="J1118" s="3" t="str">
        <f>IF([1]SCHEDULE!J1118="","",[1]SCHEDULE!J1118)</f>
        <v/>
      </c>
    </row>
    <row r="1119" spans="2:10" x14ac:dyDescent="0.25">
      <c r="B1119" s="3" t="str">
        <f>IF([1]SCHEDULE!B1119="","",[1]SCHEDULE!B1119)</f>
        <v/>
      </c>
      <c r="C1119" s="3">
        <f>IF([1]SCHEDULE!C1119="","",[1]SCHEDULE!C1119)</f>
        <v>46</v>
      </c>
      <c r="D1119" s="1" t="e">
        <f>IF([1]SCHEDULE!D1119="","",[1]SCHEDULE!D1119)</f>
        <v>#N/A</v>
      </c>
      <c r="E1119" s="1" t="str">
        <f>IF([1]SCHEDULE!E1119="","",[1]SCHEDULE!E1119)</f>
        <v/>
      </c>
      <c r="F1119" s="6" t="str">
        <f>IF([1]SCHEDULE!F1119="","",[1]SCHEDULE!F1119)</f>
        <v/>
      </c>
      <c r="G1119" s="3" t="str">
        <f>IF([1]SCHEDULE!G1119="","",[1]SCHEDULE!G1119)</f>
        <v/>
      </c>
      <c r="H1119" s="3" t="str">
        <f>IF([1]SCHEDULE!H1119="","",[1]SCHEDULE!H1119)</f>
        <v/>
      </c>
      <c r="I1119" s="3" t="str">
        <f>IF([1]SCHEDULE!I1119="","",[1]SCHEDULE!I1119)</f>
        <v/>
      </c>
      <c r="J1119" s="3" t="str">
        <f>IF([1]SCHEDULE!J1119="","",[1]SCHEDULE!J1119)</f>
        <v/>
      </c>
    </row>
    <row r="1120" spans="2:10" x14ac:dyDescent="0.25">
      <c r="B1120" s="3" t="str">
        <f>IF([1]SCHEDULE!B1120="","",[1]SCHEDULE!B1120)</f>
        <v/>
      </c>
      <c r="C1120" s="3">
        <f>IF([1]SCHEDULE!C1120="","",[1]SCHEDULE!C1120)</f>
        <v>47</v>
      </c>
      <c r="D1120" s="1" t="e">
        <f>IF([1]SCHEDULE!D1120="","",[1]SCHEDULE!D1120)</f>
        <v>#N/A</v>
      </c>
      <c r="E1120" s="1" t="str">
        <f>IF([1]SCHEDULE!E1120="","",[1]SCHEDULE!E1120)</f>
        <v/>
      </c>
      <c r="F1120" s="6" t="str">
        <f>IF([1]SCHEDULE!F1120="","",[1]SCHEDULE!F1120)</f>
        <v/>
      </c>
      <c r="G1120" s="3" t="str">
        <f>IF([1]SCHEDULE!G1120="","",[1]SCHEDULE!G1120)</f>
        <v/>
      </c>
      <c r="H1120" s="3" t="str">
        <f>IF([1]SCHEDULE!H1120="","",[1]SCHEDULE!H1120)</f>
        <v/>
      </c>
      <c r="I1120" s="3" t="str">
        <f>IF([1]SCHEDULE!I1120="","",[1]SCHEDULE!I1120)</f>
        <v/>
      </c>
      <c r="J1120" s="3" t="str">
        <f>IF([1]SCHEDULE!J1120="","",[1]SCHEDULE!J1120)</f>
        <v/>
      </c>
    </row>
    <row r="1121" spans="2:10" x14ac:dyDescent="0.25">
      <c r="B1121" s="3" t="str">
        <f>IF([1]SCHEDULE!B1121="","",[1]SCHEDULE!B1121)</f>
        <v/>
      </c>
      <c r="C1121" s="3">
        <f>IF([1]SCHEDULE!C1121="","",[1]SCHEDULE!C1121)</f>
        <v>48</v>
      </c>
      <c r="D1121" s="1" t="e">
        <f>IF([1]SCHEDULE!D1121="","",[1]SCHEDULE!D1121)</f>
        <v>#N/A</v>
      </c>
      <c r="E1121" s="1" t="str">
        <f>IF([1]SCHEDULE!E1121="","",[1]SCHEDULE!E1121)</f>
        <v/>
      </c>
      <c r="F1121" s="6" t="str">
        <f>IF([1]SCHEDULE!F1121="","",[1]SCHEDULE!F1121)</f>
        <v/>
      </c>
      <c r="G1121" s="3" t="str">
        <f>IF([1]SCHEDULE!G1121="","",[1]SCHEDULE!G1121)</f>
        <v/>
      </c>
      <c r="H1121" s="3" t="str">
        <f>IF([1]SCHEDULE!H1121="","",[1]SCHEDULE!H1121)</f>
        <v/>
      </c>
      <c r="I1121" s="3" t="str">
        <f>IF([1]SCHEDULE!I1121="","",[1]SCHEDULE!I1121)</f>
        <v/>
      </c>
      <c r="J1121" s="3" t="str">
        <f>IF([1]SCHEDULE!J1121="","",[1]SCHEDULE!J1121)</f>
        <v/>
      </c>
    </row>
    <row r="1122" spans="2:10" x14ac:dyDescent="0.25">
      <c r="B1122" s="3" t="str">
        <f>IF([1]SCHEDULE!B1122="","",[1]SCHEDULE!B1122)</f>
        <v/>
      </c>
      <c r="C1122" s="3">
        <f>IF([1]SCHEDULE!C1122="","",[1]SCHEDULE!C1122)</f>
        <v>49</v>
      </c>
      <c r="D1122" s="1" t="e">
        <f>IF([1]SCHEDULE!D1122="","",[1]SCHEDULE!D1122)</f>
        <v>#N/A</v>
      </c>
      <c r="E1122" s="1" t="str">
        <f>IF([1]SCHEDULE!E1122="","",[1]SCHEDULE!E1122)</f>
        <v/>
      </c>
      <c r="F1122" s="6" t="str">
        <f>IF([1]SCHEDULE!F1122="","",[1]SCHEDULE!F1122)</f>
        <v/>
      </c>
      <c r="G1122" s="3" t="str">
        <f>IF([1]SCHEDULE!G1122="","",[1]SCHEDULE!G1122)</f>
        <v/>
      </c>
      <c r="H1122" s="3" t="str">
        <f>IF([1]SCHEDULE!H1122="","",[1]SCHEDULE!H1122)</f>
        <v/>
      </c>
      <c r="I1122" s="3" t="str">
        <f>IF([1]SCHEDULE!I1122="","",[1]SCHEDULE!I1122)</f>
        <v/>
      </c>
      <c r="J1122" s="3" t="str">
        <f>IF([1]SCHEDULE!J1122="","",[1]SCHEDULE!J1122)</f>
        <v/>
      </c>
    </row>
    <row r="1123" spans="2:10" x14ac:dyDescent="0.25">
      <c r="B1123" s="3" t="str">
        <f>IF([1]SCHEDULE!B1123="","",[1]SCHEDULE!B1123)</f>
        <v/>
      </c>
      <c r="C1123" s="3">
        <f>IF([1]SCHEDULE!C1123="","",[1]SCHEDULE!C1123)</f>
        <v>50</v>
      </c>
      <c r="D1123" s="1" t="e">
        <f>IF([1]SCHEDULE!D1123="","",[1]SCHEDULE!D1123)</f>
        <v>#N/A</v>
      </c>
      <c r="E1123" s="1" t="str">
        <f>IF([1]SCHEDULE!E1123="","",[1]SCHEDULE!E1123)</f>
        <v/>
      </c>
      <c r="F1123" s="6" t="str">
        <f>IF([1]SCHEDULE!F1123="","",[1]SCHEDULE!F1123)</f>
        <v/>
      </c>
      <c r="G1123" s="3" t="str">
        <f>IF([1]SCHEDULE!G1123="","",[1]SCHEDULE!G1123)</f>
        <v/>
      </c>
      <c r="H1123" s="3" t="str">
        <f>IF([1]SCHEDULE!H1123="","",[1]SCHEDULE!H1123)</f>
        <v/>
      </c>
      <c r="I1123" s="3" t="str">
        <f>IF([1]SCHEDULE!I1123="","",[1]SCHEDULE!I1123)</f>
        <v/>
      </c>
      <c r="J1123" s="3" t="str">
        <f>IF([1]SCHEDULE!J1123="","",[1]SCHEDULE!J1123)</f>
        <v/>
      </c>
    </row>
    <row r="1124" spans="2:10" x14ac:dyDescent="0.25">
      <c r="B1124" s="3" t="str">
        <f>IF([1]SCHEDULE!B1124="","",[1]SCHEDULE!B1124)</f>
        <v/>
      </c>
      <c r="C1124" s="3">
        <f>IF([1]SCHEDULE!C1124="","",[1]SCHEDULE!C1124)</f>
        <v>51</v>
      </c>
      <c r="D1124" s="1" t="e">
        <f>IF([1]SCHEDULE!D1124="","",[1]SCHEDULE!D1124)</f>
        <v>#N/A</v>
      </c>
      <c r="E1124" s="1" t="str">
        <f>IF([1]SCHEDULE!E1124="","",[1]SCHEDULE!E1124)</f>
        <v/>
      </c>
      <c r="F1124" s="6" t="str">
        <f>IF([1]SCHEDULE!F1124="","",[1]SCHEDULE!F1124)</f>
        <v/>
      </c>
      <c r="G1124" s="3" t="str">
        <f>IF([1]SCHEDULE!G1124="","",[1]SCHEDULE!G1124)</f>
        <v/>
      </c>
      <c r="H1124" s="3" t="str">
        <f>IF([1]SCHEDULE!H1124="","",[1]SCHEDULE!H1124)</f>
        <v/>
      </c>
      <c r="I1124" s="3" t="str">
        <f>IF([1]SCHEDULE!I1124="","",[1]SCHEDULE!I1124)</f>
        <v/>
      </c>
      <c r="J1124" s="3" t="str">
        <f>IF([1]SCHEDULE!J1124="","",[1]SCHEDULE!J1124)</f>
        <v/>
      </c>
    </row>
    <row r="1125" spans="2:10" x14ac:dyDescent="0.25">
      <c r="B1125" s="3" t="str">
        <f>IF([1]SCHEDULE!B1125="","",[1]SCHEDULE!B1125)</f>
        <v/>
      </c>
      <c r="C1125" s="3">
        <f>IF([1]SCHEDULE!C1125="","",[1]SCHEDULE!C1125)</f>
        <v>1</v>
      </c>
      <c r="D1125" s="1" t="e">
        <f>IF([1]SCHEDULE!D1125="","",[1]SCHEDULE!D1125)</f>
        <v>#N/A</v>
      </c>
      <c r="E1125" s="1" t="str">
        <f>IF([1]SCHEDULE!E1125="","",[1]SCHEDULE!E1125)</f>
        <v/>
      </c>
      <c r="F1125" s="6" t="str">
        <f>IF([1]SCHEDULE!F1125="","",[1]SCHEDULE!F1125)</f>
        <v/>
      </c>
      <c r="G1125" s="3" t="str">
        <f>IF([1]SCHEDULE!G1125="","",[1]SCHEDULE!G1125)</f>
        <v/>
      </c>
      <c r="H1125" s="3" t="str">
        <f>IF([1]SCHEDULE!H1125="","",[1]SCHEDULE!H1125)</f>
        <v/>
      </c>
      <c r="I1125" s="3" t="str">
        <f>IF([1]SCHEDULE!I1125="","",[1]SCHEDULE!I1125)</f>
        <v/>
      </c>
      <c r="J1125" s="3" t="str">
        <f>IF([1]SCHEDULE!J1125="","",[1]SCHEDULE!J1125)</f>
        <v/>
      </c>
    </row>
    <row r="1126" spans="2:10" x14ac:dyDescent="0.25">
      <c r="B1126" s="3" t="str">
        <f>IF([1]SCHEDULE!B1126="","",[1]SCHEDULE!B1126)</f>
        <v/>
      </c>
      <c r="C1126" s="3">
        <f>IF([1]SCHEDULE!C1126="","",[1]SCHEDULE!C1126)</f>
        <v>2</v>
      </c>
      <c r="D1126" s="1" t="e">
        <f>IF([1]SCHEDULE!D1126="","",[1]SCHEDULE!D1126)</f>
        <v>#N/A</v>
      </c>
      <c r="E1126" s="1" t="str">
        <f>IF([1]SCHEDULE!E1126="","",[1]SCHEDULE!E1126)</f>
        <v/>
      </c>
      <c r="F1126" s="6" t="str">
        <f>IF([1]SCHEDULE!F1126="","",[1]SCHEDULE!F1126)</f>
        <v/>
      </c>
      <c r="G1126" s="3" t="str">
        <f>IF([1]SCHEDULE!G1126="","",[1]SCHEDULE!G1126)</f>
        <v/>
      </c>
      <c r="H1126" s="3" t="str">
        <f>IF([1]SCHEDULE!H1126="","",[1]SCHEDULE!H1126)</f>
        <v/>
      </c>
      <c r="I1126" s="3" t="str">
        <f>IF([1]SCHEDULE!I1126="","",[1]SCHEDULE!I1126)</f>
        <v/>
      </c>
      <c r="J1126" s="3" t="str">
        <f>IF([1]SCHEDULE!J1126="","",[1]SCHEDULE!J1126)</f>
        <v/>
      </c>
    </row>
    <row r="1127" spans="2:10" x14ac:dyDescent="0.25">
      <c r="B1127" s="3" t="str">
        <f>IF([1]SCHEDULE!B1127="","",[1]SCHEDULE!B1127)</f>
        <v/>
      </c>
      <c r="C1127" s="3">
        <f>IF([1]SCHEDULE!C1127="","",[1]SCHEDULE!C1127)</f>
        <v>3</v>
      </c>
      <c r="D1127" s="1" t="e">
        <f>IF([1]SCHEDULE!D1127="","",[1]SCHEDULE!D1127)</f>
        <v>#N/A</v>
      </c>
      <c r="E1127" s="1" t="str">
        <f>IF([1]SCHEDULE!E1127="","",[1]SCHEDULE!E1127)</f>
        <v/>
      </c>
      <c r="F1127" s="6" t="str">
        <f>IF([1]SCHEDULE!F1127="","",[1]SCHEDULE!F1127)</f>
        <v/>
      </c>
      <c r="G1127" s="3" t="str">
        <f>IF([1]SCHEDULE!G1127="","",[1]SCHEDULE!G1127)</f>
        <v/>
      </c>
      <c r="H1127" s="3" t="str">
        <f>IF([1]SCHEDULE!H1127="","",[1]SCHEDULE!H1127)</f>
        <v/>
      </c>
      <c r="I1127" s="3" t="str">
        <f>IF([1]SCHEDULE!I1127="","",[1]SCHEDULE!I1127)</f>
        <v/>
      </c>
      <c r="J1127" s="3" t="str">
        <f>IF([1]SCHEDULE!J1127="","",[1]SCHEDULE!J1127)</f>
        <v/>
      </c>
    </row>
    <row r="1128" spans="2:10" x14ac:dyDescent="0.25">
      <c r="B1128" s="3" t="str">
        <f>IF([1]SCHEDULE!B1128="","",[1]SCHEDULE!B1128)</f>
        <v/>
      </c>
      <c r="C1128" s="3">
        <f>IF([1]SCHEDULE!C1128="","",[1]SCHEDULE!C1128)</f>
        <v>4</v>
      </c>
      <c r="D1128" s="1" t="e">
        <f>IF([1]SCHEDULE!D1128="","",[1]SCHEDULE!D1128)</f>
        <v>#N/A</v>
      </c>
      <c r="E1128" s="1" t="str">
        <f>IF([1]SCHEDULE!E1128="","",[1]SCHEDULE!E1128)</f>
        <v/>
      </c>
      <c r="F1128" s="6" t="str">
        <f>IF([1]SCHEDULE!F1128="","",[1]SCHEDULE!F1128)</f>
        <v/>
      </c>
      <c r="G1128" s="3" t="str">
        <f>IF([1]SCHEDULE!G1128="","",[1]SCHEDULE!G1128)</f>
        <v/>
      </c>
      <c r="H1128" s="3" t="str">
        <f>IF([1]SCHEDULE!H1128="","",[1]SCHEDULE!H1128)</f>
        <v/>
      </c>
      <c r="I1128" s="3" t="str">
        <f>IF([1]SCHEDULE!I1128="","",[1]SCHEDULE!I1128)</f>
        <v/>
      </c>
      <c r="J1128" s="3" t="str">
        <f>IF([1]SCHEDULE!J1128="","",[1]SCHEDULE!J1128)</f>
        <v/>
      </c>
    </row>
    <row r="1129" spans="2:10" x14ac:dyDescent="0.25">
      <c r="B1129" s="3" t="str">
        <f>IF([1]SCHEDULE!B1129="","",[1]SCHEDULE!B1129)</f>
        <v/>
      </c>
      <c r="C1129" s="3">
        <f>IF([1]SCHEDULE!C1129="","",[1]SCHEDULE!C1129)</f>
        <v>5</v>
      </c>
      <c r="D1129" s="1" t="e">
        <f>IF([1]SCHEDULE!D1129="","",[1]SCHEDULE!D1129)</f>
        <v>#N/A</v>
      </c>
      <c r="E1129" s="1" t="str">
        <f>IF([1]SCHEDULE!E1129="","",[1]SCHEDULE!E1129)</f>
        <v/>
      </c>
      <c r="F1129" s="6" t="str">
        <f>IF([1]SCHEDULE!F1129="","",[1]SCHEDULE!F1129)</f>
        <v/>
      </c>
      <c r="G1129" s="3" t="str">
        <f>IF([1]SCHEDULE!G1129="","",[1]SCHEDULE!G1129)</f>
        <v/>
      </c>
      <c r="H1129" s="3" t="str">
        <f>IF([1]SCHEDULE!H1129="","",[1]SCHEDULE!H1129)</f>
        <v/>
      </c>
      <c r="I1129" s="3" t="str">
        <f>IF([1]SCHEDULE!I1129="","",[1]SCHEDULE!I1129)</f>
        <v/>
      </c>
      <c r="J1129" s="3" t="str">
        <f>IF([1]SCHEDULE!J1129="","",[1]SCHEDULE!J1129)</f>
        <v/>
      </c>
    </row>
    <row r="1130" spans="2:10" x14ac:dyDescent="0.25">
      <c r="B1130" s="3" t="str">
        <f>IF([1]SCHEDULE!B1130="","",[1]SCHEDULE!B1130)</f>
        <v/>
      </c>
      <c r="C1130" s="3">
        <f>IF([1]SCHEDULE!C1130="","",[1]SCHEDULE!C1130)</f>
        <v>6</v>
      </c>
      <c r="D1130" s="1" t="e">
        <f>IF([1]SCHEDULE!D1130="","",[1]SCHEDULE!D1130)</f>
        <v>#N/A</v>
      </c>
      <c r="E1130" s="1" t="str">
        <f>IF([1]SCHEDULE!E1130="","",[1]SCHEDULE!E1130)</f>
        <v/>
      </c>
      <c r="F1130" s="6" t="str">
        <f>IF([1]SCHEDULE!F1130="","",[1]SCHEDULE!F1130)</f>
        <v/>
      </c>
      <c r="G1130" s="3" t="str">
        <f>IF([1]SCHEDULE!G1130="","",[1]SCHEDULE!G1130)</f>
        <v/>
      </c>
      <c r="H1130" s="3" t="str">
        <f>IF([1]SCHEDULE!H1130="","",[1]SCHEDULE!H1130)</f>
        <v/>
      </c>
      <c r="I1130" s="3" t="str">
        <f>IF([1]SCHEDULE!I1130="","",[1]SCHEDULE!I1130)</f>
        <v/>
      </c>
      <c r="J1130" s="3" t="str">
        <f>IF([1]SCHEDULE!J1130="","",[1]SCHEDULE!J1130)</f>
        <v/>
      </c>
    </row>
    <row r="1131" spans="2:10" x14ac:dyDescent="0.25">
      <c r="B1131" s="3" t="str">
        <f>IF([1]SCHEDULE!B1131="","",[1]SCHEDULE!B1131)</f>
        <v/>
      </c>
      <c r="C1131" s="3">
        <f>IF([1]SCHEDULE!C1131="","",[1]SCHEDULE!C1131)</f>
        <v>7</v>
      </c>
      <c r="D1131" s="1" t="e">
        <f>IF([1]SCHEDULE!D1131="","",[1]SCHEDULE!D1131)</f>
        <v>#N/A</v>
      </c>
      <c r="E1131" s="1" t="str">
        <f>IF([1]SCHEDULE!E1131="","",[1]SCHEDULE!E1131)</f>
        <v/>
      </c>
      <c r="F1131" s="6" t="str">
        <f>IF([1]SCHEDULE!F1131="","",[1]SCHEDULE!F1131)</f>
        <v/>
      </c>
      <c r="G1131" s="3" t="str">
        <f>IF([1]SCHEDULE!G1131="","",[1]SCHEDULE!G1131)</f>
        <v/>
      </c>
      <c r="H1131" s="3" t="str">
        <f>IF([1]SCHEDULE!H1131="","",[1]SCHEDULE!H1131)</f>
        <v/>
      </c>
      <c r="I1131" s="3" t="str">
        <f>IF([1]SCHEDULE!I1131="","",[1]SCHEDULE!I1131)</f>
        <v/>
      </c>
      <c r="J1131" s="3" t="str">
        <f>IF([1]SCHEDULE!J1131="","",[1]SCHEDULE!J1131)</f>
        <v/>
      </c>
    </row>
    <row r="1132" spans="2:10" x14ac:dyDescent="0.25">
      <c r="B1132" s="3" t="str">
        <f>IF([1]SCHEDULE!B1132="","",[1]SCHEDULE!B1132)</f>
        <v/>
      </c>
      <c r="C1132" s="3">
        <f>IF([1]SCHEDULE!C1132="","",[1]SCHEDULE!C1132)</f>
        <v>8</v>
      </c>
      <c r="D1132" s="1" t="e">
        <f>IF([1]SCHEDULE!D1132="","",[1]SCHEDULE!D1132)</f>
        <v>#N/A</v>
      </c>
      <c r="E1132" s="1" t="str">
        <f>IF([1]SCHEDULE!E1132="","",[1]SCHEDULE!E1132)</f>
        <v/>
      </c>
      <c r="F1132" s="6" t="str">
        <f>IF([1]SCHEDULE!F1132="","",[1]SCHEDULE!F1132)</f>
        <v/>
      </c>
      <c r="G1132" s="3" t="str">
        <f>IF([1]SCHEDULE!G1132="","",[1]SCHEDULE!G1132)</f>
        <v/>
      </c>
      <c r="H1132" s="3" t="str">
        <f>IF([1]SCHEDULE!H1132="","",[1]SCHEDULE!H1132)</f>
        <v/>
      </c>
      <c r="I1132" s="3" t="str">
        <f>IF([1]SCHEDULE!I1132="","",[1]SCHEDULE!I1132)</f>
        <v/>
      </c>
      <c r="J1132" s="3" t="str">
        <f>IF([1]SCHEDULE!J1132="","",[1]SCHEDULE!J1132)</f>
        <v/>
      </c>
    </row>
    <row r="1133" spans="2:10" x14ac:dyDescent="0.25">
      <c r="B1133" s="3" t="str">
        <f>IF([1]SCHEDULE!B1133="","",[1]SCHEDULE!B1133)</f>
        <v/>
      </c>
      <c r="C1133" s="3">
        <f>IF([1]SCHEDULE!C1133="","",[1]SCHEDULE!C1133)</f>
        <v>9</v>
      </c>
      <c r="D1133" s="1" t="e">
        <f>IF([1]SCHEDULE!D1133="","",[1]SCHEDULE!D1133)</f>
        <v>#N/A</v>
      </c>
      <c r="E1133" s="1" t="str">
        <f>IF([1]SCHEDULE!E1133="","",[1]SCHEDULE!E1133)</f>
        <v/>
      </c>
      <c r="F1133" s="6" t="str">
        <f>IF([1]SCHEDULE!F1133="","",[1]SCHEDULE!F1133)</f>
        <v/>
      </c>
      <c r="G1133" s="3" t="str">
        <f>IF([1]SCHEDULE!G1133="","",[1]SCHEDULE!G1133)</f>
        <v/>
      </c>
      <c r="H1133" s="3" t="str">
        <f>IF([1]SCHEDULE!H1133="","",[1]SCHEDULE!H1133)</f>
        <v/>
      </c>
      <c r="I1133" s="3" t="str">
        <f>IF([1]SCHEDULE!I1133="","",[1]SCHEDULE!I1133)</f>
        <v/>
      </c>
      <c r="J1133" s="3" t="str">
        <f>IF([1]SCHEDULE!J1133="","",[1]SCHEDULE!J1133)</f>
        <v/>
      </c>
    </row>
    <row r="1134" spans="2:10" x14ac:dyDescent="0.25">
      <c r="B1134" s="3" t="str">
        <f>IF([1]SCHEDULE!B1134="","",[1]SCHEDULE!B1134)</f>
        <v/>
      </c>
      <c r="C1134" s="3">
        <f>IF([1]SCHEDULE!C1134="","",[1]SCHEDULE!C1134)</f>
        <v>10</v>
      </c>
      <c r="D1134" s="1" t="e">
        <f>IF([1]SCHEDULE!D1134="","",[1]SCHEDULE!D1134)</f>
        <v>#N/A</v>
      </c>
      <c r="E1134" s="1" t="str">
        <f>IF([1]SCHEDULE!E1134="","",[1]SCHEDULE!E1134)</f>
        <v/>
      </c>
      <c r="F1134" s="6" t="str">
        <f>IF([1]SCHEDULE!F1134="","",[1]SCHEDULE!F1134)</f>
        <v/>
      </c>
      <c r="G1134" s="3" t="str">
        <f>IF([1]SCHEDULE!G1134="","",[1]SCHEDULE!G1134)</f>
        <v/>
      </c>
      <c r="H1134" s="3" t="str">
        <f>IF([1]SCHEDULE!H1134="","",[1]SCHEDULE!H1134)</f>
        <v/>
      </c>
      <c r="I1134" s="3" t="str">
        <f>IF([1]SCHEDULE!I1134="","",[1]SCHEDULE!I1134)</f>
        <v/>
      </c>
      <c r="J1134" s="3" t="str">
        <f>IF([1]SCHEDULE!J1134="","",[1]SCHEDULE!J1134)</f>
        <v/>
      </c>
    </row>
    <row r="1135" spans="2:10" x14ac:dyDescent="0.25">
      <c r="B1135" s="3" t="str">
        <f>IF([1]SCHEDULE!B1135="","",[1]SCHEDULE!B1135)</f>
        <v/>
      </c>
      <c r="C1135" s="3">
        <f>IF([1]SCHEDULE!C1135="","",[1]SCHEDULE!C1135)</f>
        <v>11</v>
      </c>
      <c r="D1135" s="1" t="e">
        <f>IF([1]SCHEDULE!D1135="","",[1]SCHEDULE!D1135)</f>
        <v>#N/A</v>
      </c>
      <c r="E1135" s="1" t="str">
        <f>IF([1]SCHEDULE!E1135="","",[1]SCHEDULE!E1135)</f>
        <v/>
      </c>
      <c r="F1135" s="6" t="str">
        <f>IF([1]SCHEDULE!F1135="","",[1]SCHEDULE!F1135)</f>
        <v/>
      </c>
      <c r="G1135" s="3" t="str">
        <f>IF([1]SCHEDULE!G1135="","",[1]SCHEDULE!G1135)</f>
        <v/>
      </c>
      <c r="H1135" s="3" t="str">
        <f>IF([1]SCHEDULE!H1135="","",[1]SCHEDULE!H1135)</f>
        <v/>
      </c>
      <c r="I1135" s="3" t="str">
        <f>IF([1]SCHEDULE!I1135="","",[1]SCHEDULE!I1135)</f>
        <v/>
      </c>
      <c r="J1135" s="3" t="str">
        <f>IF([1]SCHEDULE!J1135="","",[1]SCHEDULE!J1135)</f>
        <v/>
      </c>
    </row>
    <row r="1136" spans="2:10" x14ac:dyDescent="0.25">
      <c r="B1136" s="3" t="str">
        <f>IF([1]SCHEDULE!B1136="","",[1]SCHEDULE!B1136)</f>
        <v/>
      </c>
      <c r="C1136" s="3">
        <f>IF([1]SCHEDULE!C1136="","",[1]SCHEDULE!C1136)</f>
        <v>12</v>
      </c>
      <c r="D1136" s="1" t="e">
        <f>IF([1]SCHEDULE!D1136="","",[1]SCHEDULE!D1136)</f>
        <v>#N/A</v>
      </c>
      <c r="E1136" s="1" t="str">
        <f>IF([1]SCHEDULE!E1136="","",[1]SCHEDULE!E1136)</f>
        <v/>
      </c>
      <c r="F1136" s="6" t="str">
        <f>IF([1]SCHEDULE!F1136="","",[1]SCHEDULE!F1136)</f>
        <v/>
      </c>
      <c r="G1136" s="3" t="str">
        <f>IF([1]SCHEDULE!G1136="","",[1]SCHEDULE!G1136)</f>
        <v/>
      </c>
      <c r="H1136" s="3" t="str">
        <f>IF([1]SCHEDULE!H1136="","",[1]SCHEDULE!H1136)</f>
        <v/>
      </c>
      <c r="I1136" s="3" t="str">
        <f>IF([1]SCHEDULE!I1136="","",[1]SCHEDULE!I1136)</f>
        <v/>
      </c>
      <c r="J1136" s="3" t="str">
        <f>IF([1]SCHEDULE!J1136="","",[1]SCHEDULE!J1136)</f>
        <v/>
      </c>
    </row>
    <row r="1137" spans="2:10" x14ac:dyDescent="0.25">
      <c r="B1137" s="3" t="str">
        <f>IF([1]SCHEDULE!B1137="","",[1]SCHEDULE!B1137)</f>
        <v/>
      </c>
      <c r="C1137" s="3">
        <f>IF([1]SCHEDULE!C1137="","",[1]SCHEDULE!C1137)</f>
        <v>13</v>
      </c>
      <c r="D1137" s="1" t="e">
        <f>IF([1]SCHEDULE!D1137="","",[1]SCHEDULE!D1137)</f>
        <v>#N/A</v>
      </c>
      <c r="E1137" s="1" t="str">
        <f>IF([1]SCHEDULE!E1137="","",[1]SCHEDULE!E1137)</f>
        <v/>
      </c>
      <c r="F1137" s="6" t="str">
        <f>IF([1]SCHEDULE!F1137="","",[1]SCHEDULE!F1137)</f>
        <v/>
      </c>
      <c r="G1137" s="3" t="str">
        <f>IF([1]SCHEDULE!G1137="","",[1]SCHEDULE!G1137)</f>
        <v/>
      </c>
      <c r="H1137" s="3" t="str">
        <f>IF([1]SCHEDULE!H1137="","",[1]SCHEDULE!H1137)</f>
        <v/>
      </c>
      <c r="I1137" s="3" t="str">
        <f>IF([1]SCHEDULE!I1137="","",[1]SCHEDULE!I1137)</f>
        <v/>
      </c>
      <c r="J1137" s="3" t="str">
        <f>IF([1]SCHEDULE!J1137="","",[1]SCHEDULE!J1137)</f>
        <v/>
      </c>
    </row>
    <row r="1138" spans="2:10" x14ac:dyDescent="0.25">
      <c r="B1138" s="3" t="str">
        <f>IF([1]SCHEDULE!B1138="","",[1]SCHEDULE!B1138)</f>
        <v/>
      </c>
      <c r="C1138" s="3">
        <f>IF([1]SCHEDULE!C1138="","",[1]SCHEDULE!C1138)</f>
        <v>14</v>
      </c>
      <c r="D1138" s="1" t="e">
        <f>IF([1]SCHEDULE!D1138="","",[1]SCHEDULE!D1138)</f>
        <v>#N/A</v>
      </c>
      <c r="E1138" s="1" t="str">
        <f>IF([1]SCHEDULE!E1138="","",[1]SCHEDULE!E1138)</f>
        <v/>
      </c>
      <c r="F1138" s="6" t="str">
        <f>IF([1]SCHEDULE!F1138="","",[1]SCHEDULE!F1138)</f>
        <v/>
      </c>
      <c r="G1138" s="3" t="str">
        <f>IF([1]SCHEDULE!G1138="","",[1]SCHEDULE!G1138)</f>
        <v/>
      </c>
      <c r="H1138" s="3" t="str">
        <f>IF([1]SCHEDULE!H1138="","",[1]SCHEDULE!H1138)</f>
        <v/>
      </c>
      <c r="I1138" s="3" t="str">
        <f>IF([1]SCHEDULE!I1138="","",[1]SCHEDULE!I1138)</f>
        <v/>
      </c>
      <c r="J1138" s="3" t="str">
        <f>IF([1]SCHEDULE!J1138="","",[1]SCHEDULE!J1138)</f>
        <v/>
      </c>
    </row>
    <row r="1139" spans="2:10" x14ac:dyDescent="0.25">
      <c r="B1139" s="3" t="str">
        <f>IF([1]SCHEDULE!B1139="","",[1]SCHEDULE!B1139)</f>
        <v/>
      </c>
      <c r="C1139" s="3">
        <f>IF([1]SCHEDULE!C1139="","",[1]SCHEDULE!C1139)</f>
        <v>15</v>
      </c>
      <c r="D1139" s="1" t="e">
        <f>IF([1]SCHEDULE!D1139="","",[1]SCHEDULE!D1139)</f>
        <v>#N/A</v>
      </c>
      <c r="E1139" s="1" t="str">
        <f>IF([1]SCHEDULE!E1139="","",[1]SCHEDULE!E1139)</f>
        <v/>
      </c>
      <c r="F1139" s="6" t="str">
        <f>IF([1]SCHEDULE!F1139="","",[1]SCHEDULE!F1139)</f>
        <v/>
      </c>
      <c r="G1139" s="3" t="str">
        <f>IF([1]SCHEDULE!G1139="","",[1]SCHEDULE!G1139)</f>
        <v/>
      </c>
      <c r="H1139" s="3" t="str">
        <f>IF([1]SCHEDULE!H1139="","",[1]SCHEDULE!H1139)</f>
        <v/>
      </c>
      <c r="I1139" s="3" t="str">
        <f>IF([1]SCHEDULE!I1139="","",[1]SCHEDULE!I1139)</f>
        <v/>
      </c>
      <c r="J1139" s="3" t="str">
        <f>IF([1]SCHEDULE!J1139="","",[1]SCHEDULE!J1139)</f>
        <v/>
      </c>
    </row>
    <row r="1140" spans="2:10" x14ac:dyDescent="0.25">
      <c r="B1140" s="3" t="str">
        <f>IF([1]SCHEDULE!B1140="","",[1]SCHEDULE!B1140)</f>
        <v/>
      </c>
      <c r="C1140" s="3">
        <f>IF([1]SCHEDULE!C1140="","",[1]SCHEDULE!C1140)</f>
        <v>16</v>
      </c>
      <c r="D1140" s="1" t="e">
        <f>IF([1]SCHEDULE!D1140="","",[1]SCHEDULE!D1140)</f>
        <v>#N/A</v>
      </c>
      <c r="E1140" s="1" t="str">
        <f>IF([1]SCHEDULE!E1140="","",[1]SCHEDULE!E1140)</f>
        <v/>
      </c>
      <c r="F1140" s="6" t="str">
        <f>IF([1]SCHEDULE!F1140="","",[1]SCHEDULE!F1140)</f>
        <v/>
      </c>
      <c r="G1140" s="3" t="str">
        <f>IF([1]SCHEDULE!G1140="","",[1]SCHEDULE!G1140)</f>
        <v/>
      </c>
      <c r="H1140" s="3" t="str">
        <f>IF([1]SCHEDULE!H1140="","",[1]SCHEDULE!H1140)</f>
        <v/>
      </c>
      <c r="I1140" s="3" t="str">
        <f>IF([1]SCHEDULE!I1140="","",[1]SCHEDULE!I1140)</f>
        <v/>
      </c>
      <c r="J1140" s="3" t="str">
        <f>IF([1]SCHEDULE!J1140="","",[1]SCHEDULE!J1140)</f>
        <v/>
      </c>
    </row>
    <row r="1141" spans="2:10" x14ac:dyDescent="0.25">
      <c r="B1141" s="3" t="str">
        <f>IF([1]SCHEDULE!B1141="","",[1]SCHEDULE!B1141)</f>
        <v/>
      </c>
      <c r="C1141" s="3">
        <f>IF([1]SCHEDULE!C1141="","",[1]SCHEDULE!C1141)</f>
        <v>17</v>
      </c>
      <c r="D1141" s="1" t="e">
        <f>IF([1]SCHEDULE!D1141="","",[1]SCHEDULE!D1141)</f>
        <v>#N/A</v>
      </c>
      <c r="E1141" s="1" t="str">
        <f>IF([1]SCHEDULE!E1141="","",[1]SCHEDULE!E1141)</f>
        <v/>
      </c>
      <c r="F1141" s="6" t="str">
        <f>IF([1]SCHEDULE!F1141="","",[1]SCHEDULE!F1141)</f>
        <v/>
      </c>
      <c r="G1141" s="3" t="str">
        <f>IF([1]SCHEDULE!G1141="","",[1]SCHEDULE!G1141)</f>
        <v/>
      </c>
      <c r="H1141" s="3" t="str">
        <f>IF([1]SCHEDULE!H1141="","",[1]SCHEDULE!H1141)</f>
        <v/>
      </c>
      <c r="I1141" s="3" t="str">
        <f>IF([1]SCHEDULE!I1141="","",[1]SCHEDULE!I1141)</f>
        <v/>
      </c>
      <c r="J1141" s="3" t="str">
        <f>IF([1]SCHEDULE!J1141="","",[1]SCHEDULE!J1141)</f>
        <v/>
      </c>
    </row>
    <row r="1142" spans="2:10" x14ac:dyDescent="0.25">
      <c r="B1142" s="3" t="str">
        <f>IF([1]SCHEDULE!B1142="","",[1]SCHEDULE!B1142)</f>
        <v/>
      </c>
      <c r="C1142" s="3">
        <f>IF([1]SCHEDULE!C1142="","",[1]SCHEDULE!C1142)</f>
        <v>18</v>
      </c>
      <c r="D1142" s="1" t="e">
        <f>IF([1]SCHEDULE!D1142="","",[1]SCHEDULE!D1142)</f>
        <v>#N/A</v>
      </c>
      <c r="E1142" s="1" t="str">
        <f>IF([1]SCHEDULE!E1142="","",[1]SCHEDULE!E1142)</f>
        <v/>
      </c>
      <c r="F1142" s="6" t="str">
        <f>IF([1]SCHEDULE!F1142="","",[1]SCHEDULE!F1142)</f>
        <v/>
      </c>
      <c r="G1142" s="3" t="str">
        <f>IF([1]SCHEDULE!G1142="","",[1]SCHEDULE!G1142)</f>
        <v/>
      </c>
      <c r="H1142" s="3" t="str">
        <f>IF([1]SCHEDULE!H1142="","",[1]SCHEDULE!H1142)</f>
        <v/>
      </c>
      <c r="I1142" s="3" t="str">
        <f>IF([1]SCHEDULE!I1142="","",[1]SCHEDULE!I1142)</f>
        <v/>
      </c>
      <c r="J1142" s="3" t="str">
        <f>IF([1]SCHEDULE!J1142="","",[1]SCHEDULE!J1142)</f>
        <v/>
      </c>
    </row>
    <row r="1143" spans="2:10" x14ac:dyDescent="0.25">
      <c r="B1143" s="3" t="str">
        <f>IF([1]SCHEDULE!B1143="","",[1]SCHEDULE!B1143)</f>
        <v/>
      </c>
      <c r="C1143" s="3">
        <f>IF([1]SCHEDULE!C1143="","",[1]SCHEDULE!C1143)</f>
        <v>19</v>
      </c>
      <c r="D1143" s="1" t="e">
        <f>IF([1]SCHEDULE!D1143="","",[1]SCHEDULE!D1143)</f>
        <v>#N/A</v>
      </c>
      <c r="E1143" s="1" t="str">
        <f>IF([1]SCHEDULE!E1143="","",[1]SCHEDULE!E1143)</f>
        <v/>
      </c>
      <c r="F1143" s="6" t="str">
        <f>IF([1]SCHEDULE!F1143="","",[1]SCHEDULE!F1143)</f>
        <v/>
      </c>
      <c r="G1143" s="3" t="str">
        <f>IF([1]SCHEDULE!G1143="","",[1]SCHEDULE!G1143)</f>
        <v/>
      </c>
      <c r="H1143" s="3" t="str">
        <f>IF([1]SCHEDULE!H1143="","",[1]SCHEDULE!H1143)</f>
        <v/>
      </c>
      <c r="I1143" s="3" t="str">
        <f>IF([1]SCHEDULE!I1143="","",[1]SCHEDULE!I1143)</f>
        <v/>
      </c>
      <c r="J1143" s="3" t="str">
        <f>IF([1]SCHEDULE!J1143="","",[1]SCHEDULE!J1143)</f>
        <v/>
      </c>
    </row>
    <row r="1144" spans="2:10" x14ac:dyDescent="0.25">
      <c r="B1144" s="3" t="str">
        <f>IF([1]SCHEDULE!B1144="","",[1]SCHEDULE!B1144)</f>
        <v/>
      </c>
      <c r="C1144" s="3">
        <f>IF([1]SCHEDULE!C1144="","",[1]SCHEDULE!C1144)</f>
        <v>20</v>
      </c>
      <c r="D1144" s="1" t="e">
        <f>IF([1]SCHEDULE!D1144="","",[1]SCHEDULE!D1144)</f>
        <v>#N/A</v>
      </c>
      <c r="E1144" s="1" t="str">
        <f>IF([1]SCHEDULE!E1144="","",[1]SCHEDULE!E1144)</f>
        <v/>
      </c>
      <c r="F1144" s="6" t="str">
        <f>IF([1]SCHEDULE!F1144="","",[1]SCHEDULE!F1144)</f>
        <v/>
      </c>
      <c r="G1144" s="3" t="str">
        <f>IF([1]SCHEDULE!G1144="","",[1]SCHEDULE!G1144)</f>
        <v/>
      </c>
      <c r="H1144" s="3" t="str">
        <f>IF([1]SCHEDULE!H1144="","",[1]SCHEDULE!H1144)</f>
        <v/>
      </c>
      <c r="I1144" s="3" t="str">
        <f>IF([1]SCHEDULE!I1144="","",[1]SCHEDULE!I1144)</f>
        <v/>
      </c>
      <c r="J1144" s="3" t="str">
        <f>IF([1]SCHEDULE!J1144="","",[1]SCHEDULE!J1144)</f>
        <v/>
      </c>
    </row>
    <row r="1145" spans="2:10" x14ac:dyDescent="0.25">
      <c r="B1145" s="3" t="str">
        <f>IF([1]SCHEDULE!B1145="","",[1]SCHEDULE!B1145)</f>
        <v/>
      </c>
      <c r="C1145" s="3">
        <f>IF([1]SCHEDULE!C1145="","",[1]SCHEDULE!C1145)</f>
        <v>21</v>
      </c>
      <c r="D1145" s="1" t="e">
        <f>IF([1]SCHEDULE!D1145="","",[1]SCHEDULE!D1145)</f>
        <v>#N/A</v>
      </c>
      <c r="E1145" s="1" t="str">
        <f>IF([1]SCHEDULE!E1145="","",[1]SCHEDULE!E1145)</f>
        <v/>
      </c>
      <c r="F1145" s="6" t="str">
        <f>IF([1]SCHEDULE!F1145="","",[1]SCHEDULE!F1145)</f>
        <v/>
      </c>
      <c r="G1145" s="3" t="str">
        <f>IF([1]SCHEDULE!G1145="","",[1]SCHEDULE!G1145)</f>
        <v/>
      </c>
      <c r="H1145" s="3" t="str">
        <f>IF([1]SCHEDULE!H1145="","",[1]SCHEDULE!H1145)</f>
        <v/>
      </c>
      <c r="I1145" s="3" t="str">
        <f>IF([1]SCHEDULE!I1145="","",[1]SCHEDULE!I1145)</f>
        <v/>
      </c>
      <c r="J1145" s="3" t="str">
        <f>IF([1]SCHEDULE!J1145="","",[1]SCHEDULE!J1145)</f>
        <v/>
      </c>
    </row>
    <row r="1146" spans="2:10" x14ac:dyDescent="0.25">
      <c r="B1146" s="3" t="str">
        <f>IF([1]SCHEDULE!B1146="","",[1]SCHEDULE!B1146)</f>
        <v/>
      </c>
      <c r="C1146" s="3">
        <f>IF([1]SCHEDULE!C1146="","",[1]SCHEDULE!C1146)</f>
        <v>22</v>
      </c>
      <c r="D1146" s="1" t="e">
        <f>IF([1]SCHEDULE!D1146="","",[1]SCHEDULE!D1146)</f>
        <v>#N/A</v>
      </c>
      <c r="E1146" s="1" t="str">
        <f>IF([1]SCHEDULE!E1146="","",[1]SCHEDULE!E1146)</f>
        <v/>
      </c>
      <c r="F1146" s="6" t="str">
        <f>IF([1]SCHEDULE!F1146="","",[1]SCHEDULE!F1146)</f>
        <v/>
      </c>
      <c r="G1146" s="3" t="str">
        <f>IF([1]SCHEDULE!G1146="","",[1]SCHEDULE!G1146)</f>
        <v/>
      </c>
      <c r="H1146" s="3" t="str">
        <f>IF([1]SCHEDULE!H1146="","",[1]SCHEDULE!H1146)</f>
        <v/>
      </c>
      <c r="I1146" s="3" t="str">
        <f>IF([1]SCHEDULE!I1146="","",[1]SCHEDULE!I1146)</f>
        <v/>
      </c>
      <c r="J1146" s="3" t="str">
        <f>IF([1]SCHEDULE!J1146="","",[1]SCHEDULE!J1146)</f>
        <v/>
      </c>
    </row>
    <row r="1147" spans="2:10" x14ac:dyDescent="0.25">
      <c r="B1147" s="3" t="str">
        <f>IF([1]SCHEDULE!B1147="","",[1]SCHEDULE!B1147)</f>
        <v/>
      </c>
      <c r="C1147" s="3">
        <f>IF([1]SCHEDULE!C1147="","",[1]SCHEDULE!C1147)</f>
        <v>23</v>
      </c>
      <c r="D1147" s="1" t="e">
        <f>IF([1]SCHEDULE!D1147="","",[1]SCHEDULE!D1147)</f>
        <v>#N/A</v>
      </c>
      <c r="E1147" s="1" t="str">
        <f>IF([1]SCHEDULE!E1147="","",[1]SCHEDULE!E1147)</f>
        <v/>
      </c>
      <c r="F1147" s="6" t="str">
        <f>IF([1]SCHEDULE!F1147="","",[1]SCHEDULE!F1147)</f>
        <v/>
      </c>
      <c r="G1147" s="3" t="str">
        <f>IF([1]SCHEDULE!G1147="","",[1]SCHEDULE!G1147)</f>
        <v/>
      </c>
      <c r="H1147" s="3" t="str">
        <f>IF([1]SCHEDULE!H1147="","",[1]SCHEDULE!H1147)</f>
        <v/>
      </c>
      <c r="I1147" s="3" t="str">
        <f>IF([1]SCHEDULE!I1147="","",[1]SCHEDULE!I1147)</f>
        <v/>
      </c>
      <c r="J1147" s="3" t="str">
        <f>IF([1]SCHEDULE!J1147="","",[1]SCHEDULE!J1147)</f>
        <v/>
      </c>
    </row>
    <row r="1148" spans="2:10" x14ac:dyDescent="0.25">
      <c r="B1148" s="3" t="str">
        <f>IF([1]SCHEDULE!B1148="","",[1]SCHEDULE!B1148)</f>
        <v/>
      </c>
      <c r="C1148" s="3">
        <f>IF([1]SCHEDULE!C1148="","",[1]SCHEDULE!C1148)</f>
        <v>24</v>
      </c>
      <c r="D1148" s="1" t="e">
        <f>IF([1]SCHEDULE!D1148="","",[1]SCHEDULE!D1148)</f>
        <v>#N/A</v>
      </c>
      <c r="E1148" s="1" t="str">
        <f>IF([1]SCHEDULE!E1148="","",[1]SCHEDULE!E1148)</f>
        <v/>
      </c>
      <c r="F1148" s="6" t="str">
        <f>IF([1]SCHEDULE!F1148="","",[1]SCHEDULE!F1148)</f>
        <v/>
      </c>
      <c r="G1148" s="3" t="str">
        <f>IF([1]SCHEDULE!G1148="","",[1]SCHEDULE!G1148)</f>
        <v/>
      </c>
      <c r="H1148" s="3" t="str">
        <f>IF([1]SCHEDULE!H1148="","",[1]SCHEDULE!H1148)</f>
        <v/>
      </c>
      <c r="I1148" s="3" t="str">
        <f>IF([1]SCHEDULE!I1148="","",[1]SCHEDULE!I1148)</f>
        <v/>
      </c>
      <c r="J1148" s="3" t="str">
        <f>IF([1]SCHEDULE!J1148="","",[1]SCHEDULE!J1148)</f>
        <v/>
      </c>
    </row>
    <row r="1149" spans="2:10" x14ac:dyDescent="0.25">
      <c r="B1149" s="3" t="str">
        <f>IF([1]SCHEDULE!B1149="","",[1]SCHEDULE!B1149)</f>
        <v/>
      </c>
      <c r="C1149" s="3">
        <f>IF([1]SCHEDULE!C1149="","",[1]SCHEDULE!C1149)</f>
        <v>25</v>
      </c>
      <c r="D1149" s="1" t="e">
        <f>IF([1]SCHEDULE!D1149="","",[1]SCHEDULE!D1149)</f>
        <v>#N/A</v>
      </c>
      <c r="E1149" s="1" t="str">
        <f>IF([1]SCHEDULE!E1149="","",[1]SCHEDULE!E1149)</f>
        <v/>
      </c>
      <c r="F1149" s="6" t="str">
        <f>IF([1]SCHEDULE!F1149="","",[1]SCHEDULE!F1149)</f>
        <v/>
      </c>
      <c r="G1149" s="3" t="str">
        <f>IF([1]SCHEDULE!G1149="","",[1]SCHEDULE!G1149)</f>
        <v/>
      </c>
      <c r="H1149" s="3" t="str">
        <f>IF([1]SCHEDULE!H1149="","",[1]SCHEDULE!H1149)</f>
        <v/>
      </c>
      <c r="I1149" s="3" t="str">
        <f>IF([1]SCHEDULE!I1149="","",[1]SCHEDULE!I1149)</f>
        <v/>
      </c>
      <c r="J1149" s="3" t="str">
        <f>IF([1]SCHEDULE!J1149="","",[1]SCHEDULE!J1149)</f>
        <v/>
      </c>
    </row>
    <row r="1150" spans="2:10" x14ac:dyDescent="0.25">
      <c r="B1150" s="3" t="str">
        <f>IF([1]SCHEDULE!B1150="","",[1]SCHEDULE!B1150)</f>
        <v/>
      </c>
      <c r="C1150" s="3">
        <f>IF([1]SCHEDULE!C1150="","",[1]SCHEDULE!C1150)</f>
        <v>26</v>
      </c>
      <c r="D1150" s="1" t="e">
        <f>IF([1]SCHEDULE!D1150="","",[1]SCHEDULE!D1150)</f>
        <v>#N/A</v>
      </c>
      <c r="E1150" s="1" t="str">
        <f>IF([1]SCHEDULE!E1150="","",[1]SCHEDULE!E1150)</f>
        <v/>
      </c>
      <c r="F1150" s="6" t="str">
        <f>IF([1]SCHEDULE!F1150="","",[1]SCHEDULE!F1150)</f>
        <v/>
      </c>
      <c r="G1150" s="3" t="str">
        <f>IF([1]SCHEDULE!G1150="","",[1]SCHEDULE!G1150)</f>
        <v/>
      </c>
      <c r="H1150" s="3" t="str">
        <f>IF([1]SCHEDULE!H1150="","",[1]SCHEDULE!H1150)</f>
        <v/>
      </c>
      <c r="I1150" s="3" t="str">
        <f>IF([1]SCHEDULE!I1150="","",[1]SCHEDULE!I1150)</f>
        <v/>
      </c>
      <c r="J1150" s="3" t="str">
        <f>IF([1]SCHEDULE!J1150="","",[1]SCHEDULE!J1150)</f>
        <v/>
      </c>
    </row>
    <row r="1151" spans="2:10" x14ac:dyDescent="0.25">
      <c r="B1151" s="3" t="str">
        <f>IF([1]SCHEDULE!B1151="","",[1]SCHEDULE!B1151)</f>
        <v/>
      </c>
      <c r="C1151" s="3">
        <f>IF([1]SCHEDULE!C1151="","",[1]SCHEDULE!C1151)</f>
        <v>27</v>
      </c>
      <c r="D1151" s="1" t="e">
        <f>IF([1]SCHEDULE!D1151="","",[1]SCHEDULE!D1151)</f>
        <v>#N/A</v>
      </c>
      <c r="E1151" s="1" t="str">
        <f>IF([1]SCHEDULE!E1151="","",[1]SCHEDULE!E1151)</f>
        <v/>
      </c>
      <c r="F1151" s="6" t="str">
        <f>IF([1]SCHEDULE!F1151="","",[1]SCHEDULE!F1151)</f>
        <v/>
      </c>
      <c r="G1151" s="3" t="str">
        <f>IF([1]SCHEDULE!G1151="","",[1]SCHEDULE!G1151)</f>
        <v/>
      </c>
      <c r="H1151" s="3" t="str">
        <f>IF([1]SCHEDULE!H1151="","",[1]SCHEDULE!H1151)</f>
        <v/>
      </c>
      <c r="I1151" s="3" t="str">
        <f>IF([1]SCHEDULE!I1151="","",[1]SCHEDULE!I1151)</f>
        <v/>
      </c>
      <c r="J1151" s="3" t="str">
        <f>IF([1]SCHEDULE!J1151="","",[1]SCHEDULE!J1151)</f>
        <v/>
      </c>
    </row>
    <row r="1152" spans="2:10" x14ac:dyDescent="0.25">
      <c r="B1152" s="3" t="str">
        <f>IF([1]SCHEDULE!B1152="","",[1]SCHEDULE!B1152)</f>
        <v/>
      </c>
      <c r="C1152" s="3">
        <f>IF([1]SCHEDULE!C1152="","",[1]SCHEDULE!C1152)</f>
        <v>28</v>
      </c>
      <c r="D1152" s="1" t="e">
        <f>IF([1]SCHEDULE!D1152="","",[1]SCHEDULE!D1152)</f>
        <v>#N/A</v>
      </c>
      <c r="E1152" s="1" t="str">
        <f>IF([1]SCHEDULE!E1152="","",[1]SCHEDULE!E1152)</f>
        <v/>
      </c>
      <c r="F1152" s="6" t="str">
        <f>IF([1]SCHEDULE!F1152="","",[1]SCHEDULE!F1152)</f>
        <v/>
      </c>
      <c r="G1152" s="3" t="str">
        <f>IF([1]SCHEDULE!G1152="","",[1]SCHEDULE!G1152)</f>
        <v/>
      </c>
      <c r="H1152" s="3" t="str">
        <f>IF([1]SCHEDULE!H1152="","",[1]SCHEDULE!H1152)</f>
        <v/>
      </c>
      <c r="I1152" s="3" t="str">
        <f>IF([1]SCHEDULE!I1152="","",[1]SCHEDULE!I1152)</f>
        <v/>
      </c>
      <c r="J1152" s="3" t="str">
        <f>IF([1]SCHEDULE!J1152="","",[1]SCHEDULE!J1152)</f>
        <v/>
      </c>
    </row>
    <row r="1153" spans="2:10" x14ac:dyDescent="0.25">
      <c r="B1153" s="3" t="str">
        <f>IF([1]SCHEDULE!B1153="","",[1]SCHEDULE!B1153)</f>
        <v/>
      </c>
      <c r="C1153" s="3">
        <f>IF([1]SCHEDULE!C1153="","",[1]SCHEDULE!C1153)</f>
        <v>29</v>
      </c>
      <c r="D1153" s="1" t="e">
        <f>IF([1]SCHEDULE!D1153="","",[1]SCHEDULE!D1153)</f>
        <v>#N/A</v>
      </c>
      <c r="E1153" s="1" t="str">
        <f>IF([1]SCHEDULE!E1153="","",[1]SCHEDULE!E1153)</f>
        <v/>
      </c>
      <c r="F1153" s="6" t="str">
        <f>IF([1]SCHEDULE!F1153="","",[1]SCHEDULE!F1153)</f>
        <v/>
      </c>
      <c r="G1153" s="3" t="str">
        <f>IF([1]SCHEDULE!G1153="","",[1]SCHEDULE!G1153)</f>
        <v/>
      </c>
      <c r="H1153" s="3" t="str">
        <f>IF([1]SCHEDULE!H1153="","",[1]SCHEDULE!H1153)</f>
        <v/>
      </c>
      <c r="I1153" s="3" t="str">
        <f>IF([1]SCHEDULE!I1153="","",[1]SCHEDULE!I1153)</f>
        <v/>
      </c>
      <c r="J1153" s="3" t="str">
        <f>IF([1]SCHEDULE!J1153="","",[1]SCHEDULE!J1153)</f>
        <v/>
      </c>
    </row>
    <row r="1154" spans="2:10" x14ac:dyDescent="0.25">
      <c r="B1154" s="3" t="str">
        <f>IF([1]SCHEDULE!B1154="","",[1]SCHEDULE!B1154)</f>
        <v/>
      </c>
      <c r="C1154" s="3">
        <f>IF([1]SCHEDULE!C1154="","",[1]SCHEDULE!C1154)</f>
        <v>30</v>
      </c>
      <c r="D1154" s="1" t="e">
        <f>IF([1]SCHEDULE!D1154="","",[1]SCHEDULE!D1154)</f>
        <v>#N/A</v>
      </c>
      <c r="E1154" s="1" t="str">
        <f>IF([1]SCHEDULE!E1154="","",[1]SCHEDULE!E1154)</f>
        <v/>
      </c>
      <c r="F1154" s="6" t="str">
        <f>IF([1]SCHEDULE!F1154="","",[1]SCHEDULE!F1154)</f>
        <v/>
      </c>
      <c r="G1154" s="3" t="str">
        <f>IF([1]SCHEDULE!G1154="","",[1]SCHEDULE!G1154)</f>
        <v/>
      </c>
      <c r="H1154" s="3" t="str">
        <f>IF([1]SCHEDULE!H1154="","",[1]SCHEDULE!H1154)</f>
        <v/>
      </c>
      <c r="I1154" s="3" t="str">
        <f>IF([1]SCHEDULE!I1154="","",[1]SCHEDULE!I1154)</f>
        <v/>
      </c>
      <c r="J1154" s="3" t="str">
        <f>IF([1]SCHEDULE!J1154="","",[1]SCHEDULE!J1154)</f>
        <v/>
      </c>
    </row>
    <row r="1155" spans="2:10" x14ac:dyDescent="0.25">
      <c r="B1155" s="3" t="str">
        <f>IF([1]SCHEDULE!B1155="","",[1]SCHEDULE!B1155)</f>
        <v/>
      </c>
      <c r="C1155" s="3">
        <f>IF([1]SCHEDULE!C1155="","",[1]SCHEDULE!C1155)</f>
        <v>31</v>
      </c>
      <c r="D1155" s="1" t="e">
        <f>IF([1]SCHEDULE!D1155="","",[1]SCHEDULE!D1155)</f>
        <v>#N/A</v>
      </c>
      <c r="E1155" s="1" t="str">
        <f>IF([1]SCHEDULE!E1155="","",[1]SCHEDULE!E1155)</f>
        <v/>
      </c>
      <c r="F1155" s="6" t="str">
        <f>IF([1]SCHEDULE!F1155="","",[1]SCHEDULE!F1155)</f>
        <v/>
      </c>
      <c r="G1155" s="3" t="str">
        <f>IF([1]SCHEDULE!G1155="","",[1]SCHEDULE!G1155)</f>
        <v/>
      </c>
      <c r="H1155" s="3" t="str">
        <f>IF([1]SCHEDULE!H1155="","",[1]SCHEDULE!H1155)</f>
        <v/>
      </c>
      <c r="I1155" s="3" t="str">
        <f>IF([1]SCHEDULE!I1155="","",[1]SCHEDULE!I1155)</f>
        <v/>
      </c>
      <c r="J1155" s="3" t="str">
        <f>IF([1]SCHEDULE!J1155="","",[1]SCHEDULE!J1155)</f>
        <v/>
      </c>
    </row>
    <row r="1156" spans="2:10" x14ac:dyDescent="0.25">
      <c r="B1156" s="3" t="str">
        <f>IF([1]SCHEDULE!B1156="","",[1]SCHEDULE!B1156)</f>
        <v/>
      </c>
      <c r="C1156" s="3">
        <f>IF([1]SCHEDULE!C1156="","",[1]SCHEDULE!C1156)</f>
        <v>32</v>
      </c>
      <c r="D1156" s="1" t="e">
        <f>IF([1]SCHEDULE!D1156="","",[1]SCHEDULE!D1156)</f>
        <v>#N/A</v>
      </c>
      <c r="E1156" s="1" t="str">
        <f>IF([1]SCHEDULE!E1156="","",[1]SCHEDULE!E1156)</f>
        <v/>
      </c>
      <c r="F1156" s="6" t="str">
        <f>IF([1]SCHEDULE!F1156="","",[1]SCHEDULE!F1156)</f>
        <v/>
      </c>
      <c r="G1156" s="3" t="str">
        <f>IF([1]SCHEDULE!G1156="","",[1]SCHEDULE!G1156)</f>
        <v/>
      </c>
      <c r="H1156" s="3" t="str">
        <f>IF([1]SCHEDULE!H1156="","",[1]SCHEDULE!H1156)</f>
        <v/>
      </c>
      <c r="I1156" s="3" t="str">
        <f>IF([1]SCHEDULE!I1156="","",[1]SCHEDULE!I1156)</f>
        <v/>
      </c>
      <c r="J1156" s="3" t="str">
        <f>IF([1]SCHEDULE!J1156="","",[1]SCHEDULE!J1156)</f>
        <v/>
      </c>
    </row>
    <row r="1157" spans="2:10" x14ac:dyDescent="0.25">
      <c r="B1157" s="3" t="str">
        <f>IF([1]SCHEDULE!B1157="","",[1]SCHEDULE!B1157)</f>
        <v/>
      </c>
      <c r="C1157" s="3">
        <f>IF([1]SCHEDULE!C1157="","",[1]SCHEDULE!C1157)</f>
        <v>33</v>
      </c>
      <c r="D1157" s="1" t="e">
        <f>IF([1]SCHEDULE!D1157="","",[1]SCHEDULE!D1157)</f>
        <v>#N/A</v>
      </c>
      <c r="E1157" s="1" t="str">
        <f>IF([1]SCHEDULE!E1157="","",[1]SCHEDULE!E1157)</f>
        <v/>
      </c>
      <c r="F1157" s="6" t="str">
        <f>IF([1]SCHEDULE!F1157="","",[1]SCHEDULE!F1157)</f>
        <v/>
      </c>
      <c r="G1157" s="3" t="str">
        <f>IF([1]SCHEDULE!G1157="","",[1]SCHEDULE!G1157)</f>
        <v/>
      </c>
      <c r="H1157" s="3" t="str">
        <f>IF([1]SCHEDULE!H1157="","",[1]SCHEDULE!H1157)</f>
        <v/>
      </c>
      <c r="I1157" s="3" t="str">
        <f>IF([1]SCHEDULE!I1157="","",[1]SCHEDULE!I1157)</f>
        <v/>
      </c>
      <c r="J1157" s="3" t="str">
        <f>IF([1]SCHEDULE!J1157="","",[1]SCHEDULE!J1157)</f>
        <v/>
      </c>
    </row>
    <row r="1158" spans="2:10" x14ac:dyDescent="0.25">
      <c r="B1158" s="3" t="str">
        <f>IF([1]SCHEDULE!B1158="","",[1]SCHEDULE!B1158)</f>
        <v/>
      </c>
      <c r="C1158" s="3">
        <f>IF([1]SCHEDULE!C1158="","",[1]SCHEDULE!C1158)</f>
        <v>34</v>
      </c>
      <c r="D1158" s="1" t="e">
        <f>IF([1]SCHEDULE!D1158="","",[1]SCHEDULE!D1158)</f>
        <v>#N/A</v>
      </c>
      <c r="E1158" s="1" t="str">
        <f>IF([1]SCHEDULE!E1158="","",[1]SCHEDULE!E1158)</f>
        <v/>
      </c>
      <c r="F1158" s="6" t="str">
        <f>IF([1]SCHEDULE!F1158="","",[1]SCHEDULE!F1158)</f>
        <v/>
      </c>
      <c r="G1158" s="3" t="str">
        <f>IF([1]SCHEDULE!G1158="","",[1]SCHEDULE!G1158)</f>
        <v/>
      </c>
      <c r="H1158" s="3" t="str">
        <f>IF([1]SCHEDULE!H1158="","",[1]SCHEDULE!H1158)</f>
        <v/>
      </c>
      <c r="I1158" s="3" t="str">
        <f>IF([1]SCHEDULE!I1158="","",[1]SCHEDULE!I1158)</f>
        <v/>
      </c>
      <c r="J1158" s="3" t="str">
        <f>IF([1]SCHEDULE!J1158="","",[1]SCHEDULE!J1158)</f>
        <v/>
      </c>
    </row>
    <row r="1159" spans="2:10" x14ac:dyDescent="0.25">
      <c r="B1159" s="3" t="str">
        <f>IF([1]SCHEDULE!B1159="","",[1]SCHEDULE!B1159)</f>
        <v/>
      </c>
      <c r="C1159" s="3">
        <f>IF([1]SCHEDULE!C1159="","",[1]SCHEDULE!C1159)</f>
        <v>35</v>
      </c>
      <c r="D1159" s="1" t="e">
        <f>IF([1]SCHEDULE!D1159="","",[1]SCHEDULE!D1159)</f>
        <v>#N/A</v>
      </c>
      <c r="E1159" s="1" t="str">
        <f>IF([1]SCHEDULE!E1159="","",[1]SCHEDULE!E1159)</f>
        <v/>
      </c>
      <c r="F1159" s="6" t="str">
        <f>IF([1]SCHEDULE!F1159="","",[1]SCHEDULE!F1159)</f>
        <v/>
      </c>
      <c r="G1159" s="3" t="str">
        <f>IF([1]SCHEDULE!G1159="","",[1]SCHEDULE!G1159)</f>
        <v/>
      </c>
      <c r="H1159" s="3" t="str">
        <f>IF([1]SCHEDULE!H1159="","",[1]SCHEDULE!H1159)</f>
        <v/>
      </c>
      <c r="I1159" s="3" t="str">
        <f>IF([1]SCHEDULE!I1159="","",[1]SCHEDULE!I1159)</f>
        <v/>
      </c>
      <c r="J1159" s="3" t="str">
        <f>IF([1]SCHEDULE!J1159="","",[1]SCHEDULE!J1159)</f>
        <v/>
      </c>
    </row>
    <row r="1160" spans="2:10" x14ac:dyDescent="0.25">
      <c r="B1160" s="3" t="str">
        <f>IF([1]SCHEDULE!B1160="","",[1]SCHEDULE!B1160)</f>
        <v/>
      </c>
      <c r="C1160" s="3">
        <f>IF([1]SCHEDULE!C1160="","",[1]SCHEDULE!C1160)</f>
        <v>36</v>
      </c>
      <c r="D1160" s="1" t="e">
        <f>IF([1]SCHEDULE!D1160="","",[1]SCHEDULE!D1160)</f>
        <v>#N/A</v>
      </c>
      <c r="E1160" s="1" t="str">
        <f>IF([1]SCHEDULE!E1160="","",[1]SCHEDULE!E1160)</f>
        <v/>
      </c>
      <c r="F1160" s="6" t="str">
        <f>IF([1]SCHEDULE!F1160="","",[1]SCHEDULE!F1160)</f>
        <v/>
      </c>
      <c r="G1160" s="3" t="str">
        <f>IF([1]SCHEDULE!G1160="","",[1]SCHEDULE!G1160)</f>
        <v/>
      </c>
      <c r="H1160" s="3" t="str">
        <f>IF([1]SCHEDULE!H1160="","",[1]SCHEDULE!H1160)</f>
        <v/>
      </c>
      <c r="I1160" s="3" t="str">
        <f>IF([1]SCHEDULE!I1160="","",[1]SCHEDULE!I1160)</f>
        <v/>
      </c>
      <c r="J1160" s="3" t="str">
        <f>IF([1]SCHEDULE!J1160="","",[1]SCHEDULE!J1160)</f>
        <v/>
      </c>
    </row>
    <row r="1161" spans="2:10" x14ac:dyDescent="0.25">
      <c r="B1161" s="3" t="str">
        <f>IF([1]SCHEDULE!B1161="","",[1]SCHEDULE!B1161)</f>
        <v/>
      </c>
      <c r="C1161" s="3">
        <f>IF([1]SCHEDULE!C1161="","",[1]SCHEDULE!C1161)</f>
        <v>37</v>
      </c>
      <c r="D1161" s="1" t="e">
        <f>IF([1]SCHEDULE!D1161="","",[1]SCHEDULE!D1161)</f>
        <v>#N/A</v>
      </c>
      <c r="E1161" s="1" t="str">
        <f>IF([1]SCHEDULE!E1161="","",[1]SCHEDULE!E1161)</f>
        <v/>
      </c>
      <c r="F1161" s="6" t="str">
        <f>IF([1]SCHEDULE!F1161="","",[1]SCHEDULE!F1161)</f>
        <v/>
      </c>
      <c r="G1161" s="3" t="str">
        <f>IF([1]SCHEDULE!G1161="","",[1]SCHEDULE!G1161)</f>
        <v/>
      </c>
      <c r="H1161" s="3" t="str">
        <f>IF([1]SCHEDULE!H1161="","",[1]SCHEDULE!H1161)</f>
        <v/>
      </c>
      <c r="I1161" s="3" t="str">
        <f>IF([1]SCHEDULE!I1161="","",[1]SCHEDULE!I1161)</f>
        <v/>
      </c>
      <c r="J1161" s="3" t="str">
        <f>IF([1]SCHEDULE!J1161="","",[1]SCHEDULE!J1161)</f>
        <v/>
      </c>
    </row>
    <row r="1162" spans="2:10" x14ac:dyDescent="0.25">
      <c r="B1162" s="3" t="str">
        <f>IF([1]SCHEDULE!B1162="","",[1]SCHEDULE!B1162)</f>
        <v/>
      </c>
      <c r="C1162" s="3">
        <f>IF([1]SCHEDULE!C1162="","",[1]SCHEDULE!C1162)</f>
        <v>38</v>
      </c>
      <c r="D1162" s="1" t="e">
        <f>IF([1]SCHEDULE!D1162="","",[1]SCHEDULE!D1162)</f>
        <v>#N/A</v>
      </c>
      <c r="E1162" s="1" t="str">
        <f>IF([1]SCHEDULE!E1162="","",[1]SCHEDULE!E1162)</f>
        <v/>
      </c>
      <c r="F1162" s="6" t="str">
        <f>IF([1]SCHEDULE!F1162="","",[1]SCHEDULE!F1162)</f>
        <v/>
      </c>
      <c r="G1162" s="3" t="str">
        <f>IF([1]SCHEDULE!G1162="","",[1]SCHEDULE!G1162)</f>
        <v/>
      </c>
      <c r="H1162" s="3" t="str">
        <f>IF([1]SCHEDULE!H1162="","",[1]SCHEDULE!H1162)</f>
        <v/>
      </c>
      <c r="I1162" s="3" t="str">
        <f>IF([1]SCHEDULE!I1162="","",[1]SCHEDULE!I1162)</f>
        <v/>
      </c>
      <c r="J1162" s="3" t="str">
        <f>IF([1]SCHEDULE!J1162="","",[1]SCHEDULE!J1162)</f>
        <v/>
      </c>
    </row>
    <row r="1163" spans="2:10" x14ac:dyDescent="0.25">
      <c r="B1163" s="3" t="str">
        <f>IF([1]SCHEDULE!B1163="","",[1]SCHEDULE!B1163)</f>
        <v/>
      </c>
      <c r="C1163" s="3">
        <f>IF([1]SCHEDULE!C1163="","",[1]SCHEDULE!C1163)</f>
        <v>39</v>
      </c>
      <c r="D1163" s="1" t="e">
        <f>IF([1]SCHEDULE!D1163="","",[1]SCHEDULE!D1163)</f>
        <v>#N/A</v>
      </c>
      <c r="E1163" s="1" t="str">
        <f>IF([1]SCHEDULE!E1163="","",[1]SCHEDULE!E1163)</f>
        <v/>
      </c>
      <c r="F1163" s="6" t="str">
        <f>IF([1]SCHEDULE!F1163="","",[1]SCHEDULE!F1163)</f>
        <v/>
      </c>
      <c r="G1163" s="3" t="str">
        <f>IF([1]SCHEDULE!G1163="","",[1]SCHEDULE!G1163)</f>
        <v/>
      </c>
      <c r="H1163" s="3" t="str">
        <f>IF([1]SCHEDULE!H1163="","",[1]SCHEDULE!H1163)</f>
        <v/>
      </c>
      <c r="I1163" s="3" t="str">
        <f>IF([1]SCHEDULE!I1163="","",[1]SCHEDULE!I1163)</f>
        <v/>
      </c>
      <c r="J1163" s="3" t="str">
        <f>IF([1]SCHEDULE!J1163="","",[1]SCHEDULE!J1163)</f>
        <v/>
      </c>
    </row>
    <row r="1164" spans="2:10" x14ac:dyDescent="0.25">
      <c r="B1164" s="3" t="str">
        <f>IF([1]SCHEDULE!B1164="","",[1]SCHEDULE!B1164)</f>
        <v/>
      </c>
      <c r="C1164" s="3">
        <f>IF([1]SCHEDULE!C1164="","",[1]SCHEDULE!C1164)</f>
        <v>40</v>
      </c>
      <c r="D1164" s="1" t="e">
        <f>IF([1]SCHEDULE!D1164="","",[1]SCHEDULE!D1164)</f>
        <v>#N/A</v>
      </c>
      <c r="E1164" s="1" t="str">
        <f>IF([1]SCHEDULE!E1164="","",[1]SCHEDULE!E1164)</f>
        <v/>
      </c>
      <c r="F1164" s="6" t="str">
        <f>IF([1]SCHEDULE!F1164="","",[1]SCHEDULE!F1164)</f>
        <v/>
      </c>
      <c r="G1164" s="3" t="str">
        <f>IF([1]SCHEDULE!G1164="","",[1]SCHEDULE!G1164)</f>
        <v/>
      </c>
      <c r="H1164" s="3" t="str">
        <f>IF([1]SCHEDULE!H1164="","",[1]SCHEDULE!H1164)</f>
        <v/>
      </c>
      <c r="I1164" s="3" t="str">
        <f>IF([1]SCHEDULE!I1164="","",[1]SCHEDULE!I1164)</f>
        <v/>
      </c>
      <c r="J1164" s="3" t="str">
        <f>IF([1]SCHEDULE!J1164="","",[1]SCHEDULE!J1164)</f>
        <v/>
      </c>
    </row>
    <row r="1165" spans="2:10" x14ac:dyDescent="0.25">
      <c r="B1165" s="3" t="str">
        <f>IF([1]SCHEDULE!B1165="","",[1]SCHEDULE!B1165)</f>
        <v/>
      </c>
      <c r="C1165" s="3">
        <f>IF([1]SCHEDULE!C1165="","",[1]SCHEDULE!C1165)</f>
        <v>41</v>
      </c>
      <c r="D1165" s="1" t="e">
        <f>IF([1]SCHEDULE!D1165="","",[1]SCHEDULE!D1165)</f>
        <v>#N/A</v>
      </c>
      <c r="E1165" s="1" t="str">
        <f>IF([1]SCHEDULE!E1165="","",[1]SCHEDULE!E1165)</f>
        <v/>
      </c>
      <c r="F1165" s="6" t="str">
        <f>IF([1]SCHEDULE!F1165="","",[1]SCHEDULE!F1165)</f>
        <v/>
      </c>
      <c r="G1165" s="3" t="str">
        <f>IF([1]SCHEDULE!G1165="","",[1]SCHEDULE!G1165)</f>
        <v/>
      </c>
      <c r="H1165" s="3" t="str">
        <f>IF([1]SCHEDULE!H1165="","",[1]SCHEDULE!H1165)</f>
        <v/>
      </c>
      <c r="I1165" s="3" t="str">
        <f>IF([1]SCHEDULE!I1165="","",[1]SCHEDULE!I1165)</f>
        <v/>
      </c>
      <c r="J1165" s="3" t="str">
        <f>IF([1]SCHEDULE!J1165="","",[1]SCHEDULE!J1165)</f>
        <v/>
      </c>
    </row>
    <row r="1166" spans="2:10" x14ac:dyDescent="0.25">
      <c r="B1166" s="3" t="str">
        <f>IF([1]SCHEDULE!B1166="","",[1]SCHEDULE!B1166)</f>
        <v/>
      </c>
      <c r="C1166" s="3">
        <f>IF([1]SCHEDULE!C1166="","",[1]SCHEDULE!C1166)</f>
        <v>42</v>
      </c>
      <c r="D1166" s="1" t="e">
        <f>IF([1]SCHEDULE!D1166="","",[1]SCHEDULE!D1166)</f>
        <v>#N/A</v>
      </c>
      <c r="E1166" s="1" t="str">
        <f>IF([1]SCHEDULE!E1166="","",[1]SCHEDULE!E1166)</f>
        <v/>
      </c>
      <c r="F1166" s="6" t="str">
        <f>IF([1]SCHEDULE!F1166="","",[1]SCHEDULE!F1166)</f>
        <v/>
      </c>
      <c r="G1166" s="3" t="str">
        <f>IF([1]SCHEDULE!G1166="","",[1]SCHEDULE!G1166)</f>
        <v/>
      </c>
      <c r="H1166" s="3" t="str">
        <f>IF([1]SCHEDULE!H1166="","",[1]SCHEDULE!H1166)</f>
        <v/>
      </c>
      <c r="I1166" s="3" t="str">
        <f>IF([1]SCHEDULE!I1166="","",[1]SCHEDULE!I1166)</f>
        <v/>
      </c>
      <c r="J1166" s="3" t="str">
        <f>IF([1]SCHEDULE!J1166="","",[1]SCHEDULE!J1166)</f>
        <v/>
      </c>
    </row>
    <row r="1167" spans="2:10" x14ac:dyDescent="0.25">
      <c r="B1167" s="3" t="str">
        <f>IF([1]SCHEDULE!B1167="","",[1]SCHEDULE!B1167)</f>
        <v/>
      </c>
      <c r="C1167" s="3">
        <f>IF([1]SCHEDULE!C1167="","",[1]SCHEDULE!C1167)</f>
        <v>43</v>
      </c>
      <c r="D1167" s="1" t="e">
        <f>IF([1]SCHEDULE!D1167="","",[1]SCHEDULE!D1167)</f>
        <v>#N/A</v>
      </c>
      <c r="E1167" s="1" t="str">
        <f>IF([1]SCHEDULE!E1167="","",[1]SCHEDULE!E1167)</f>
        <v/>
      </c>
      <c r="F1167" s="6" t="str">
        <f>IF([1]SCHEDULE!F1167="","",[1]SCHEDULE!F1167)</f>
        <v/>
      </c>
      <c r="G1167" s="3" t="str">
        <f>IF([1]SCHEDULE!G1167="","",[1]SCHEDULE!G1167)</f>
        <v/>
      </c>
      <c r="H1167" s="3" t="str">
        <f>IF([1]SCHEDULE!H1167="","",[1]SCHEDULE!H1167)</f>
        <v/>
      </c>
      <c r="I1167" s="3" t="str">
        <f>IF([1]SCHEDULE!I1167="","",[1]SCHEDULE!I1167)</f>
        <v/>
      </c>
      <c r="J1167" s="3" t="str">
        <f>IF([1]SCHEDULE!J1167="","",[1]SCHEDULE!J1167)</f>
        <v/>
      </c>
    </row>
    <row r="1168" spans="2:10" x14ac:dyDescent="0.25">
      <c r="B1168" s="3" t="str">
        <f>IF([1]SCHEDULE!B1168="","",[1]SCHEDULE!B1168)</f>
        <v/>
      </c>
      <c r="C1168" s="3">
        <f>IF([1]SCHEDULE!C1168="","",[1]SCHEDULE!C1168)</f>
        <v>44</v>
      </c>
      <c r="D1168" s="1" t="e">
        <f>IF([1]SCHEDULE!D1168="","",[1]SCHEDULE!D1168)</f>
        <v>#N/A</v>
      </c>
      <c r="E1168" s="1" t="str">
        <f>IF([1]SCHEDULE!E1168="","",[1]SCHEDULE!E1168)</f>
        <v/>
      </c>
      <c r="F1168" s="6" t="str">
        <f>IF([1]SCHEDULE!F1168="","",[1]SCHEDULE!F1168)</f>
        <v/>
      </c>
      <c r="G1168" s="3" t="str">
        <f>IF([1]SCHEDULE!G1168="","",[1]SCHEDULE!G1168)</f>
        <v/>
      </c>
      <c r="H1168" s="3" t="str">
        <f>IF([1]SCHEDULE!H1168="","",[1]SCHEDULE!H1168)</f>
        <v/>
      </c>
      <c r="I1168" s="3" t="str">
        <f>IF([1]SCHEDULE!I1168="","",[1]SCHEDULE!I1168)</f>
        <v/>
      </c>
      <c r="J1168" s="3" t="str">
        <f>IF([1]SCHEDULE!J1168="","",[1]SCHEDULE!J1168)</f>
        <v/>
      </c>
    </row>
    <row r="1169" spans="2:10" x14ac:dyDescent="0.25">
      <c r="B1169" s="3" t="str">
        <f>IF([1]SCHEDULE!B1169="","",[1]SCHEDULE!B1169)</f>
        <v/>
      </c>
      <c r="C1169" s="3">
        <f>IF([1]SCHEDULE!C1169="","",[1]SCHEDULE!C1169)</f>
        <v>45</v>
      </c>
      <c r="D1169" s="1" t="e">
        <f>IF([1]SCHEDULE!D1169="","",[1]SCHEDULE!D1169)</f>
        <v>#N/A</v>
      </c>
      <c r="E1169" s="1" t="str">
        <f>IF([1]SCHEDULE!E1169="","",[1]SCHEDULE!E1169)</f>
        <v/>
      </c>
      <c r="F1169" s="6" t="str">
        <f>IF([1]SCHEDULE!F1169="","",[1]SCHEDULE!F1169)</f>
        <v/>
      </c>
      <c r="G1169" s="3" t="str">
        <f>IF([1]SCHEDULE!G1169="","",[1]SCHEDULE!G1169)</f>
        <v/>
      </c>
      <c r="H1169" s="3" t="str">
        <f>IF([1]SCHEDULE!H1169="","",[1]SCHEDULE!H1169)</f>
        <v/>
      </c>
      <c r="I1169" s="3" t="str">
        <f>IF([1]SCHEDULE!I1169="","",[1]SCHEDULE!I1169)</f>
        <v/>
      </c>
      <c r="J1169" s="3" t="str">
        <f>IF([1]SCHEDULE!J1169="","",[1]SCHEDULE!J1169)</f>
        <v/>
      </c>
    </row>
    <row r="1170" spans="2:10" x14ac:dyDescent="0.25">
      <c r="B1170" s="3" t="str">
        <f>IF([1]SCHEDULE!B1170="","",[1]SCHEDULE!B1170)</f>
        <v/>
      </c>
      <c r="C1170" s="3">
        <f>IF([1]SCHEDULE!C1170="","",[1]SCHEDULE!C1170)</f>
        <v>46</v>
      </c>
      <c r="D1170" s="1" t="e">
        <f>IF([1]SCHEDULE!D1170="","",[1]SCHEDULE!D1170)</f>
        <v>#N/A</v>
      </c>
      <c r="E1170" s="1" t="str">
        <f>IF([1]SCHEDULE!E1170="","",[1]SCHEDULE!E1170)</f>
        <v/>
      </c>
      <c r="F1170" s="6" t="str">
        <f>IF([1]SCHEDULE!F1170="","",[1]SCHEDULE!F1170)</f>
        <v/>
      </c>
      <c r="G1170" s="3" t="str">
        <f>IF([1]SCHEDULE!G1170="","",[1]SCHEDULE!G1170)</f>
        <v/>
      </c>
      <c r="H1170" s="3" t="str">
        <f>IF([1]SCHEDULE!H1170="","",[1]SCHEDULE!H1170)</f>
        <v/>
      </c>
      <c r="I1170" s="3" t="str">
        <f>IF([1]SCHEDULE!I1170="","",[1]SCHEDULE!I1170)</f>
        <v/>
      </c>
      <c r="J1170" s="3" t="str">
        <f>IF([1]SCHEDULE!J1170="","",[1]SCHEDULE!J1170)</f>
        <v/>
      </c>
    </row>
    <row r="1171" spans="2:10" x14ac:dyDescent="0.25">
      <c r="B1171" s="3" t="str">
        <f>IF([1]SCHEDULE!B1171="","",[1]SCHEDULE!B1171)</f>
        <v/>
      </c>
      <c r="C1171" s="3">
        <f>IF([1]SCHEDULE!C1171="","",[1]SCHEDULE!C1171)</f>
        <v>47</v>
      </c>
      <c r="D1171" s="1" t="e">
        <f>IF([1]SCHEDULE!D1171="","",[1]SCHEDULE!D1171)</f>
        <v>#N/A</v>
      </c>
      <c r="E1171" s="1" t="str">
        <f>IF([1]SCHEDULE!E1171="","",[1]SCHEDULE!E1171)</f>
        <v/>
      </c>
      <c r="F1171" s="6" t="str">
        <f>IF([1]SCHEDULE!F1171="","",[1]SCHEDULE!F1171)</f>
        <v/>
      </c>
      <c r="G1171" s="3" t="str">
        <f>IF([1]SCHEDULE!G1171="","",[1]SCHEDULE!G1171)</f>
        <v/>
      </c>
      <c r="H1171" s="3" t="str">
        <f>IF([1]SCHEDULE!H1171="","",[1]SCHEDULE!H1171)</f>
        <v/>
      </c>
      <c r="I1171" s="3" t="str">
        <f>IF([1]SCHEDULE!I1171="","",[1]SCHEDULE!I1171)</f>
        <v/>
      </c>
      <c r="J1171" s="3" t="str">
        <f>IF([1]SCHEDULE!J1171="","",[1]SCHEDULE!J1171)</f>
        <v/>
      </c>
    </row>
    <row r="1172" spans="2:10" x14ac:dyDescent="0.25">
      <c r="B1172" s="3" t="str">
        <f>IF([1]SCHEDULE!B1172="","",[1]SCHEDULE!B1172)</f>
        <v/>
      </c>
      <c r="C1172" s="3">
        <f>IF([1]SCHEDULE!C1172="","",[1]SCHEDULE!C1172)</f>
        <v>48</v>
      </c>
      <c r="D1172" s="1" t="e">
        <f>IF([1]SCHEDULE!D1172="","",[1]SCHEDULE!D1172)</f>
        <v>#N/A</v>
      </c>
      <c r="E1172" s="1" t="str">
        <f>IF([1]SCHEDULE!E1172="","",[1]SCHEDULE!E1172)</f>
        <v/>
      </c>
      <c r="F1172" s="6" t="str">
        <f>IF([1]SCHEDULE!F1172="","",[1]SCHEDULE!F1172)</f>
        <v/>
      </c>
      <c r="G1172" s="3" t="str">
        <f>IF([1]SCHEDULE!G1172="","",[1]SCHEDULE!G1172)</f>
        <v/>
      </c>
      <c r="H1172" s="3" t="str">
        <f>IF([1]SCHEDULE!H1172="","",[1]SCHEDULE!H1172)</f>
        <v/>
      </c>
      <c r="I1172" s="3" t="str">
        <f>IF([1]SCHEDULE!I1172="","",[1]SCHEDULE!I1172)</f>
        <v/>
      </c>
      <c r="J1172" s="3" t="str">
        <f>IF([1]SCHEDULE!J1172="","",[1]SCHEDULE!J1172)</f>
        <v/>
      </c>
    </row>
    <row r="1173" spans="2:10" x14ac:dyDescent="0.25">
      <c r="B1173" s="3" t="str">
        <f>IF([1]SCHEDULE!B1173="","",[1]SCHEDULE!B1173)</f>
        <v/>
      </c>
      <c r="C1173" s="3">
        <f>IF([1]SCHEDULE!C1173="","",[1]SCHEDULE!C1173)</f>
        <v>49</v>
      </c>
      <c r="D1173" s="1" t="e">
        <f>IF([1]SCHEDULE!D1173="","",[1]SCHEDULE!D1173)</f>
        <v>#N/A</v>
      </c>
      <c r="E1173" s="1" t="str">
        <f>IF([1]SCHEDULE!E1173="","",[1]SCHEDULE!E1173)</f>
        <v/>
      </c>
      <c r="F1173" s="6" t="str">
        <f>IF([1]SCHEDULE!F1173="","",[1]SCHEDULE!F1173)</f>
        <v/>
      </c>
      <c r="G1173" s="3" t="str">
        <f>IF([1]SCHEDULE!G1173="","",[1]SCHEDULE!G1173)</f>
        <v/>
      </c>
      <c r="H1173" s="3" t="str">
        <f>IF([1]SCHEDULE!H1173="","",[1]SCHEDULE!H1173)</f>
        <v/>
      </c>
      <c r="I1173" s="3" t="str">
        <f>IF([1]SCHEDULE!I1173="","",[1]SCHEDULE!I1173)</f>
        <v/>
      </c>
      <c r="J1173" s="3" t="str">
        <f>IF([1]SCHEDULE!J1173="","",[1]SCHEDULE!J1173)</f>
        <v/>
      </c>
    </row>
    <row r="1174" spans="2:10" x14ac:dyDescent="0.25">
      <c r="B1174" s="3" t="str">
        <f>IF([1]SCHEDULE!B1174="","",[1]SCHEDULE!B1174)</f>
        <v/>
      </c>
      <c r="C1174" s="3">
        <f>IF([1]SCHEDULE!C1174="","",[1]SCHEDULE!C1174)</f>
        <v>50</v>
      </c>
      <c r="D1174" s="1" t="e">
        <f>IF([1]SCHEDULE!D1174="","",[1]SCHEDULE!D1174)</f>
        <v>#N/A</v>
      </c>
      <c r="E1174" s="1" t="str">
        <f>IF([1]SCHEDULE!E1174="","",[1]SCHEDULE!E1174)</f>
        <v/>
      </c>
      <c r="F1174" s="6" t="str">
        <f>IF([1]SCHEDULE!F1174="","",[1]SCHEDULE!F1174)</f>
        <v/>
      </c>
      <c r="G1174" s="3" t="str">
        <f>IF([1]SCHEDULE!G1174="","",[1]SCHEDULE!G1174)</f>
        <v/>
      </c>
      <c r="H1174" s="3" t="str">
        <f>IF([1]SCHEDULE!H1174="","",[1]SCHEDULE!H1174)</f>
        <v/>
      </c>
      <c r="I1174" s="3" t="str">
        <f>IF([1]SCHEDULE!I1174="","",[1]SCHEDULE!I1174)</f>
        <v/>
      </c>
      <c r="J1174" s="3" t="str">
        <f>IF([1]SCHEDULE!J1174="","",[1]SCHEDULE!J1174)</f>
        <v/>
      </c>
    </row>
    <row r="1175" spans="2:10" x14ac:dyDescent="0.25">
      <c r="B1175" s="3" t="str">
        <f>IF([1]SCHEDULE!B1175="","",[1]SCHEDULE!B1175)</f>
        <v/>
      </c>
      <c r="C1175" s="3">
        <f>IF([1]SCHEDULE!C1175="","",[1]SCHEDULE!C1175)</f>
        <v>51</v>
      </c>
      <c r="D1175" s="1" t="e">
        <f>IF([1]SCHEDULE!D1175="","",[1]SCHEDULE!D1175)</f>
        <v>#N/A</v>
      </c>
      <c r="E1175" s="1" t="str">
        <f>IF([1]SCHEDULE!E1175="","",[1]SCHEDULE!E1175)</f>
        <v/>
      </c>
      <c r="F1175" s="6" t="str">
        <f>IF([1]SCHEDULE!F1175="","",[1]SCHEDULE!F1175)</f>
        <v/>
      </c>
      <c r="G1175" s="3" t="str">
        <f>IF([1]SCHEDULE!G1175="","",[1]SCHEDULE!G1175)</f>
        <v/>
      </c>
      <c r="H1175" s="3" t="str">
        <f>IF([1]SCHEDULE!H1175="","",[1]SCHEDULE!H1175)</f>
        <v/>
      </c>
      <c r="I1175" s="3" t="str">
        <f>IF([1]SCHEDULE!I1175="","",[1]SCHEDULE!I1175)</f>
        <v/>
      </c>
      <c r="J1175" s="3" t="str">
        <f>IF([1]SCHEDULE!J1175="","",[1]SCHEDULE!J1175)</f>
        <v/>
      </c>
    </row>
    <row r="1176" spans="2:10" x14ac:dyDescent="0.25">
      <c r="B1176" s="3" t="str">
        <f>IF([1]SCHEDULE!B1176="","",[1]SCHEDULE!B1176)</f>
        <v/>
      </c>
      <c r="C1176" s="3">
        <f>IF([1]SCHEDULE!C1176="","",[1]SCHEDULE!C1176)</f>
        <v>1</v>
      </c>
      <c r="D1176" s="1" t="e">
        <f>IF([1]SCHEDULE!D1176="","",[1]SCHEDULE!D1176)</f>
        <v>#N/A</v>
      </c>
      <c r="E1176" s="1" t="str">
        <f>IF([1]SCHEDULE!E1176="","",[1]SCHEDULE!E1176)</f>
        <v/>
      </c>
      <c r="F1176" s="6" t="str">
        <f>IF([1]SCHEDULE!F1176="","",[1]SCHEDULE!F1176)</f>
        <v/>
      </c>
      <c r="G1176" s="3" t="str">
        <f>IF([1]SCHEDULE!G1176="","",[1]SCHEDULE!G1176)</f>
        <v/>
      </c>
      <c r="H1176" s="3" t="str">
        <f>IF([1]SCHEDULE!H1176="","",[1]SCHEDULE!H1176)</f>
        <v/>
      </c>
      <c r="I1176" s="3" t="str">
        <f>IF([1]SCHEDULE!I1176="","",[1]SCHEDULE!I1176)</f>
        <v/>
      </c>
      <c r="J1176" s="3" t="str">
        <f>IF([1]SCHEDULE!J1176="","",[1]SCHEDULE!J1176)</f>
        <v/>
      </c>
    </row>
    <row r="1177" spans="2:10" x14ac:dyDescent="0.25">
      <c r="B1177" s="3" t="str">
        <f>IF([1]SCHEDULE!B1177="","",[1]SCHEDULE!B1177)</f>
        <v/>
      </c>
      <c r="C1177" s="3">
        <f>IF([1]SCHEDULE!C1177="","",[1]SCHEDULE!C1177)</f>
        <v>2</v>
      </c>
      <c r="D1177" s="1" t="e">
        <f>IF([1]SCHEDULE!D1177="","",[1]SCHEDULE!D1177)</f>
        <v>#N/A</v>
      </c>
      <c r="E1177" s="1" t="str">
        <f>IF([1]SCHEDULE!E1177="","",[1]SCHEDULE!E1177)</f>
        <v/>
      </c>
      <c r="F1177" s="6" t="str">
        <f>IF([1]SCHEDULE!F1177="","",[1]SCHEDULE!F1177)</f>
        <v/>
      </c>
      <c r="G1177" s="3" t="str">
        <f>IF([1]SCHEDULE!G1177="","",[1]SCHEDULE!G1177)</f>
        <v/>
      </c>
      <c r="H1177" s="3" t="str">
        <f>IF([1]SCHEDULE!H1177="","",[1]SCHEDULE!H1177)</f>
        <v/>
      </c>
      <c r="I1177" s="3" t="str">
        <f>IF([1]SCHEDULE!I1177="","",[1]SCHEDULE!I1177)</f>
        <v/>
      </c>
      <c r="J1177" s="3" t="str">
        <f>IF([1]SCHEDULE!J1177="","",[1]SCHEDULE!J1177)</f>
        <v/>
      </c>
    </row>
    <row r="1178" spans="2:10" x14ac:dyDescent="0.25">
      <c r="B1178" s="3" t="str">
        <f>IF([1]SCHEDULE!B1178="","",[1]SCHEDULE!B1178)</f>
        <v/>
      </c>
      <c r="C1178" s="3">
        <f>IF([1]SCHEDULE!C1178="","",[1]SCHEDULE!C1178)</f>
        <v>3</v>
      </c>
      <c r="D1178" s="1" t="e">
        <f>IF([1]SCHEDULE!D1178="","",[1]SCHEDULE!D1178)</f>
        <v>#N/A</v>
      </c>
      <c r="E1178" s="1" t="str">
        <f>IF([1]SCHEDULE!E1178="","",[1]SCHEDULE!E1178)</f>
        <v/>
      </c>
      <c r="F1178" s="6" t="str">
        <f>IF([1]SCHEDULE!F1178="","",[1]SCHEDULE!F1178)</f>
        <v/>
      </c>
      <c r="G1178" s="3" t="str">
        <f>IF([1]SCHEDULE!G1178="","",[1]SCHEDULE!G1178)</f>
        <v/>
      </c>
      <c r="H1178" s="3" t="str">
        <f>IF([1]SCHEDULE!H1178="","",[1]SCHEDULE!H1178)</f>
        <v/>
      </c>
      <c r="I1178" s="3" t="str">
        <f>IF([1]SCHEDULE!I1178="","",[1]SCHEDULE!I1178)</f>
        <v/>
      </c>
      <c r="J1178" s="3" t="str">
        <f>IF([1]SCHEDULE!J1178="","",[1]SCHEDULE!J1178)</f>
        <v/>
      </c>
    </row>
    <row r="1179" spans="2:10" x14ac:dyDescent="0.25">
      <c r="B1179" s="3" t="str">
        <f>IF([1]SCHEDULE!B1179="","",[1]SCHEDULE!B1179)</f>
        <v/>
      </c>
      <c r="C1179" s="3">
        <f>IF([1]SCHEDULE!C1179="","",[1]SCHEDULE!C1179)</f>
        <v>4</v>
      </c>
      <c r="D1179" s="1" t="e">
        <f>IF([1]SCHEDULE!D1179="","",[1]SCHEDULE!D1179)</f>
        <v>#N/A</v>
      </c>
      <c r="E1179" s="1" t="str">
        <f>IF([1]SCHEDULE!E1179="","",[1]SCHEDULE!E1179)</f>
        <v/>
      </c>
      <c r="F1179" s="6" t="str">
        <f>IF([1]SCHEDULE!F1179="","",[1]SCHEDULE!F1179)</f>
        <v/>
      </c>
      <c r="G1179" s="3" t="str">
        <f>IF([1]SCHEDULE!G1179="","",[1]SCHEDULE!G1179)</f>
        <v/>
      </c>
      <c r="H1179" s="3" t="str">
        <f>IF([1]SCHEDULE!H1179="","",[1]SCHEDULE!H1179)</f>
        <v/>
      </c>
      <c r="I1179" s="3" t="str">
        <f>IF([1]SCHEDULE!I1179="","",[1]SCHEDULE!I1179)</f>
        <v/>
      </c>
      <c r="J1179" s="3" t="str">
        <f>IF([1]SCHEDULE!J1179="","",[1]SCHEDULE!J1179)</f>
        <v/>
      </c>
    </row>
    <row r="1180" spans="2:10" x14ac:dyDescent="0.25">
      <c r="B1180" s="3" t="str">
        <f>IF([1]SCHEDULE!B1180="","",[1]SCHEDULE!B1180)</f>
        <v/>
      </c>
      <c r="C1180" s="3">
        <f>IF([1]SCHEDULE!C1180="","",[1]SCHEDULE!C1180)</f>
        <v>5</v>
      </c>
      <c r="D1180" s="1" t="e">
        <f>IF([1]SCHEDULE!D1180="","",[1]SCHEDULE!D1180)</f>
        <v>#N/A</v>
      </c>
      <c r="E1180" s="1" t="str">
        <f>IF([1]SCHEDULE!E1180="","",[1]SCHEDULE!E1180)</f>
        <v/>
      </c>
      <c r="F1180" s="6" t="str">
        <f>IF([1]SCHEDULE!F1180="","",[1]SCHEDULE!F1180)</f>
        <v/>
      </c>
      <c r="G1180" s="3" t="str">
        <f>IF([1]SCHEDULE!G1180="","",[1]SCHEDULE!G1180)</f>
        <v/>
      </c>
      <c r="H1180" s="3" t="str">
        <f>IF([1]SCHEDULE!H1180="","",[1]SCHEDULE!H1180)</f>
        <v/>
      </c>
      <c r="I1180" s="3" t="str">
        <f>IF([1]SCHEDULE!I1180="","",[1]SCHEDULE!I1180)</f>
        <v/>
      </c>
      <c r="J1180" s="3" t="str">
        <f>IF([1]SCHEDULE!J1180="","",[1]SCHEDULE!J1180)</f>
        <v/>
      </c>
    </row>
    <row r="1181" spans="2:10" x14ac:dyDescent="0.25">
      <c r="B1181" s="3" t="str">
        <f>IF([1]SCHEDULE!B1181="","",[1]SCHEDULE!B1181)</f>
        <v/>
      </c>
      <c r="C1181" s="3">
        <f>IF([1]SCHEDULE!C1181="","",[1]SCHEDULE!C1181)</f>
        <v>6</v>
      </c>
      <c r="D1181" s="1" t="e">
        <f>IF([1]SCHEDULE!D1181="","",[1]SCHEDULE!D1181)</f>
        <v>#N/A</v>
      </c>
      <c r="E1181" s="1" t="str">
        <f>IF([1]SCHEDULE!E1181="","",[1]SCHEDULE!E1181)</f>
        <v/>
      </c>
      <c r="F1181" s="6" t="str">
        <f>IF([1]SCHEDULE!F1181="","",[1]SCHEDULE!F1181)</f>
        <v/>
      </c>
      <c r="G1181" s="3" t="str">
        <f>IF([1]SCHEDULE!G1181="","",[1]SCHEDULE!G1181)</f>
        <v/>
      </c>
      <c r="H1181" s="3" t="str">
        <f>IF([1]SCHEDULE!H1181="","",[1]SCHEDULE!H1181)</f>
        <v/>
      </c>
      <c r="I1181" s="3" t="str">
        <f>IF([1]SCHEDULE!I1181="","",[1]SCHEDULE!I1181)</f>
        <v/>
      </c>
      <c r="J1181" s="3" t="str">
        <f>IF([1]SCHEDULE!J1181="","",[1]SCHEDULE!J1181)</f>
        <v/>
      </c>
    </row>
    <row r="1182" spans="2:10" x14ac:dyDescent="0.25">
      <c r="B1182" s="3" t="str">
        <f>IF([1]SCHEDULE!B1182="","",[1]SCHEDULE!B1182)</f>
        <v/>
      </c>
      <c r="C1182" s="3">
        <f>IF([1]SCHEDULE!C1182="","",[1]SCHEDULE!C1182)</f>
        <v>7</v>
      </c>
      <c r="D1182" s="1" t="e">
        <f>IF([1]SCHEDULE!D1182="","",[1]SCHEDULE!D1182)</f>
        <v>#N/A</v>
      </c>
      <c r="E1182" s="1" t="str">
        <f>IF([1]SCHEDULE!E1182="","",[1]SCHEDULE!E1182)</f>
        <v/>
      </c>
      <c r="F1182" s="6" t="str">
        <f>IF([1]SCHEDULE!F1182="","",[1]SCHEDULE!F1182)</f>
        <v/>
      </c>
      <c r="G1182" s="3" t="str">
        <f>IF([1]SCHEDULE!G1182="","",[1]SCHEDULE!G1182)</f>
        <v/>
      </c>
      <c r="H1182" s="3" t="str">
        <f>IF([1]SCHEDULE!H1182="","",[1]SCHEDULE!H1182)</f>
        <v/>
      </c>
      <c r="I1182" s="3" t="str">
        <f>IF([1]SCHEDULE!I1182="","",[1]SCHEDULE!I1182)</f>
        <v/>
      </c>
      <c r="J1182" s="3" t="str">
        <f>IF([1]SCHEDULE!J1182="","",[1]SCHEDULE!J1182)</f>
        <v/>
      </c>
    </row>
    <row r="1183" spans="2:10" x14ac:dyDescent="0.25">
      <c r="B1183" s="3" t="str">
        <f>IF([1]SCHEDULE!B1183="","",[1]SCHEDULE!B1183)</f>
        <v/>
      </c>
      <c r="C1183" s="3">
        <f>IF([1]SCHEDULE!C1183="","",[1]SCHEDULE!C1183)</f>
        <v>8</v>
      </c>
      <c r="D1183" s="1" t="e">
        <f>IF([1]SCHEDULE!D1183="","",[1]SCHEDULE!D1183)</f>
        <v>#N/A</v>
      </c>
      <c r="E1183" s="1" t="str">
        <f>IF([1]SCHEDULE!E1183="","",[1]SCHEDULE!E1183)</f>
        <v/>
      </c>
      <c r="F1183" s="6" t="str">
        <f>IF([1]SCHEDULE!F1183="","",[1]SCHEDULE!F1183)</f>
        <v/>
      </c>
      <c r="G1183" s="3" t="str">
        <f>IF([1]SCHEDULE!G1183="","",[1]SCHEDULE!G1183)</f>
        <v/>
      </c>
      <c r="H1183" s="3" t="str">
        <f>IF([1]SCHEDULE!H1183="","",[1]SCHEDULE!H1183)</f>
        <v/>
      </c>
      <c r="I1183" s="3" t="str">
        <f>IF([1]SCHEDULE!I1183="","",[1]SCHEDULE!I1183)</f>
        <v/>
      </c>
      <c r="J1183" s="3" t="str">
        <f>IF([1]SCHEDULE!J1183="","",[1]SCHEDULE!J1183)</f>
        <v/>
      </c>
    </row>
    <row r="1184" spans="2:10" x14ac:dyDescent="0.25">
      <c r="B1184" s="3" t="str">
        <f>IF([1]SCHEDULE!B1184="","",[1]SCHEDULE!B1184)</f>
        <v/>
      </c>
      <c r="C1184" s="3">
        <f>IF([1]SCHEDULE!C1184="","",[1]SCHEDULE!C1184)</f>
        <v>9</v>
      </c>
      <c r="D1184" s="1" t="e">
        <f>IF([1]SCHEDULE!D1184="","",[1]SCHEDULE!D1184)</f>
        <v>#N/A</v>
      </c>
      <c r="E1184" s="1" t="str">
        <f>IF([1]SCHEDULE!E1184="","",[1]SCHEDULE!E1184)</f>
        <v/>
      </c>
      <c r="F1184" s="6" t="str">
        <f>IF([1]SCHEDULE!F1184="","",[1]SCHEDULE!F1184)</f>
        <v/>
      </c>
      <c r="G1184" s="3" t="str">
        <f>IF([1]SCHEDULE!G1184="","",[1]SCHEDULE!G1184)</f>
        <v/>
      </c>
      <c r="H1184" s="3" t="str">
        <f>IF([1]SCHEDULE!H1184="","",[1]SCHEDULE!H1184)</f>
        <v/>
      </c>
      <c r="I1184" s="3" t="str">
        <f>IF([1]SCHEDULE!I1184="","",[1]SCHEDULE!I1184)</f>
        <v/>
      </c>
      <c r="J1184" s="3" t="str">
        <f>IF([1]SCHEDULE!J1184="","",[1]SCHEDULE!J1184)</f>
        <v/>
      </c>
    </row>
    <row r="1185" spans="2:10" x14ac:dyDescent="0.25">
      <c r="B1185" s="3" t="str">
        <f>IF([1]SCHEDULE!B1185="","",[1]SCHEDULE!B1185)</f>
        <v/>
      </c>
      <c r="C1185" s="3">
        <f>IF([1]SCHEDULE!C1185="","",[1]SCHEDULE!C1185)</f>
        <v>10</v>
      </c>
      <c r="D1185" s="1" t="e">
        <f>IF([1]SCHEDULE!D1185="","",[1]SCHEDULE!D1185)</f>
        <v>#N/A</v>
      </c>
      <c r="E1185" s="1" t="str">
        <f>IF([1]SCHEDULE!E1185="","",[1]SCHEDULE!E1185)</f>
        <v/>
      </c>
      <c r="F1185" s="6" t="str">
        <f>IF([1]SCHEDULE!F1185="","",[1]SCHEDULE!F1185)</f>
        <v/>
      </c>
      <c r="G1185" s="3" t="str">
        <f>IF([1]SCHEDULE!G1185="","",[1]SCHEDULE!G1185)</f>
        <v/>
      </c>
      <c r="H1185" s="3" t="str">
        <f>IF([1]SCHEDULE!H1185="","",[1]SCHEDULE!H1185)</f>
        <v/>
      </c>
      <c r="I1185" s="3" t="str">
        <f>IF([1]SCHEDULE!I1185="","",[1]SCHEDULE!I1185)</f>
        <v/>
      </c>
      <c r="J1185" s="3" t="str">
        <f>IF([1]SCHEDULE!J1185="","",[1]SCHEDULE!J1185)</f>
        <v/>
      </c>
    </row>
    <row r="1186" spans="2:10" x14ac:dyDescent="0.25">
      <c r="B1186" s="3" t="str">
        <f>IF([1]SCHEDULE!B1186="","",[1]SCHEDULE!B1186)</f>
        <v/>
      </c>
      <c r="C1186" s="3">
        <f>IF([1]SCHEDULE!C1186="","",[1]SCHEDULE!C1186)</f>
        <v>11</v>
      </c>
      <c r="D1186" s="1" t="e">
        <f>IF([1]SCHEDULE!D1186="","",[1]SCHEDULE!D1186)</f>
        <v>#N/A</v>
      </c>
      <c r="E1186" s="1" t="str">
        <f>IF([1]SCHEDULE!E1186="","",[1]SCHEDULE!E1186)</f>
        <v/>
      </c>
      <c r="F1186" s="6" t="str">
        <f>IF([1]SCHEDULE!F1186="","",[1]SCHEDULE!F1186)</f>
        <v/>
      </c>
      <c r="G1186" s="3" t="str">
        <f>IF([1]SCHEDULE!G1186="","",[1]SCHEDULE!G1186)</f>
        <v/>
      </c>
      <c r="H1186" s="3" t="str">
        <f>IF([1]SCHEDULE!H1186="","",[1]SCHEDULE!H1186)</f>
        <v/>
      </c>
      <c r="I1186" s="3" t="str">
        <f>IF([1]SCHEDULE!I1186="","",[1]SCHEDULE!I1186)</f>
        <v/>
      </c>
      <c r="J1186" s="3" t="str">
        <f>IF([1]SCHEDULE!J1186="","",[1]SCHEDULE!J1186)</f>
        <v/>
      </c>
    </row>
    <row r="1187" spans="2:10" x14ac:dyDescent="0.25">
      <c r="B1187" s="3" t="str">
        <f>IF([1]SCHEDULE!B1187="","",[1]SCHEDULE!B1187)</f>
        <v/>
      </c>
      <c r="C1187" s="3">
        <f>IF([1]SCHEDULE!C1187="","",[1]SCHEDULE!C1187)</f>
        <v>12</v>
      </c>
      <c r="D1187" s="1" t="e">
        <f>IF([1]SCHEDULE!D1187="","",[1]SCHEDULE!D1187)</f>
        <v>#N/A</v>
      </c>
      <c r="E1187" s="1" t="str">
        <f>IF([1]SCHEDULE!E1187="","",[1]SCHEDULE!E1187)</f>
        <v/>
      </c>
      <c r="F1187" s="6" t="str">
        <f>IF([1]SCHEDULE!F1187="","",[1]SCHEDULE!F1187)</f>
        <v/>
      </c>
      <c r="G1187" s="3" t="str">
        <f>IF([1]SCHEDULE!G1187="","",[1]SCHEDULE!G1187)</f>
        <v/>
      </c>
      <c r="H1187" s="3" t="str">
        <f>IF([1]SCHEDULE!H1187="","",[1]SCHEDULE!H1187)</f>
        <v/>
      </c>
      <c r="I1187" s="3" t="str">
        <f>IF([1]SCHEDULE!I1187="","",[1]SCHEDULE!I1187)</f>
        <v/>
      </c>
      <c r="J1187" s="3" t="str">
        <f>IF([1]SCHEDULE!J1187="","",[1]SCHEDULE!J1187)</f>
        <v/>
      </c>
    </row>
    <row r="1188" spans="2:10" x14ac:dyDescent="0.25">
      <c r="B1188" s="3" t="str">
        <f>IF([1]SCHEDULE!B1188="","",[1]SCHEDULE!B1188)</f>
        <v/>
      </c>
      <c r="C1188" s="3">
        <f>IF([1]SCHEDULE!C1188="","",[1]SCHEDULE!C1188)</f>
        <v>13</v>
      </c>
      <c r="D1188" s="1" t="e">
        <f>IF([1]SCHEDULE!D1188="","",[1]SCHEDULE!D1188)</f>
        <v>#N/A</v>
      </c>
      <c r="E1188" s="1" t="str">
        <f>IF([1]SCHEDULE!E1188="","",[1]SCHEDULE!E1188)</f>
        <v/>
      </c>
      <c r="F1188" s="6" t="str">
        <f>IF([1]SCHEDULE!F1188="","",[1]SCHEDULE!F1188)</f>
        <v/>
      </c>
      <c r="G1188" s="3" t="str">
        <f>IF([1]SCHEDULE!G1188="","",[1]SCHEDULE!G1188)</f>
        <v/>
      </c>
      <c r="H1188" s="3" t="str">
        <f>IF([1]SCHEDULE!H1188="","",[1]SCHEDULE!H1188)</f>
        <v/>
      </c>
      <c r="I1188" s="3" t="str">
        <f>IF([1]SCHEDULE!I1188="","",[1]SCHEDULE!I1188)</f>
        <v/>
      </c>
      <c r="J1188" s="3" t="str">
        <f>IF([1]SCHEDULE!J1188="","",[1]SCHEDULE!J1188)</f>
        <v/>
      </c>
    </row>
    <row r="1189" spans="2:10" x14ac:dyDescent="0.25">
      <c r="B1189" s="3" t="str">
        <f>IF([1]SCHEDULE!B1189="","",[1]SCHEDULE!B1189)</f>
        <v/>
      </c>
      <c r="C1189" s="3">
        <f>IF([1]SCHEDULE!C1189="","",[1]SCHEDULE!C1189)</f>
        <v>14</v>
      </c>
      <c r="D1189" s="1" t="e">
        <f>IF([1]SCHEDULE!D1189="","",[1]SCHEDULE!D1189)</f>
        <v>#N/A</v>
      </c>
      <c r="E1189" s="1" t="str">
        <f>IF([1]SCHEDULE!E1189="","",[1]SCHEDULE!E1189)</f>
        <v/>
      </c>
      <c r="F1189" s="6" t="str">
        <f>IF([1]SCHEDULE!F1189="","",[1]SCHEDULE!F1189)</f>
        <v/>
      </c>
      <c r="G1189" s="3" t="str">
        <f>IF([1]SCHEDULE!G1189="","",[1]SCHEDULE!G1189)</f>
        <v/>
      </c>
      <c r="H1189" s="3" t="str">
        <f>IF([1]SCHEDULE!H1189="","",[1]SCHEDULE!H1189)</f>
        <v/>
      </c>
      <c r="I1189" s="3" t="str">
        <f>IF([1]SCHEDULE!I1189="","",[1]SCHEDULE!I1189)</f>
        <v/>
      </c>
      <c r="J1189" s="3" t="str">
        <f>IF([1]SCHEDULE!J1189="","",[1]SCHEDULE!J1189)</f>
        <v/>
      </c>
    </row>
    <row r="1190" spans="2:10" x14ac:dyDescent="0.25">
      <c r="B1190" s="3" t="str">
        <f>IF([1]SCHEDULE!B1190="","",[1]SCHEDULE!B1190)</f>
        <v/>
      </c>
      <c r="C1190" s="3">
        <f>IF([1]SCHEDULE!C1190="","",[1]SCHEDULE!C1190)</f>
        <v>15</v>
      </c>
      <c r="D1190" s="1" t="e">
        <f>IF([1]SCHEDULE!D1190="","",[1]SCHEDULE!D1190)</f>
        <v>#N/A</v>
      </c>
      <c r="E1190" s="1" t="str">
        <f>IF([1]SCHEDULE!E1190="","",[1]SCHEDULE!E1190)</f>
        <v/>
      </c>
      <c r="F1190" s="6" t="str">
        <f>IF([1]SCHEDULE!F1190="","",[1]SCHEDULE!F1190)</f>
        <v/>
      </c>
      <c r="G1190" s="3" t="str">
        <f>IF([1]SCHEDULE!G1190="","",[1]SCHEDULE!G1190)</f>
        <v/>
      </c>
      <c r="H1190" s="3" t="str">
        <f>IF([1]SCHEDULE!H1190="","",[1]SCHEDULE!H1190)</f>
        <v/>
      </c>
      <c r="I1190" s="3" t="str">
        <f>IF([1]SCHEDULE!I1190="","",[1]SCHEDULE!I1190)</f>
        <v/>
      </c>
      <c r="J1190" s="3" t="str">
        <f>IF([1]SCHEDULE!J1190="","",[1]SCHEDULE!J1190)</f>
        <v/>
      </c>
    </row>
    <row r="1191" spans="2:10" x14ac:dyDescent="0.25">
      <c r="B1191" s="3" t="str">
        <f>IF([1]SCHEDULE!B1191="","",[1]SCHEDULE!B1191)</f>
        <v/>
      </c>
      <c r="C1191" s="3">
        <f>IF([1]SCHEDULE!C1191="","",[1]SCHEDULE!C1191)</f>
        <v>16</v>
      </c>
      <c r="D1191" s="1" t="e">
        <f>IF([1]SCHEDULE!D1191="","",[1]SCHEDULE!D1191)</f>
        <v>#N/A</v>
      </c>
      <c r="E1191" s="1" t="str">
        <f>IF([1]SCHEDULE!E1191="","",[1]SCHEDULE!E1191)</f>
        <v/>
      </c>
      <c r="F1191" s="6" t="str">
        <f>IF([1]SCHEDULE!F1191="","",[1]SCHEDULE!F1191)</f>
        <v/>
      </c>
      <c r="G1191" s="3" t="str">
        <f>IF([1]SCHEDULE!G1191="","",[1]SCHEDULE!G1191)</f>
        <v/>
      </c>
      <c r="H1191" s="3" t="str">
        <f>IF([1]SCHEDULE!H1191="","",[1]SCHEDULE!H1191)</f>
        <v/>
      </c>
      <c r="I1191" s="3" t="str">
        <f>IF([1]SCHEDULE!I1191="","",[1]SCHEDULE!I1191)</f>
        <v/>
      </c>
      <c r="J1191" s="3" t="str">
        <f>IF([1]SCHEDULE!J1191="","",[1]SCHEDULE!J1191)</f>
        <v/>
      </c>
    </row>
    <row r="1192" spans="2:10" x14ac:dyDescent="0.25">
      <c r="B1192" s="3" t="str">
        <f>IF([1]SCHEDULE!B1192="","",[1]SCHEDULE!B1192)</f>
        <v/>
      </c>
      <c r="C1192" s="3">
        <f>IF([1]SCHEDULE!C1192="","",[1]SCHEDULE!C1192)</f>
        <v>17</v>
      </c>
      <c r="D1192" s="1" t="e">
        <f>IF([1]SCHEDULE!D1192="","",[1]SCHEDULE!D1192)</f>
        <v>#N/A</v>
      </c>
      <c r="E1192" s="1" t="str">
        <f>IF([1]SCHEDULE!E1192="","",[1]SCHEDULE!E1192)</f>
        <v/>
      </c>
      <c r="F1192" s="6" t="str">
        <f>IF([1]SCHEDULE!F1192="","",[1]SCHEDULE!F1192)</f>
        <v/>
      </c>
      <c r="G1192" s="3" t="str">
        <f>IF([1]SCHEDULE!G1192="","",[1]SCHEDULE!G1192)</f>
        <v/>
      </c>
      <c r="H1192" s="3" t="str">
        <f>IF([1]SCHEDULE!H1192="","",[1]SCHEDULE!H1192)</f>
        <v/>
      </c>
      <c r="I1192" s="3" t="str">
        <f>IF([1]SCHEDULE!I1192="","",[1]SCHEDULE!I1192)</f>
        <v/>
      </c>
      <c r="J1192" s="3" t="str">
        <f>IF([1]SCHEDULE!J1192="","",[1]SCHEDULE!J1192)</f>
        <v/>
      </c>
    </row>
    <row r="1193" spans="2:10" x14ac:dyDescent="0.25">
      <c r="B1193" s="3" t="str">
        <f>IF([1]SCHEDULE!B1193="","",[1]SCHEDULE!B1193)</f>
        <v/>
      </c>
      <c r="C1193" s="3">
        <f>IF([1]SCHEDULE!C1193="","",[1]SCHEDULE!C1193)</f>
        <v>18</v>
      </c>
      <c r="D1193" s="1" t="e">
        <f>IF([1]SCHEDULE!D1193="","",[1]SCHEDULE!D1193)</f>
        <v>#N/A</v>
      </c>
      <c r="E1193" s="1" t="str">
        <f>IF([1]SCHEDULE!E1193="","",[1]SCHEDULE!E1193)</f>
        <v/>
      </c>
      <c r="F1193" s="6" t="str">
        <f>IF([1]SCHEDULE!F1193="","",[1]SCHEDULE!F1193)</f>
        <v/>
      </c>
      <c r="G1193" s="3" t="str">
        <f>IF([1]SCHEDULE!G1193="","",[1]SCHEDULE!G1193)</f>
        <v/>
      </c>
      <c r="H1193" s="3" t="str">
        <f>IF([1]SCHEDULE!H1193="","",[1]SCHEDULE!H1193)</f>
        <v/>
      </c>
      <c r="I1193" s="3" t="str">
        <f>IF([1]SCHEDULE!I1193="","",[1]SCHEDULE!I1193)</f>
        <v/>
      </c>
      <c r="J1193" s="3" t="str">
        <f>IF([1]SCHEDULE!J1193="","",[1]SCHEDULE!J1193)</f>
        <v/>
      </c>
    </row>
    <row r="1194" spans="2:10" x14ac:dyDescent="0.25">
      <c r="B1194" s="3" t="str">
        <f>IF([1]SCHEDULE!B1194="","",[1]SCHEDULE!B1194)</f>
        <v/>
      </c>
      <c r="C1194" s="3">
        <f>IF([1]SCHEDULE!C1194="","",[1]SCHEDULE!C1194)</f>
        <v>19</v>
      </c>
      <c r="D1194" s="1" t="e">
        <f>IF([1]SCHEDULE!D1194="","",[1]SCHEDULE!D1194)</f>
        <v>#N/A</v>
      </c>
      <c r="E1194" s="1" t="str">
        <f>IF([1]SCHEDULE!E1194="","",[1]SCHEDULE!E1194)</f>
        <v/>
      </c>
      <c r="F1194" s="6" t="str">
        <f>IF([1]SCHEDULE!F1194="","",[1]SCHEDULE!F1194)</f>
        <v/>
      </c>
      <c r="G1194" s="3" t="str">
        <f>IF([1]SCHEDULE!G1194="","",[1]SCHEDULE!G1194)</f>
        <v/>
      </c>
      <c r="H1194" s="3" t="str">
        <f>IF([1]SCHEDULE!H1194="","",[1]SCHEDULE!H1194)</f>
        <v/>
      </c>
      <c r="I1194" s="3" t="str">
        <f>IF([1]SCHEDULE!I1194="","",[1]SCHEDULE!I1194)</f>
        <v/>
      </c>
      <c r="J1194" s="3" t="str">
        <f>IF([1]SCHEDULE!J1194="","",[1]SCHEDULE!J1194)</f>
        <v/>
      </c>
    </row>
    <row r="1195" spans="2:10" x14ac:dyDescent="0.25">
      <c r="B1195" s="3" t="str">
        <f>IF([1]SCHEDULE!B1195="","",[1]SCHEDULE!B1195)</f>
        <v/>
      </c>
      <c r="C1195" s="3">
        <f>IF([1]SCHEDULE!C1195="","",[1]SCHEDULE!C1195)</f>
        <v>20</v>
      </c>
      <c r="D1195" s="1" t="e">
        <f>IF([1]SCHEDULE!D1195="","",[1]SCHEDULE!D1195)</f>
        <v>#N/A</v>
      </c>
      <c r="E1195" s="1" t="str">
        <f>IF([1]SCHEDULE!E1195="","",[1]SCHEDULE!E1195)</f>
        <v/>
      </c>
      <c r="F1195" s="6" t="str">
        <f>IF([1]SCHEDULE!F1195="","",[1]SCHEDULE!F1195)</f>
        <v/>
      </c>
      <c r="G1195" s="3" t="str">
        <f>IF([1]SCHEDULE!G1195="","",[1]SCHEDULE!G1195)</f>
        <v/>
      </c>
      <c r="H1195" s="3" t="str">
        <f>IF([1]SCHEDULE!H1195="","",[1]SCHEDULE!H1195)</f>
        <v/>
      </c>
      <c r="I1195" s="3" t="str">
        <f>IF([1]SCHEDULE!I1195="","",[1]SCHEDULE!I1195)</f>
        <v/>
      </c>
      <c r="J1195" s="3" t="str">
        <f>IF([1]SCHEDULE!J1195="","",[1]SCHEDULE!J1195)</f>
        <v/>
      </c>
    </row>
    <row r="1196" spans="2:10" x14ac:dyDescent="0.25">
      <c r="B1196" s="3" t="str">
        <f>IF([1]SCHEDULE!B1196="","",[1]SCHEDULE!B1196)</f>
        <v/>
      </c>
      <c r="C1196" s="3">
        <f>IF([1]SCHEDULE!C1196="","",[1]SCHEDULE!C1196)</f>
        <v>21</v>
      </c>
      <c r="D1196" s="1" t="e">
        <f>IF([1]SCHEDULE!D1196="","",[1]SCHEDULE!D1196)</f>
        <v>#N/A</v>
      </c>
      <c r="E1196" s="1" t="str">
        <f>IF([1]SCHEDULE!E1196="","",[1]SCHEDULE!E1196)</f>
        <v/>
      </c>
      <c r="F1196" s="6" t="str">
        <f>IF([1]SCHEDULE!F1196="","",[1]SCHEDULE!F1196)</f>
        <v/>
      </c>
      <c r="G1196" s="3" t="str">
        <f>IF([1]SCHEDULE!G1196="","",[1]SCHEDULE!G1196)</f>
        <v/>
      </c>
      <c r="H1196" s="3" t="str">
        <f>IF([1]SCHEDULE!H1196="","",[1]SCHEDULE!H1196)</f>
        <v/>
      </c>
      <c r="I1196" s="3" t="str">
        <f>IF([1]SCHEDULE!I1196="","",[1]SCHEDULE!I1196)</f>
        <v/>
      </c>
      <c r="J1196" s="3" t="str">
        <f>IF([1]SCHEDULE!J1196="","",[1]SCHEDULE!J1196)</f>
        <v/>
      </c>
    </row>
    <row r="1197" spans="2:10" x14ac:dyDescent="0.25">
      <c r="B1197" s="3" t="str">
        <f>IF([1]SCHEDULE!B1197="","",[1]SCHEDULE!B1197)</f>
        <v/>
      </c>
      <c r="C1197" s="3">
        <f>IF([1]SCHEDULE!C1197="","",[1]SCHEDULE!C1197)</f>
        <v>22</v>
      </c>
      <c r="D1197" s="1" t="e">
        <f>IF([1]SCHEDULE!D1197="","",[1]SCHEDULE!D1197)</f>
        <v>#N/A</v>
      </c>
      <c r="E1197" s="1" t="str">
        <f>IF([1]SCHEDULE!E1197="","",[1]SCHEDULE!E1197)</f>
        <v/>
      </c>
      <c r="F1197" s="6" t="str">
        <f>IF([1]SCHEDULE!F1197="","",[1]SCHEDULE!F1197)</f>
        <v/>
      </c>
      <c r="G1197" s="3" t="str">
        <f>IF([1]SCHEDULE!G1197="","",[1]SCHEDULE!G1197)</f>
        <v/>
      </c>
      <c r="H1197" s="3" t="str">
        <f>IF([1]SCHEDULE!H1197="","",[1]SCHEDULE!H1197)</f>
        <v/>
      </c>
      <c r="I1197" s="3" t="str">
        <f>IF([1]SCHEDULE!I1197="","",[1]SCHEDULE!I1197)</f>
        <v/>
      </c>
      <c r="J1197" s="3" t="str">
        <f>IF([1]SCHEDULE!J1197="","",[1]SCHEDULE!J1197)</f>
        <v/>
      </c>
    </row>
    <row r="1198" spans="2:10" x14ac:dyDescent="0.25">
      <c r="B1198" s="3" t="str">
        <f>IF([1]SCHEDULE!B1198="","",[1]SCHEDULE!B1198)</f>
        <v/>
      </c>
      <c r="C1198" s="3">
        <f>IF([1]SCHEDULE!C1198="","",[1]SCHEDULE!C1198)</f>
        <v>23</v>
      </c>
      <c r="D1198" s="1" t="e">
        <f>IF([1]SCHEDULE!D1198="","",[1]SCHEDULE!D1198)</f>
        <v>#N/A</v>
      </c>
      <c r="E1198" s="1" t="str">
        <f>IF([1]SCHEDULE!E1198="","",[1]SCHEDULE!E1198)</f>
        <v/>
      </c>
      <c r="F1198" s="6" t="str">
        <f>IF([1]SCHEDULE!F1198="","",[1]SCHEDULE!F1198)</f>
        <v/>
      </c>
      <c r="G1198" s="3" t="str">
        <f>IF([1]SCHEDULE!G1198="","",[1]SCHEDULE!G1198)</f>
        <v/>
      </c>
      <c r="H1198" s="3" t="str">
        <f>IF([1]SCHEDULE!H1198="","",[1]SCHEDULE!H1198)</f>
        <v/>
      </c>
      <c r="I1198" s="3" t="str">
        <f>IF([1]SCHEDULE!I1198="","",[1]SCHEDULE!I1198)</f>
        <v/>
      </c>
      <c r="J1198" s="3" t="str">
        <f>IF([1]SCHEDULE!J1198="","",[1]SCHEDULE!J1198)</f>
        <v/>
      </c>
    </row>
    <row r="1199" spans="2:10" x14ac:dyDescent="0.25">
      <c r="B1199" s="3" t="str">
        <f>IF([1]SCHEDULE!B1199="","",[1]SCHEDULE!B1199)</f>
        <v/>
      </c>
      <c r="C1199" s="3">
        <f>IF([1]SCHEDULE!C1199="","",[1]SCHEDULE!C1199)</f>
        <v>24</v>
      </c>
      <c r="D1199" s="1" t="e">
        <f>IF([1]SCHEDULE!D1199="","",[1]SCHEDULE!D1199)</f>
        <v>#N/A</v>
      </c>
      <c r="E1199" s="1" t="str">
        <f>IF([1]SCHEDULE!E1199="","",[1]SCHEDULE!E1199)</f>
        <v/>
      </c>
      <c r="F1199" s="6" t="str">
        <f>IF([1]SCHEDULE!F1199="","",[1]SCHEDULE!F1199)</f>
        <v/>
      </c>
      <c r="G1199" s="3" t="str">
        <f>IF([1]SCHEDULE!G1199="","",[1]SCHEDULE!G1199)</f>
        <v/>
      </c>
      <c r="H1199" s="3" t="str">
        <f>IF([1]SCHEDULE!H1199="","",[1]SCHEDULE!H1199)</f>
        <v/>
      </c>
      <c r="I1199" s="3" t="str">
        <f>IF([1]SCHEDULE!I1199="","",[1]SCHEDULE!I1199)</f>
        <v/>
      </c>
      <c r="J1199" s="3" t="str">
        <f>IF([1]SCHEDULE!J1199="","",[1]SCHEDULE!J1199)</f>
        <v/>
      </c>
    </row>
    <row r="1200" spans="2:10" x14ac:dyDescent="0.25">
      <c r="B1200" s="3" t="str">
        <f>IF([1]SCHEDULE!B1200="","",[1]SCHEDULE!B1200)</f>
        <v/>
      </c>
      <c r="C1200" s="3">
        <f>IF([1]SCHEDULE!C1200="","",[1]SCHEDULE!C1200)</f>
        <v>25</v>
      </c>
      <c r="D1200" s="1" t="e">
        <f>IF([1]SCHEDULE!D1200="","",[1]SCHEDULE!D1200)</f>
        <v>#N/A</v>
      </c>
      <c r="E1200" s="1" t="str">
        <f>IF([1]SCHEDULE!E1200="","",[1]SCHEDULE!E1200)</f>
        <v/>
      </c>
      <c r="F1200" s="6" t="str">
        <f>IF([1]SCHEDULE!F1200="","",[1]SCHEDULE!F1200)</f>
        <v/>
      </c>
      <c r="G1200" s="3" t="str">
        <f>IF([1]SCHEDULE!G1200="","",[1]SCHEDULE!G1200)</f>
        <v/>
      </c>
      <c r="H1200" s="3" t="str">
        <f>IF([1]SCHEDULE!H1200="","",[1]SCHEDULE!H1200)</f>
        <v/>
      </c>
      <c r="I1200" s="3" t="str">
        <f>IF([1]SCHEDULE!I1200="","",[1]SCHEDULE!I1200)</f>
        <v/>
      </c>
      <c r="J1200" s="3" t="str">
        <f>IF([1]SCHEDULE!J1200="","",[1]SCHEDULE!J1200)</f>
        <v/>
      </c>
    </row>
    <row r="1201" spans="2:10" x14ac:dyDescent="0.25">
      <c r="B1201" s="3" t="str">
        <f>IF([1]SCHEDULE!B1201="","",[1]SCHEDULE!B1201)</f>
        <v/>
      </c>
      <c r="C1201" s="3">
        <f>IF([1]SCHEDULE!C1201="","",[1]SCHEDULE!C1201)</f>
        <v>26</v>
      </c>
      <c r="D1201" s="1" t="e">
        <f>IF([1]SCHEDULE!D1201="","",[1]SCHEDULE!D1201)</f>
        <v>#N/A</v>
      </c>
      <c r="E1201" s="1" t="str">
        <f>IF([1]SCHEDULE!E1201="","",[1]SCHEDULE!E1201)</f>
        <v/>
      </c>
      <c r="F1201" s="6" t="str">
        <f>IF([1]SCHEDULE!F1201="","",[1]SCHEDULE!F1201)</f>
        <v/>
      </c>
      <c r="G1201" s="3" t="str">
        <f>IF([1]SCHEDULE!G1201="","",[1]SCHEDULE!G1201)</f>
        <v/>
      </c>
      <c r="H1201" s="3" t="str">
        <f>IF([1]SCHEDULE!H1201="","",[1]SCHEDULE!H1201)</f>
        <v/>
      </c>
      <c r="I1201" s="3" t="str">
        <f>IF([1]SCHEDULE!I1201="","",[1]SCHEDULE!I1201)</f>
        <v/>
      </c>
      <c r="J1201" s="3" t="str">
        <f>IF([1]SCHEDULE!J1201="","",[1]SCHEDULE!J1201)</f>
        <v/>
      </c>
    </row>
    <row r="1202" spans="2:10" x14ac:dyDescent="0.25">
      <c r="B1202" s="3" t="str">
        <f>IF([1]SCHEDULE!B1202="","",[1]SCHEDULE!B1202)</f>
        <v/>
      </c>
      <c r="C1202" s="3">
        <f>IF([1]SCHEDULE!C1202="","",[1]SCHEDULE!C1202)</f>
        <v>27</v>
      </c>
      <c r="D1202" s="1" t="e">
        <f>IF([1]SCHEDULE!D1202="","",[1]SCHEDULE!D1202)</f>
        <v>#N/A</v>
      </c>
      <c r="E1202" s="1" t="str">
        <f>IF([1]SCHEDULE!E1202="","",[1]SCHEDULE!E1202)</f>
        <v/>
      </c>
      <c r="F1202" s="6" t="str">
        <f>IF([1]SCHEDULE!F1202="","",[1]SCHEDULE!F1202)</f>
        <v/>
      </c>
      <c r="G1202" s="3" t="str">
        <f>IF([1]SCHEDULE!G1202="","",[1]SCHEDULE!G1202)</f>
        <v/>
      </c>
      <c r="H1202" s="3" t="str">
        <f>IF([1]SCHEDULE!H1202="","",[1]SCHEDULE!H1202)</f>
        <v/>
      </c>
      <c r="I1202" s="3" t="str">
        <f>IF([1]SCHEDULE!I1202="","",[1]SCHEDULE!I1202)</f>
        <v/>
      </c>
      <c r="J1202" s="3" t="str">
        <f>IF([1]SCHEDULE!J1202="","",[1]SCHEDULE!J1202)</f>
        <v/>
      </c>
    </row>
    <row r="1203" spans="2:10" x14ac:dyDescent="0.25">
      <c r="B1203" s="3" t="str">
        <f>IF([1]SCHEDULE!B1203="","",[1]SCHEDULE!B1203)</f>
        <v/>
      </c>
      <c r="C1203" s="3">
        <f>IF([1]SCHEDULE!C1203="","",[1]SCHEDULE!C1203)</f>
        <v>28</v>
      </c>
      <c r="D1203" s="1" t="e">
        <f>IF([1]SCHEDULE!D1203="","",[1]SCHEDULE!D1203)</f>
        <v>#N/A</v>
      </c>
      <c r="E1203" s="1" t="str">
        <f>IF([1]SCHEDULE!E1203="","",[1]SCHEDULE!E1203)</f>
        <v/>
      </c>
      <c r="F1203" s="6" t="str">
        <f>IF([1]SCHEDULE!F1203="","",[1]SCHEDULE!F1203)</f>
        <v/>
      </c>
      <c r="G1203" s="3" t="str">
        <f>IF([1]SCHEDULE!G1203="","",[1]SCHEDULE!G1203)</f>
        <v/>
      </c>
      <c r="H1203" s="3" t="str">
        <f>IF([1]SCHEDULE!H1203="","",[1]SCHEDULE!H1203)</f>
        <v/>
      </c>
      <c r="I1203" s="3" t="str">
        <f>IF([1]SCHEDULE!I1203="","",[1]SCHEDULE!I1203)</f>
        <v/>
      </c>
      <c r="J1203" s="3" t="str">
        <f>IF([1]SCHEDULE!J1203="","",[1]SCHEDULE!J1203)</f>
        <v/>
      </c>
    </row>
    <row r="1204" spans="2:10" x14ac:dyDescent="0.25">
      <c r="B1204" s="3" t="str">
        <f>IF([1]SCHEDULE!B1204="","",[1]SCHEDULE!B1204)</f>
        <v/>
      </c>
      <c r="C1204" s="3">
        <f>IF([1]SCHEDULE!C1204="","",[1]SCHEDULE!C1204)</f>
        <v>29</v>
      </c>
      <c r="D1204" s="1" t="e">
        <f>IF([1]SCHEDULE!D1204="","",[1]SCHEDULE!D1204)</f>
        <v>#N/A</v>
      </c>
      <c r="E1204" s="1" t="str">
        <f>IF([1]SCHEDULE!E1204="","",[1]SCHEDULE!E1204)</f>
        <v/>
      </c>
      <c r="F1204" s="6" t="str">
        <f>IF([1]SCHEDULE!F1204="","",[1]SCHEDULE!F1204)</f>
        <v/>
      </c>
      <c r="G1204" s="3" t="str">
        <f>IF([1]SCHEDULE!G1204="","",[1]SCHEDULE!G1204)</f>
        <v/>
      </c>
      <c r="H1204" s="3" t="str">
        <f>IF([1]SCHEDULE!H1204="","",[1]SCHEDULE!H1204)</f>
        <v/>
      </c>
      <c r="I1204" s="3" t="str">
        <f>IF([1]SCHEDULE!I1204="","",[1]SCHEDULE!I1204)</f>
        <v/>
      </c>
      <c r="J1204" s="3" t="str">
        <f>IF([1]SCHEDULE!J1204="","",[1]SCHEDULE!J1204)</f>
        <v/>
      </c>
    </row>
    <row r="1205" spans="2:10" x14ac:dyDescent="0.25">
      <c r="B1205" s="3" t="str">
        <f>IF([1]SCHEDULE!B1205="","",[1]SCHEDULE!B1205)</f>
        <v/>
      </c>
      <c r="C1205" s="3">
        <f>IF([1]SCHEDULE!C1205="","",[1]SCHEDULE!C1205)</f>
        <v>30</v>
      </c>
      <c r="D1205" s="1" t="e">
        <f>IF([1]SCHEDULE!D1205="","",[1]SCHEDULE!D1205)</f>
        <v>#N/A</v>
      </c>
      <c r="E1205" s="1" t="str">
        <f>IF([1]SCHEDULE!E1205="","",[1]SCHEDULE!E1205)</f>
        <v/>
      </c>
      <c r="F1205" s="6" t="str">
        <f>IF([1]SCHEDULE!F1205="","",[1]SCHEDULE!F1205)</f>
        <v/>
      </c>
      <c r="G1205" s="3" t="str">
        <f>IF([1]SCHEDULE!G1205="","",[1]SCHEDULE!G1205)</f>
        <v/>
      </c>
      <c r="H1205" s="3" t="str">
        <f>IF([1]SCHEDULE!H1205="","",[1]SCHEDULE!H1205)</f>
        <v/>
      </c>
      <c r="I1205" s="3" t="str">
        <f>IF([1]SCHEDULE!I1205="","",[1]SCHEDULE!I1205)</f>
        <v/>
      </c>
      <c r="J1205" s="3" t="str">
        <f>IF([1]SCHEDULE!J1205="","",[1]SCHEDULE!J1205)</f>
        <v/>
      </c>
    </row>
    <row r="1206" spans="2:10" x14ac:dyDescent="0.25">
      <c r="B1206" s="3" t="str">
        <f>IF([1]SCHEDULE!B1206="","",[1]SCHEDULE!B1206)</f>
        <v/>
      </c>
      <c r="C1206" s="3">
        <f>IF([1]SCHEDULE!C1206="","",[1]SCHEDULE!C1206)</f>
        <v>31</v>
      </c>
      <c r="D1206" s="1" t="e">
        <f>IF([1]SCHEDULE!D1206="","",[1]SCHEDULE!D1206)</f>
        <v>#N/A</v>
      </c>
      <c r="E1206" s="1" t="str">
        <f>IF([1]SCHEDULE!E1206="","",[1]SCHEDULE!E1206)</f>
        <v/>
      </c>
      <c r="F1206" s="6" t="str">
        <f>IF([1]SCHEDULE!F1206="","",[1]SCHEDULE!F1206)</f>
        <v/>
      </c>
      <c r="G1206" s="3" t="str">
        <f>IF([1]SCHEDULE!G1206="","",[1]SCHEDULE!G1206)</f>
        <v/>
      </c>
      <c r="H1206" s="3" t="str">
        <f>IF([1]SCHEDULE!H1206="","",[1]SCHEDULE!H1206)</f>
        <v/>
      </c>
      <c r="I1206" s="3" t="str">
        <f>IF([1]SCHEDULE!I1206="","",[1]SCHEDULE!I1206)</f>
        <v/>
      </c>
      <c r="J1206" s="3" t="str">
        <f>IF([1]SCHEDULE!J1206="","",[1]SCHEDULE!J1206)</f>
        <v/>
      </c>
    </row>
    <row r="1207" spans="2:10" x14ac:dyDescent="0.25">
      <c r="B1207" s="3" t="str">
        <f>IF([1]SCHEDULE!B1207="","",[1]SCHEDULE!B1207)</f>
        <v/>
      </c>
      <c r="C1207" s="3">
        <f>IF([1]SCHEDULE!C1207="","",[1]SCHEDULE!C1207)</f>
        <v>32</v>
      </c>
      <c r="D1207" s="1" t="e">
        <f>IF([1]SCHEDULE!D1207="","",[1]SCHEDULE!D1207)</f>
        <v>#N/A</v>
      </c>
      <c r="E1207" s="1" t="str">
        <f>IF([1]SCHEDULE!E1207="","",[1]SCHEDULE!E1207)</f>
        <v/>
      </c>
      <c r="F1207" s="6" t="str">
        <f>IF([1]SCHEDULE!F1207="","",[1]SCHEDULE!F1207)</f>
        <v/>
      </c>
      <c r="G1207" s="3" t="str">
        <f>IF([1]SCHEDULE!G1207="","",[1]SCHEDULE!G1207)</f>
        <v/>
      </c>
      <c r="H1207" s="3" t="str">
        <f>IF([1]SCHEDULE!H1207="","",[1]SCHEDULE!H1207)</f>
        <v/>
      </c>
      <c r="I1207" s="3" t="str">
        <f>IF([1]SCHEDULE!I1207="","",[1]SCHEDULE!I1207)</f>
        <v/>
      </c>
      <c r="J1207" s="3" t="str">
        <f>IF([1]SCHEDULE!J1207="","",[1]SCHEDULE!J1207)</f>
        <v/>
      </c>
    </row>
    <row r="1208" spans="2:10" x14ac:dyDescent="0.25">
      <c r="B1208" s="3" t="str">
        <f>IF([1]SCHEDULE!B1208="","",[1]SCHEDULE!B1208)</f>
        <v/>
      </c>
      <c r="C1208" s="3">
        <f>IF([1]SCHEDULE!C1208="","",[1]SCHEDULE!C1208)</f>
        <v>33</v>
      </c>
      <c r="D1208" s="1" t="e">
        <f>IF([1]SCHEDULE!D1208="","",[1]SCHEDULE!D1208)</f>
        <v>#N/A</v>
      </c>
      <c r="E1208" s="1" t="str">
        <f>IF([1]SCHEDULE!E1208="","",[1]SCHEDULE!E1208)</f>
        <v/>
      </c>
      <c r="F1208" s="6" t="str">
        <f>IF([1]SCHEDULE!F1208="","",[1]SCHEDULE!F1208)</f>
        <v/>
      </c>
      <c r="G1208" s="3" t="str">
        <f>IF([1]SCHEDULE!G1208="","",[1]SCHEDULE!G1208)</f>
        <v/>
      </c>
      <c r="H1208" s="3" t="str">
        <f>IF([1]SCHEDULE!H1208="","",[1]SCHEDULE!H1208)</f>
        <v/>
      </c>
      <c r="I1208" s="3" t="str">
        <f>IF([1]SCHEDULE!I1208="","",[1]SCHEDULE!I1208)</f>
        <v/>
      </c>
      <c r="J1208" s="3" t="str">
        <f>IF([1]SCHEDULE!J1208="","",[1]SCHEDULE!J1208)</f>
        <v/>
      </c>
    </row>
    <row r="1209" spans="2:10" x14ac:dyDescent="0.25">
      <c r="B1209" s="3" t="str">
        <f>IF([1]SCHEDULE!B1209="","",[1]SCHEDULE!B1209)</f>
        <v/>
      </c>
      <c r="C1209" s="3">
        <f>IF([1]SCHEDULE!C1209="","",[1]SCHEDULE!C1209)</f>
        <v>34</v>
      </c>
      <c r="D1209" s="1" t="e">
        <f>IF([1]SCHEDULE!D1209="","",[1]SCHEDULE!D1209)</f>
        <v>#N/A</v>
      </c>
      <c r="E1209" s="1" t="str">
        <f>IF([1]SCHEDULE!E1209="","",[1]SCHEDULE!E1209)</f>
        <v/>
      </c>
      <c r="F1209" s="6" t="str">
        <f>IF([1]SCHEDULE!F1209="","",[1]SCHEDULE!F1209)</f>
        <v/>
      </c>
      <c r="G1209" s="3" t="str">
        <f>IF([1]SCHEDULE!G1209="","",[1]SCHEDULE!G1209)</f>
        <v/>
      </c>
      <c r="H1209" s="3" t="str">
        <f>IF([1]SCHEDULE!H1209="","",[1]SCHEDULE!H1209)</f>
        <v/>
      </c>
      <c r="I1209" s="3" t="str">
        <f>IF([1]SCHEDULE!I1209="","",[1]SCHEDULE!I1209)</f>
        <v/>
      </c>
      <c r="J1209" s="3" t="str">
        <f>IF([1]SCHEDULE!J1209="","",[1]SCHEDULE!J1209)</f>
        <v/>
      </c>
    </row>
    <row r="1210" spans="2:10" x14ac:dyDescent="0.25">
      <c r="B1210" s="3" t="str">
        <f>IF([1]SCHEDULE!B1210="","",[1]SCHEDULE!B1210)</f>
        <v/>
      </c>
      <c r="C1210" s="3">
        <f>IF([1]SCHEDULE!C1210="","",[1]SCHEDULE!C1210)</f>
        <v>35</v>
      </c>
      <c r="D1210" s="1" t="e">
        <f>IF([1]SCHEDULE!D1210="","",[1]SCHEDULE!D1210)</f>
        <v>#N/A</v>
      </c>
      <c r="E1210" s="1" t="str">
        <f>IF([1]SCHEDULE!E1210="","",[1]SCHEDULE!E1210)</f>
        <v/>
      </c>
      <c r="F1210" s="6" t="str">
        <f>IF([1]SCHEDULE!F1210="","",[1]SCHEDULE!F1210)</f>
        <v/>
      </c>
      <c r="G1210" s="3" t="str">
        <f>IF([1]SCHEDULE!G1210="","",[1]SCHEDULE!G1210)</f>
        <v/>
      </c>
      <c r="H1210" s="3" t="str">
        <f>IF([1]SCHEDULE!H1210="","",[1]SCHEDULE!H1210)</f>
        <v/>
      </c>
      <c r="I1210" s="3" t="str">
        <f>IF([1]SCHEDULE!I1210="","",[1]SCHEDULE!I1210)</f>
        <v/>
      </c>
      <c r="J1210" s="3" t="str">
        <f>IF([1]SCHEDULE!J1210="","",[1]SCHEDULE!J1210)</f>
        <v/>
      </c>
    </row>
    <row r="1211" spans="2:10" x14ac:dyDescent="0.25">
      <c r="B1211" s="3" t="str">
        <f>IF([1]SCHEDULE!B1211="","",[1]SCHEDULE!B1211)</f>
        <v/>
      </c>
      <c r="C1211" s="3">
        <f>IF([1]SCHEDULE!C1211="","",[1]SCHEDULE!C1211)</f>
        <v>36</v>
      </c>
      <c r="D1211" s="1" t="e">
        <f>IF([1]SCHEDULE!D1211="","",[1]SCHEDULE!D1211)</f>
        <v>#N/A</v>
      </c>
      <c r="E1211" s="1" t="str">
        <f>IF([1]SCHEDULE!E1211="","",[1]SCHEDULE!E1211)</f>
        <v/>
      </c>
      <c r="F1211" s="6" t="str">
        <f>IF([1]SCHEDULE!F1211="","",[1]SCHEDULE!F1211)</f>
        <v/>
      </c>
      <c r="G1211" s="3" t="str">
        <f>IF([1]SCHEDULE!G1211="","",[1]SCHEDULE!G1211)</f>
        <v/>
      </c>
      <c r="H1211" s="3" t="str">
        <f>IF([1]SCHEDULE!H1211="","",[1]SCHEDULE!H1211)</f>
        <v/>
      </c>
      <c r="I1211" s="3" t="str">
        <f>IF([1]SCHEDULE!I1211="","",[1]SCHEDULE!I1211)</f>
        <v/>
      </c>
      <c r="J1211" s="3" t="str">
        <f>IF([1]SCHEDULE!J1211="","",[1]SCHEDULE!J1211)</f>
        <v/>
      </c>
    </row>
    <row r="1212" spans="2:10" x14ac:dyDescent="0.25">
      <c r="B1212" s="3" t="str">
        <f>IF([1]SCHEDULE!B1212="","",[1]SCHEDULE!B1212)</f>
        <v/>
      </c>
      <c r="C1212" s="3">
        <f>IF([1]SCHEDULE!C1212="","",[1]SCHEDULE!C1212)</f>
        <v>37</v>
      </c>
      <c r="D1212" s="1" t="e">
        <f>IF([1]SCHEDULE!D1212="","",[1]SCHEDULE!D1212)</f>
        <v>#N/A</v>
      </c>
      <c r="E1212" s="1" t="str">
        <f>IF([1]SCHEDULE!E1212="","",[1]SCHEDULE!E1212)</f>
        <v/>
      </c>
      <c r="F1212" s="6" t="str">
        <f>IF([1]SCHEDULE!F1212="","",[1]SCHEDULE!F1212)</f>
        <v/>
      </c>
      <c r="G1212" s="3" t="str">
        <f>IF([1]SCHEDULE!G1212="","",[1]SCHEDULE!G1212)</f>
        <v/>
      </c>
      <c r="H1212" s="3" t="str">
        <f>IF([1]SCHEDULE!H1212="","",[1]SCHEDULE!H1212)</f>
        <v/>
      </c>
      <c r="I1212" s="3" t="str">
        <f>IF([1]SCHEDULE!I1212="","",[1]SCHEDULE!I1212)</f>
        <v/>
      </c>
      <c r="J1212" s="3" t="str">
        <f>IF([1]SCHEDULE!J1212="","",[1]SCHEDULE!J1212)</f>
        <v/>
      </c>
    </row>
    <row r="1213" spans="2:10" x14ac:dyDescent="0.25">
      <c r="B1213" s="3" t="str">
        <f>IF([1]SCHEDULE!B1213="","",[1]SCHEDULE!B1213)</f>
        <v/>
      </c>
      <c r="C1213" s="3">
        <f>IF([1]SCHEDULE!C1213="","",[1]SCHEDULE!C1213)</f>
        <v>38</v>
      </c>
      <c r="D1213" s="1" t="e">
        <f>IF([1]SCHEDULE!D1213="","",[1]SCHEDULE!D1213)</f>
        <v>#N/A</v>
      </c>
      <c r="E1213" s="1" t="str">
        <f>IF([1]SCHEDULE!E1213="","",[1]SCHEDULE!E1213)</f>
        <v/>
      </c>
      <c r="F1213" s="6" t="str">
        <f>IF([1]SCHEDULE!F1213="","",[1]SCHEDULE!F1213)</f>
        <v/>
      </c>
      <c r="G1213" s="3" t="str">
        <f>IF([1]SCHEDULE!G1213="","",[1]SCHEDULE!G1213)</f>
        <v/>
      </c>
      <c r="H1213" s="3" t="str">
        <f>IF([1]SCHEDULE!H1213="","",[1]SCHEDULE!H1213)</f>
        <v/>
      </c>
      <c r="I1213" s="3" t="str">
        <f>IF([1]SCHEDULE!I1213="","",[1]SCHEDULE!I1213)</f>
        <v/>
      </c>
      <c r="J1213" s="3" t="str">
        <f>IF([1]SCHEDULE!J1213="","",[1]SCHEDULE!J1213)</f>
        <v/>
      </c>
    </row>
    <row r="1214" spans="2:10" x14ac:dyDescent="0.25">
      <c r="B1214" s="3" t="str">
        <f>IF([1]SCHEDULE!B1214="","",[1]SCHEDULE!B1214)</f>
        <v/>
      </c>
      <c r="C1214" s="3">
        <f>IF([1]SCHEDULE!C1214="","",[1]SCHEDULE!C1214)</f>
        <v>39</v>
      </c>
      <c r="D1214" s="1" t="e">
        <f>IF([1]SCHEDULE!D1214="","",[1]SCHEDULE!D1214)</f>
        <v>#N/A</v>
      </c>
      <c r="E1214" s="1" t="str">
        <f>IF([1]SCHEDULE!E1214="","",[1]SCHEDULE!E1214)</f>
        <v/>
      </c>
      <c r="F1214" s="6" t="str">
        <f>IF([1]SCHEDULE!F1214="","",[1]SCHEDULE!F1214)</f>
        <v/>
      </c>
      <c r="G1214" s="3" t="str">
        <f>IF([1]SCHEDULE!G1214="","",[1]SCHEDULE!G1214)</f>
        <v/>
      </c>
      <c r="H1214" s="3" t="str">
        <f>IF([1]SCHEDULE!H1214="","",[1]SCHEDULE!H1214)</f>
        <v/>
      </c>
      <c r="I1214" s="3" t="str">
        <f>IF([1]SCHEDULE!I1214="","",[1]SCHEDULE!I1214)</f>
        <v/>
      </c>
      <c r="J1214" s="3" t="str">
        <f>IF([1]SCHEDULE!J1214="","",[1]SCHEDULE!J1214)</f>
        <v/>
      </c>
    </row>
    <row r="1215" spans="2:10" x14ac:dyDescent="0.25">
      <c r="B1215" s="3" t="str">
        <f>IF([1]SCHEDULE!B1215="","",[1]SCHEDULE!B1215)</f>
        <v/>
      </c>
      <c r="C1215" s="3">
        <f>IF([1]SCHEDULE!C1215="","",[1]SCHEDULE!C1215)</f>
        <v>40</v>
      </c>
      <c r="D1215" s="1" t="e">
        <f>IF([1]SCHEDULE!D1215="","",[1]SCHEDULE!D1215)</f>
        <v>#N/A</v>
      </c>
      <c r="E1215" s="1" t="str">
        <f>IF([1]SCHEDULE!E1215="","",[1]SCHEDULE!E1215)</f>
        <v/>
      </c>
      <c r="F1215" s="6" t="str">
        <f>IF([1]SCHEDULE!F1215="","",[1]SCHEDULE!F1215)</f>
        <v/>
      </c>
      <c r="G1215" s="3" t="str">
        <f>IF([1]SCHEDULE!G1215="","",[1]SCHEDULE!G1215)</f>
        <v/>
      </c>
      <c r="H1215" s="3" t="str">
        <f>IF([1]SCHEDULE!H1215="","",[1]SCHEDULE!H1215)</f>
        <v/>
      </c>
      <c r="I1215" s="3" t="str">
        <f>IF([1]SCHEDULE!I1215="","",[1]SCHEDULE!I1215)</f>
        <v/>
      </c>
      <c r="J1215" s="3" t="str">
        <f>IF([1]SCHEDULE!J1215="","",[1]SCHEDULE!J1215)</f>
        <v/>
      </c>
    </row>
    <row r="1216" spans="2:10" x14ac:dyDescent="0.25">
      <c r="B1216" s="3" t="str">
        <f>IF([1]SCHEDULE!B1216="","",[1]SCHEDULE!B1216)</f>
        <v/>
      </c>
      <c r="C1216" s="3">
        <f>IF([1]SCHEDULE!C1216="","",[1]SCHEDULE!C1216)</f>
        <v>41</v>
      </c>
      <c r="D1216" s="1" t="e">
        <f>IF([1]SCHEDULE!D1216="","",[1]SCHEDULE!D1216)</f>
        <v>#N/A</v>
      </c>
      <c r="E1216" s="1" t="str">
        <f>IF([1]SCHEDULE!E1216="","",[1]SCHEDULE!E1216)</f>
        <v/>
      </c>
      <c r="F1216" s="6" t="str">
        <f>IF([1]SCHEDULE!F1216="","",[1]SCHEDULE!F1216)</f>
        <v/>
      </c>
      <c r="G1216" s="3" t="str">
        <f>IF([1]SCHEDULE!G1216="","",[1]SCHEDULE!G1216)</f>
        <v/>
      </c>
      <c r="H1216" s="3" t="str">
        <f>IF([1]SCHEDULE!H1216="","",[1]SCHEDULE!H1216)</f>
        <v/>
      </c>
      <c r="I1216" s="3" t="str">
        <f>IF([1]SCHEDULE!I1216="","",[1]SCHEDULE!I1216)</f>
        <v/>
      </c>
      <c r="J1216" s="3" t="str">
        <f>IF([1]SCHEDULE!J1216="","",[1]SCHEDULE!J1216)</f>
        <v/>
      </c>
    </row>
    <row r="1217" spans="2:10" x14ac:dyDescent="0.25">
      <c r="B1217" s="3" t="str">
        <f>IF([1]SCHEDULE!B1217="","",[1]SCHEDULE!B1217)</f>
        <v/>
      </c>
      <c r="C1217" s="3">
        <f>IF([1]SCHEDULE!C1217="","",[1]SCHEDULE!C1217)</f>
        <v>42</v>
      </c>
      <c r="D1217" s="1" t="e">
        <f>IF([1]SCHEDULE!D1217="","",[1]SCHEDULE!D1217)</f>
        <v>#N/A</v>
      </c>
      <c r="E1217" s="1" t="str">
        <f>IF([1]SCHEDULE!E1217="","",[1]SCHEDULE!E1217)</f>
        <v/>
      </c>
      <c r="F1217" s="6" t="str">
        <f>IF([1]SCHEDULE!F1217="","",[1]SCHEDULE!F1217)</f>
        <v/>
      </c>
      <c r="G1217" s="3" t="str">
        <f>IF([1]SCHEDULE!G1217="","",[1]SCHEDULE!G1217)</f>
        <v/>
      </c>
      <c r="H1217" s="3" t="str">
        <f>IF([1]SCHEDULE!H1217="","",[1]SCHEDULE!H1217)</f>
        <v/>
      </c>
      <c r="I1217" s="3" t="str">
        <f>IF([1]SCHEDULE!I1217="","",[1]SCHEDULE!I1217)</f>
        <v/>
      </c>
      <c r="J1217" s="3" t="str">
        <f>IF([1]SCHEDULE!J1217="","",[1]SCHEDULE!J1217)</f>
        <v/>
      </c>
    </row>
    <row r="1218" spans="2:10" x14ac:dyDescent="0.25">
      <c r="B1218" s="3" t="str">
        <f>IF([1]SCHEDULE!B1218="","",[1]SCHEDULE!B1218)</f>
        <v/>
      </c>
      <c r="C1218" s="3">
        <f>IF([1]SCHEDULE!C1218="","",[1]SCHEDULE!C1218)</f>
        <v>43</v>
      </c>
      <c r="D1218" s="1" t="e">
        <f>IF([1]SCHEDULE!D1218="","",[1]SCHEDULE!D1218)</f>
        <v>#N/A</v>
      </c>
      <c r="E1218" s="1" t="str">
        <f>IF([1]SCHEDULE!E1218="","",[1]SCHEDULE!E1218)</f>
        <v/>
      </c>
      <c r="F1218" s="6" t="str">
        <f>IF([1]SCHEDULE!F1218="","",[1]SCHEDULE!F1218)</f>
        <v/>
      </c>
      <c r="G1218" s="3" t="str">
        <f>IF([1]SCHEDULE!G1218="","",[1]SCHEDULE!G1218)</f>
        <v/>
      </c>
      <c r="H1218" s="3" t="str">
        <f>IF([1]SCHEDULE!H1218="","",[1]SCHEDULE!H1218)</f>
        <v/>
      </c>
      <c r="I1218" s="3" t="str">
        <f>IF([1]SCHEDULE!I1218="","",[1]SCHEDULE!I1218)</f>
        <v/>
      </c>
      <c r="J1218" s="3" t="str">
        <f>IF([1]SCHEDULE!J1218="","",[1]SCHEDULE!J1218)</f>
        <v/>
      </c>
    </row>
    <row r="1219" spans="2:10" x14ac:dyDescent="0.25">
      <c r="B1219" s="3" t="str">
        <f>IF([1]SCHEDULE!B1219="","",[1]SCHEDULE!B1219)</f>
        <v/>
      </c>
      <c r="C1219" s="3">
        <f>IF([1]SCHEDULE!C1219="","",[1]SCHEDULE!C1219)</f>
        <v>44</v>
      </c>
      <c r="D1219" s="1" t="e">
        <f>IF([1]SCHEDULE!D1219="","",[1]SCHEDULE!D1219)</f>
        <v>#N/A</v>
      </c>
      <c r="E1219" s="1" t="str">
        <f>IF([1]SCHEDULE!E1219="","",[1]SCHEDULE!E1219)</f>
        <v/>
      </c>
      <c r="F1219" s="6" t="str">
        <f>IF([1]SCHEDULE!F1219="","",[1]SCHEDULE!F1219)</f>
        <v/>
      </c>
      <c r="G1219" s="3" t="str">
        <f>IF([1]SCHEDULE!G1219="","",[1]SCHEDULE!G1219)</f>
        <v/>
      </c>
      <c r="H1219" s="3" t="str">
        <f>IF([1]SCHEDULE!H1219="","",[1]SCHEDULE!H1219)</f>
        <v/>
      </c>
      <c r="I1219" s="3" t="str">
        <f>IF([1]SCHEDULE!I1219="","",[1]SCHEDULE!I1219)</f>
        <v/>
      </c>
      <c r="J1219" s="3" t="str">
        <f>IF([1]SCHEDULE!J1219="","",[1]SCHEDULE!J1219)</f>
        <v/>
      </c>
    </row>
    <row r="1220" spans="2:10" x14ac:dyDescent="0.25">
      <c r="B1220" s="3" t="str">
        <f>IF([1]SCHEDULE!B1220="","",[1]SCHEDULE!B1220)</f>
        <v/>
      </c>
      <c r="C1220" s="3">
        <f>IF([1]SCHEDULE!C1220="","",[1]SCHEDULE!C1220)</f>
        <v>45</v>
      </c>
      <c r="D1220" s="1" t="e">
        <f>IF([1]SCHEDULE!D1220="","",[1]SCHEDULE!D1220)</f>
        <v>#N/A</v>
      </c>
      <c r="E1220" s="1" t="str">
        <f>IF([1]SCHEDULE!E1220="","",[1]SCHEDULE!E1220)</f>
        <v/>
      </c>
      <c r="F1220" s="6" t="str">
        <f>IF([1]SCHEDULE!F1220="","",[1]SCHEDULE!F1220)</f>
        <v/>
      </c>
      <c r="G1220" s="3" t="str">
        <f>IF([1]SCHEDULE!G1220="","",[1]SCHEDULE!G1220)</f>
        <v/>
      </c>
      <c r="H1220" s="3" t="str">
        <f>IF([1]SCHEDULE!H1220="","",[1]SCHEDULE!H1220)</f>
        <v/>
      </c>
      <c r="I1220" s="3" t="str">
        <f>IF([1]SCHEDULE!I1220="","",[1]SCHEDULE!I1220)</f>
        <v/>
      </c>
      <c r="J1220" s="3" t="str">
        <f>IF([1]SCHEDULE!J1220="","",[1]SCHEDULE!J1220)</f>
        <v/>
      </c>
    </row>
    <row r="1221" spans="2:10" x14ac:dyDescent="0.25">
      <c r="B1221" s="3" t="str">
        <f>IF([1]SCHEDULE!B1221="","",[1]SCHEDULE!B1221)</f>
        <v/>
      </c>
      <c r="C1221" s="3">
        <f>IF([1]SCHEDULE!C1221="","",[1]SCHEDULE!C1221)</f>
        <v>46</v>
      </c>
      <c r="D1221" s="1" t="e">
        <f>IF([1]SCHEDULE!D1221="","",[1]SCHEDULE!D1221)</f>
        <v>#N/A</v>
      </c>
      <c r="E1221" s="1" t="str">
        <f>IF([1]SCHEDULE!E1221="","",[1]SCHEDULE!E1221)</f>
        <v/>
      </c>
      <c r="F1221" s="6" t="str">
        <f>IF([1]SCHEDULE!F1221="","",[1]SCHEDULE!F1221)</f>
        <v/>
      </c>
      <c r="G1221" s="3" t="str">
        <f>IF([1]SCHEDULE!G1221="","",[1]SCHEDULE!G1221)</f>
        <v/>
      </c>
      <c r="H1221" s="3" t="str">
        <f>IF([1]SCHEDULE!H1221="","",[1]SCHEDULE!H1221)</f>
        <v/>
      </c>
      <c r="I1221" s="3" t="str">
        <f>IF([1]SCHEDULE!I1221="","",[1]SCHEDULE!I1221)</f>
        <v/>
      </c>
      <c r="J1221" s="3" t="str">
        <f>IF([1]SCHEDULE!J1221="","",[1]SCHEDULE!J1221)</f>
        <v/>
      </c>
    </row>
    <row r="1222" spans="2:10" x14ac:dyDescent="0.25">
      <c r="B1222" s="3" t="str">
        <f>IF([1]SCHEDULE!B1222="","",[1]SCHEDULE!B1222)</f>
        <v/>
      </c>
      <c r="C1222" s="3">
        <f>IF([1]SCHEDULE!C1222="","",[1]SCHEDULE!C1222)</f>
        <v>47</v>
      </c>
      <c r="D1222" s="1" t="e">
        <f>IF([1]SCHEDULE!D1222="","",[1]SCHEDULE!D1222)</f>
        <v>#N/A</v>
      </c>
      <c r="E1222" s="1" t="str">
        <f>IF([1]SCHEDULE!E1222="","",[1]SCHEDULE!E1222)</f>
        <v/>
      </c>
      <c r="F1222" s="6" t="str">
        <f>IF([1]SCHEDULE!F1222="","",[1]SCHEDULE!F1222)</f>
        <v/>
      </c>
      <c r="G1222" s="3" t="str">
        <f>IF([1]SCHEDULE!G1222="","",[1]SCHEDULE!G1222)</f>
        <v/>
      </c>
      <c r="H1222" s="3" t="str">
        <f>IF([1]SCHEDULE!H1222="","",[1]SCHEDULE!H1222)</f>
        <v/>
      </c>
      <c r="I1222" s="3" t="str">
        <f>IF([1]SCHEDULE!I1222="","",[1]SCHEDULE!I1222)</f>
        <v/>
      </c>
      <c r="J1222" s="3" t="str">
        <f>IF([1]SCHEDULE!J1222="","",[1]SCHEDULE!J1222)</f>
        <v/>
      </c>
    </row>
    <row r="1223" spans="2:10" x14ac:dyDescent="0.25">
      <c r="B1223" s="3" t="str">
        <f>IF([1]SCHEDULE!B1223="","",[1]SCHEDULE!B1223)</f>
        <v/>
      </c>
      <c r="C1223" s="3">
        <f>IF([1]SCHEDULE!C1223="","",[1]SCHEDULE!C1223)</f>
        <v>48</v>
      </c>
      <c r="D1223" s="1" t="e">
        <f>IF([1]SCHEDULE!D1223="","",[1]SCHEDULE!D1223)</f>
        <v>#N/A</v>
      </c>
      <c r="E1223" s="1" t="str">
        <f>IF([1]SCHEDULE!E1223="","",[1]SCHEDULE!E1223)</f>
        <v/>
      </c>
      <c r="F1223" s="6" t="str">
        <f>IF([1]SCHEDULE!F1223="","",[1]SCHEDULE!F1223)</f>
        <v/>
      </c>
      <c r="G1223" s="3" t="str">
        <f>IF([1]SCHEDULE!G1223="","",[1]SCHEDULE!G1223)</f>
        <v/>
      </c>
      <c r="H1223" s="3" t="str">
        <f>IF([1]SCHEDULE!H1223="","",[1]SCHEDULE!H1223)</f>
        <v/>
      </c>
      <c r="I1223" s="3" t="str">
        <f>IF([1]SCHEDULE!I1223="","",[1]SCHEDULE!I1223)</f>
        <v/>
      </c>
      <c r="J1223" s="3" t="str">
        <f>IF([1]SCHEDULE!J1223="","",[1]SCHEDULE!J1223)</f>
        <v/>
      </c>
    </row>
    <row r="1224" spans="2:10" x14ac:dyDescent="0.25">
      <c r="B1224" s="3" t="str">
        <f>IF([1]SCHEDULE!B1224="","",[1]SCHEDULE!B1224)</f>
        <v/>
      </c>
      <c r="C1224" s="3">
        <f>IF([1]SCHEDULE!C1224="","",[1]SCHEDULE!C1224)</f>
        <v>49</v>
      </c>
      <c r="D1224" s="1" t="e">
        <f>IF([1]SCHEDULE!D1224="","",[1]SCHEDULE!D1224)</f>
        <v>#N/A</v>
      </c>
      <c r="E1224" s="1" t="str">
        <f>IF([1]SCHEDULE!E1224="","",[1]SCHEDULE!E1224)</f>
        <v/>
      </c>
      <c r="F1224" s="6" t="str">
        <f>IF([1]SCHEDULE!F1224="","",[1]SCHEDULE!F1224)</f>
        <v/>
      </c>
      <c r="G1224" s="3" t="str">
        <f>IF([1]SCHEDULE!G1224="","",[1]SCHEDULE!G1224)</f>
        <v/>
      </c>
      <c r="H1224" s="3" t="str">
        <f>IF([1]SCHEDULE!H1224="","",[1]SCHEDULE!H1224)</f>
        <v/>
      </c>
      <c r="I1224" s="3" t="str">
        <f>IF([1]SCHEDULE!I1224="","",[1]SCHEDULE!I1224)</f>
        <v/>
      </c>
      <c r="J1224" s="3" t="str">
        <f>IF([1]SCHEDULE!J1224="","",[1]SCHEDULE!J1224)</f>
        <v/>
      </c>
    </row>
    <row r="1225" spans="2:10" x14ac:dyDescent="0.25">
      <c r="B1225" s="3" t="str">
        <f>IF([1]SCHEDULE!B1225="","",[1]SCHEDULE!B1225)</f>
        <v/>
      </c>
      <c r="C1225" s="3">
        <f>IF([1]SCHEDULE!C1225="","",[1]SCHEDULE!C1225)</f>
        <v>50</v>
      </c>
      <c r="D1225" s="1" t="e">
        <f>IF([1]SCHEDULE!D1225="","",[1]SCHEDULE!D1225)</f>
        <v>#N/A</v>
      </c>
      <c r="E1225" s="1" t="str">
        <f>IF([1]SCHEDULE!E1225="","",[1]SCHEDULE!E1225)</f>
        <v/>
      </c>
      <c r="F1225" s="6" t="str">
        <f>IF([1]SCHEDULE!F1225="","",[1]SCHEDULE!F1225)</f>
        <v/>
      </c>
      <c r="G1225" s="3" t="str">
        <f>IF([1]SCHEDULE!G1225="","",[1]SCHEDULE!G1225)</f>
        <v/>
      </c>
      <c r="H1225" s="3" t="str">
        <f>IF([1]SCHEDULE!H1225="","",[1]SCHEDULE!H1225)</f>
        <v/>
      </c>
      <c r="I1225" s="3" t="str">
        <f>IF([1]SCHEDULE!I1225="","",[1]SCHEDULE!I1225)</f>
        <v/>
      </c>
      <c r="J1225" s="3" t="str">
        <f>IF([1]SCHEDULE!J1225="","",[1]SCHEDULE!J1225)</f>
        <v/>
      </c>
    </row>
    <row r="1226" spans="2:10" x14ac:dyDescent="0.25">
      <c r="B1226" s="3" t="str">
        <f>IF([1]SCHEDULE!B1226="","",[1]SCHEDULE!B1226)</f>
        <v/>
      </c>
      <c r="C1226" s="3">
        <f>IF([1]SCHEDULE!C1226="","",[1]SCHEDULE!C1226)</f>
        <v>51</v>
      </c>
      <c r="D1226" s="1" t="e">
        <f>IF([1]SCHEDULE!D1226="","",[1]SCHEDULE!D1226)</f>
        <v>#N/A</v>
      </c>
      <c r="E1226" s="1" t="str">
        <f>IF([1]SCHEDULE!E1226="","",[1]SCHEDULE!E1226)</f>
        <v/>
      </c>
      <c r="F1226" s="6" t="str">
        <f>IF([1]SCHEDULE!F1226="","",[1]SCHEDULE!F1226)</f>
        <v/>
      </c>
      <c r="G1226" s="3" t="str">
        <f>IF([1]SCHEDULE!G1226="","",[1]SCHEDULE!G1226)</f>
        <v/>
      </c>
      <c r="H1226" s="3" t="str">
        <f>IF([1]SCHEDULE!H1226="","",[1]SCHEDULE!H1226)</f>
        <v/>
      </c>
      <c r="I1226" s="3" t="str">
        <f>IF([1]SCHEDULE!I1226="","",[1]SCHEDULE!I1226)</f>
        <v/>
      </c>
      <c r="J1226" s="3" t="str">
        <f>IF([1]SCHEDULE!J1226="","",[1]SCHEDULE!J1226)</f>
        <v/>
      </c>
    </row>
    <row r="1227" spans="2:10" x14ac:dyDescent="0.25">
      <c r="B1227" s="3" t="str">
        <f>IF([1]SCHEDULE!B1227="","",[1]SCHEDULE!B1227)</f>
        <v/>
      </c>
      <c r="C1227" s="3">
        <f>IF([1]SCHEDULE!C1227="","",[1]SCHEDULE!C1227)</f>
        <v>1</v>
      </c>
      <c r="D1227" s="1" t="e">
        <f>IF([1]SCHEDULE!D1227="","",[1]SCHEDULE!D1227)</f>
        <v>#N/A</v>
      </c>
      <c r="E1227" s="1" t="str">
        <f>IF([1]SCHEDULE!E1227="","",[1]SCHEDULE!E1227)</f>
        <v/>
      </c>
      <c r="F1227" s="6" t="str">
        <f>IF([1]SCHEDULE!F1227="","",[1]SCHEDULE!F1227)</f>
        <v/>
      </c>
      <c r="G1227" s="3" t="str">
        <f>IF([1]SCHEDULE!G1227="","",[1]SCHEDULE!G1227)</f>
        <v/>
      </c>
      <c r="H1227" s="3" t="str">
        <f>IF([1]SCHEDULE!H1227="","",[1]SCHEDULE!H1227)</f>
        <v/>
      </c>
      <c r="I1227" s="3" t="str">
        <f>IF([1]SCHEDULE!I1227="","",[1]SCHEDULE!I1227)</f>
        <v/>
      </c>
      <c r="J1227" s="3" t="str">
        <f>IF([1]SCHEDULE!J1227="","",[1]SCHEDULE!J1227)</f>
        <v/>
      </c>
    </row>
    <row r="1228" spans="2:10" x14ac:dyDescent="0.25">
      <c r="B1228" s="3" t="str">
        <f>IF([1]SCHEDULE!B1228="","",[1]SCHEDULE!B1228)</f>
        <v/>
      </c>
      <c r="C1228" s="3">
        <f>IF([1]SCHEDULE!C1228="","",[1]SCHEDULE!C1228)</f>
        <v>2</v>
      </c>
      <c r="D1228" s="1" t="e">
        <f>IF([1]SCHEDULE!D1228="","",[1]SCHEDULE!D1228)</f>
        <v>#N/A</v>
      </c>
      <c r="E1228" s="1" t="str">
        <f>IF([1]SCHEDULE!E1228="","",[1]SCHEDULE!E1228)</f>
        <v/>
      </c>
      <c r="F1228" s="6" t="str">
        <f>IF([1]SCHEDULE!F1228="","",[1]SCHEDULE!F1228)</f>
        <v/>
      </c>
      <c r="G1228" s="3" t="str">
        <f>IF([1]SCHEDULE!G1228="","",[1]SCHEDULE!G1228)</f>
        <v/>
      </c>
      <c r="H1228" s="3" t="str">
        <f>IF([1]SCHEDULE!H1228="","",[1]SCHEDULE!H1228)</f>
        <v/>
      </c>
      <c r="I1228" s="3" t="str">
        <f>IF([1]SCHEDULE!I1228="","",[1]SCHEDULE!I1228)</f>
        <v/>
      </c>
      <c r="J1228" s="3" t="str">
        <f>IF([1]SCHEDULE!J1228="","",[1]SCHEDULE!J1228)</f>
        <v/>
      </c>
    </row>
    <row r="1229" spans="2:10" x14ac:dyDescent="0.25">
      <c r="B1229" s="3" t="str">
        <f>IF([1]SCHEDULE!B1229="","",[1]SCHEDULE!B1229)</f>
        <v/>
      </c>
      <c r="C1229" s="3">
        <f>IF([1]SCHEDULE!C1229="","",[1]SCHEDULE!C1229)</f>
        <v>3</v>
      </c>
      <c r="D1229" s="1" t="e">
        <f>IF([1]SCHEDULE!D1229="","",[1]SCHEDULE!D1229)</f>
        <v>#N/A</v>
      </c>
      <c r="E1229" s="1" t="str">
        <f>IF([1]SCHEDULE!E1229="","",[1]SCHEDULE!E1229)</f>
        <v/>
      </c>
      <c r="F1229" s="6" t="str">
        <f>IF([1]SCHEDULE!F1229="","",[1]SCHEDULE!F1229)</f>
        <v/>
      </c>
      <c r="G1229" s="3" t="str">
        <f>IF([1]SCHEDULE!G1229="","",[1]SCHEDULE!G1229)</f>
        <v/>
      </c>
      <c r="H1229" s="3" t="str">
        <f>IF([1]SCHEDULE!H1229="","",[1]SCHEDULE!H1229)</f>
        <v/>
      </c>
      <c r="I1229" s="3" t="str">
        <f>IF([1]SCHEDULE!I1229="","",[1]SCHEDULE!I1229)</f>
        <v/>
      </c>
      <c r="J1229" s="3" t="str">
        <f>IF([1]SCHEDULE!J1229="","",[1]SCHEDULE!J1229)</f>
        <v/>
      </c>
    </row>
    <row r="1230" spans="2:10" x14ac:dyDescent="0.25">
      <c r="B1230" s="3" t="str">
        <f>IF([1]SCHEDULE!B1230="","",[1]SCHEDULE!B1230)</f>
        <v/>
      </c>
      <c r="C1230" s="3">
        <f>IF([1]SCHEDULE!C1230="","",[1]SCHEDULE!C1230)</f>
        <v>4</v>
      </c>
      <c r="D1230" s="1" t="e">
        <f>IF([1]SCHEDULE!D1230="","",[1]SCHEDULE!D1230)</f>
        <v>#N/A</v>
      </c>
      <c r="E1230" s="1" t="str">
        <f>IF([1]SCHEDULE!E1230="","",[1]SCHEDULE!E1230)</f>
        <v/>
      </c>
      <c r="F1230" s="6" t="str">
        <f>IF([1]SCHEDULE!F1230="","",[1]SCHEDULE!F1230)</f>
        <v/>
      </c>
      <c r="G1230" s="3" t="str">
        <f>IF([1]SCHEDULE!G1230="","",[1]SCHEDULE!G1230)</f>
        <v/>
      </c>
      <c r="H1230" s="3" t="str">
        <f>IF([1]SCHEDULE!H1230="","",[1]SCHEDULE!H1230)</f>
        <v/>
      </c>
      <c r="I1230" s="3" t="str">
        <f>IF([1]SCHEDULE!I1230="","",[1]SCHEDULE!I1230)</f>
        <v/>
      </c>
      <c r="J1230" s="3" t="str">
        <f>IF([1]SCHEDULE!J1230="","",[1]SCHEDULE!J1230)</f>
        <v/>
      </c>
    </row>
    <row r="1231" spans="2:10" x14ac:dyDescent="0.25">
      <c r="B1231" s="3" t="str">
        <f>IF([1]SCHEDULE!B1231="","",[1]SCHEDULE!B1231)</f>
        <v/>
      </c>
      <c r="C1231" s="3">
        <f>IF([1]SCHEDULE!C1231="","",[1]SCHEDULE!C1231)</f>
        <v>5</v>
      </c>
      <c r="D1231" s="1" t="e">
        <f>IF([1]SCHEDULE!D1231="","",[1]SCHEDULE!D1231)</f>
        <v>#N/A</v>
      </c>
      <c r="E1231" s="1" t="str">
        <f>IF([1]SCHEDULE!E1231="","",[1]SCHEDULE!E1231)</f>
        <v/>
      </c>
      <c r="F1231" s="6" t="str">
        <f>IF([1]SCHEDULE!F1231="","",[1]SCHEDULE!F1231)</f>
        <v/>
      </c>
      <c r="G1231" s="3" t="str">
        <f>IF([1]SCHEDULE!G1231="","",[1]SCHEDULE!G1231)</f>
        <v/>
      </c>
      <c r="H1231" s="3" t="str">
        <f>IF([1]SCHEDULE!H1231="","",[1]SCHEDULE!H1231)</f>
        <v/>
      </c>
      <c r="I1231" s="3" t="str">
        <f>IF([1]SCHEDULE!I1231="","",[1]SCHEDULE!I1231)</f>
        <v/>
      </c>
      <c r="J1231" s="3" t="str">
        <f>IF([1]SCHEDULE!J1231="","",[1]SCHEDULE!J1231)</f>
        <v/>
      </c>
    </row>
    <row r="1232" spans="2:10" x14ac:dyDescent="0.25">
      <c r="B1232" s="3" t="str">
        <f>IF([1]SCHEDULE!B1232="","",[1]SCHEDULE!B1232)</f>
        <v/>
      </c>
      <c r="C1232" s="3">
        <f>IF([1]SCHEDULE!C1232="","",[1]SCHEDULE!C1232)</f>
        <v>6</v>
      </c>
      <c r="D1232" s="1" t="e">
        <f>IF([1]SCHEDULE!D1232="","",[1]SCHEDULE!D1232)</f>
        <v>#N/A</v>
      </c>
      <c r="E1232" s="1" t="str">
        <f>IF([1]SCHEDULE!E1232="","",[1]SCHEDULE!E1232)</f>
        <v/>
      </c>
      <c r="F1232" s="6" t="str">
        <f>IF([1]SCHEDULE!F1232="","",[1]SCHEDULE!F1232)</f>
        <v/>
      </c>
      <c r="G1232" s="3" t="str">
        <f>IF([1]SCHEDULE!G1232="","",[1]SCHEDULE!G1232)</f>
        <v/>
      </c>
      <c r="H1232" s="3" t="str">
        <f>IF([1]SCHEDULE!H1232="","",[1]SCHEDULE!H1232)</f>
        <v/>
      </c>
      <c r="I1232" s="3" t="str">
        <f>IF([1]SCHEDULE!I1232="","",[1]SCHEDULE!I1232)</f>
        <v/>
      </c>
      <c r="J1232" s="3" t="str">
        <f>IF([1]SCHEDULE!J1232="","",[1]SCHEDULE!J1232)</f>
        <v/>
      </c>
    </row>
    <row r="1233" spans="2:10" x14ac:dyDescent="0.25">
      <c r="B1233" s="3" t="str">
        <f>IF([1]SCHEDULE!B1233="","",[1]SCHEDULE!B1233)</f>
        <v/>
      </c>
      <c r="C1233" s="3">
        <f>IF([1]SCHEDULE!C1233="","",[1]SCHEDULE!C1233)</f>
        <v>7</v>
      </c>
      <c r="D1233" s="1" t="e">
        <f>IF([1]SCHEDULE!D1233="","",[1]SCHEDULE!D1233)</f>
        <v>#N/A</v>
      </c>
      <c r="E1233" s="1" t="str">
        <f>IF([1]SCHEDULE!E1233="","",[1]SCHEDULE!E1233)</f>
        <v/>
      </c>
      <c r="F1233" s="6" t="str">
        <f>IF([1]SCHEDULE!F1233="","",[1]SCHEDULE!F1233)</f>
        <v/>
      </c>
      <c r="G1233" s="3" t="str">
        <f>IF([1]SCHEDULE!G1233="","",[1]SCHEDULE!G1233)</f>
        <v/>
      </c>
      <c r="H1233" s="3" t="str">
        <f>IF([1]SCHEDULE!H1233="","",[1]SCHEDULE!H1233)</f>
        <v/>
      </c>
      <c r="I1233" s="3" t="str">
        <f>IF([1]SCHEDULE!I1233="","",[1]SCHEDULE!I1233)</f>
        <v/>
      </c>
      <c r="J1233" s="3" t="str">
        <f>IF([1]SCHEDULE!J1233="","",[1]SCHEDULE!J1233)</f>
        <v/>
      </c>
    </row>
    <row r="1234" spans="2:10" x14ac:dyDescent="0.25">
      <c r="B1234" s="3" t="str">
        <f>IF([1]SCHEDULE!B1234="","",[1]SCHEDULE!B1234)</f>
        <v/>
      </c>
      <c r="C1234" s="3">
        <f>IF([1]SCHEDULE!C1234="","",[1]SCHEDULE!C1234)</f>
        <v>8</v>
      </c>
      <c r="D1234" s="1" t="e">
        <f>IF([1]SCHEDULE!D1234="","",[1]SCHEDULE!D1234)</f>
        <v>#N/A</v>
      </c>
      <c r="E1234" s="1" t="str">
        <f>IF([1]SCHEDULE!E1234="","",[1]SCHEDULE!E1234)</f>
        <v/>
      </c>
      <c r="F1234" s="6" t="str">
        <f>IF([1]SCHEDULE!F1234="","",[1]SCHEDULE!F1234)</f>
        <v/>
      </c>
      <c r="G1234" s="3" t="str">
        <f>IF([1]SCHEDULE!G1234="","",[1]SCHEDULE!G1234)</f>
        <v/>
      </c>
      <c r="H1234" s="3" t="str">
        <f>IF([1]SCHEDULE!H1234="","",[1]SCHEDULE!H1234)</f>
        <v/>
      </c>
      <c r="I1234" s="3" t="str">
        <f>IF([1]SCHEDULE!I1234="","",[1]SCHEDULE!I1234)</f>
        <v/>
      </c>
      <c r="J1234" s="3" t="str">
        <f>IF([1]SCHEDULE!J1234="","",[1]SCHEDULE!J1234)</f>
        <v/>
      </c>
    </row>
    <row r="1235" spans="2:10" x14ac:dyDescent="0.25">
      <c r="B1235" s="3" t="str">
        <f>IF([1]SCHEDULE!B1235="","",[1]SCHEDULE!B1235)</f>
        <v/>
      </c>
      <c r="C1235" s="3">
        <f>IF([1]SCHEDULE!C1235="","",[1]SCHEDULE!C1235)</f>
        <v>9</v>
      </c>
      <c r="D1235" s="1" t="e">
        <f>IF([1]SCHEDULE!D1235="","",[1]SCHEDULE!D1235)</f>
        <v>#N/A</v>
      </c>
      <c r="E1235" s="1" t="str">
        <f>IF([1]SCHEDULE!E1235="","",[1]SCHEDULE!E1235)</f>
        <v/>
      </c>
      <c r="F1235" s="6" t="str">
        <f>IF([1]SCHEDULE!F1235="","",[1]SCHEDULE!F1235)</f>
        <v/>
      </c>
      <c r="G1235" s="3" t="str">
        <f>IF([1]SCHEDULE!G1235="","",[1]SCHEDULE!G1235)</f>
        <v/>
      </c>
      <c r="H1235" s="3" t="str">
        <f>IF([1]SCHEDULE!H1235="","",[1]SCHEDULE!H1235)</f>
        <v/>
      </c>
      <c r="I1235" s="3" t="str">
        <f>IF([1]SCHEDULE!I1235="","",[1]SCHEDULE!I1235)</f>
        <v/>
      </c>
      <c r="J1235" s="3" t="str">
        <f>IF([1]SCHEDULE!J1235="","",[1]SCHEDULE!J1235)</f>
        <v/>
      </c>
    </row>
    <row r="1236" spans="2:10" x14ac:dyDescent="0.25">
      <c r="B1236" s="3" t="str">
        <f>IF([1]SCHEDULE!B1236="","",[1]SCHEDULE!B1236)</f>
        <v/>
      </c>
      <c r="C1236" s="3">
        <f>IF([1]SCHEDULE!C1236="","",[1]SCHEDULE!C1236)</f>
        <v>10</v>
      </c>
      <c r="D1236" s="1" t="e">
        <f>IF([1]SCHEDULE!D1236="","",[1]SCHEDULE!D1236)</f>
        <v>#N/A</v>
      </c>
      <c r="E1236" s="1" t="str">
        <f>IF([1]SCHEDULE!E1236="","",[1]SCHEDULE!E1236)</f>
        <v/>
      </c>
      <c r="F1236" s="6" t="str">
        <f>IF([1]SCHEDULE!F1236="","",[1]SCHEDULE!F1236)</f>
        <v/>
      </c>
      <c r="G1236" s="3" t="str">
        <f>IF([1]SCHEDULE!G1236="","",[1]SCHEDULE!G1236)</f>
        <v/>
      </c>
      <c r="H1236" s="3" t="str">
        <f>IF([1]SCHEDULE!H1236="","",[1]SCHEDULE!H1236)</f>
        <v/>
      </c>
      <c r="I1236" s="3" t="str">
        <f>IF([1]SCHEDULE!I1236="","",[1]SCHEDULE!I1236)</f>
        <v/>
      </c>
      <c r="J1236" s="3" t="str">
        <f>IF([1]SCHEDULE!J1236="","",[1]SCHEDULE!J1236)</f>
        <v/>
      </c>
    </row>
    <row r="1237" spans="2:10" x14ac:dyDescent="0.25">
      <c r="B1237" s="3" t="str">
        <f>IF([1]SCHEDULE!B1237="","",[1]SCHEDULE!B1237)</f>
        <v/>
      </c>
      <c r="C1237" s="3">
        <f>IF([1]SCHEDULE!C1237="","",[1]SCHEDULE!C1237)</f>
        <v>11</v>
      </c>
      <c r="D1237" s="1" t="e">
        <f>IF([1]SCHEDULE!D1237="","",[1]SCHEDULE!D1237)</f>
        <v>#N/A</v>
      </c>
      <c r="E1237" s="1" t="str">
        <f>IF([1]SCHEDULE!E1237="","",[1]SCHEDULE!E1237)</f>
        <v/>
      </c>
      <c r="F1237" s="6" t="str">
        <f>IF([1]SCHEDULE!F1237="","",[1]SCHEDULE!F1237)</f>
        <v/>
      </c>
      <c r="G1237" s="3" t="str">
        <f>IF([1]SCHEDULE!G1237="","",[1]SCHEDULE!G1237)</f>
        <v/>
      </c>
      <c r="H1237" s="3" t="str">
        <f>IF([1]SCHEDULE!H1237="","",[1]SCHEDULE!H1237)</f>
        <v/>
      </c>
      <c r="I1237" s="3" t="str">
        <f>IF([1]SCHEDULE!I1237="","",[1]SCHEDULE!I1237)</f>
        <v/>
      </c>
      <c r="J1237" s="3" t="str">
        <f>IF([1]SCHEDULE!J1237="","",[1]SCHEDULE!J1237)</f>
        <v/>
      </c>
    </row>
    <row r="1238" spans="2:10" x14ac:dyDescent="0.25">
      <c r="B1238" s="3" t="str">
        <f>IF([1]SCHEDULE!B1238="","",[1]SCHEDULE!B1238)</f>
        <v/>
      </c>
      <c r="C1238" s="3">
        <f>IF([1]SCHEDULE!C1238="","",[1]SCHEDULE!C1238)</f>
        <v>12</v>
      </c>
      <c r="D1238" s="1" t="e">
        <f>IF([1]SCHEDULE!D1238="","",[1]SCHEDULE!D1238)</f>
        <v>#N/A</v>
      </c>
      <c r="E1238" s="1" t="str">
        <f>IF([1]SCHEDULE!E1238="","",[1]SCHEDULE!E1238)</f>
        <v/>
      </c>
      <c r="F1238" s="6" t="str">
        <f>IF([1]SCHEDULE!F1238="","",[1]SCHEDULE!F1238)</f>
        <v/>
      </c>
      <c r="G1238" s="3" t="str">
        <f>IF([1]SCHEDULE!G1238="","",[1]SCHEDULE!G1238)</f>
        <v/>
      </c>
      <c r="H1238" s="3" t="str">
        <f>IF([1]SCHEDULE!H1238="","",[1]SCHEDULE!H1238)</f>
        <v/>
      </c>
      <c r="I1238" s="3" t="str">
        <f>IF([1]SCHEDULE!I1238="","",[1]SCHEDULE!I1238)</f>
        <v/>
      </c>
      <c r="J1238" s="3" t="str">
        <f>IF([1]SCHEDULE!J1238="","",[1]SCHEDULE!J1238)</f>
        <v/>
      </c>
    </row>
    <row r="1239" spans="2:10" x14ac:dyDescent="0.25">
      <c r="B1239" s="3" t="str">
        <f>IF([1]SCHEDULE!B1239="","",[1]SCHEDULE!B1239)</f>
        <v/>
      </c>
      <c r="C1239" s="3">
        <f>IF([1]SCHEDULE!C1239="","",[1]SCHEDULE!C1239)</f>
        <v>13</v>
      </c>
      <c r="D1239" s="1" t="e">
        <f>IF([1]SCHEDULE!D1239="","",[1]SCHEDULE!D1239)</f>
        <v>#N/A</v>
      </c>
      <c r="E1239" s="1" t="str">
        <f>IF([1]SCHEDULE!E1239="","",[1]SCHEDULE!E1239)</f>
        <v/>
      </c>
      <c r="F1239" s="6" t="str">
        <f>IF([1]SCHEDULE!F1239="","",[1]SCHEDULE!F1239)</f>
        <v/>
      </c>
      <c r="G1239" s="3" t="str">
        <f>IF([1]SCHEDULE!G1239="","",[1]SCHEDULE!G1239)</f>
        <v/>
      </c>
      <c r="H1239" s="3" t="str">
        <f>IF([1]SCHEDULE!H1239="","",[1]SCHEDULE!H1239)</f>
        <v/>
      </c>
      <c r="I1239" s="3" t="str">
        <f>IF([1]SCHEDULE!I1239="","",[1]SCHEDULE!I1239)</f>
        <v/>
      </c>
      <c r="J1239" s="3" t="str">
        <f>IF([1]SCHEDULE!J1239="","",[1]SCHEDULE!J1239)</f>
        <v/>
      </c>
    </row>
    <row r="1240" spans="2:10" x14ac:dyDescent="0.25">
      <c r="B1240" s="3" t="str">
        <f>IF([1]SCHEDULE!B1240="","",[1]SCHEDULE!B1240)</f>
        <v/>
      </c>
      <c r="C1240" s="3">
        <f>IF([1]SCHEDULE!C1240="","",[1]SCHEDULE!C1240)</f>
        <v>14</v>
      </c>
      <c r="D1240" s="1" t="e">
        <f>IF([1]SCHEDULE!D1240="","",[1]SCHEDULE!D1240)</f>
        <v>#N/A</v>
      </c>
      <c r="E1240" s="1" t="str">
        <f>IF([1]SCHEDULE!E1240="","",[1]SCHEDULE!E1240)</f>
        <v/>
      </c>
      <c r="F1240" s="6" t="str">
        <f>IF([1]SCHEDULE!F1240="","",[1]SCHEDULE!F1240)</f>
        <v/>
      </c>
      <c r="G1240" s="3" t="str">
        <f>IF([1]SCHEDULE!G1240="","",[1]SCHEDULE!G1240)</f>
        <v/>
      </c>
      <c r="H1240" s="3" t="str">
        <f>IF([1]SCHEDULE!H1240="","",[1]SCHEDULE!H1240)</f>
        <v/>
      </c>
      <c r="I1240" s="3" t="str">
        <f>IF([1]SCHEDULE!I1240="","",[1]SCHEDULE!I1240)</f>
        <v/>
      </c>
      <c r="J1240" s="3" t="str">
        <f>IF([1]SCHEDULE!J1240="","",[1]SCHEDULE!J1240)</f>
        <v/>
      </c>
    </row>
    <row r="1241" spans="2:10" x14ac:dyDescent="0.25">
      <c r="B1241" s="3" t="str">
        <f>IF([1]SCHEDULE!B1241="","",[1]SCHEDULE!B1241)</f>
        <v/>
      </c>
      <c r="C1241" s="3">
        <f>IF([1]SCHEDULE!C1241="","",[1]SCHEDULE!C1241)</f>
        <v>15</v>
      </c>
      <c r="D1241" s="1" t="e">
        <f>IF([1]SCHEDULE!D1241="","",[1]SCHEDULE!D1241)</f>
        <v>#N/A</v>
      </c>
      <c r="E1241" s="1" t="str">
        <f>IF([1]SCHEDULE!E1241="","",[1]SCHEDULE!E1241)</f>
        <v/>
      </c>
      <c r="F1241" s="6" t="str">
        <f>IF([1]SCHEDULE!F1241="","",[1]SCHEDULE!F1241)</f>
        <v/>
      </c>
      <c r="G1241" s="3" t="str">
        <f>IF([1]SCHEDULE!G1241="","",[1]SCHEDULE!G1241)</f>
        <v/>
      </c>
      <c r="H1241" s="3" t="str">
        <f>IF([1]SCHEDULE!H1241="","",[1]SCHEDULE!H1241)</f>
        <v/>
      </c>
      <c r="I1241" s="3" t="str">
        <f>IF([1]SCHEDULE!I1241="","",[1]SCHEDULE!I1241)</f>
        <v/>
      </c>
      <c r="J1241" s="3" t="str">
        <f>IF([1]SCHEDULE!J1241="","",[1]SCHEDULE!J1241)</f>
        <v/>
      </c>
    </row>
    <row r="1242" spans="2:10" x14ac:dyDescent="0.25">
      <c r="B1242" s="3" t="str">
        <f>IF([1]SCHEDULE!B1242="","",[1]SCHEDULE!B1242)</f>
        <v/>
      </c>
      <c r="C1242" s="3">
        <f>IF([1]SCHEDULE!C1242="","",[1]SCHEDULE!C1242)</f>
        <v>16</v>
      </c>
      <c r="D1242" s="1" t="e">
        <f>IF([1]SCHEDULE!D1242="","",[1]SCHEDULE!D1242)</f>
        <v>#N/A</v>
      </c>
      <c r="E1242" s="1" t="str">
        <f>IF([1]SCHEDULE!E1242="","",[1]SCHEDULE!E1242)</f>
        <v/>
      </c>
      <c r="F1242" s="6" t="str">
        <f>IF([1]SCHEDULE!F1242="","",[1]SCHEDULE!F1242)</f>
        <v/>
      </c>
      <c r="G1242" s="3" t="str">
        <f>IF([1]SCHEDULE!G1242="","",[1]SCHEDULE!G1242)</f>
        <v/>
      </c>
      <c r="H1242" s="3" t="str">
        <f>IF([1]SCHEDULE!H1242="","",[1]SCHEDULE!H1242)</f>
        <v/>
      </c>
      <c r="I1242" s="3" t="str">
        <f>IF([1]SCHEDULE!I1242="","",[1]SCHEDULE!I1242)</f>
        <v/>
      </c>
      <c r="J1242" s="3" t="str">
        <f>IF([1]SCHEDULE!J1242="","",[1]SCHEDULE!J1242)</f>
        <v/>
      </c>
    </row>
    <row r="1243" spans="2:10" x14ac:dyDescent="0.25">
      <c r="B1243" s="3" t="str">
        <f>IF([1]SCHEDULE!B1243="","",[1]SCHEDULE!B1243)</f>
        <v/>
      </c>
      <c r="C1243" s="3">
        <f>IF([1]SCHEDULE!C1243="","",[1]SCHEDULE!C1243)</f>
        <v>17</v>
      </c>
      <c r="D1243" s="1" t="e">
        <f>IF([1]SCHEDULE!D1243="","",[1]SCHEDULE!D1243)</f>
        <v>#N/A</v>
      </c>
      <c r="E1243" s="1" t="str">
        <f>IF([1]SCHEDULE!E1243="","",[1]SCHEDULE!E1243)</f>
        <v/>
      </c>
      <c r="F1243" s="6" t="str">
        <f>IF([1]SCHEDULE!F1243="","",[1]SCHEDULE!F1243)</f>
        <v/>
      </c>
      <c r="G1243" s="3" t="str">
        <f>IF([1]SCHEDULE!G1243="","",[1]SCHEDULE!G1243)</f>
        <v/>
      </c>
      <c r="H1243" s="3" t="str">
        <f>IF([1]SCHEDULE!H1243="","",[1]SCHEDULE!H1243)</f>
        <v/>
      </c>
      <c r="I1243" s="3" t="str">
        <f>IF([1]SCHEDULE!I1243="","",[1]SCHEDULE!I1243)</f>
        <v/>
      </c>
      <c r="J1243" s="3" t="str">
        <f>IF([1]SCHEDULE!J1243="","",[1]SCHEDULE!J1243)</f>
        <v/>
      </c>
    </row>
    <row r="1244" spans="2:10" x14ac:dyDescent="0.25">
      <c r="B1244" s="3" t="str">
        <f>IF([1]SCHEDULE!B1244="","",[1]SCHEDULE!B1244)</f>
        <v/>
      </c>
      <c r="C1244" s="3">
        <f>IF([1]SCHEDULE!C1244="","",[1]SCHEDULE!C1244)</f>
        <v>18</v>
      </c>
      <c r="D1244" s="1" t="e">
        <f>IF([1]SCHEDULE!D1244="","",[1]SCHEDULE!D1244)</f>
        <v>#N/A</v>
      </c>
      <c r="E1244" s="1" t="str">
        <f>IF([1]SCHEDULE!E1244="","",[1]SCHEDULE!E1244)</f>
        <v/>
      </c>
      <c r="F1244" s="6" t="str">
        <f>IF([1]SCHEDULE!F1244="","",[1]SCHEDULE!F1244)</f>
        <v/>
      </c>
      <c r="G1244" s="3" t="str">
        <f>IF([1]SCHEDULE!G1244="","",[1]SCHEDULE!G1244)</f>
        <v/>
      </c>
      <c r="H1244" s="3" t="str">
        <f>IF([1]SCHEDULE!H1244="","",[1]SCHEDULE!H1244)</f>
        <v/>
      </c>
      <c r="I1244" s="3" t="str">
        <f>IF([1]SCHEDULE!I1244="","",[1]SCHEDULE!I1244)</f>
        <v/>
      </c>
      <c r="J1244" s="3" t="str">
        <f>IF([1]SCHEDULE!J1244="","",[1]SCHEDULE!J1244)</f>
        <v/>
      </c>
    </row>
    <row r="1245" spans="2:10" x14ac:dyDescent="0.25">
      <c r="B1245" s="3" t="str">
        <f>IF([1]SCHEDULE!B1245="","",[1]SCHEDULE!B1245)</f>
        <v/>
      </c>
      <c r="C1245" s="3">
        <f>IF([1]SCHEDULE!C1245="","",[1]SCHEDULE!C1245)</f>
        <v>19</v>
      </c>
      <c r="D1245" s="1" t="e">
        <f>IF([1]SCHEDULE!D1245="","",[1]SCHEDULE!D1245)</f>
        <v>#N/A</v>
      </c>
      <c r="E1245" s="1" t="str">
        <f>IF([1]SCHEDULE!E1245="","",[1]SCHEDULE!E1245)</f>
        <v/>
      </c>
      <c r="F1245" s="6" t="str">
        <f>IF([1]SCHEDULE!F1245="","",[1]SCHEDULE!F1245)</f>
        <v/>
      </c>
      <c r="G1245" s="3" t="str">
        <f>IF([1]SCHEDULE!G1245="","",[1]SCHEDULE!G1245)</f>
        <v/>
      </c>
      <c r="H1245" s="3" t="str">
        <f>IF([1]SCHEDULE!H1245="","",[1]SCHEDULE!H1245)</f>
        <v/>
      </c>
      <c r="I1245" s="3" t="str">
        <f>IF([1]SCHEDULE!I1245="","",[1]SCHEDULE!I1245)</f>
        <v/>
      </c>
      <c r="J1245" s="3" t="str">
        <f>IF([1]SCHEDULE!J1245="","",[1]SCHEDULE!J1245)</f>
        <v/>
      </c>
    </row>
    <row r="1246" spans="2:10" x14ac:dyDescent="0.25">
      <c r="B1246" s="3" t="str">
        <f>IF([1]SCHEDULE!B1246="","",[1]SCHEDULE!B1246)</f>
        <v/>
      </c>
      <c r="C1246" s="3">
        <f>IF([1]SCHEDULE!C1246="","",[1]SCHEDULE!C1246)</f>
        <v>20</v>
      </c>
      <c r="D1246" s="1" t="e">
        <f>IF([1]SCHEDULE!D1246="","",[1]SCHEDULE!D1246)</f>
        <v>#N/A</v>
      </c>
      <c r="E1246" s="1" t="str">
        <f>IF([1]SCHEDULE!E1246="","",[1]SCHEDULE!E1246)</f>
        <v/>
      </c>
      <c r="F1246" s="6" t="str">
        <f>IF([1]SCHEDULE!F1246="","",[1]SCHEDULE!F1246)</f>
        <v/>
      </c>
      <c r="G1246" s="3" t="str">
        <f>IF([1]SCHEDULE!G1246="","",[1]SCHEDULE!G1246)</f>
        <v/>
      </c>
      <c r="H1246" s="3" t="str">
        <f>IF([1]SCHEDULE!H1246="","",[1]SCHEDULE!H1246)</f>
        <v/>
      </c>
      <c r="I1246" s="3" t="str">
        <f>IF([1]SCHEDULE!I1246="","",[1]SCHEDULE!I1246)</f>
        <v/>
      </c>
      <c r="J1246" s="3" t="str">
        <f>IF([1]SCHEDULE!J1246="","",[1]SCHEDULE!J1246)</f>
        <v/>
      </c>
    </row>
    <row r="1247" spans="2:10" x14ac:dyDescent="0.25">
      <c r="B1247" s="3" t="str">
        <f>IF([1]SCHEDULE!B1247="","",[1]SCHEDULE!B1247)</f>
        <v/>
      </c>
      <c r="C1247" s="3">
        <f>IF([1]SCHEDULE!C1247="","",[1]SCHEDULE!C1247)</f>
        <v>21</v>
      </c>
      <c r="D1247" s="1" t="e">
        <f>IF([1]SCHEDULE!D1247="","",[1]SCHEDULE!D1247)</f>
        <v>#N/A</v>
      </c>
      <c r="E1247" s="1" t="str">
        <f>IF([1]SCHEDULE!E1247="","",[1]SCHEDULE!E1247)</f>
        <v/>
      </c>
      <c r="F1247" s="6" t="str">
        <f>IF([1]SCHEDULE!F1247="","",[1]SCHEDULE!F1247)</f>
        <v/>
      </c>
      <c r="G1247" s="3" t="str">
        <f>IF([1]SCHEDULE!G1247="","",[1]SCHEDULE!G1247)</f>
        <v/>
      </c>
      <c r="H1247" s="3" t="str">
        <f>IF([1]SCHEDULE!H1247="","",[1]SCHEDULE!H1247)</f>
        <v/>
      </c>
      <c r="I1247" s="3" t="str">
        <f>IF([1]SCHEDULE!I1247="","",[1]SCHEDULE!I1247)</f>
        <v/>
      </c>
      <c r="J1247" s="3" t="str">
        <f>IF([1]SCHEDULE!J1247="","",[1]SCHEDULE!J1247)</f>
        <v/>
      </c>
    </row>
    <row r="1248" spans="2:10" x14ac:dyDescent="0.25">
      <c r="B1248" s="3" t="str">
        <f>IF([1]SCHEDULE!B1248="","",[1]SCHEDULE!B1248)</f>
        <v/>
      </c>
      <c r="C1248" s="3">
        <f>IF([1]SCHEDULE!C1248="","",[1]SCHEDULE!C1248)</f>
        <v>22</v>
      </c>
      <c r="D1248" s="1" t="e">
        <f>IF([1]SCHEDULE!D1248="","",[1]SCHEDULE!D1248)</f>
        <v>#N/A</v>
      </c>
      <c r="E1248" s="1" t="str">
        <f>IF([1]SCHEDULE!E1248="","",[1]SCHEDULE!E1248)</f>
        <v/>
      </c>
      <c r="F1248" s="6" t="str">
        <f>IF([1]SCHEDULE!F1248="","",[1]SCHEDULE!F1248)</f>
        <v/>
      </c>
      <c r="G1248" s="3" t="str">
        <f>IF([1]SCHEDULE!G1248="","",[1]SCHEDULE!G1248)</f>
        <v/>
      </c>
      <c r="H1248" s="3" t="str">
        <f>IF([1]SCHEDULE!H1248="","",[1]SCHEDULE!H1248)</f>
        <v/>
      </c>
      <c r="I1248" s="3" t="str">
        <f>IF([1]SCHEDULE!I1248="","",[1]SCHEDULE!I1248)</f>
        <v/>
      </c>
      <c r="J1248" s="3" t="str">
        <f>IF([1]SCHEDULE!J1248="","",[1]SCHEDULE!J1248)</f>
        <v/>
      </c>
    </row>
    <row r="1249" spans="2:10" x14ac:dyDescent="0.25">
      <c r="B1249" s="3" t="str">
        <f>IF([1]SCHEDULE!B1249="","",[1]SCHEDULE!B1249)</f>
        <v/>
      </c>
      <c r="C1249" s="3">
        <f>IF([1]SCHEDULE!C1249="","",[1]SCHEDULE!C1249)</f>
        <v>23</v>
      </c>
      <c r="D1249" s="1" t="e">
        <f>IF([1]SCHEDULE!D1249="","",[1]SCHEDULE!D1249)</f>
        <v>#N/A</v>
      </c>
      <c r="E1249" s="1" t="str">
        <f>IF([1]SCHEDULE!E1249="","",[1]SCHEDULE!E1249)</f>
        <v/>
      </c>
      <c r="F1249" s="6" t="str">
        <f>IF([1]SCHEDULE!F1249="","",[1]SCHEDULE!F1249)</f>
        <v/>
      </c>
      <c r="G1249" s="3" t="str">
        <f>IF([1]SCHEDULE!G1249="","",[1]SCHEDULE!G1249)</f>
        <v/>
      </c>
      <c r="H1249" s="3" t="str">
        <f>IF([1]SCHEDULE!H1249="","",[1]SCHEDULE!H1249)</f>
        <v/>
      </c>
      <c r="I1249" s="3" t="str">
        <f>IF([1]SCHEDULE!I1249="","",[1]SCHEDULE!I1249)</f>
        <v/>
      </c>
      <c r="J1249" s="3" t="str">
        <f>IF([1]SCHEDULE!J1249="","",[1]SCHEDULE!J1249)</f>
        <v/>
      </c>
    </row>
    <row r="1250" spans="2:10" x14ac:dyDescent="0.25">
      <c r="B1250" s="3" t="str">
        <f>IF([1]SCHEDULE!B1250="","",[1]SCHEDULE!B1250)</f>
        <v/>
      </c>
      <c r="C1250" s="3">
        <f>IF([1]SCHEDULE!C1250="","",[1]SCHEDULE!C1250)</f>
        <v>24</v>
      </c>
      <c r="D1250" s="1" t="e">
        <f>IF([1]SCHEDULE!D1250="","",[1]SCHEDULE!D1250)</f>
        <v>#N/A</v>
      </c>
      <c r="E1250" s="1" t="str">
        <f>IF([1]SCHEDULE!E1250="","",[1]SCHEDULE!E1250)</f>
        <v/>
      </c>
      <c r="F1250" s="6" t="str">
        <f>IF([1]SCHEDULE!F1250="","",[1]SCHEDULE!F1250)</f>
        <v/>
      </c>
      <c r="G1250" s="3" t="str">
        <f>IF([1]SCHEDULE!G1250="","",[1]SCHEDULE!G1250)</f>
        <v/>
      </c>
      <c r="H1250" s="3" t="str">
        <f>IF([1]SCHEDULE!H1250="","",[1]SCHEDULE!H1250)</f>
        <v/>
      </c>
      <c r="I1250" s="3" t="str">
        <f>IF([1]SCHEDULE!I1250="","",[1]SCHEDULE!I1250)</f>
        <v/>
      </c>
      <c r="J1250" s="3" t="str">
        <f>IF([1]SCHEDULE!J1250="","",[1]SCHEDULE!J1250)</f>
        <v/>
      </c>
    </row>
    <row r="1251" spans="2:10" x14ac:dyDescent="0.25">
      <c r="B1251" s="3" t="str">
        <f>IF([1]SCHEDULE!B1251="","",[1]SCHEDULE!B1251)</f>
        <v/>
      </c>
      <c r="C1251" s="3">
        <f>IF([1]SCHEDULE!C1251="","",[1]SCHEDULE!C1251)</f>
        <v>25</v>
      </c>
      <c r="D1251" s="1" t="e">
        <f>IF([1]SCHEDULE!D1251="","",[1]SCHEDULE!D1251)</f>
        <v>#N/A</v>
      </c>
      <c r="E1251" s="1" t="str">
        <f>IF([1]SCHEDULE!E1251="","",[1]SCHEDULE!E1251)</f>
        <v/>
      </c>
      <c r="F1251" s="6" t="str">
        <f>IF([1]SCHEDULE!F1251="","",[1]SCHEDULE!F1251)</f>
        <v/>
      </c>
      <c r="G1251" s="3" t="str">
        <f>IF([1]SCHEDULE!G1251="","",[1]SCHEDULE!G1251)</f>
        <v/>
      </c>
      <c r="H1251" s="3" t="str">
        <f>IF([1]SCHEDULE!H1251="","",[1]SCHEDULE!H1251)</f>
        <v/>
      </c>
      <c r="I1251" s="3" t="str">
        <f>IF([1]SCHEDULE!I1251="","",[1]SCHEDULE!I1251)</f>
        <v/>
      </c>
      <c r="J1251" s="3" t="str">
        <f>IF([1]SCHEDULE!J1251="","",[1]SCHEDULE!J1251)</f>
        <v/>
      </c>
    </row>
    <row r="1252" spans="2:10" x14ac:dyDescent="0.25">
      <c r="B1252" s="3" t="str">
        <f>IF([1]SCHEDULE!B1252="","",[1]SCHEDULE!B1252)</f>
        <v/>
      </c>
      <c r="C1252" s="3">
        <f>IF([1]SCHEDULE!C1252="","",[1]SCHEDULE!C1252)</f>
        <v>26</v>
      </c>
      <c r="D1252" s="1" t="e">
        <f>IF([1]SCHEDULE!D1252="","",[1]SCHEDULE!D1252)</f>
        <v>#N/A</v>
      </c>
      <c r="E1252" s="1" t="str">
        <f>IF([1]SCHEDULE!E1252="","",[1]SCHEDULE!E1252)</f>
        <v/>
      </c>
      <c r="F1252" s="6" t="str">
        <f>IF([1]SCHEDULE!F1252="","",[1]SCHEDULE!F1252)</f>
        <v/>
      </c>
      <c r="G1252" s="3" t="str">
        <f>IF([1]SCHEDULE!G1252="","",[1]SCHEDULE!G1252)</f>
        <v/>
      </c>
      <c r="H1252" s="3" t="str">
        <f>IF([1]SCHEDULE!H1252="","",[1]SCHEDULE!H1252)</f>
        <v/>
      </c>
      <c r="I1252" s="3" t="str">
        <f>IF([1]SCHEDULE!I1252="","",[1]SCHEDULE!I1252)</f>
        <v/>
      </c>
      <c r="J1252" s="3" t="str">
        <f>IF([1]SCHEDULE!J1252="","",[1]SCHEDULE!J1252)</f>
        <v/>
      </c>
    </row>
    <row r="1253" spans="2:10" x14ac:dyDescent="0.25">
      <c r="B1253" s="3" t="str">
        <f>IF([1]SCHEDULE!B1253="","",[1]SCHEDULE!B1253)</f>
        <v/>
      </c>
      <c r="C1253" s="3">
        <f>IF([1]SCHEDULE!C1253="","",[1]SCHEDULE!C1253)</f>
        <v>27</v>
      </c>
      <c r="D1253" s="1" t="e">
        <f>IF([1]SCHEDULE!D1253="","",[1]SCHEDULE!D1253)</f>
        <v>#N/A</v>
      </c>
      <c r="E1253" s="1" t="str">
        <f>IF([1]SCHEDULE!E1253="","",[1]SCHEDULE!E1253)</f>
        <v/>
      </c>
      <c r="F1253" s="6" t="str">
        <f>IF([1]SCHEDULE!F1253="","",[1]SCHEDULE!F1253)</f>
        <v/>
      </c>
      <c r="G1253" s="3" t="str">
        <f>IF([1]SCHEDULE!G1253="","",[1]SCHEDULE!G1253)</f>
        <v/>
      </c>
      <c r="H1253" s="3" t="str">
        <f>IF([1]SCHEDULE!H1253="","",[1]SCHEDULE!H1253)</f>
        <v/>
      </c>
      <c r="I1253" s="3" t="str">
        <f>IF([1]SCHEDULE!I1253="","",[1]SCHEDULE!I1253)</f>
        <v/>
      </c>
      <c r="J1253" s="3" t="str">
        <f>IF([1]SCHEDULE!J1253="","",[1]SCHEDULE!J1253)</f>
        <v/>
      </c>
    </row>
    <row r="1254" spans="2:10" x14ac:dyDescent="0.25">
      <c r="B1254" s="3" t="str">
        <f>IF([1]SCHEDULE!B1254="","",[1]SCHEDULE!B1254)</f>
        <v/>
      </c>
      <c r="C1254" s="3">
        <f>IF([1]SCHEDULE!C1254="","",[1]SCHEDULE!C1254)</f>
        <v>28</v>
      </c>
      <c r="D1254" s="1" t="e">
        <f>IF([1]SCHEDULE!D1254="","",[1]SCHEDULE!D1254)</f>
        <v>#N/A</v>
      </c>
      <c r="E1254" s="1" t="str">
        <f>IF([1]SCHEDULE!E1254="","",[1]SCHEDULE!E1254)</f>
        <v/>
      </c>
      <c r="F1254" s="6" t="str">
        <f>IF([1]SCHEDULE!F1254="","",[1]SCHEDULE!F1254)</f>
        <v/>
      </c>
      <c r="G1254" s="3" t="str">
        <f>IF([1]SCHEDULE!G1254="","",[1]SCHEDULE!G1254)</f>
        <v/>
      </c>
      <c r="H1254" s="3" t="str">
        <f>IF([1]SCHEDULE!H1254="","",[1]SCHEDULE!H1254)</f>
        <v/>
      </c>
      <c r="I1254" s="3" t="str">
        <f>IF([1]SCHEDULE!I1254="","",[1]SCHEDULE!I1254)</f>
        <v/>
      </c>
      <c r="J1254" s="3" t="str">
        <f>IF([1]SCHEDULE!J1254="","",[1]SCHEDULE!J1254)</f>
        <v/>
      </c>
    </row>
    <row r="1255" spans="2:10" x14ac:dyDescent="0.25">
      <c r="B1255" s="3" t="str">
        <f>IF([1]SCHEDULE!B1255="","",[1]SCHEDULE!B1255)</f>
        <v/>
      </c>
      <c r="C1255" s="3">
        <f>IF([1]SCHEDULE!C1255="","",[1]SCHEDULE!C1255)</f>
        <v>29</v>
      </c>
      <c r="D1255" s="1" t="e">
        <f>IF([1]SCHEDULE!D1255="","",[1]SCHEDULE!D1255)</f>
        <v>#N/A</v>
      </c>
      <c r="E1255" s="1" t="str">
        <f>IF([1]SCHEDULE!E1255="","",[1]SCHEDULE!E1255)</f>
        <v/>
      </c>
      <c r="F1255" s="6" t="str">
        <f>IF([1]SCHEDULE!F1255="","",[1]SCHEDULE!F1255)</f>
        <v/>
      </c>
      <c r="G1255" s="3" t="str">
        <f>IF([1]SCHEDULE!G1255="","",[1]SCHEDULE!G1255)</f>
        <v/>
      </c>
      <c r="H1255" s="3" t="str">
        <f>IF([1]SCHEDULE!H1255="","",[1]SCHEDULE!H1255)</f>
        <v/>
      </c>
      <c r="I1255" s="3" t="str">
        <f>IF([1]SCHEDULE!I1255="","",[1]SCHEDULE!I1255)</f>
        <v/>
      </c>
      <c r="J1255" s="3" t="str">
        <f>IF([1]SCHEDULE!J1255="","",[1]SCHEDULE!J1255)</f>
        <v/>
      </c>
    </row>
    <row r="1256" spans="2:10" x14ac:dyDescent="0.25">
      <c r="B1256" s="3" t="str">
        <f>IF([1]SCHEDULE!B1256="","",[1]SCHEDULE!B1256)</f>
        <v/>
      </c>
      <c r="C1256" s="3">
        <f>IF([1]SCHEDULE!C1256="","",[1]SCHEDULE!C1256)</f>
        <v>30</v>
      </c>
      <c r="D1256" s="1" t="e">
        <f>IF([1]SCHEDULE!D1256="","",[1]SCHEDULE!D1256)</f>
        <v>#N/A</v>
      </c>
      <c r="E1256" s="1" t="str">
        <f>IF([1]SCHEDULE!E1256="","",[1]SCHEDULE!E1256)</f>
        <v/>
      </c>
      <c r="F1256" s="6" t="str">
        <f>IF([1]SCHEDULE!F1256="","",[1]SCHEDULE!F1256)</f>
        <v/>
      </c>
      <c r="G1256" s="3" t="str">
        <f>IF([1]SCHEDULE!G1256="","",[1]SCHEDULE!G1256)</f>
        <v/>
      </c>
      <c r="H1256" s="3" t="str">
        <f>IF([1]SCHEDULE!H1256="","",[1]SCHEDULE!H1256)</f>
        <v/>
      </c>
      <c r="I1256" s="3" t="str">
        <f>IF([1]SCHEDULE!I1256="","",[1]SCHEDULE!I1256)</f>
        <v/>
      </c>
      <c r="J1256" s="3" t="str">
        <f>IF([1]SCHEDULE!J1256="","",[1]SCHEDULE!J1256)</f>
        <v/>
      </c>
    </row>
    <row r="1257" spans="2:10" x14ac:dyDescent="0.25">
      <c r="B1257" s="3" t="str">
        <f>IF([1]SCHEDULE!B1257="","",[1]SCHEDULE!B1257)</f>
        <v/>
      </c>
      <c r="C1257" s="3">
        <f>IF([1]SCHEDULE!C1257="","",[1]SCHEDULE!C1257)</f>
        <v>31</v>
      </c>
      <c r="D1257" s="1" t="e">
        <f>IF([1]SCHEDULE!D1257="","",[1]SCHEDULE!D1257)</f>
        <v>#N/A</v>
      </c>
      <c r="E1257" s="1" t="str">
        <f>IF([1]SCHEDULE!E1257="","",[1]SCHEDULE!E1257)</f>
        <v/>
      </c>
      <c r="F1257" s="6" t="str">
        <f>IF([1]SCHEDULE!F1257="","",[1]SCHEDULE!F1257)</f>
        <v/>
      </c>
      <c r="G1257" s="3" t="str">
        <f>IF([1]SCHEDULE!G1257="","",[1]SCHEDULE!G1257)</f>
        <v/>
      </c>
      <c r="H1257" s="3" t="str">
        <f>IF([1]SCHEDULE!H1257="","",[1]SCHEDULE!H1257)</f>
        <v/>
      </c>
      <c r="I1257" s="3" t="str">
        <f>IF([1]SCHEDULE!I1257="","",[1]SCHEDULE!I1257)</f>
        <v/>
      </c>
      <c r="J1257" s="3" t="str">
        <f>IF([1]SCHEDULE!J1257="","",[1]SCHEDULE!J1257)</f>
        <v/>
      </c>
    </row>
    <row r="1258" spans="2:10" x14ac:dyDescent="0.25">
      <c r="B1258" s="3" t="str">
        <f>IF([1]SCHEDULE!B1258="","",[1]SCHEDULE!B1258)</f>
        <v/>
      </c>
      <c r="C1258" s="3">
        <f>IF([1]SCHEDULE!C1258="","",[1]SCHEDULE!C1258)</f>
        <v>32</v>
      </c>
      <c r="D1258" s="1" t="e">
        <f>IF([1]SCHEDULE!D1258="","",[1]SCHEDULE!D1258)</f>
        <v>#N/A</v>
      </c>
      <c r="E1258" s="1" t="str">
        <f>IF([1]SCHEDULE!E1258="","",[1]SCHEDULE!E1258)</f>
        <v/>
      </c>
      <c r="F1258" s="6" t="str">
        <f>IF([1]SCHEDULE!F1258="","",[1]SCHEDULE!F1258)</f>
        <v/>
      </c>
      <c r="G1258" s="3" t="str">
        <f>IF([1]SCHEDULE!G1258="","",[1]SCHEDULE!G1258)</f>
        <v/>
      </c>
      <c r="H1258" s="3" t="str">
        <f>IF([1]SCHEDULE!H1258="","",[1]SCHEDULE!H1258)</f>
        <v/>
      </c>
      <c r="I1258" s="3" t="str">
        <f>IF([1]SCHEDULE!I1258="","",[1]SCHEDULE!I1258)</f>
        <v/>
      </c>
      <c r="J1258" s="3" t="str">
        <f>IF([1]SCHEDULE!J1258="","",[1]SCHEDULE!J1258)</f>
        <v/>
      </c>
    </row>
    <row r="1259" spans="2:10" x14ac:dyDescent="0.25">
      <c r="B1259" s="3" t="str">
        <f>IF([1]SCHEDULE!B1259="","",[1]SCHEDULE!B1259)</f>
        <v/>
      </c>
      <c r="C1259" s="3">
        <f>IF([1]SCHEDULE!C1259="","",[1]SCHEDULE!C1259)</f>
        <v>33</v>
      </c>
      <c r="D1259" s="1" t="e">
        <f>IF([1]SCHEDULE!D1259="","",[1]SCHEDULE!D1259)</f>
        <v>#N/A</v>
      </c>
      <c r="E1259" s="1" t="str">
        <f>IF([1]SCHEDULE!E1259="","",[1]SCHEDULE!E1259)</f>
        <v/>
      </c>
      <c r="F1259" s="6" t="str">
        <f>IF([1]SCHEDULE!F1259="","",[1]SCHEDULE!F1259)</f>
        <v/>
      </c>
      <c r="G1259" s="3" t="str">
        <f>IF([1]SCHEDULE!G1259="","",[1]SCHEDULE!G1259)</f>
        <v/>
      </c>
      <c r="H1259" s="3" t="str">
        <f>IF([1]SCHEDULE!H1259="","",[1]SCHEDULE!H1259)</f>
        <v/>
      </c>
      <c r="I1259" s="3" t="str">
        <f>IF([1]SCHEDULE!I1259="","",[1]SCHEDULE!I1259)</f>
        <v/>
      </c>
      <c r="J1259" s="3" t="str">
        <f>IF([1]SCHEDULE!J1259="","",[1]SCHEDULE!J1259)</f>
        <v/>
      </c>
    </row>
    <row r="1260" spans="2:10" x14ac:dyDescent="0.25">
      <c r="B1260" s="3" t="str">
        <f>IF([1]SCHEDULE!B1260="","",[1]SCHEDULE!B1260)</f>
        <v/>
      </c>
      <c r="C1260" s="3">
        <f>IF([1]SCHEDULE!C1260="","",[1]SCHEDULE!C1260)</f>
        <v>34</v>
      </c>
      <c r="D1260" s="1" t="e">
        <f>IF([1]SCHEDULE!D1260="","",[1]SCHEDULE!D1260)</f>
        <v>#N/A</v>
      </c>
      <c r="E1260" s="1" t="str">
        <f>IF([1]SCHEDULE!E1260="","",[1]SCHEDULE!E1260)</f>
        <v/>
      </c>
      <c r="F1260" s="6" t="str">
        <f>IF([1]SCHEDULE!F1260="","",[1]SCHEDULE!F1260)</f>
        <v/>
      </c>
      <c r="G1260" s="3" t="str">
        <f>IF([1]SCHEDULE!G1260="","",[1]SCHEDULE!G1260)</f>
        <v/>
      </c>
      <c r="H1260" s="3" t="str">
        <f>IF([1]SCHEDULE!H1260="","",[1]SCHEDULE!H1260)</f>
        <v/>
      </c>
      <c r="I1260" s="3" t="str">
        <f>IF([1]SCHEDULE!I1260="","",[1]SCHEDULE!I1260)</f>
        <v/>
      </c>
      <c r="J1260" s="3" t="str">
        <f>IF([1]SCHEDULE!J1260="","",[1]SCHEDULE!J1260)</f>
        <v/>
      </c>
    </row>
    <row r="1261" spans="2:10" x14ac:dyDescent="0.25">
      <c r="B1261" s="3" t="str">
        <f>IF([1]SCHEDULE!B1261="","",[1]SCHEDULE!B1261)</f>
        <v/>
      </c>
      <c r="C1261" s="3">
        <f>IF([1]SCHEDULE!C1261="","",[1]SCHEDULE!C1261)</f>
        <v>35</v>
      </c>
      <c r="D1261" s="1" t="e">
        <f>IF([1]SCHEDULE!D1261="","",[1]SCHEDULE!D1261)</f>
        <v>#N/A</v>
      </c>
      <c r="E1261" s="1" t="str">
        <f>IF([1]SCHEDULE!E1261="","",[1]SCHEDULE!E1261)</f>
        <v/>
      </c>
      <c r="F1261" s="6" t="str">
        <f>IF([1]SCHEDULE!F1261="","",[1]SCHEDULE!F1261)</f>
        <v/>
      </c>
      <c r="G1261" s="3" t="str">
        <f>IF([1]SCHEDULE!G1261="","",[1]SCHEDULE!G1261)</f>
        <v/>
      </c>
      <c r="H1261" s="3" t="str">
        <f>IF([1]SCHEDULE!H1261="","",[1]SCHEDULE!H1261)</f>
        <v/>
      </c>
      <c r="I1261" s="3" t="str">
        <f>IF([1]SCHEDULE!I1261="","",[1]SCHEDULE!I1261)</f>
        <v/>
      </c>
      <c r="J1261" s="3" t="str">
        <f>IF([1]SCHEDULE!J1261="","",[1]SCHEDULE!J1261)</f>
        <v/>
      </c>
    </row>
    <row r="1262" spans="2:10" x14ac:dyDescent="0.25">
      <c r="B1262" s="3" t="str">
        <f>IF([1]SCHEDULE!B1262="","",[1]SCHEDULE!B1262)</f>
        <v/>
      </c>
      <c r="C1262" s="3">
        <f>IF([1]SCHEDULE!C1262="","",[1]SCHEDULE!C1262)</f>
        <v>36</v>
      </c>
      <c r="D1262" s="1" t="e">
        <f>IF([1]SCHEDULE!D1262="","",[1]SCHEDULE!D1262)</f>
        <v>#N/A</v>
      </c>
      <c r="E1262" s="1" t="str">
        <f>IF([1]SCHEDULE!E1262="","",[1]SCHEDULE!E1262)</f>
        <v/>
      </c>
      <c r="F1262" s="6" t="str">
        <f>IF([1]SCHEDULE!F1262="","",[1]SCHEDULE!F1262)</f>
        <v/>
      </c>
      <c r="G1262" s="3" t="str">
        <f>IF([1]SCHEDULE!G1262="","",[1]SCHEDULE!G1262)</f>
        <v/>
      </c>
      <c r="H1262" s="3" t="str">
        <f>IF([1]SCHEDULE!H1262="","",[1]SCHEDULE!H1262)</f>
        <v/>
      </c>
      <c r="I1262" s="3" t="str">
        <f>IF([1]SCHEDULE!I1262="","",[1]SCHEDULE!I1262)</f>
        <v/>
      </c>
      <c r="J1262" s="3" t="str">
        <f>IF([1]SCHEDULE!J1262="","",[1]SCHEDULE!J1262)</f>
        <v/>
      </c>
    </row>
    <row r="1263" spans="2:10" x14ac:dyDescent="0.25">
      <c r="B1263" s="3" t="str">
        <f>IF([1]SCHEDULE!B1263="","",[1]SCHEDULE!B1263)</f>
        <v/>
      </c>
      <c r="C1263" s="3">
        <f>IF([1]SCHEDULE!C1263="","",[1]SCHEDULE!C1263)</f>
        <v>37</v>
      </c>
      <c r="D1263" s="1" t="e">
        <f>IF([1]SCHEDULE!D1263="","",[1]SCHEDULE!D1263)</f>
        <v>#N/A</v>
      </c>
      <c r="E1263" s="1" t="str">
        <f>IF([1]SCHEDULE!E1263="","",[1]SCHEDULE!E1263)</f>
        <v/>
      </c>
      <c r="F1263" s="6" t="str">
        <f>IF([1]SCHEDULE!F1263="","",[1]SCHEDULE!F1263)</f>
        <v/>
      </c>
      <c r="G1263" s="3" t="str">
        <f>IF([1]SCHEDULE!G1263="","",[1]SCHEDULE!G1263)</f>
        <v/>
      </c>
      <c r="H1263" s="3" t="str">
        <f>IF([1]SCHEDULE!H1263="","",[1]SCHEDULE!H1263)</f>
        <v/>
      </c>
      <c r="I1263" s="3" t="str">
        <f>IF([1]SCHEDULE!I1263="","",[1]SCHEDULE!I1263)</f>
        <v/>
      </c>
      <c r="J1263" s="3" t="str">
        <f>IF([1]SCHEDULE!J1263="","",[1]SCHEDULE!J1263)</f>
        <v/>
      </c>
    </row>
    <row r="1264" spans="2:10" x14ac:dyDescent="0.25">
      <c r="B1264" s="3" t="str">
        <f>IF([1]SCHEDULE!B1264="","",[1]SCHEDULE!B1264)</f>
        <v/>
      </c>
      <c r="C1264" s="3">
        <f>IF([1]SCHEDULE!C1264="","",[1]SCHEDULE!C1264)</f>
        <v>38</v>
      </c>
      <c r="D1264" s="1" t="e">
        <f>IF([1]SCHEDULE!D1264="","",[1]SCHEDULE!D1264)</f>
        <v>#N/A</v>
      </c>
      <c r="E1264" s="1" t="str">
        <f>IF([1]SCHEDULE!E1264="","",[1]SCHEDULE!E1264)</f>
        <v/>
      </c>
      <c r="F1264" s="6" t="str">
        <f>IF([1]SCHEDULE!F1264="","",[1]SCHEDULE!F1264)</f>
        <v/>
      </c>
      <c r="G1264" s="3" t="str">
        <f>IF([1]SCHEDULE!G1264="","",[1]SCHEDULE!G1264)</f>
        <v/>
      </c>
      <c r="H1264" s="3" t="str">
        <f>IF([1]SCHEDULE!H1264="","",[1]SCHEDULE!H1264)</f>
        <v/>
      </c>
      <c r="I1264" s="3" t="str">
        <f>IF([1]SCHEDULE!I1264="","",[1]SCHEDULE!I1264)</f>
        <v/>
      </c>
      <c r="J1264" s="3" t="str">
        <f>IF([1]SCHEDULE!J1264="","",[1]SCHEDULE!J1264)</f>
        <v/>
      </c>
    </row>
    <row r="1265" spans="2:10" x14ac:dyDescent="0.25">
      <c r="B1265" s="3" t="str">
        <f>IF([1]SCHEDULE!B1265="","",[1]SCHEDULE!B1265)</f>
        <v/>
      </c>
      <c r="C1265" s="3">
        <f>IF([1]SCHEDULE!C1265="","",[1]SCHEDULE!C1265)</f>
        <v>39</v>
      </c>
      <c r="D1265" s="1" t="e">
        <f>IF([1]SCHEDULE!D1265="","",[1]SCHEDULE!D1265)</f>
        <v>#N/A</v>
      </c>
      <c r="E1265" s="1" t="str">
        <f>IF([1]SCHEDULE!E1265="","",[1]SCHEDULE!E1265)</f>
        <v/>
      </c>
      <c r="F1265" s="6" t="str">
        <f>IF([1]SCHEDULE!F1265="","",[1]SCHEDULE!F1265)</f>
        <v/>
      </c>
      <c r="G1265" s="3" t="str">
        <f>IF([1]SCHEDULE!G1265="","",[1]SCHEDULE!G1265)</f>
        <v/>
      </c>
      <c r="H1265" s="3" t="str">
        <f>IF([1]SCHEDULE!H1265="","",[1]SCHEDULE!H1265)</f>
        <v/>
      </c>
      <c r="I1265" s="3" t="str">
        <f>IF([1]SCHEDULE!I1265="","",[1]SCHEDULE!I1265)</f>
        <v/>
      </c>
      <c r="J1265" s="3" t="str">
        <f>IF([1]SCHEDULE!J1265="","",[1]SCHEDULE!J1265)</f>
        <v/>
      </c>
    </row>
    <row r="1266" spans="2:10" x14ac:dyDescent="0.25">
      <c r="B1266" s="3" t="str">
        <f>IF([1]SCHEDULE!B1266="","",[1]SCHEDULE!B1266)</f>
        <v/>
      </c>
      <c r="C1266" s="3">
        <f>IF([1]SCHEDULE!C1266="","",[1]SCHEDULE!C1266)</f>
        <v>40</v>
      </c>
      <c r="D1266" s="1" t="e">
        <f>IF([1]SCHEDULE!D1266="","",[1]SCHEDULE!D1266)</f>
        <v>#N/A</v>
      </c>
      <c r="E1266" s="1" t="str">
        <f>IF([1]SCHEDULE!E1266="","",[1]SCHEDULE!E1266)</f>
        <v/>
      </c>
      <c r="F1266" s="6" t="str">
        <f>IF([1]SCHEDULE!F1266="","",[1]SCHEDULE!F1266)</f>
        <v/>
      </c>
      <c r="G1266" s="3" t="str">
        <f>IF([1]SCHEDULE!G1266="","",[1]SCHEDULE!G1266)</f>
        <v/>
      </c>
      <c r="H1266" s="3" t="str">
        <f>IF([1]SCHEDULE!H1266="","",[1]SCHEDULE!H1266)</f>
        <v/>
      </c>
      <c r="I1266" s="3" t="str">
        <f>IF([1]SCHEDULE!I1266="","",[1]SCHEDULE!I1266)</f>
        <v/>
      </c>
      <c r="J1266" s="3" t="str">
        <f>IF([1]SCHEDULE!J1266="","",[1]SCHEDULE!J1266)</f>
        <v/>
      </c>
    </row>
    <row r="1267" spans="2:10" x14ac:dyDescent="0.25">
      <c r="B1267" s="3" t="str">
        <f>IF([1]SCHEDULE!B1267="","",[1]SCHEDULE!B1267)</f>
        <v/>
      </c>
      <c r="C1267" s="3">
        <f>IF([1]SCHEDULE!C1267="","",[1]SCHEDULE!C1267)</f>
        <v>41</v>
      </c>
      <c r="D1267" s="1" t="e">
        <f>IF([1]SCHEDULE!D1267="","",[1]SCHEDULE!D1267)</f>
        <v>#N/A</v>
      </c>
      <c r="E1267" s="1" t="str">
        <f>IF([1]SCHEDULE!E1267="","",[1]SCHEDULE!E1267)</f>
        <v/>
      </c>
      <c r="F1267" s="6" t="str">
        <f>IF([1]SCHEDULE!F1267="","",[1]SCHEDULE!F1267)</f>
        <v/>
      </c>
      <c r="G1267" s="3" t="str">
        <f>IF([1]SCHEDULE!G1267="","",[1]SCHEDULE!G1267)</f>
        <v/>
      </c>
      <c r="H1267" s="3" t="str">
        <f>IF([1]SCHEDULE!H1267="","",[1]SCHEDULE!H1267)</f>
        <v/>
      </c>
      <c r="I1267" s="3" t="str">
        <f>IF([1]SCHEDULE!I1267="","",[1]SCHEDULE!I1267)</f>
        <v/>
      </c>
      <c r="J1267" s="3" t="str">
        <f>IF([1]SCHEDULE!J1267="","",[1]SCHEDULE!J1267)</f>
        <v/>
      </c>
    </row>
    <row r="1268" spans="2:10" x14ac:dyDescent="0.25">
      <c r="B1268" s="3" t="str">
        <f>IF([1]SCHEDULE!B1268="","",[1]SCHEDULE!B1268)</f>
        <v/>
      </c>
      <c r="C1268" s="3">
        <f>IF([1]SCHEDULE!C1268="","",[1]SCHEDULE!C1268)</f>
        <v>42</v>
      </c>
      <c r="D1268" s="1" t="e">
        <f>IF([1]SCHEDULE!D1268="","",[1]SCHEDULE!D1268)</f>
        <v>#N/A</v>
      </c>
      <c r="E1268" s="1" t="str">
        <f>IF([1]SCHEDULE!E1268="","",[1]SCHEDULE!E1268)</f>
        <v/>
      </c>
      <c r="F1268" s="6" t="str">
        <f>IF([1]SCHEDULE!F1268="","",[1]SCHEDULE!F1268)</f>
        <v/>
      </c>
      <c r="G1268" s="3" t="str">
        <f>IF([1]SCHEDULE!G1268="","",[1]SCHEDULE!G1268)</f>
        <v/>
      </c>
      <c r="H1268" s="3" t="str">
        <f>IF([1]SCHEDULE!H1268="","",[1]SCHEDULE!H1268)</f>
        <v/>
      </c>
      <c r="I1268" s="3" t="str">
        <f>IF([1]SCHEDULE!I1268="","",[1]SCHEDULE!I1268)</f>
        <v/>
      </c>
      <c r="J1268" s="3" t="str">
        <f>IF([1]SCHEDULE!J1268="","",[1]SCHEDULE!J1268)</f>
        <v/>
      </c>
    </row>
    <row r="1269" spans="2:10" x14ac:dyDescent="0.25">
      <c r="B1269" s="3" t="str">
        <f>IF([1]SCHEDULE!B1269="","",[1]SCHEDULE!B1269)</f>
        <v/>
      </c>
      <c r="C1269" s="3">
        <f>IF([1]SCHEDULE!C1269="","",[1]SCHEDULE!C1269)</f>
        <v>43</v>
      </c>
      <c r="D1269" s="1" t="e">
        <f>IF([1]SCHEDULE!D1269="","",[1]SCHEDULE!D1269)</f>
        <v>#N/A</v>
      </c>
      <c r="E1269" s="1" t="str">
        <f>IF([1]SCHEDULE!E1269="","",[1]SCHEDULE!E1269)</f>
        <v/>
      </c>
      <c r="F1269" s="6" t="str">
        <f>IF([1]SCHEDULE!F1269="","",[1]SCHEDULE!F1269)</f>
        <v/>
      </c>
      <c r="G1269" s="3" t="str">
        <f>IF([1]SCHEDULE!G1269="","",[1]SCHEDULE!G1269)</f>
        <v/>
      </c>
      <c r="H1269" s="3" t="str">
        <f>IF([1]SCHEDULE!H1269="","",[1]SCHEDULE!H1269)</f>
        <v/>
      </c>
      <c r="I1269" s="3" t="str">
        <f>IF([1]SCHEDULE!I1269="","",[1]SCHEDULE!I1269)</f>
        <v/>
      </c>
      <c r="J1269" s="3" t="str">
        <f>IF([1]SCHEDULE!J1269="","",[1]SCHEDULE!J1269)</f>
        <v/>
      </c>
    </row>
    <row r="1270" spans="2:10" x14ac:dyDescent="0.25">
      <c r="B1270" s="3" t="str">
        <f>IF([1]SCHEDULE!B1270="","",[1]SCHEDULE!B1270)</f>
        <v/>
      </c>
      <c r="C1270" s="3">
        <f>IF([1]SCHEDULE!C1270="","",[1]SCHEDULE!C1270)</f>
        <v>44</v>
      </c>
      <c r="D1270" s="1" t="e">
        <f>IF([1]SCHEDULE!D1270="","",[1]SCHEDULE!D1270)</f>
        <v>#N/A</v>
      </c>
      <c r="E1270" s="1" t="str">
        <f>IF([1]SCHEDULE!E1270="","",[1]SCHEDULE!E1270)</f>
        <v/>
      </c>
      <c r="F1270" s="6" t="str">
        <f>IF([1]SCHEDULE!F1270="","",[1]SCHEDULE!F1270)</f>
        <v/>
      </c>
      <c r="G1270" s="3" t="str">
        <f>IF([1]SCHEDULE!G1270="","",[1]SCHEDULE!G1270)</f>
        <v/>
      </c>
      <c r="H1270" s="3" t="str">
        <f>IF([1]SCHEDULE!H1270="","",[1]SCHEDULE!H1270)</f>
        <v/>
      </c>
      <c r="I1270" s="3" t="str">
        <f>IF([1]SCHEDULE!I1270="","",[1]SCHEDULE!I1270)</f>
        <v/>
      </c>
      <c r="J1270" s="3" t="str">
        <f>IF([1]SCHEDULE!J1270="","",[1]SCHEDULE!J1270)</f>
        <v/>
      </c>
    </row>
    <row r="1271" spans="2:10" x14ac:dyDescent="0.25">
      <c r="B1271" s="3" t="str">
        <f>IF([1]SCHEDULE!B1271="","",[1]SCHEDULE!B1271)</f>
        <v/>
      </c>
      <c r="C1271" s="3">
        <f>IF([1]SCHEDULE!C1271="","",[1]SCHEDULE!C1271)</f>
        <v>45</v>
      </c>
      <c r="D1271" s="1" t="e">
        <f>IF([1]SCHEDULE!D1271="","",[1]SCHEDULE!D1271)</f>
        <v>#N/A</v>
      </c>
      <c r="E1271" s="1" t="str">
        <f>IF([1]SCHEDULE!E1271="","",[1]SCHEDULE!E1271)</f>
        <v/>
      </c>
      <c r="F1271" s="6" t="str">
        <f>IF([1]SCHEDULE!F1271="","",[1]SCHEDULE!F1271)</f>
        <v/>
      </c>
      <c r="G1271" s="3" t="str">
        <f>IF([1]SCHEDULE!G1271="","",[1]SCHEDULE!G1271)</f>
        <v/>
      </c>
      <c r="H1271" s="3" t="str">
        <f>IF([1]SCHEDULE!H1271="","",[1]SCHEDULE!H1271)</f>
        <v/>
      </c>
      <c r="I1271" s="3" t="str">
        <f>IF([1]SCHEDULE!I1271="","",[1]SCHEDULE!I1271)</f>
        <v/>
      </c>
      <c r="J1271" s="3" t="str">
        <f>IF([1]SCHEDULE!J1271="","",[1]SCHEDULE!J1271)</f>
        <v/>
      </c>
    </row>
    <row r="1272" spans="2:10" x14ac:dyDescent="0.25">
      <c r="B1272" s="3" t="str">
        <f>IF([1]SCHEDULE!B1272="","",[1]SCHEDULE!B1272)</f>
        <v/>
      </c>
      <c r="C1272" s="3">
        <f>IF([1]SCHEDULE!C1272="","",[1]SCHEDULE!C1272)</f>
        <v>46</v>
      </c>
      <c r="D1272" s="1" t="e">
        <f>IF([1]SCHEDULE!D1272="","",[1]SCHEDULE!D1272)</f>
        <v>#N/A</v>
      </c>
      <c r="E1272" s="1" t="str">
        <f>IF([1]SCHEDULE!E1272="","",[1]SCHEDULE!E1272)</f>
        <v/>
      </c>
      <c r="F1272" s="6" t="str">
        <f>IF([1]SCHEDULE!F1272="","",[1]SCHEDULE!F1272)</f>
        <v/>
      </c>
      <c r="G1272" s="3" t="str">
        <f>IF([1]SCHEDULE!G1272="","",[1]SCHEDULE!G1272)</f>
        <v/>
      </c>
      <c r="H1272" s="3" t="str">
        <f>IF([1]SCHEDULE!H1272="","",[1]SCHEDULE!H1272)</f>
        <v/>
      </c>
      <c r="I1272" s="3" t="str">
        <f>IF([1]SCHEDULE!I1272="","",[1]SCHEDULE!I1272)</f>
        <v/>
      </c>
      <c r="J1272" s="3" t="str">
        <f>IF([1]SCHEDULE!J1272="","",[1]SCHEDULE!J1272)</f>
        <v/>
      </c>
    </row>
    <row r="1273" spans="2:10" x14ac:dyDescent="0.25">
      <c r="B1273" s="3" t="str">
        <f>IF([1]SCHEDULE!B1273="","",[1]SCHEDULE!B1273)</f>
        <v/>
      </c>
      <c r="C1273" s="3">
        <f>IF([1]SCHEDULE!C1273="","",[1]SCHEDULE!C1273)</f>
        <v>47</v>
      </c>
      <c r="D1273" s="1" t="e">
        <f>IF([1]SCHEDULE!D1273="","",[1]SCHEDULE!D1273)</f>
        <v>#N/A</v>
      </c>
      <c r="E1273" s="1" t="str">
        <f>IF([1]SCHEDULE!E1273="","",[1]SCHEDULE!E1273)</f>
        <v/>
      </c>
      <c r="F1273" s="6" t="str">
        <f>IF([1]SCHEDULE!F1273="","",[1]SCHEDULE!F1273)</f>
        <v/>
      </c>
      <c r="G1273" s="3" t="str">
        <f>IF([1]SCHEDULE!G1273="","",[1]SCHEDULE!G1273)</f>
        <v/>
      </c>
      <c r="H1273" s="3" t="str">
        <f>IF([1]SCHEDULE!H1273="","",[1]SCHEDULE!H1273)</f>
        <v/>
      </c>
      <c r="I1273" s="3" t="str">
        <f>IF([1]SCHEDULE!I1273="","",[1]SCHEDULE!I1273)</f>
        <v/>
      </c>
      <c r="J1273" s="3" t="str">
        <f>IF([1]SCHEDULE!J1273="","",[1]SCHEDULE!J1273)</f>
        <v/>
      </c>
    </row>
    <row r="1274" spans="2:10" x14ac:dyDescent="0.25">
      <c r="B1274" s="3" t="str">
        <f>IF([1]SCHEDULE!B1274="","",[1]SCHEDULE!B1274)</f>
        <v/>
      </c>
      <c r="C1274" s="3">
        <f>IF([1]SCHEDULE!C1274="","",[1]SCHEDULE!C1274)</f>
        <v>48</v>
      </c>
      <c r="D1274" s="1" t="e">
        <f>IF([1]SCHEDULE!D1274="","",[1]SCHEDULE!D1274)</f>
        <v>#N/A</v>
      </c>
      <c r="E1274" s="1" t="str">
        <f>IF([1]SCHEDULE!E1274="","",[1]SCHEDULE!E1274)</f>
        <v/>
      </c>
      <c r="F1274" s="6" t="str">
        <f>IF([1]SCHEDULE!F1274="","",[1]SCHEDULE!F1274)</f>
        <v/>
      </c>
      <c r="G1274" s="3" t="str">
        <f>IF([1]SCHEDULE!G1274="","",[1]SCHEDULE!G1274)</f>
        <v/>
      </c>
      <c r="H1274" s="3" t="str">
        <f>IF([1]SCHEDULE!H1274="","",[1]SCHEDULE!H1274)</f>
        <v/>
      </c>
      <c r="I1274" s="3" t="str">
        <f>IF([1]SCHEDULE!I1274="","",[1]SCHEDULE!I1274)</f>
        <v/>
      </c>
      <c r="J1274" s="3" t="str">
        <f>IF([1]SCHEDULE!J1274="","",[1]SCHEDULE!J1274)</f>
        <v/>
      </c>
    </row>
    <row r="1275" spans="2:10" x14ac:dyDescent="0.25">
      <c r="B1275" s="3" t="str">
        <f>IF([1]SCHEDULE!B1275="","",[1]SCHEDULE!B1275)</f>
        <v/>
      </c>
      <c r="C1275" s="3">
        <f>IF([1]SCHEDULE!C1275="","",[1]SCHEDULE!C1275)</f>
        <v>49</v>
      </c>
      <c r="D1275" s="1" t="e">
        <f>IF([1]SCHEDULE!D1275="","",[1]SCHEDULE!D1275)</f>
        <v>#N/A</v>
      </c>
      <c r="E1275" s="1" t="str">
        <f>IF([1]SCHEDULE!E1275="","",[1]SCHEDULE!E1275)</f>
        <v/>
      </c>
      <c r="F1275" s="6" t="str">
        <f>IF([1]SCHEDULE!F1275="","",[1]SCHEDULE!F1275)</f>
        <v/>
      </c>
      <c r="G1275" s="3" t="str">
        <f>IF([1]SCHEDULE!G1275="","",[1]SCHEDULE!G1275)</f>
        <v/>
      </c>
      <c r="H1275" s="3" t="str">
        <f>IF([1]SCHEDULE!H1275="","",[1]SCHEDULE!H1275)</f>
        <v/>
      </c>
      <c r="I1275" s="3" t="str">
        <f>IF([1]SCHEDULE!I1275="","",[1]SCHEDULE!I1275)</f>
        <v/>
      </c>
      <c r="J1275" s="3" t="str">
        <f>IF([1]SCHEDULE!J1275="","",[1]SCHEDULE!J1275)</f>
        <v/>
      </c>
    </row>
    <row r="1276" spans="2:10" x14ac:dyDescent="0.25">
      <c r="B1276" s="3" t="str">
        <f>IF([1]SCHEDULE!B1276="","",[1]SCHEDULE!B1276)</f>
        <v/>
      </c>
      <c r="C1276" s="3">
        <f>IF([1]SCHEDULE!C1276="","",[1]SCHEDULE!C1276)</f>
        <v>50</v>
      </c>
      <c r="D1276" s="1" t="e">
        <f>IF([1]SCHEDULE!D1276="","",[1]SCHEDULE!D1276)</f>
        <v>#N/A</v>
      </c>
      <c r="E1276" s="1" t="str">
        <f>IF([1]SCHEDULE!E1276="","",[1]SCHEDULE!E1276)</f>
        <v/>
      </c>
      <c r="F1276" s="6" t="str">
        <f>IF([1]SCHEDULE!F1276="","",[1]SCHEDULE!F1276)</f>
        <v/>
      </c>
      <c r="G1276" s="3" t="str">
        <f>IF([1]SCHEDULE!G1276="","",[1]SCHEDULE!G1276)</f>
        <v/>
      </c>
      <c r="H1276" s="3" t="str">
        <f>IF([1]SCHEDULE!H1276="","",[1]SCHEDULE!H1276)</f>
        <v/>
      </c>
      <c r="I1276" s="3" t="str">
        <f>IF([1]SCHEDULE!I1276="","",[1]SCHEDULE!I1276)</f>
        <v/>
      </c>
      <c r="J1276" s="3" t="str">
        <f>IF([1]SCHEDULE!J1276="","",[1]SCHEDULE!J1276)</f>
        <v/>
      </c>
    </row>
    <row r="1277" spans="2:10" x14ac:dyDescent="0.25">
      <c r="B1277" s="3" t="str">
        <f>IF([1]SCHEDULE!B1277="","",[1]SCHEDULE!B1277)</f>
        <v/>
      </c>
      <c r="C1277" s="3">
        <f>IF([1]SCHEDULE!C1277="","",[1]SCHEDULE!C1277)</f>
        <v>51</v>
      </c>
      <c r="D1277" s="1" t="e">
        <f>IF([1]SCHEDULE!D1277="","",[1]SCHEDULE!D1277)</f>
        <v>#N/A</v>
      </c>
      <c r="E1277" s="1" t="str">
        <f>IF([1]SCHEDULE!E1277="","",[1]SCHEDULE!E1277)</f>
        <v/>
      </c>
      <c r="F1277" s="6" t="str">
        <f>IF([1]SCHEDULE!F1277="","",[1]SCHEDULE!F1277)</f>
        <v/>
      </c>
      <c r="G1277" s="3" t="str">
        <f>IF([1]SCHEDULE!G1277="","",[1]SCHEDULE!G1277)</f>
        <v/>
      </c>
      <c r="H1277" s="3" t="str">
        <f>IF([1]SCHEDULE!H1277="","",[1]SCHEDULE!H1277)</f>
        <v/>
      </c>
      <c r="I1277" s="3" t="str">
        <f>IF([1]SCHEDULE!I1277="","",[1]SCHEDULE!I1277)</f>
        <v/>
      </c>
      <c r="J1277" s="3" t="str">
        <f>IF([1]SCHEDULE!J1277="","",[1]SCHEDULE!J1277)</f>
        <v/>
      </c>
    </row>
    <row r="1278" spans="2:10" x14ac:dyDescent="0.25">
      <c r="B1278" s="3" t="str">
        <f>IF([1]SCHEDULE!B1278="","",[1]SCHEDULE!B1278)</f>
        <v/>
      </c>
      <c r="C1278" s="3">
        <f>IF([1]SCHEDULE!C1278="","",[1]SCHEDULE!C1278)</f>
        <v>1</v>
      </c>
      <c r="D1278" s="1" t="e">
        <f>IF([1]SCHEDULE!D1278="","",[1]SCHEDULE!D1278)</f>
        <v>#N/A</v>
      </c>
      <c r="E1278" s="1" t="str">
        <f>IF([1]SCHEDULE!E1278="","",[1]SCHEDULE!E1278)</f>
        <v/>
      </c>
      <c r="F1278" s="6" t="str">
        <f>IF([1]SCHEDULE!F1278="","",[1]SCHEDULE!F1278)</f>
        <v/>
      </c>
      <c r="G1278" s="3" t="str">
        <f>IF([1]SCHEDULE!G1278="","",[1]SCHEDULE!G1278)</f>
        <v/>
      </c>
      <c r="H1278" s="3" t="str">
        <f>IF([1]SCHEDULE!H1278="","",[1]SCHEDULE!H1278)</f>
        <v/>
      </c>
      <c r="I1278" s="3" t="str">
        <f>IF([1]SCHEDULE!I1278="","",[1]SCHEDULE!I1278)</f>
        <v/>
      </c>
      <c r="J1278" s="3" t="str">
        <f>IF([1]SCHEDULE!J1278="","",[1]SCHEDULE!J1278)</f>
        <v/>
      </c>
    </row>
    <row r="1279" spans="2:10" x14ac:dyDescent="0.25">
      <c r="B1279" s="3" t="str">
        <f>IF([1]SCHEDULE!B1279="","",[1]SCHEDULE!B1279)</f>
        <v/>
      </c>
      <c r="C1279" s="3">
        <f>IF([1]SCHEDULE!C1279="","",[1]SCHEDULE!C1279)</f>
        <v>2</v>
      </c>
      <c r="D1279" s="1" t="e">
        <f>IF([1]SCHEDULE!D1279="","",[1]SCHEDULE!D1279)</f>
        <v>#N/A</v>
      </c>
      <c r="E1279" s="1" t="str">
        <f>IF([1]SCHEDULE!E1279="","",[1]SCHEDULE!E1279)</f>
        <v/>
      </c>
      <c r="F1279" s="6" t="str">
        <f>IF([1]SCHEDULE!F1279="","",[1]SCHEDULE!F1279)</f>
        <v/>
      </c>
      <c r="G1279" s="3" t="str">
        <f>IF([1]SCHEDULE!G1279="","",[1]SCHEDULE!G1279)</f>
        <v/>
      </c>
      <c r="H1279" s="3" t="str">
        <f>IF([1]SCHEDULE!H1279="","",[1]SCHEDULE!H1279)</f>
        <v/>
      </c>
      <c r="I1279" s="3" t="str">
        <f>IF([1]SCHEDULE!I1279="","",[1]SCHEDULE!I1279)</f>
        <v/>
      </c>
      <c r="J1279" s="3" t="str">
        <f>IF([1]SCHEDULE!J1279="","",[1]SCHEDULE!J1279)</f>
        <v/>
      </c>
    </row>
    <row r="1280" spans="2:10" x14ac:dyDescent="0.25">
      <c r="B1280" s="3" t="str">
        <f>IF([1]SCHEDULE!B1280="","",[1]SCHEDULE!B1280)</f>
        <v/>
      </c>
      <c r="C1280" s="3">
        <f>IF([1]SCHEDULE!C1280="","",[1]SCHEDULE!C1280)</f>
        <v>3</v>
      </c>
      <c r="D1280" s="1" t="e">
        <f>IF([1]SCHEDULE!D1280="","",[1]SCHEDULE!D1280)</f>
        <v>#N/A</v>
      </c>
      <c r="E1280" s="1" t="str">
        <f>IF([1]SCHEDULE!E1280="","",[1]SCHEDULE!E1280)</f>
        <v/>
      </c>
      <c r="F1280" s="6" t="str">
        <f>IF([1]SCHEDULE!F1280="","",[1]SCHEDULE!F1280)</f>
        <v/>
      </c>
      <c r="G1280" s="3" t="str">
        <f>IF([1]SCHEDULE!G1280="","",[1]SCHEDULE!G1280)</f>
        <v/>
      </c>
      <c r="H1280" s="3" t="str">
        <f>IF([1]SCHEDULE!H1280="","",[1]SCHEDULE!H1280)</f>
        <v/>
      </c>
      <c r="I1280" s="3" t="str">
        <f>IF([1]SCHEDULE!I1280="","",[1]SCHEDULE!I1280)</f>
        <v/>
      </c>
      <c r="J1280" s="3" t="str">
        <f>IF([1]SCHEDULE!J1280="","",[1]SCHEDULE!J1280)</f>
        <v/>
      </c>
    </row>
    <row r="1281" spans="2:10" x14ac:dyDescent="0.25">
      <c r="B1281" s="3" t="str">
        <f>IF([1]SCHEDULE!B1281="","",[1]SCHEDULE!B1281)</f>
        <v/>
      </c>
      <c r="C1281" s="3">
        <f>IF([1]SCHEDULE!C1281="","",[1]SCHEDULE!C1281)</f>
        <v>4</v>
      </c>
      <c r="D1281" s="1" t="e">
        <f>IF([1]SCHEDULE!D1281="","",[1]SCHEDULE!D1281)</f>
        <v>#N/A</v>
      </c>
      <c r="E1281" s="1" t="str">
        <f>IF([1]SCHEDULE!E1281="","",[1]SCHEDULE!E1281)</f>
        <v/>
      </c>
      <c r="F1281" s="6" t="str">
        <f>IF([1]SCHEDULE!F1281="","",[1]SCHEDULE!F1281)</f>
        <v/>
      </c>
      <c r="G1281" s="3" t="str">
        <f>IF([1]SCHEDULE!G1281="","",[1]SCHEDULE!G1281)</f>
        <v/>
      </c>
      <c r="H1281" s="3" t="str">
        <f>IF([1]SCHEDULE!H1281="","",[1]SCHEDULE!H1281)</f>
        <v/>
      </c>
      <c r="I1281" s="3" t="str">
        <f>IF([1]SCHEDULE!I1281="","",[1]SCHEDULE!I1281)</f>
        <v/>
      </c>
      <c r="J1281" s="3" t="str">
        <f>IF([1]SCHEDULE!J1281="","",[1]SCHEDULE!J1281)</f>
        <v/>
      </c>
    </row>
    <row r="1282" spans="2:10" x14ac:dyDescent="0.25">
      <c r="B1282" s="3" t="str">
        <f>IF([1]SCHEDULE!B1282="","",[1]SCHEDULE!B1282)</f>
        <v/>
      </c>
      <c r="C1282" s="3">
        <f>IF([1]SCHEDULE!C1282="","",[1]SCHEDULE!C1282)</f>
        <v>5</v>
      </c>
      <c r="D1282" s="1" t="e">
        <f>IF([1]SCHEDULE!D1282="","",[1]SCHEDULE!D1282)</f>
        <v>#N/A</v>
      </c>
      <c r="E1282" s="1" t="str">
        <f>IF([1]SCHEDULE!E1282="","",[1]SCHEDULE!E1282)</f>
        <v/>
      </c>
      <c r="F1282" s="6" t="str">
        <f>IF([1]SCHEDULE!F1282="","",[1]SCHEDULE!F1282)</f>
        <v/>
      </c>
      <c r="G1282" s="3" t="str">
        <f>IF([1]SCHEDULE!G1282="","",[1]SCHEDULE!G1282)</f>
        <v/>
      </c>
      <c r="H1282" s="3" t="str">
        <f>IF([1]SCHEDULE!H1282="","",[1]SCHEDULE!H1282)</f>
        <v/>
      </c>
      <c r="I1282" s="3" t="str">
        <f>IF([1]SCHEDULE!I1282="","",[1]SCHEDULE!I1282)</f>
        <v/>
      </c>
      <c r="J1282" s="3" t="str">
        <f>IF([1]SCHEDULE!J1282="","",[1]SCHEDULE!J1282)</f>
        <v/>
      </c>
    </row>
    <row r="1283" spans="2:10" x14ac:dyDescent="0.25">
      <c r="B1283" s="3" t="str">
        <f>IF([1]SCHEDULE!B1283="","",[1]SCHEDULE!B1283)</f>
        <v/>
      </c>
      <c r="C1283" s="3">
        <f>IF([1]SCHEDULE!C1283="","",[1]SCHEDULE!C1283)</f>
        <v>6</v>
      </c>
      <c r="D1283" s="1" t="e">
        <f>IF([1]SCHEDULE!D1283="","",[1]SCHEDULE!D1283)</f>
        <v>#N/A</v>
      </c>
      <c r="E1283" s="1" t="str">
        <f>IF([1]SCHEDULE!E1283="","",[1]SCHEDULE!E1283)</f>
        <v/>
      </c>
      <c r="F1283" s="6" t="str">
        <f>IF([1]SCHEDULE!F1283="","",[1]SCHEDULE!F1283)</f>
        <v/>
      </c>
      <c r="G1283" s="3" t="str">
        <f>IF([1]SCHEDULE!G1283="","",[1]SCHEDULE!G1283)</f>
        <v/>
      </c>
      <c r="H1283" s="3" t="str">
        <f>IF([1]SCHEDULE!H1283="","",[1]SCHEDULE!H1283)</f>
        <v/>
      </c>
      <c r="I1283" s="3" t="str">
        <f>IF([1]SCHEDULE!I1283="","",[1]SCHEDULE!I1283)</f>
        <v/>
      </c>
      <c r="J1283" s="3" t="str">
        <f>IF([1]SCHEDULE!J1283="","",[1]SCHEDULE!J1283)</f>
        <v/>
      </c>
    </row>
    <row r="1284" spans="2:10" x14ac:dyDescent="0.25">
      <c r="B1284" s="3" t="str">
        <f>IF([1]SCHEDULE!B1284="","",[1]SCHEDULE!B1284)</f>
        <v/>
      </c>
      <c r="C1284" s="3">
        <f>IF([1]SCHEDULE!C1284="","",[1]SCHEDULE!C1284)</f>
        <v>7</v>
      </c>
      <c r="D1284" s="1" t="e">
        <f>IF([1]SCHEDULE!D1284="","",[1]SCHEDULE!D1284)</f>
        <v>#N/A</v>
      </c>
      <c r="E1284" s="1" t="str">
        <f>IF([1]SCHEDULE!E1284="","",[1]SCHEDULE!E1284)</f>
        <v/>
      </c>
      <c r="F1284" s="6" t="str">
        <f>IF([1]SCHEDULE!F1284="","",[1]SCHEDULE!F1284)</f>
        <v/>
      </c>
      <c r="G1284" s="3" t="str">
        <f>IF([1]SCHEDULE!G1284="","",[1]SCHEDULE!G1284)</f>
        <v/>
      </c>
      <c r="H1284" s="3" t="str">
        <f>IF([1]SCHEDULE!H1284="","",[1]SCHEDULE!H1284)</f>
        <v/>
      </c>
      <c r="I1284" s="3" t="str">
        <f>IF([1]SCHEDULE!I1284="","",[1]SCHEDULE!I1284)</f>
        <v/>
      </c>
      <c r="J1284" s="3" t="str">
        <f>IF([1]SCHEDULE!J1284="","",[1]SCHEDULE!J1284)</f>
        <v/>
      </c>
    </row>
    <row r="1285" spans="2:10" x14ac:dyDescent="0.25">
      <c r="B1285" s="3" t="str">
        <f>IF([1]SCHEDULE!B1285="","",[1]SCHEDULE!B1285)</f>
        <v/>
      </c>
      <c r="C1285" s="3">
        <f>IF([1]SCHEDULE!C1285="","",[1]SCHEDULE!C1285)</f>
        <v>8</v>
      </c>
      <c r="D1285" s="1" t="e">
        <f>IF([1]SCHEDULE!D1285="","",[1]SCHEDULE!D1285)</f>
        <v>#N/A</v>
      </c>
      <c r="E1285" s="1" t="str">
        <f>IF([1]SCHEDULE!E1285="","",[1]SCHEDULE!E1285)</f>
        <v/>
      </c>
      <c r="F1285" s="6" t="str">
        <f>IF([1]SCHEDULE!F1285="","",[1]SCHEDULE!F1285)</f>
        <v/>
      </c>
      <c r="G1285" s="3" t="str">
        <f>IF([1]SCHEDULE!G1285="","",[1]SCHEDULE!G1285)</f>
        <v/>
      </c>
      <c r="H1285" s="3" t="str">
        <f>IF([1]SCHEDULE!H1285="","",[1]SCHEDULE!H1285)</f>
        <v/>
      </c>
      <c r="I1285" s="3" t="str">
        <f>IF([1]SCHEDULE!I1285="","",[1]SCHEDULE!I1285)</f>
        <v/>
      </c>
      <c r="J1285" s="3" t="str">
        <f>IF([1]SCHEDULE!J1285="","",[1]SCHEDULE!J1285)</f>
        <v/>
      </c>
    </row>
    <row r="1286" spans="2:10" x14ac:dyDescent="0.25">
      <c r="B1286" s="3" t="str">
        <f>IF([1]SCHEDULE!B1286="","",[1]SCHEDULE!B1286)</f>
        <v/>
      </c>
      <c r="C1286" s="3">
        <f>IF([1]SCHEDULE!C1286="","",[1]SCHEDULE!C1286)</f>
        <v>9</v>
      </c>
      <c r="D1286" s="1" t="e">
        <f>IF([1]SCHEDULE!D1286="","",[1]SCHEDULE!D1286)</f>
        <v>#N/A</v>
      </c>
      <c r="E1286" s="1" t="str">
        <f>IF([1]SCHEDULE!E1286="","",[1]SCHEDULE!E1286)</f>
        <v/>
      </c>
      <c r="F1286" s="6" t="str">
        <f>IF([1]SCHEDULE!F1286="","",[1]SCHEDULE!F1286)</f>
        <v/>
      </c>
      <c r="G1286" s="3" t="str">
        <f>IF([1]SCHEDULE!G1286="","",[1]SCHEDULE!G1286)</f>
        <v/>
      </c>
      <c r="H1286" s="3" t="str">
        <f>IF([1]SCHEDULE!H1286="","",[1]SCHEDULE!H1286)</f>
        <v/>
      </c>
      <c r="I1286" s="3" t="str">
        <f>IF([1]SCHEDULE!I1286="","",[1]SCHEDULE!I1286)</f>
        <v/>
      </c>
      <c r="J1286" s="3" t="str">
        <f>IF([1]SCHEDULE!J1286="","",[1]SCHEDULE!J1286)</f>
        <v/>
      </c>
    </row>
    <row r="1287" spans="2:10" x14ac:dyDescent="0.25">
      <c r="B1287" s="3" t="str">
        <f>IF([1]SCHEDULE!B1287="","",[1]SCHEDULE!B1287)</f>
        <v/>
      </c>
      <c r="C1287" s="3">
        <f>IF([1]SCHEDULE!C1287="","",[1]SCHEDULE!C1287)</f>
        <v>10</v>
      </c>
      <c r="D1287" s="1" t="e">
        <f>IF([1]SCHEDULE!D1287="","",[1]SCHEDULE!D1287)</f>
        <v>#N/A</v>
      </c>
      <c r="E1287" s="1" t="str">
        <f>IF([1]SCHEDULE!E1287="","",[1]SCHEDULE!E1287)</f>
        <v/>
      </c>
      <c r="F1287" s="6" t="str">
        <f>IF([1]SCHEDULE!F1287="","",[1]SCHEDULE!F1287)</f>
        <v/>
      </c>
      <c r="G1287" s="3" t="str">
        <f>IF([1]SCHEDULE!G1287="","",[1]SCHEDULE!G1287)</f>
        <v/>
      </c>
      <c r="H1287" s="3" t="str">
        <f>IF([1]SCHEDULE!H1287="","",[1]SCHEDULE!H1287)</f>
        <v/>
      </c>
      <c r="I1287" s="3" t="str">
        <f>IF([1]SCHEDULE!I1287="","",[1]SCHEDULE!I1287)</f>
        <v/>
      </c>
      <c r="J1287" s="3" t="str">
        <f>IF([1]SCHEDULE!J1287="","",[1]SCHEDULE!J1287)</f>
        <v/>
      </c>
    </row>
    <row r="1288" spans="2:10" x14ac:dyDescent="0.25">
      <c r="B1288" s="3" t="str">
        <f>IF([1]SCHEDULE!B1288="","",[1]SCHEDULE!B1288)</f>
        <v/>
      </c>
      <c r="C1288" s="3">
        <f>IF([1]SCHEDULE!C1288="","",[1]SCHEDULE!C1288)</f>
        <v>11</v>
      </c>
      <c r="D1288" s="1" t="e">
        <f>IF([1]SCHEDULE!D1288="","",[1]SCHEDULE!D1288)</f>
        <v>#N/A</v>
      </c>
      <c r="E1288" s="1" t="str">
        <f>IF([1]SCHEDULE!E1288="","",[1]SCHEDULE!E1288)</f>
        <v/>
      </c>
      <c r="F1288" s="6" t="str">
        <f>IF([1]SCHEDULE!F1288="","",[1]SCHEDULE!F1288)</f>
        <v/>
      </c>
      <c r="G1288" s="3" t="str">
        <f>IF([1]SCHEDULE!G1288="","",[1]SCHEDULE!G1288)</f>
        <v/>
      </c>
      <c r="H1288" s="3" t="str">
        <f>IF([1]SCHEDULE!H1288="","",[1]SCHEDULE!H1288)</f>
        <v/>
      </c>
      <c r="I1288" s="3" t="str">
        <f>IF([1]SCHEDULE!I1288="","",[1]SCHEDULE!I1288)</f>
        <v/>
      </c>
      <c r="J1288" s="3" t="str">
        <f>IF([1]SCHEDULE!J1288="","",[1]SCHEDULE!J1288)</f>
        <v/>
      </c>
    </row>
    <row r="1289" spans="2:10" x14ac:dyDescent="0.25">
      <c r="B1289" s="3" t="str">
        <f>IF([1]SCHEDULE!B1289="","",[1]SCHEDULE!B1289)</f>
        <v/>
      </c>
      <c r="C1289" s="3">
        <f>IF([1]SCHEDULE!C1289="","",[1]SCHEDULE!C1289)</f>
        <v>12</v>
      </c>
      <c r="D1289" s="1" t="e">
        <f>IF([1]SCHEDULE!D1289="","",[1]SCHEDULE!D1289)</f>
        <v>#N/A</v>
      </c>
      <c r="E1289" s="1" t="str">
        <f>IF([1]SCHEDULE!E1289="","",[1]SCHEDULE!E1289)</f>
        <v/>
      </c>
      <c r="F1289" s="6" t="str">
        <f>IF([1]SCHEDULE!F1289="","",[1]SCHEDULE!F1289)</f>
        <v/>
      </c>
      <c r="G1289" s="3" t="str">
        <f>IF([1]SCHEDULE!G1289="","",[1]SCHEDULE!G1289)</f>
        <v/>
      </c>
      <c r="H1289" s="3" t="str">
        <f>IF([1]SCHEDULE!H1289="","",[1]SCHEDULE!H1289)</f>
        <v/>
      </c>
      <c r="I1289" s="3" t="str">
        <f>IF([1]SCHEDULE!I1289="","",[1]SCHEDULE!I1289)</f>
        <v/>
      </c>
      <c r="J1289" s="3" t="str">
        <f>IF([1]SCHEDULE!J1289="","",[1]SCHEDULE!J1289)</f>
        <v/>
      </c>
    </row>
    <row r="1290" spans="2:10" x14ac:dyDescent="0.25">
      <c r="B1290" s="3" t="str">
        <f>IF([1]SCHEDULE!B1290="","",[1]SCHEDULE!B1290)</f>
        <v/>
      </c>
      <c r="C1290" s="3">
        <f>IF([1]SCHEDULE!C1290="","",[1]SCHEDULE!C1290)</f>
        <v>13</v>
      </c>
      <c r="D1290" s="1" t="e">
        <f>IF([1]SCHEDULE!D1290="","",[1]SCHEDULE!D1290)</f>
        <v>#N/A</v>
      </c>
      <c r="E1290" s="1" t="str">
        <f>IF([1]SCHEDULE!E1290="","",[1]SCHEDULE!E1290)</f>
        <v/>
      </c>
      <c r="F1290" s="6" t="str">
        <f>IF([1]SCHEDULE!F1290="","",[1]SCHEDULE!F1290)</f>
        <v/>
      </c>
      <c r="G1290" s="3" t="str">
        <f>IF([1]SCHEDULE!G1290="","",[1]SCHEDULE!G1290)</f>
        <v/>
      </c>
      <c r="H1290" s="3" t="str">
        <f>IF([1]SCHEDULE!H1290="","",[1]SCHEDULE!H1290)</f>
        <v/>
      </c>
      <c r="I1290" s="3" t="str">
        <f>IF([1]SCHEDULE!I1290="","",[1]SCHEDULE!I1290)</f>
        <v/>
      </c>
      <c r="J1290" s="3" t="str">
        <f>IF([1]SCHEDULE!J1290="","",[1]SCHEDULE!J1290)</f>
        <v/>
      </c>
    </row>
    <row r="1291" spans="2:10" x14ac:dyDescent="0.25">
      <c r="B1291" s="3" t="str">
        <f>IF([1]SCHEDULE!B1291="","",[1]SCHEDULE!B1291)</f>
        <v/>
      </c>
      <c r="C1291" s="3">
        <f>IF([1]SCHEDULE!C1291="","",[1]SCHEDULE!C1291)</f>
        <v>14</v>
      </c>
      <c r="D1291" s="1" t="e">
        <f>IF([1]SCHEDULE!D1291="","",[1]SCHEDULE!D1291)</f>
        <v>#N/A</v>
      </c>
      <c r="E1291" s="1" t="str">
        <f>IF([1]SCHEDULE!E1291="","",[1]SCHEDULE!E1291)</f>
        <v/>
      </c>
      <c r="F1291" s="6" t="str">
        <f>IF([1]SCHEDULE!F1291="","",[1]SCHEDULE!F1291)</f>
        <v/>
      </c>
      <c r="G1291" s="3" t="str">
        <f>IF([1]SCHEDULE!G1291="","",[1]SCHEDULE!G1291)</f>
        <v/>
      </c>
      <c r="H1291" s="3" t="str">
        <f>IF([1]SCHEDULE!H1291="","",[1]SCHEDULE!H1291)</f>
        <v/>
      </c>
      <c r="I1291" s="3" t="str">
        <f>IF([1]SCHEDULE!I1291="","",[1]SCHEDULE!I1291)</f>
        <v/>
      </c>
      <c r="J1291" s="3" t="str">
        <f>IF([1]SCHEDULE!J1291="","",[1]SCHEDULE!J1291)</f>
        <v/>
      </c>
    </row>
    <row r="1292" spans="2:10" x14ac:dyDescent="0.25">
      <c r="B1292" s="3" t="str">
        <f>IF([1]SCHEDULE!B1292="","",[1]SCHEDULE!B1292)</f>
        <v/>
      </c>
      <c r="C1292" s="3">
        <f>IF([1]SCHEDULE!C1292="","",[1]SCHEDULE!C1292)</f>
        <v>15</v>
      </c>
      <c r="D1292" s="1" t="e">
        <f>IF([1]SCHEDULE!D1292="","",[1]SCHEDULE!D1292)</f>
        <v>#N/A</v>
      </c>
      <c r="E1292" s="1" t="str">
        <f>IF([1]SCHEDULE!E1292="","",[1]SCHEDULE!E1292)</f>
        <v/>
      </c>
      <c r="F1292" s="6" t="str">
        <f>IF([1]SCHEDULE!F1292="","",[1]SCHEDULE!F1292)</f>
        <v/>
      </c>
      <c r="G1292" s="3" t="str">
        <f>IF([1]SCHEDULE!G1292="","",[1]SCHEDULE!G1292)</f>
        <v/>
      </c>
      <c r="H1292" s="3" t="str">
        <f>IF([1]SCHEDULE!H1292="","",[1]SCHEDULE!H1292)</f>
        <v/>
      </c>
      <c r="I1292" s="3" t="str">
        <f>IF([1]SCHEDULE!I1292="","",[1]SCHEDULE!I1292)</f>
        <v/>
      </c>
      <c r="J1292" s="3" t="str">
        <f>IF([1]SCHEDULE!J1292="","",[1]SCHEDULE!J1292)</f>
        <v/>
      </c>
    </row>
    <row r="1293" spans="2:10" x14ac:dyDescent="0.25">
      <c r="B1293" s="3" t="str">
        <f>IF([1]SCHEDULE!B1293="","",[1]SCHEDULE!B1293)</f>
        <v/>
      </c>
      <c r="C1293" s="3">
        <f>IF([1]SCHEDULE!C1293="","",[1]SCHEDULE!C1293)</f>
        <v>16</v>
      </c>
      <c r="D1293" s="1" t="e">
        <f>IF([1]SCHEDULE!D1293="","",[1]SCHEDULE!D1293)</f>
        <v>#N/A</v>
      </c>
      <c r="E1293" s="1" t="str">
        <f>IF([1]SCHEDULE!E1293="","",[1]SCHEDULE!E1293)</f>
        <v/>
      </c>
      <c r="F1293" s="6" t="str">
        <f>IF([1]SCHEDULE!F1293="","",[1]SCHEDULE!F1293)</f>
        <v/>
      </c>
      <c r="G1293" s="3" t="str">
        <f>IF([1]SCHEDULE!G1293="","",[1]SCHEDULE!G1293)</f>
        <v/>
      </c>
      <c r="H1293" s="3" t="str">
        <f>IF([1]SCHEDULE!H1293="","",[1]SCHEDULE!H1293)</f>
        <v/>
      </c>
      <c r="I1293" s="3" t="str">
        <f>IF([1]SCHEDULE!I1293="","",[1]SCHEDULE!I1293)</f>
        <v/>
      </c>
      <c r="J1293" s="3" t="str">
        <f>IF([1]SCHEDULE!J1293="","",[1]SCHEDULE!J1293)</f>
        <v/>
      </c>
    </row>
    <row r="1294" spans="2:10" x14ac:dyDescent="0.25">
      <c r="B1294" s="3" t="str">
        <f>IF([1]SCHEDULE!B1294="","",[1]SCHEDULE!B1294)</f>
        <v/>
      </c>
      <c r="C1294" s="3">
        <f>IF([1]SCHEDULE!C1294="","",[1]SCHEDULE!C1294)</f>
        <v>17</v>
      </c>
      <c r="D1294" s="1" t="e">
        <f>IF([1]SCHEDULE!D1294="","",[1]SCHEDULE!D1294)</f>
        <v>#N/A</v>
      </c>
      <c r="E1294" s="1" t="str">
        <f>IF([1]SCHEDULE!E1294="","",[1]SCHEDULE!E1294)</f>
        <v/>
      </c>
      <c r="F1294" s="6" t="str">
        <f>IF([1]SCHEDULE!F1294="","",[1]SCHEDULE!F1294)</f>
        <v/>
      </c>
      <c r="G1294" s="3" t="str">
        <f>IF([1]SCHEDULE!G1294="","",[1]SCHEDULE!G1294)</f>
        <v/>
      </c>
      <c r="H1294" s="3" t="str">
        <f>IF([1]SCHEDULE!H1294="","",[1]SCHEDULE!H1294)</f>
        <v/>
      </c>
      <c r="I1294" s="3" t="str">
        <f>IF([1]SCHEDULE!I1294="","",[1]SCHEDULE!I1294)</f>
        <v/>
      </c>
      <c r="J1294" s="3" t="str">
        <f>IF([1]SCHEDULE!J1294="","",[1]SCHEDULE!J1294)</f>
        <v/>
      </c>
    </row>
    <row r="1295" spans="2:10" x14ac:dyDescent="0.25">
      <c r="B1295" s="3" t="str">
        <f>IF([1]SCHEDULE!B1295="","",[1]SCHEDULE!B1295)</f>
        <v/>
      </c>
      <c r="C1295" s="3">
        <f>IF([1]SCHEDULE!C1295="","",[1]SCHEDULE!C1295)</f>
        <v>18</v>
      </c>
      <c r="D1295" s="1" t="e">
        <f>IF([1]SCHEDULE!D1295="","",[1]SCHEDULE!D1295)</f>
        <v>#N/A</v>
      </c>
      <c r="E1295" s="1" t="str">
        <f>IF([1]SCHEDULE!E1295="","",[1]SCHEDULE!E1295)</f>
        <v/>
      </c>
      <c r="F1295" s="6" t="str">
        <f>IF([1]SCHEDULE!F1295="","",[1]SCHEDULE!F1295)</f>
        <v/>
      </c>
      <c r="G1295" s="3" t="str">
        <f>IF([1]SCHEDULE!G1295="","",[1]SCHEDULE!G1295)</f>
        <v/>
      </c>
      <c r="H1295" s="3" t="str">
        <f>IF([1]SCHEDULE!H1295="","",[1]SCHEDULE!H1295)</f>
        <v/>
      </c>
      <c r="I1295" s="3" t="str">
        <f>IF([1]SCHEDULE!I1295="","",[1]SCHEDULE!I1295)</f>
        <v/>
      </c>
      <c r="J1295" s="3" t="str">
        <f>IF([1]SCHEDULE!J1295="","",[1]SCHEDULE!J1295)</f>
        <v/>
      </c>
    </row>
    <row r="1296" spans="2:10" x14ac:dyDescent="0.25">
      <c r="B1296" s="3" t="str">
        <f>IF([1]SCHEDULE!B1296="","",[1]SCHEDULE!B1296)</f>
        <v/>
      </c>
      <c r="C1296" s="3">
        <f>IF([1]SCHEDULE!C1296="","",[1]SCHEDULE!C1296)</f>
        <v>19</v>
      </c>
      <c r="D1296" s="1" t="e">
        <f>IF([1]SCHEDULE!D1296="","",[1]SCHEDULE!D1296)</f>
        <v>#N/A</v>
      </c>
      <c r="E1296" s="1" t="str">
        <f>IF([1]SCHEDULE!E1296="","",[1]SCHEDULE!E1296)</f>
        <v/>
      </c>
      <c r="F1296" s="6" t="str">
        <f>IF([1]SCHEDULE!F1296="","",[1]SCHEDULE!F1296)</f>
        <v/>
      </c>
      <c r="G1296" s="3" t="str">
        <f>IF([1]SCHEDULE!G1296="","",[1]SCHEDULE!G1296)</f>
        <v/>
      </c>
      <c r="H1296" s="3" t="str">
        <f>IF([1]SCHEDULE!H1296="","",[1]SCHEDULE!H1296)</f>
        <v/>
      </c>
      <c r="I1296" s="3" t="str">
        <f>IF([1]SCHEDULE!I1296="","",[1]SCHEDULE!I1296)</f>
        <v/>
      </c>
      <c r="J1296" s="3" t="str">
        <f>IF([1]SCHEDULE!J1296="","",[1]SCHEDULE!J1296)</f>
        <v/>
      </c>
    </row>
    <row r="1297" spans="2:10" x14ac:dyDescent="0.25">
      <c r="B1297" s="3" t="str">
        <f>IF([1]SCHEDULE!B1297="","",[1]SCHEDULE!B1297)</f>
        <v/>
      </c>
      <c r="C1297" s="3">
        <f>IF([1]SCHEDULE!C1297="","",[1]SCHEDULE!C1297)</f>
        <v>20</v>
      </c>
      <c r="D1297" s="1" t="e">
        <f>IF([1]SCHEDULE!D1297="","",[1]SCHEDULE!D1297)</f>
        <v>#N/A</v>
      </c>
      <c r="E1297" s="1" t="str">
        <f>IF([1]SCHEDULE!E1297="","",[1]SCHEDULE!E1297)</f>
        <v/>
      </c>
      <c r="F1297" s="6" t="str">
        <f>IF([1]SCHEDULE!F1297="","",[1]SCHEDULE!F1297)</f>
        <v/>
      </c>
      <c r="G1297" s="3" t="str">
        <f>IF([1]SCHEDULE!G1297="","",[1]SCHEDULE!G1297)</f>
        <v/>
      </c>
      <c r="H1297" s="3" t="str">
        <f>IF([1]SCHEDULE!H1297="","",[1]SCHEDULE!H1297)</f>
        <v/>
      </c>
      <c r="I1297" s="3" t="str">
        <f>IF([1]SCHEDULE!I1297="","",[1]SCHEDULE!I1297)</f>
        <v/>
      </c>
      <c r="J1297" s="3" t="str">
        <f>IF([1]SCHEDULE!J1297="","",[1]SCHEDULE!J1297)</f>
        <v/>
      </c>
    </row>
    <row r="1298" spans="2:10" x14ac:dyDescent="0.25">
      <c r="B1298" s="3" t="str">
        <f>IF([1]SCHEDULE!B1298="","",[1]SCHEDULE!B1298)</f>
        <v/>
      </c>
      <c r="C1298" s="3">
        <f>IF([1]SCHEDULE!C1298="","",[1]SCHEDULE!C1298)</f>
        <v>21</v>
      </c>
      <c r="D1298" s="1" t="e">
        <f>IF([1]SCHEDULE!D1298="","",[1]SCHEDULE!D1298)</f>
        <v>#N/A</v>
      </c>
      <c r="E1298" s="1" t="str">
        <f>IF([1]SCHEDULE!E1298="","",[1]SCHEDULE!E1298)</f>
        <v/>
      </c>
      <c r="F1298" s="6" t="str">
        <f>IF([1]SCHEDULE!F1298="","",[1]SCHEDULE!F1298)</f>
        <v/>
      </c>
      <c r="G1298" s="3" t="str">
        <f>IF([1]SCHEDULE!G1298="","",[1]SCHEDULE!G1298)</f>
        <v/>
      </c>
      <c r="H1298" s="3" t="str">
        <f>IF([1]SCHEDULE!H1298="","",[1]SCHEDULE!H1298)</f>
        <v/>
      </c>
      <c r="I1298" s="3" t="str">
        <f>IF([1]SCHEDULE!I1298="","",[1]SCHEDULE!I1298)</f>
        <v/>
      </c>
      <c r="J1298" s="3" t="str">
        <f>IF([1]SCHEDULE!J1298="","",[1]SCHEDULE!J1298)</f>
        <v/>
      </c>
    </row>
    <row r="1299" spans="2:10" x14ac:dyDescent="0.25">
      <c r="B1299" s="3" t="str">
        <f>IF([1]SCHEDULE!B1299="","",[1]SCHEDULE!B1299)</f>
        <v/>
      </c>
      <c r="C1299" s="3">
        <f>IF([1]SCHEDULE!C1299="","",[1]SCHEDULE!C1299)</f>
        <v>22</v>
      </c>
      <c r="D1299" s="1" t="e">
        <f>IF([1]SCHEDULE!D1299="","",[1]SCHEDULE!D1299)</f>
        <v>#N/A</v>
      </c>
      <c r="E1299" s="1" t="str">
        <f>IF([1]SCHEDULE!E1299="","",[1]SCHEDULE!E1299)</f>
        <v/>
      </c>
      <c r="F1299" s="6" t="str">
        <f>IF([1]SCHEDULE!F1299="","",[1]SCHEDULE!F1299)</f>
        <v/>
      </c>
      <c r="G1299" s="3" t="str">
        <f>IF([1]SCHEDULE!G1299="","",[1]SCHEDULE!G1299)</f>
        <v/>
      </c>
      <c r="H1299" s="3" t="str">
        <f>IF([1]SCHEDULE!H1299="","",[1]SCHEDULE!H1299)</f>
        <v/>
      </c>
      <c r="I1299" s="3" t="str">
        <f>IF([1]SCHEDULE!I1299="","",[1]SCHEDULE!I1299)</f>
        <v/>
      </c>
      <c r="J1299" s="3" t="str">
        <f>IF([1]SCHEDULE!J1299="","",[1]SCHEDULE!J1299)</f>
        <v/>
      </c>
    </row>
    <row r="1300" spans="2:10" x14ac:dyDescent="0.25">
      <c r="B1300" s="3" t="str">
        <f>IF([1]SCHEDULE!B1300="","",[1]SCHEDULE!B1300)</f>
        <v/>
      </c>
      <c r="C1300" s="3">
        <f>IF([1]SCHEDULE!C1300="","",[1]SCHEDULE!C1300)</f>
        <v>23</v>
      </c>
      <c r="D1300" s="1" t="e">
        <f>IF([1]SCHEDULE!D1300="","",[1]SCHEDULE!D1300)</f>
        <v>#N/A</v>
      </c>
      <c r="E1300" s="1" t="str">
        <f>IF([1]SCHEDULE!E1300="","",[1]SCHEDULE!E1300)</f>
        <v/>
      </c>
      <c r="F1300" s="6" t="str">
        <f>IF([1]SCHEDULE!F1300="","",[1]SCHEDULE!F1300)</f>
        <v/>
      </c>
      <c r="G1300" s="3" t="str">
        <f>IF([1]SCHEDULE!G1300="","",[1]SCHEDULE!G1300)</f>
        <v/>
      </c>
      <c r="H1300" s="3" t="str">
        <f>IF([1]SCHEDULE!H1300="","",[1]SCHEDULE!H1300)</f>
        <v/>
      </c>
      <c r="I1300" s="3" t="str">
        <f>IF([1]SCHEDULE!I1300="","",[1]SCHEDULE!I1300)</f>
        <v/>
      </c>
      <c r="J1300" s="3" t="str">
        <f>IF([1]SCHEDULE!J1300="","",[1]SCHEDULE!J1300)</f>
        <v/>
      </c>
    </row>
    <row r="1301" spans="2:10" x14ac:dyDescent="0.25">
      <c r="B1301" s="3" t="str">
        <f>IF([1]SCHEDULE!B1301="","",[1]SCHEDULE!B1301)</f>
        <v/>
      </c>
      <c r="C1301" s="3">
        <f>IF([1]SCHEDULE!C1301="","",[1]SCHEDULE!C1301)</f>
        <v>24</v>
      </c>
      <c r="D1301" s="1" t="e">
        <f>IF([1]SCHEDULE!D1301="","",[1]SCHEDULE!D1301)</f>
        <v>#N/A</v>
      </c>
      <c r="E1301" s="1" t="str">
        <f>IF([1]SCHEDULE!E1301="","",[1]SCHEDULE!E1301)</f>
        <v/>
      </c>
      <c r="F1301" s="6" t="str">
        <f>IF([1]SCHEDULE!F1301="","",[1]SCHEDULE!F1301)</f>
        <v/>
      </c>
      <c r="G1301" s="3" t="str">
        <f>IF([1]SCHEDULE!G1301="","",[1]SCHEDULE!G1301)</f>
        <v/>
      </c>
      <c r="H1301" s="3" t="str">
        <f>IF([1]SCHEDULE!H1301="","",[1]SCHEDULE!H1301)</f>
        <v/>
      </c>
      <c r="I1301" s="3" t="str">
        <f>IF([1]SCHEDULE!I1301="","",[1]SCHEDULE!I1301)</f>
        <v/>
      </c>
      <c r="J1301" s="3" t="str">
        <f>IF([1]SCHEDULE!J1301="","",[1]SCHEDULE!J1301)</f>
        <v/>
      </c>
    </row>
    <row r="1302" spans="2:10" x14ac:dyDescent="0.25">
      <c r="B1302" s="3" t="str">
        <f>IF([1]SCHEDULE!B1302="","",[1]SCHEDULE!B1302)</f>
        <v/>
      </c>
      <c r="C1302" s="3">
        <f>IF([1]SCHEDULE!C1302="","",[1]SCHEDULE!C1302)</f>
        <v>25</v>
      </c>
      <c r="D1302" s="1" t="e">
        <f>IF([1]SCHEDULE!D1302="","",[1]SCHEDULE!D1302)</f>
        <v>#N/A</v>
      </c>
      <c r="E1302" s="1" t="str">
        <f>IF([1]SCHEDULE!E1302="","",[1]SCHEDULE!E1302)</f>
        <v/>
      </c>
      <c r="F1302" s="6" t="str">
        <f>IF([1]SCHEDULE!F1302="","",[1]SCHEDULE!F1302)</f>
        <v/>
      </c>
      <c r="G1302" s="3" t="str">
        <f>IF([1]SCHEDULE!G1302="","",[1]SCHEDULE!G1302)</f>
        <v/>
      </c>
      <c r="H1302" s="3" t="str">
        <f>IF([1]SCHEDULE!H1302="","",[1]SCHEDULE!H1302)</f>
        <v/>
      </c>
      <c r="I1302" s="3" t="str">
        <f>IF([1]SCHEDULE!I1302="","",[1]SCHEDULE!I1302)</f>
        <v/>
      </c>
      <c r="J1302" s="3" t="str">
        <f>IF([1]SCHEDULE!J1302="","",[1]SCHEDULE!J1302)</f>
        <v/>
      </c>
    </row>
    <row r="1303" spans="2:10" x14ac:dyDescent="0.25">
      <c r="B1303" s="3" t="str">
        <f>IF([1]SCHEDULE!B1303="","",[1]SCHEDULE!B1303)</f>
        <v/>
      </c>
      <c r="C1303" s="3">
        <f>IF([1]SCHEDULE!C1303="","",[1]SCHEDULE!C1303)</f>
        <v>26</v>
      </c>
      <c r="D1303" s="1" t="e">
        <f>IF([1]SCHEDULE!D1303="","",[1]SCHEDULE!D1303)</f>
        <v>#N/A</v>
      </c>
      <c r="E1303" s="1" t="str">
        <f>IF([1]SCHEDULE!E1303="","",[1]SCHEDULE!E1303)</f>
        <v/>
      </c>
      <c r="F1303" s="6" t="str">
        <f>IF([1]SCHEDULE!F1303="","",[1]SCHEDULE!F1303)</f>
        <v/>
      </c>
      <c r="G1303" s="3" t="str">
        <f>IF([1]SCHEDULE!G1303="","",[1]SCHEDULE!G1303)</f>
        <v/>
      </c>
      <c r="H1303" s="3" t="str">
        <f>IF([1]SCHEDULE!H1303="","",[1]SCHEDULE!H1303)</f>
        <v/>
      </c>
      <c r="I1303" s="3" t="str">
        <f>IF([1]SCHEDULE!I1303="","",[1]SCHEDULE!I1303)</f>
        <v/>
      </c>
      <c r="J1303" s="3" t="str">
        <f>IF([1]SCHEDULE!J1303="","",[1]SCHEDULE!J1303)</f>
        <v/>
      </c>
    </row>
    <row r="1304" spans="2:10" x14ac:dyDescent="0.25">
      <c r="B1304" s="3" t="str">
        <f>IF([1]SCHEDULE!B1304="","",[1]SCHEDULE!B1304)</f>
        <v/>
      </c>
      <c r="C1304" s="3">
        <f>IF([1]SCHEDULE!C1304="","",[1]SCHEDULE!C1304)</f>
        <v>27</v>
      </c>
      <c r="D1304" s="1" t="e">
        <f>IF([1]SCHEDULE!D1304="","",[1]SCHEDULE!D1304)</f>
        <v>#N/A</v>
      </c>
      <c r="E1304" s="1" t="str">
        <f>IF([1]SCHEDULE!E1304="","",[1]SCHEDULE!E1304)</f>
        <v/>
      </c>
      <c r="F1304" s="6" t="str">
        <f>IF([1]SCHEDULE!F1304="","",[1]SCHEDULE!F1304)</f>
        <v/>
      </c>
      <c r="G1304" s="3" t="str">
        <f>IF([1]SCHEDULE!G1304="","",[1]SCHEDULE!G1304)</f>
        <v/>
      </c>
      <c r="H1304" s="3" t="str">
        <f>IF([1]SCHEDULE!H1304="","",[1]SCHEDULE!H1304)</f>
        <v/>
      </c>
      <c r="I1304" s="3" t="str">
        <f>IF([1]SCHEDULE!I1304="","",[1]SCHEDULE!I1304)</f>
        <v/>
      </c>
      <c r="J1304" s="3" t="str">
        <f>IF([1]SCHEDULE!J1304="","",[1]SCHEDULE!J1304)</f>
        <v/>
      </c>
    </row>
    <row r="1305" spans="2:10" x14ac:dyDescent="0.25">
      <c r="B1305" s="3" t="str">
        <f>IF([1]SCHEDULE!B1305="","",[1]SCHEDULE!B1305)</f>
        <v/>
      </c>
      <c r="C1305" s="3">
        <f>IF([1]SCHEDULE!C1305="","",[1]SCHEDULE!C1305)</f>
        <v>28</v>
      </c>
      <c r="D1305" s="1" t="e">
        <f>IF([1]SCHEDULE!D1305="","",[1]SCHEDULE!D1305)</f>
        <v>#N/A</v>
      </c>
      <c r="E1305" s="1" t="str">
        <f>IF([1]SCHEDULE!E1305="","",[1]SCHEDULE!E1305)</f>
        <v/>
      </c>
      <c r="F1305" s="6" t="str">
        <f>IF([1]SCHEDULE!F1305="","",[1]SCHEDULE!F1305)</f>
        <v/>
      </c>
      <c r="G1305" s="3" t="str">
        <f>IF([1]SCHEDULE!G1305="","",[1]SCHEDULE!G1305)</f>
        <v/>
      </c>
      <c r="H1305" s="3" t="str">
        <f>IF([1]SCHEDULE!H1305="","",[1]SCHEDULE!H1305)</f>
        <v/>
      </c>
      <c r="I1305" s="3" t="str">
        <f>IF([1]SCHEDULE!I1305="","",[1]SCHEDULE!I1305)</f>
        <v/>
      </c>
      <c r="J1305" s="3" t="str">
        <f>IF([1]SCHEDULE!J1305="","",[1]SCHEDULE!J1305)</f>
        <v/>
      </c>
    </row>
    <row r="1306" spans="2:10" x14ac:dyDescent="0.25">
      <c r="B1306" s="3" t="str">
        <f>IF([1]SCHEDULE!B1306="","",[1]SCHEDULE!B1306)</f>
        <v/>
      </c>
      <c r="C1306" s="3">
        <f>IF([1]SCHEDULE!C1306="","",[1]SCHEDULE!C1306)</f>
        <v>29</v>
      </c>
      <c r="D1306" s="1" t="e">
        <f>IF([1]SCHEDULE!D1306="","",[1]SCHEDULE!D1306)</f>
        <v>#N/A</v>
      </c>
      <c r="E1306" s="1" t="str">
        <f>IF([1]SCHEDULE!E1306="","",[1]SCHEDULE!E1306)</f>
        <v/>
      </c>
      <c r="F1306" s="6" t="str">
        <f>IF([1]SCHEDULE!F1306="","",[1]SCHEDULE!F1306)</f>
        <v/>
      </c>
      <c r="G1306" s="3" t="str">
        <f>IF([1]SCHEDULE!G1306="","",[1]SCHEDULE!G1306)</f>
        <v/>
      </c>
      <c r="H1306" s="3" t="str">
        <f>IF([1]SCHEDULE!H1306="","",[1]SCHEDULE!H1306)</f>
        <v/>
      </c>
      <c r="I1306" s="3" t="str">
        <f>IF([1]SCHEDULE!I1306="","",[1]SCHEDULE!I1306)</f>
        <v/>
      </c>
      <c r="J1306" s="3" t="str">
        <f>IF([1]SCHEDULE!J1306="","",[1]SCHEDULE!J1306)</f>
        <v/>
      </c>
    </row>
    <row r="1307" spans="2:10" x14ac:dyDescent="0.25">
      <c r="B1307" s="3" t="str">
        <f>IF([1]SCHEDULE!B1307="","",[1]SCHEDULE!B1307)</f>
        <v/>
      </c>
      <c r="C1307" s="3">
        <f>IF([1]SCHEDULE!C1307="","",[1]SCHEDULE!C1307)</f>
        <v>30</v>
      </c>
      <c r="D1307" s="1" t="e">
        <f>IF([1]SCHEDULE!D1307="","",[1]SCHEDULE!D1307)</f>
        <v>#N/A</v>
      </c>
      <c r="E1307" s="1" t="str">
        <f>IF([1]SCHEDULE!E1307="","",[1]SCHEDULE!E1307)</f>
        <v/>
      </c>
      <c r="F1307" s="6" t="str">
        <f>IF([1]SCHEDULE!F1307="","",[1]SCHEDULE!F1307)</f>
        <v/>
      </c>
      <c r="G1307" s="3" t="str">
        <f>IF([1]SCHEDULE!G1307="","",[1]SCHEDULE!G1307)</f>
        <v/>
      </c>
      <c r="H1307" s="3" t="str">
        <f>IF([1]SCHEDULE!H1307="","",[1]SCHEDULE!H1307)</f>
        <v/>
      </c>
      <c r="I1307" s="3" t="str">
        <f>IF([1]SCHEDULE!I1307="","",[1]SCHEDULE!I1307)</f>
        <v/>
      </c>
      <c r="J1307" s="3" t="str">
        <f>IF([1]SCHEDULE!J1307="","",[1]SCHEDULE!J1307)</f>
        <v/>
      </c>
    </row>
    <row r="1308" spans="2:10" x14ac:dyDescent="0.25">
      <c r="B1308" s="3" t="str">
        <f>IF([1]SCHEDULE!B1308="","",[1]SCHEDULE!B1308)</f>
        <v/>
      </c>
      <c r="C1308" s="3">
        <f>IF([1]SCHEDULE!C1308="","",[1]SCHEDULE!C1308)</f>
        <v>31</v>
      </c>
      <c r="D1308" s="1" t="e">
        <f>IF([1]SCHEDULE!D1308="","",[1]SCHEDULE!D1308)</f>
        <v>#N/A</v>
      </c>
      <c r="E1308" s="1" t="str">
        <f>IF([1]SCHEDULE!E1308="","",[1]SCHEDULE!E1308)</f>
        <v/>
      </c>
      <c r="F1308" s="6" t="str">
        <f>IF([1]SCHEDULE!F1308="","",[1]SCHEDULE!F1308)</f>
        <v/>
      </c>
      <c r="G1308" s="3" t="str">
        <f>IF([1]SCHEDULE!G1308="","",[1]SCHEDULE!G1308)</f>
        <v/>
      </c>
      <c r="H1308" s="3" t="str">
        <f>IF([1]SCHEDULE!H1308="","",[1]SCHEDULE!H1308)</f>
        <v/>
      </c>
      <c r="I1308" s="3" t="str">
        <f>IF([1]SCHEDULE!I1308="","",[1]SCHEDULE!I1308)</f>
        <v/>
      </c>
      <c r="J1308" s="3" t="str">
        <f>IF([1]SCHEDULE!J1308="","",[1]SCHEDULE!J1308)</f>
        <v/>
      </c>
    </row>
    <row r="1309" spans="2:10" x14ac:dyDescent="0.25">
      <c r="B1309" s="3" t="str">
        <f>IF([1]SCHEDULE!B1309="","",[1]SCHEDULE!B1309)</f>
        <v/>
      </c>
      <c r="C1309" s="3">
        <f>IF([1]SCHEDULE!C1309="","",[1]SCHEDULE!C1309)</f>
        <v>32</v>
      </c>
      <c r="D1309" s="1" t="e">
        <f>IF([1]SCHEDULE!D1309="","",[1]SCHEDULE!D1309)</f>
        <v>#N/A</v>
      </c>
      <c r="E1309" s="1" t="str">
        <f>IF([1]SCHEDULE!E1309="","",[1]SCHEDULE!E1309)</f>
        <v/>
      </c>
      <c r="F1309" s="6" t="str">
        <f>IF([1]SCHEDULE!F1309="","",[1]SCHEDULE!F1309)</f>
        <v/>
      </c>
      <c r="G1309" s="3" t="str">
        <f>IF([1]SCHEDULE!G1309="","",[1]SCHEDULE!G1309)</f>
        <v/>
      </c>
      <c r="H1309" s="3" t="str">
        <f>IF([1]SCHEDULE!H1309="","",[1]SCHEDULE!H1309)</f>
        <v/>
      </c>
      <c r="I1309" s="3" t="str">
        <f>IF([1]SCHEDULE!I1309="","",[1]SCHEDULE!I1309)</f>
        <v/>
      </c>
      <c r="J1309" s="3" t="str">
        <f>IF([1]SCHEDULE!J1309="","",[1]SCHEDULE!J1309)</f>
        <v/>
      </c>
    </row>
    <row r="1310" spans="2:10" x14ac:dyDescent="0.25">
      <c r="B1310" s="3" t="str">
        <f>IF([1]SCHEDULE!B1310="","",[1]SCHEDULE!B1310)</f>
        <v/>
      </c>
      <c r="C1310" s="3">
        <f>IF([1]SCHEDULE!C1310="","",[1]SCHEDULE!C1310)</f>
        <v>33</v>
      </c>
      <c r="D1310" s="1" t="e">
        <f>IF([1]SCHEDULE!D1310="","",[1]SCHEDULE!D1310)</f>
        <v>#N/A</v>
      </c>
      <c r="E1310" s="1" t="str">
        <f>IF([1]SCHEDULE!E1310="","",[1]SCHEDULE!E1310)</f>
        <v/>
      </c>
      <c r="F1310" s="6" t="str">
        <f>IF([1]SCHEDULE!F1310="","",[1]SCHEDULE!F1310)</f>
        <v/>
      </c>
      <c r="G1310" s="3" t="str">
        <f>IF([1]SCHEDULE!G1310="","",[1]SCHEDULE!G1310)</f>
        <v/>
      </c>
      <c r="H1310" s="3" t="str">
        <f>IF([1]SCHEDULE!H1310="","",[1]SCHEDULE!H1310)</f>
        <v/>
      </c>
      <c r="I1310" s="3" t="str">
        <f>IF([1]SCHEDULE!I1310="","",[1]SCHEDULE!I1310)</f>
        <v/>
      </c>
      <c r="J1310" s="3" t="str">
        <f>IF([1]SCHEDULE!J1310="","",[1]SCHEDULE!J1310)</f>
        <v/>
      </c>
    </row>
    <row r="1311" spans="2:10" x14ac:dyDescent="0.25">
      <c r="B1311" s="3" t="str">
        <f>IF([1]SCHEDULE!B1311="","",[1]SCHEDULE!B1311)</f>
        <v/>
      </c>
      <c r="C1311" s="3">
        <f>IF([1]SCHEDULE!C1311="","",[1]SCHEDULE!C1311)</f>
        <v>34</v>
      </c>
      <c r="D1311" s="1" t="e">
        <f>IF([1]SCHEDULE!D1311="","",[1]SCHEDULE!D1311)</f>
        <v>#N/A</v>
      </c>
      <c r="E1311" s="1" t="str">
        <f>IF([1]SCHEDULE!E1311="","",[1]SCHEDULE!E1311)</f>
        <v/>
      </c>
      <c r="F1311" s="6" t="str">
        <f>IF([1]SCHEDULE!F1311="","",[1]SCHEDULE!F1311)</f>
        <v/>
      </c>
      <c r="G1311" s="3" t="str">
        <f>IF([1]SCHEDULE!G1311="","",[1]SCHEDULE!G1311)</f>
        <v/>
      </c>
      <c r="H1311" s="3" t="str">
        <f>IF([1]SCHEDULE!H1311="","",[1]SCHEDULE!H1311)</f>
        <v/>
      </c>
      <c r="I1311" s="3" t="str">
        <f>IF([1]SCHEDULE!I1311="","",[1]SCHEDULE!I1311)</f>
        <v/>
      </c>
      <c r="J1311" s="3" t="str">
        <f>IF([1]SCHEDULE!J1311="","",[1]SCHEDULE!J1311)</f>
        <v/>
      </c>
    </row>
    <row r="1312" spans="2:10" x14ac:dyDescent="0.25">
      <c r="B1312" s="3" t="str">
        <f>IF([1]SCHEDULE!B1312="","",[1]SCHEDULE!B1312)</f>
        <v/>
      </c>
      <c r="C1312" s="3">
        <f>IF([1]SCHEDULE!C1312="","",[1]SCHEDULE!C1312)</f>
        <v>35</v>
      </c>
      <c r="D1312" s="1" t="e">
        <f>IF([1]SCHEDULE!D1312="","",[1]SCHEDULE!D1312)</f>
        <v>#N/A</v>
      </c>
      <c r="E1312" s="1" t="str">
        <f>IF([1]SCHEDULE!E1312="","",[1]SCHEDULE!E1312)</f>
        <v/>
      </c>
      <c r="F1312" s="6" t="str">
        <f>IF([1]SCHEDULE!F1312="","",[1]SCHEDULE!F1312)</f>
        <v/>
      </c>
      <c r="G1312" s="3" t="str">
        <f>IF([1]SCHEDULE!G1312="","",[1]SCHEDULE!G1312)</f>
        <v/>
      </c>
      <c r="H1312" s="3" t="str">
        <f>IF([1]SCHEDULE!H1312="","",[1]SCHEDULE!H1312)</f>
        <v/>
      </c>
      <c r="I1312" s="3" t="str">
        <f>IF([1]SCHEDULE!I1312="","",[1]SCHEDULE!I1312)</f>
        <v/>
      </c>
      <c r="J1312" s="3" t="str">
        <f>IF([1]SCHEDULE!J1312="","",[1]SCHEDULE!J1312)</f>
        <v/>
      </c>
    </row>
    <row r="1313" spans="2:10" x14ac:dyDescent="0.25">
      <c r="B1313" s="3" t="str">
        <f>IF([1]SCHEDULE!B1313="","",[1]SCHEDULE!B1313)</f>
        <v/>
      </c>
      <c r="C1313" s="3">
        <f>IF([1]SCHEDULE!C1313="","",[1]SCHEDULE!C1313)</f>
        <v>36</v>
      </c>
      <c r="D1313" s="1" t="e">
        <f>IF([1]SCHEDULE!D1313="","",[1]SCHEDULE!D1313)</f>
        <v>#N/A</v>
      </c>
      <c r="E1313" s="1" t="str">
        <f>IF([1]SCHEDULE!E1313="","",[1]SCHEDULE!E1313)</f>
        <v/>
      </c>
      <c r="F1313" s="6" t="str">
        <f>IF([1]SCHEDULE!F1313="","",[1]SCHEDULE!F1313)</f>
        <v/>
      </c>
      <c r="G1313" s="3" t="str">
        <f>IF([1]SCHEDULE!G1313="","",[1]SCHEDULE!G1313)</f>
        <v/>
      </c>
      <c r="H1313" s="3" t="str">
        <f>IF([1]SCHEDULE!H1313="","",[1]SCHEDULE!H1313)</f>
        <v/>
      </c>
      <c r="I1313" s="3" t="str">
        <f>IF([1]SCHEDULE!I1313="","",[1]SCHEDULE!I1313)</f>
        <v/>
      </c>
      <c r="J1313" s="3" t="str">
        <f>IF([1]SCHEDULE!J1313="","",[1]SCHEDULE!J1313)</f>
        <v/>
      </c>
    </row>
    <row r="1314" spans="2:10" x14ac:dyDescent="0.25">
      <c r="B1314" s="3" t="str">
        <f>IF([1]SCHEDULE!B1314="","",[1]SCHEDULE!B1314)</f>
        <v/>
      </c>
      <c r="C1314" s="3">
        <f>IF([1]SCHEDULE!C1314="","",[1]SCHEDULE!C1314)</f>
        <v>37</v>
      </c>
      <c r="D1314" s="1" t="e">
        <f>IF([1]SCHEDULE!D1314="","",[1]SCHEDULE!D1314)</f>
        <v>#N/A</v>
      </c>
      <c r="E1314" s="1" t="str">
        <f>IF([1]SCHEDULE!E1314="","",[1]SCHEDULE!E1314)</f>
        <v/>
      </c>
      <c r="F1314" s="6" t="str">
        <f>IF([1]SCHEDULE!F1314="","",[1]SCHEDULE!F1314)</f>
        <v/>
      </c>
      <c r="G1314" s="3" t="str">
        <f>IF([1]SCHEDULE!G1314="","",[1]SCHEDULE!G1314)</f>
        <v/>
      </c>
      <c r="H1314" s="3" t="str">
        <f>IF([1]SCHEDULE!H1314="","",[1]SCHEDULE!H1314)</f>
        <v/>
      </c>
      <c r="I1314" s="3" t="str">
        <f>IF([1]SCHEDULE!I1314="","",[1]SCHEDULE!I1314)</f>
        <v/>
      </c>
      <c r="J1314" s="3" t="str">
        <f>IF([1]SCHEDULE!J1314="","",[1]SCHEDULE!J1314)</f>
        <v/>
      </c>
    </row>
    <row r="1315" spans="2:10" x14ac:dyDescent="0.25">
      <c r="B1315" s="3" t="str">
        <f>IF([1]SCHEDULE!B1315="","",[1]SCHEDULE!B1315)</f>
        <v/>
      </c>
      <c r="C1315" s="3">
        <f>IF([1]SCHEDULE!C1315="","",[1]SCHEDULE!C1315)</f>
        <v>38</v>
      </c>
      <c r="D1315" s="1" t="e">
        <f>IF([1]SCHEDULE!D1315="","",[1]SCHEDULE!D1315)</f>
        <v>#N/A</v>
      </c>
      <c r="E1315" s="1" t="str">
        <f>IF([1]SCHEDULE!E1315="","",[1]SCHEDULE!E1315)</f>
        <v/>
      </c>
      <c r="F1315" s="6" t="str">
        <f>IF([1]SCHEDULE!F1315="","",[1]SCHEDULE!F1315)</f>
        <v/>
      </c>
      <c r="G1315" s="3" t="str">
        <f>IF([1]SCHEDULE!G1315="","",[1]SCHEDULE!G1315)</f>
        <v/>
      </c>
      <c r="H1315" s="3" t="str">
        <f>IF([1]SCHEDULE!H1315="","",[1]SCHEDULE!H1315)</f>
        <v/>
      </c>
      <c r="I1315" s="3" t="str">
        <f>IF([1]SCHEDULE!I1315="","",[1]SCHEDULE!I1315)</f>
        <v/>
      </c>
      <c r="J1315" s="3" t="str">
        <f>IF([1]SCHEDULE!J1315="","",[1]SCHEDULE!J1315)</f>
        <v/>
      </c>
    </row>
    <row r="1316" spans="2:10" x14ac:dyDescent="0.25">
      <c r="B1316" s="3" t="str">
        <f>IF([1]SCHEDULE!B1316="","",[1]SCHEDULE!B1316)</f>
        <v/>
      </c>
      <c r="C1316" s="3">
        <f>IF([1]SCHEDULE!C1316="","",[1]SCHEDULE!C1316)</f>
        <v>39</v>
      </c>
      <c r="D1316" s="1" t="e">
        <f>IF([1]SCHEDULE!D1316="","",[1]SCHEDULE!D1316)</f>
        <v>#N/A</v>
      </c>
      <c r="E1316" s="1" t="str">
        <f>IF([1]SCHEDULE!E1316="","",[1]SCHEDULE!E1316)</f>
        <v/>
      </c>
      <c r="F1316" s="6" t="str">
        <f>IF([1]SCHEDULE!F1316="","",[1]SCHEDULE!F1316)</f>
        <v/>
      </c>
      <c r="G1316" s="3" t="str">
        <f>IF([1]SCHEDULE!G1316="","",[1]SCHEDULE!G1316)</f>
        <v/>
      </c>
      <c r="H1316" s="3" t="str">
        <f>IF([1]SCHEDULE!H1316="","",[1]SCHEDULE!H1316)</f>
        <v/>
      </c>
      <c r="I1316" s="3" t="str">
        <f>IF([1]SCHEDULE!I1316="","",[1]SCHEDULE!I1316)</f>
        <v/>
      </c>
      <c r="J1316" s="3" t="str">
        <f>IF([1]SCHEDULE!J1316="","",[1]SCHEDULE!J1316)</f>
        <v/>
      </c>
    </row>
    <row r="1317" spans="2:10" x14ac:dyDescent="0.25">
      <c r="B1317" s="3" t="str">
        <f>IF([1]SCHEDULE!B1317="","",[1]SCHEDULE!B1317)</f>
        <v/>
      </c>
      <c r="C1317" s="3">
        <f>IF([1]SCHEDULE!C1317="","",[1]SCHEDULE!C1317)</f>
        <v>40</v>
      </c>
      <c r="D1317" s="1" t="e">
        <f>IF([1]SCHEDULE!D1317="","",[1]SCHEDULE!D1317)</f>
        <v>#N/A</v>
      </c>
      <c r="E1317" s="1" t="str">
        <f>IF([1]SCHEDULE!E1317="","",[1]SCHEDULE!E1317)</f>
        <v/>
      </c>
      <c r="F1317" s="6" t="str">
        <f>IF([1]SCHEDULE!F1317="","",[1]SCHEDULE!F1317)</f>
        <v/>
      </c>
      <c r="G1317" s="3" t="str">
        <f>IF([1]SCHEDULE!G1317="","",[1]SCHEDULE!G1317)</f>
        <v/>
      </c>
      <c r="H1317" s="3" t="str">
        <f>IF([1]SCHEDULE!H1317="","",[1]SCHEDULE!H1317)</f>
        <v/>
      </c>
      <c r="I1317" s="3" t="str">
        <f>IF([1]SCHEDULE!I1317="","",[1]SCHEDULE!I1317)</f>
        <v/>
      </c>
      <c r="J1317" s="3" t="str">
        <f>IF([1]SCHEDULE!J1317="","",[1]SCHEDULE!J1317)</f>
        <v/>
      </c>
    </row>
    <row r="1318" spans="2:10" x14ac:dyDescent="0.25">
      <c r="B1318" s="3" t="str">
        <f>IF([1]SCHEDULE!B1318="","",[1]SCHEDULE!B1318)</f>
        <v/>
      </c>
      <c r="C1318" s="3">
        <f>IF([1]SCHEDULE!C1318="","",[1]SCHEDULE!C1318)</f>
        <v>41</v>
      </c>
      <c r="D1318" s="1" t="e">
        <f>IF([1]SCHEDULE!D1318="","",[1]SCHEDULE!D1318)</f>
        <v>#N/A</v>
      </c>
      <c r="E1318" s="1" t="str">
        <f>IF([1]SCHEDULE!E1318="","",[1]SCHEDULE!E1318)</f>
        <v/>
      </c>
      <c r="F1318" s="6" t="str">
        <f>IF([1]SCHEDULE!F1318="","",[1]SCHEDULE!F1318)</f>
        <v/>
      </c>
      <c r="G1318" s="3" t="str">
        <f>IF([1]SCHEDULE!G1318="","",[1]SCHEDULE!G1318)</f>
        <v/>
      </c>
      <c r="H1318" s="3" t="str">
        <f>IF([1]SCHEDULE!H1318="","",[1]SCHEDULE!H1318)</f>
        <v/>
      </c>
      <c r="I1318" s="3" t="str">
        <f>IF([1]SCHEDULE!I1318="","",[1]SCHEDULE!I1318)</f>
        <v/>
      </c>
      <c r="J1318" s="3" t="str">
        <f>IF([1]SCHEDULE!J1318="","",[1]SCHEDULE!J1318)</f>
        <v/>
      </c>
    </row>
    <row r="1319" spans="2:10" x14ac:dyDescent="0.25">
      <c r="B1319" s="3" t="str">
        <f>IF([1]SCHEDULE!B1319="","",[1]SCHEDULE!B1319)</f>
        <v/>
      </c>
      <c r="C1319" s="3">
        <f>IF([1]SCHEDULE!C1319="","",[1]SCHEDULE!C1319)</f>
        <v>42</v>
      </c>
      <c r="D1319" s="1" t="e">
        <f>IF([1]SCHEDULE!D1319="","",[1]SCHEDULE!D1319)</f>
        <v>#N/A</v>
      </c>
      <c r="E1319" s="1" t="str">
        <f>IF([1]SCHEDULE!E1319="","",[1]SCHEDULE!E1319)</f>
        <v/>
      </c>
      <c r="F1319" s="6" t="str">
        <f>IF([1]SCHEDULE!F1319="","",[1]SCHEDULE!F1319)</f>
        <v/>
      </c>
      <c r="G1319" s="3" t="str">
        <f>IF([1]SCHEDULE!G1319="","",[1]SCHEDULE!G1319)</f>
        <v/>
      </c>
      <c r="H1319" s="3" t="str">
        <f>IF([1]SCHEDULE!H1319="","",[1]SCHEDULE!H1319)</f>
        <v/>
      </c>
      <c r="I1319" s="3" t="str">
        <f>IF([1]SCHEDULE!I1319="","",[1]SCHEDULE!I1319)</f>
        <v/>
      </c>
      <c r="J1319" s="3" t="str">
        <f>IF([1]SCHEDULE!J1319="","",[1]SCHEDULE!J1319)</f>
        <v/>
      </c>
    </row>
    <row r="1320" spans="2:10" x14ac:dyDescent="0.25">
      <c r="B1320" s="3" t="str">
        <f>IF([1]SCHEDULE!B1320="","",[1]SCHEDULE!B1320)</f>
        <v/>
      </c>
      <c r="C1320" s="3">
        <f>IF([1]SCHEDULE!C1320="","",[1]SCHEDULE!C1320)</f>
        <v>43</v>
      </c>
      <c r="D1320" s="1" t="e">
        <f>IF([1]SCHEDULE!D1320="","",[1]SCHEDULE!D1320)</f>
        <v>#N/A</v>
      </c>
      <c r="E1320" s="1" t="str">
        <f>IF([1]SCHEDULE!E1320="","",[1]SCHEDULE!E1320)</f>
        <v/>
      </c>
      <c r="F1320" s="6" t="str">
        <f>IF([1]SCHEDULE!F1320="","",[1]SCHEDULE!F1320)</f>
        <v/>
      </c>
      <c r="G1320" s="3" t="str">
        <f>IF([1]SCHEDULE!G1320="","",[1]SCHEDULE!G1320)</f>
        <v/>
      </c>
      <c r="H1320" s="3" t="str">
        <f>IF([1]SCHEDULE!H1320="","",[1]SCHEDULE!H1320)</f>
        <v/>
      </c>
      <c r="I1320" s="3" t="str">
        <f>IF([1]SCHEDULE!I1320="","",[1]SCHEDULE!I1320)</f>
        <v/>
      </c>
      <c r="J1320" s="3" t="str">
        <f>IF([1]SCHEDULE!J1320="","",[1]SCHEDULE!J1320)</f>
        <v/>
      </c>
    </row>
    <row r="1321" spans="2:10" x14ac:dyDescent="0.25">
      <c r="B1321" s="3" t="str">
        <f>IF([1]SCHEDULE!B1321="","",[1]SCHEDULE!B1321)</f>
        <v/>
      </c>
      <c r="C1321" s="3">
        <f>IF([1]SCHEDULE!C1321="","",[1]SCHEDULE!C1321)</f>
        <v>44</v>
      </c>
      <c r="D1321" s="1" t="e">
        <f>IF([1]SCHEDULE!D1321="","",[1]SCHEDULE!D1321)</f>
        <v>#N/A</v>
      </c>
      <c r="E1321" s="1" t="str">
        <f>IF([1]SCHEDULE!E1321="","",[1]SCHEDULE!E1321)</f>
        <v/>
      </c>
      <c r="F1321" s="6" t="str">
        <f>IF([1]SCHEDULE!F1321="","",[1]SCHEDULE!F1321)</f>
        <v/>
      </c>
      <c r="G1321" s="3" t="str">
        <f>IF([1]SCHEDULE!G1321="","",[1]SCHEDULE!G1321)</f>
        <v/>
      </c>
      <c r="H1321" s="3" t="str">
        <f>IF([1]SCHEDULE!H1321="","",[1]SCHEDULE!H1321)</f>
        <v/>
      </c>
      <c r="I1321" s="3" t="str">
        <f>IF([1]SCHEDULE!I1321="","",[1]SCHEDULE!I1321)</f>
        <v/>
      </c>
      <c r="J1321" s="3" t="str">
        <f>IF([1]SCHEDULE!J1321="","",[1]SCHEDULE!J1321)</f>
        <v/>
      </c>
    </row>
    <row r="1322" spans="2:10" x14ac:dyDescent="0.25">
      <c r="B1322" s="3" t="str">
        <f>IF([1]SCHEDULE!B1322="","",[1]SCHEDULE!B1322)</f>
        <v/>
      </c>
      <c r="C1322" s="3">
        <f>IF([1]SCHEDULE!C1322="","",[1]SCHEDULE!C1322)</f>
        <v>45</v>
      </c>
      <c r="D1322" s="1" t="e">
        <f>IF([1]SCHEDULE!D1322="","",[1]SCHEDULE!D1322)</f>
        <v>#N/A</v>
      </c>
      <c r="E1322" s="1" t="str">
        <f>IF([1]SCHEDULE!E1322="","",[1]SCHEDULE!E1322)</f>
        <v/>
      </c>
      <c r="F1322" s="6" t="str">
        <f>IF([1]SCHEDULE!F1322="","",[1]SCHEDULE!F1322)</f>
        <v/>
      </c>
      <c r="G1322" s="3" t="str">
        <f>IF([1]SCHEDULE!G1322="","",[1]SCHEDULE!G1322)</f>
        <v/>
      </c>
      <c r="H1322" s="3" t="str">
        <f>IF([1]SCHEDULE!H1322="","",[1]SCHEDULE!H1322)</f>
        <v/>
      </c>
      <c r="I1322" s="3" t="str">
        <f>IF([1]SCHEDULE!I1322="","",[1]SCHEDULE!I1322)</f>
        <v/>
      </c>
      <c r="J1322" s="3" t="str">
        <f>IF([1]SCHEDULE!J1322="","",[1]SCHEDULE!J1322)</f>
        <v/>
      </c>
    </row>
    <row r="1323" spans="2:10" x14ac:dyDescent="0.25">
      <c r="B1323" s="3" t="str">
        <f>IF([1]SCHEDULE!B1323="","",[1]SCHEDULE!B1323)</f>
        <v/>
      </c>
      <c r="C1323" s="3">
        <f>IF([1]SCHEDULE!C1323="","",[1]SCHEDULE!C1323)</f>
        <v>46</v>
      </c>
      <c r="D1323" s="1" t="e">
        <f>IF([1]SCHEDULE!D1323="","",[1]SCHEDULE!D1323)</f>
        <v>#N/A</v>
      </c>
      <c r="E1323" s="1" t="str">
        <f>IF([1]SCHEDULE!E1323="","",[1]SCHEDULE!E1323)</f>
        <v/>
      </c>
      <c r="F1323" s="6" t="str">
        <f>IF([1]SCHEDULE!F1323="","",[1]SCHEDULE!F1323)</f>
        <v/>
      </c>
      <c r="G1323" s="3" t="str">
        <f>IF([1]SCHEDULE!G1323="","",[1]SCHEDULE!G1323)</f>
        <v/>
      </c>
      <c r="H1323" s="3" t="str">
        <f>IF([1]SCHEDULE!H1323="","",[1]SCHEDULE!H1323)</f>
        <v/>
      </c>
      <c r="I1323" s="3" t="str">
        <f>IF([1]SCHEDULE!I1323="","",[1]SCHEDULE!I1323)</f>
        <v/>
      </c>
      <c r="J1323" s="3" t="str">
        <f>IF([1]SCHEDULE!J1323="","",[1]SCHEDULE!J1323)</f>
        <v/>
      </c>
    </row>
    <row r="1324" spans="2:10" x14ac:dyDescent="0.25">
      <c r="B1324" s="3" t="str">
        <f>IF([1]SCHEDULE!B1324="","",[1]SCHEDULE!B1324)</f>
        <v/>
      </c>
      <c r="C1324" s="3">
        <f>IF([1]SCHEDULE!C1324="","",[1]SCHEDULE!C1324)</f>
        <v>47</v>
      </c>
      <c r="D1324" s="1" t="e">
        <f>IF([1]SCHEDULE!D1324="","",[1]SCHEDULE!D1324)</f>
        <v>#N/A</v>
      </c>
      <c r="E1324" s="1" t="str">
        <f>IF([1]SCHEDULE!E1324="","",[1]SCHEDULE!E1324)</f>
        <v/>
      </c>
      <c r="F1324" s="6" t="str">
        <f>IF([1]SCHEDULE!F1324="","",[1]SCHEDULE!F1324)</f>
        <v/>
      </c>
      <c r="G1324" s="3" t="str">
        <f>IF([1]SCHEDULE!G1324="","",[1]SCHEDULE!G1324)</f>
        <v/>
      </c>
      <c r="H1324" s="3" t="str">
        <f>IF([1]SCHEDULE!H1324="","",[1]SCHEDULE!H1324)</f>
        <v/>
      </c>
      <c r="I1324" s="3" t="str">
        <f>IF([1]SCHEDULE!I1324="","",[1]SCHEDULE!I1324)</f>
        <v/>
      </c>
      <c r="J1324" s="3" t="str">
        <f>IF([1]SCHEDULE!J1324="","",[1]SCHEDULE!J1324)</f>
        <v/>
      </c>
    </row>
    <row r="1325" spans="2:10" x14ac:dyDescent="0.25">
      <c r="B1325" s="3" t="str">
        <f>IF([1]SCHEDULE!B1325="","",[1]SCHEDULE!B1325)</f>
        <v/>
      </c>
      <c r="C1325" s="3">
        <f>IF([1]SCHEDULE!C1325="","",[1]SCHEDULE!C1325)</f>
        <v>48</v>
      </c>
      <c r="D1325" s="1" t="e">
        <f>IF([1]SCHEDULE!D1325="","",[1]SCHEDULE!D1325)</f>
        <v>#N/A</v>
      </c>
      <c r="E1325" s="1" t="str">
        <f>IF([1]SCHEDULE!E1325="","",[1]SCHEDULE!E1325)</f>
        <v/>
      </c>
      <c r="F1325" s="6" t="str">
        <f>IF([1]SCHEDULE!F1325="","",[1]SCHEDULE!F1325)</f>
        <v/>
      </c>
      <c r="G1325" s="3" t="str">
        <f>IF([1]SCHEDULE!G1325="","",[1]SCHEDULE!G1325)</f>
        <v/>
      </c>
      <c r="H1325" s="3" t="str">
        <f>IF([1]SCHEDULE!H1325="","",[1]SCHEDULE!H1325)</f>
        <v/>
      </c>
      <c r="I1325" s="3" t="str">
        <f>IF([1]SCHEDULE!I1325="","",[1]SCHEDULE!I1325)</f>
        <v/>
      </c>
      <c r="J1325" s="3" t="str">
        <f>IF([1]SCHEDULE!J1325="","",[1]SCHEDULE!J1325)</f>
        <v/>
      </c>
    </row>
    <row r="1326" spans="2:10" x14ac:dyDescent="0.25">
      <c r="B1326" s="3" t="str">
        <f>IF([1]SCHEDULE!B1326="","",[1]SCHEDULE!B1326)</f>
        <v/>
      </c>
      <c r="C1326" s="3">
        <f>IF([1]SCHEDULE!C1326="","",[1]SCHEDULE!C1326)</f>
        <v>49</v>
      </c>
      <c r="D1326" s="1" t="e">
        <f>IF([1]SCHEDULE!D1326="","",[1]SCHEDULE!D1326)</f>
        <v>#N/A</v>
      </c>
      <c r="E1326" s="1" t="str">
        <f>IF([1]SCHEDULE!E1326="","",[1]SCHEDULE!E1326)</f>
        <v/>
      </c>
      <c r="F1326" s="6" t="str">
        <f>IF([1]SCHEDULE!F1326="","",[1]SCHEDULE!F1326)</f>
        <v/>
      </c>
      <c r="G1326" s="3" t="str">
        <f>IF([1]SCHEDULE!G1326="","",[1]SCHEDULE!G1326)</f>
        <v/>
      </c>
      <c r="H1326" s="3" t="str">
        <f>IF([1]SCHEDULE!H1326="","",[1]SCHEDULE!H1326)</f>
        <v/>
      </c>
      <c r="I1326" s="3" t="str">
        <f>IF([1]SCHEDULE!I1326="","",[1]SCHEDULE!I1326)</f>
        <v/>
      </c>
      <c r="J1326" s="3" t="str">
        <f>IF([1]SCHEDULE!J1326="","",[1]SCHEDULE!J1326)</f>
        <v/>
      </c>
    </row>
    <row r="1327" spans="2:10" x14ac:dyDescent="0.25">
      <c r="B1327" s="3" t="str">
        <f>IF([1]SCHEDULE!B1327="","",[1]SCHEDULE!B1327)</f>
        <v/>
      </c>
      <c r="C1327" s="3">
        <f>IF([1]SCHEDULE!C1327="","",[1]SCHEDULE!C1327)</f>
        <v>50</v>
      </c>
      <c r="D1327" s="1" t="e">
        <f>IF([1]SCHEDULE!D1327="","",[1]SCHEDULE!D1327)</f>
        <v>#N/A</v>
      </c>
      <c r="E1327" s="1" t="str">
        <f>IF([1]SCHEDULE!E1327="","",[1]SCHEDULE!E1327)</f>
        <v/>
      </c>
      <c r="F1327" s="6" t="str">
        <f>IF([1]SCHEDULE!F1327="","",[1]SCHEDULE!F1327)</f>
        <v/>
      </c>
      <c r="G1327" s="3" t="str">
        <f>IF([1]SCHEDULE!G1327="","",[1]SCHEDULE!G1327)</f>
        <v/>
      </c>
      <c r="H1327" s="3" t="str">
        <f>IF([1]SCHEDULE!H1327="","",[1]SCHEDULE!H1327)</f>
        <v/>
      </c>
      <c r="I1327" s="3" t="str">
        <f>IF([1]SCHEDULE!I1327="","",[1]SCHEDULE!I1327)</f>
        <v/>
      </c>
      <c r="J1327" s="3" t="str">
        <f>IF([1]SCHEDULE!J1327="","",[1]SCHEDULE!J1327)</f>
        <v/>
      </c>
    </row>
    <row r="1328" spans="2:10" x14ac:dyDescent="0.25">
      <c r="B1328" s="3" t="str">
        <f>IF([1]SCHEDULE!B1328="","",[1]SCHEDULE!B1328)</f>
        <v/>
      </c>
      <c r="C1328" s="3">
        <f>IF([1]SCHEDULE!C1328="","",[1]SCHEDULE!C1328)</f>
        <v>51</v>
      </c>
      <c r="D1328" s="1" t="e">
        <f>IF([1]SCHEDULE!D1328="","",[1]SCHEDULE!D1328)</f>
        <v>#N/A</v>
      </c>
      <c r="E1328" s="1" t="str">
        <f>IF([1]SCHEDULE!E1328="","",[1]SCHEDULE!E1328)</f>
        <v/>
      </c>
      <c r="F1328" s="6" t="str">
        <f>IF([1]SCHEDULE!F1328="","",[1]SCHEDULE!F1328)</f>
        <v/>
      </c>
      <c r="G1328" s="3" t="str">
        <f>IF([1]SCHEDULE!G1328="","",[1]SCHEDULE!G1328)</f>
        <v/>
      </c>
      <c r="H1328" s="3" t="str">
        <f>IF([1]SCHEDULE!H1328="","",[1]SCHEDULE!H1328)</f>
        <v/>
      </c>
      <c r="I1328" s="3" t="str">
        <f>IF([1]SCHEDULE!I1328="","",[1]SCHEDULE!I1328)</f>
        <v/>
      </c>
      <c r="J1328" s="3" t="str">
        <f>IF([1]SCHEDULE!J1328="","",[1]SCHEDULE!J1328)</f>
        <v/>
      </c>
    </row>
    <row r="1329" spans="2:10" x14ac:dyDescent="0.25">
      <c r="B1329" s="3" t="str">
        <f>IF([1]SCHEDULE!B1329="","",[1]SCHEDULE!B1329)</f>
        <v/>
      </c>
      <c r="C1329" s="3">
        <f>IF([1]SCHEDULE!C1329="","",[1]SCHEDULE!C1329)</f>
        <v>1</v>
      </c>
      <c r="D1329" s="1" t="e">
        <f>IF([1]SCHEDULE!D1329="","",[1]SCHEDULE!D1329)</f>
        <v>#N/A</v>
      </c>
      <c r="E1329" s="1" t="str">
        <f>IF([1]SCHEDULE!E1329="","",[1]SCHEDULE!E1329)</f>
        <v/>
      </c>
      <c r="F1329" s="6" t="str">
        <f>IF([1]SCHEDULE!F1329="","",[1]SCHEDULE!F1329)</f>
        <v/>
      </c>
      <c r="G1329" s="3" t="str">
        <f>IF([1]SCHEDULE!G1329="","",[1]SCHEDULE!G1329)</f>
        <v/>
      </c>
      <c r="H1329" s="3" t="str">
        <f>IF([1]SCHEDULE!H1329="","",[1]SCHEDULE!H1329)</f>
        <v/>
      </c>
      <c r="I1329" s="3" t="str">
        <f>IF([1]SCHEDULE!I1329="","",[1]SCHEDULE!I1329)</f>
        <v/>
      </c>
      <c r="J1329" s="3" t="str">
        <f>IF([1]SCHEDULE!J1329="","",[1]SCHEDULE!J1329)</f>
        <v/>
      </c>
    </row>
    <row r="1330" spans="2:10" x14ac:dyDescent="0.25">
      <c r="B1330" s="3" t="str">
        <f>IF([1]SCHEDULE!B1330="","",[1]SCHEDULE!B1330)</f>
        <v/>
      </c>
      <c r="C1330" s="3">
        <f>IF([1]SCHEDULE!C1330="","",[1]SCHEDULE!C1330)</f>
        <v>2</v>
      </c>
      <c r="D1330" s="1" t="e">
        <f>IF([1]SCHEDULE!D1330="","",[1]SCHEDULE!D1330)</f>
        <v>#N/A</v>
      </c>
      <c r="E1330" s="1" t="str">
        <f>IF([1]SCHEDULE!E1330="","",[1]SCHEDULE!E1330)</f>
        <v/>
      </c>
      <c r="F1330" s="6" t="str">
        <f>IF([1]SCHEDULE!F1330="","",[1]SCHEDULE!F1330)</f>
        <v/>
      </c>
      <c r="G1330" s="3" t="str">
        <f>IF([1]SCHEDULE!G1330="","",[1]SCHEDULE!G1330)</f>
        <v/>
      </c>
      <c r="H1330" s="3" t="str">
        <f>IF([1]SCHEDULE!H1330="","",[1]SCHEDULE!H1330)</f>
        <v/>
      </c>
      <c r="I1330" s="3" t="str">
        <f>IF([1]SCHEDULE!I1330="","",[1]SCHEDULE!I1330)</f>
        <v/>
      </c>
      <c r="J1330" s="3" t="str">
        <f>IF([1]SCHEDULE!J1330="","",[1]SCHEDULE!J1330)</f>
        <v/>
      </c>
    </row>
    <row r="1331" spans="2:10" x14ac:dyDescent="0.25">
      <c r="B1331" s="3" t="str">
        <f>IF([1]SCHEDULE!B1331="","",[1]SCHEDULE!B1331)</f>
        <v/>
      </c>
      <c r="C1331" s="3">
        <f>IF([1]SCHEDULE!C1331="","",[1]SCHEDULE!C1331)</f>
        <v>3</v>
      </c>
      <c r="D1331" s="1" t="e">
        <f>IF([1]SCHEDULE!D1331="","",[1]SCHEDULE!D1331)</f>
        <v>#N/A</v>
      </c>
      <c r="E1331" s="1" t="str">
        <f>IF([1]SCHEDULE!E1331="","",[1]SCHEDULE!E1331)</f>
        <v/>
      </c>
      <c r="F1331" s="6" t="str">
        <f>IF([1]SCHEDULE!F1331="","",[1]SCHEDULE!F1331)</f>
        <v/>
      </c>
      <c r="G1331" s="3" t="str">
        <f>IF([1]SCHEDULE!G1331="","",[1]SCHEDULE!G1331)</f>
        <v/>
      </c>
      <c r="H1331" s="3" t="str">
        <f>IF([1]SCHEDULE!H1331="","",[1]SCHEDULE!H1331)</f>
        <v/>
      </c>
      <c r="I1331" s="3" t="str">
        <f>IF([1]SCHEDULE!I1331="","",[1]SCHEDULE!I1331)</f>
        <v/>
      </c>
      <c r="J1331" s="3" t="str">
        <f>IF([1]SCHEDULE!J1331="","",[1]SCHEDULE!J1331)</f>
        <v/>
      </c>
    </row>
    <row r="1332" spans="2:10" x14ac:dyDescent="0.25">
      <c r="B1332" s="3" t="str">
        <f>IF([1]SCHEDULE!B1332="","",[1]SCHEDULE!B1332)</f>
        <v/>
      </c>
      <c r="C1332" s="3">
        <f>IF([1]SCHEDULE!C1332="","",[1]SCHEDULE!C1332)</f>
        <v>4</v>
      </c>
      <c r="D1332" s="1" t="e">
        <f>IF([1]SCHEDULE!D1332="","",[1]SCHEDULE!D1332)</f>
        <v>#N/A</v>
      </c>
      <c r="E1332" s="1" t="str">
        <f>IF([1]SCHEDULE!E1332="","",[1]SCHEDULE!E1332)</f>
        <v/>
      </c>
      <c r="F1332" s="6" t="str">
        <f>IF([1]SCHEDULE!F1332="","",[1]SCHEDULE!F1332)</f>
        <v/>
      </c>
      <c r="G1332" s="3" t="str">
        <f>IF([1]SCHEDULE!G1332="","",[1]SCHEDULE!G1332)</f>
        <v/>
      </c>
      <c r="H1332" s="3" t="str">
        <f>IF([1]SCHEDULE!H1332="","",[1]SCHEDULE!H1332)</f>
        <v/>
      </c>
      <c r="I1332" s="3" t="str">
        <f>IF([1]SCHEDULE!I1332="","",[1]SCHEDULE!I1332)</f>
        <v/>
      </c>
      <c r="J1332" s="3" t="str">
        <f>IF([1]SCHEDULE!J1332="","",[1]SCHEDULE!J1332)</f>
        <v/>
      </c>
    </row>
    <row r="1333" spans="2:10" x14ac:dyDescent="0.25">
      <c r="B1333" s="3" t="str">
        <f>IF([1]SCHEDULE!B1333="","",[1]SCHEDULE!B1333)</f>
        <v/>
      </c>
      <c r="C1333" s="3">
        <f>IF([1]SCHEDULE!C1333="","",[1]SCHEDULE!C1333)</f>
        <v>5</v>
      </c>
      <c r="D1333" s="1" t="e">
        <f>IF([1]SCHEDULE!D1333="","",[1]SCHEDULE!D1333)</f>
        <v>#N/A</v>
      </c>
      <c r="E1333" s="1" t="str">
        <f>IF([1]SCHEDULE!E1333="","",[1]SCHEDULE!E1333)</f>
        <v/>
      </c>
      <c r="F1333" s="6" t="str">
        <f>IF([1]SCHEDULE!F1333="","",[1]SCHEDULE!F1333)</f>
        <v/>
      </c>
      <c r="G1333" s="3" t="str">
        <f>IF([1]SCHEDULE!G1333="","",[1]SCHEDULE!G1333)</f>
        <v/>
      </c>
      <c r="H1333" s="3" t="str">
        <f>IF([1]SCHEDULE!H1333="","",[1]SCHEDULE!H1333)</f>
        <v/>
      </c>
      <c r="I1333" s="3" t="str">
        <f>IF([1]SCHEDULE!I1333="","",[1]SCHEDULE!I1333)</f>
        <v/>
      </c>
      <c r="J1333" s="3" t="str">
        <f>IF([1]SCHEDULE!J1333="","",[1]SCHEDULE!J1333)</f>
        <v/>
      </c>
    </row>
    <row r="1334" spans="2:10" x14ac:dyDescent="0.25">
      <c r="B1334" s="3" t="str">
        <f>IF([1]SCHEDULE!B1334="","",[1]SCHEDULE!B1334)</f>
        <v/>
      </c>
      <c r="C1334" s="3">
        <f>IF([1]SCHEDULE!C1334="","",[1]SCHEDULE!C1334)</f>
        <v>6</v>
      </c>
      <c r="D1334" s="1" t="e">
        <f>IF([1]SCHEDULE!D1334="","",[1]SCHEDULE!D1334)</f>
        <v>#N/A</v>
      </c>
      <c r="E1334" s="1" t="str">
        <f>IF([1]SCHEDULE!E1334="","",[1]SCHEDULE!E1334)</f>
        <v/>
      </c>
      <c r="F1334" s="6" t="str">
        <f>IF([1]SCHEDULE!F1334="","",[1]SCHEDULE!F1334)</f>
        <v/>
      </c>
      <c r="G1334" s="3" t="str">
        <f>IF([1]SCHEDULE!G1334="","",[1]SCHEDULE!G1334)</f>
        <v/>
      </c>
      <c r="H1334" s="3" t="str">
        <f>IF([1]SCHEDULE!H1334="","",[1]SCHEDULE!H1334)</f>
        <v/>
      </c>
      <c r="I1334" s="3" t="str">
        <f>IF([1]SCHEDULE!I1334="","",[1]SCHEDULE!I1334)</f>
        <v/>
      </c>
      <c r="J1334" s="3" t="str">
        <f>IF([1]SCHEDULE!J1334="","",[1]SCHEDULE!J1334)</f>
        <v/>
      </c>
    </row>
    <row r="1335" spans="2:10" x14ac:dyDescent="0.25">
      <c r="B1335" s="3" t="str">
        <f>IF([1]SCHEDULE!B1335="","",[1]SCHEDULE!B1335)</f>
        <v/>
      </c>
      <c r="C1335" s="3">
        <f>IF([1]SCHEDULE!C1335="","",[1]SCHEDULE!C1335)</f>
        <v>7</v>
      </c>
      <c r="D1335" s="1" t="e">
        <f>IF([1]SCHEDULE!D1335="","",[1]SCHEDULE!D1335)</f>
        <v>#N/A</v>
      </c>
      <c r="E1335" s="1" t="str">
        <f>IF([1]SCHEDULE!E1335="","",[1]SCHEDULE!E1335)</f>
        <v/>
      </c>
      <c r="F1335" s="6" t="str">
        <f>IF([1]SCHEDULE!F1335="","",[1]SCHEDULE!F1335)</f>
        <v/>
      </c>
      <c r="G1335" s="3" t="str">
        <f>IF([1]SCHEDULE!G1335="","",[1]SCHEDULE!G1335)</f>
        <v/>
      </c>
      <c r="H1335" s="3" t="str">
        <f>IF([1]SCHEDULE!H1335="","",[1]SCHEDULE!H1335)</f>
        <v/>
      </c>
      <c r="I1335" s="3" t="str">
        <f>IF([1]SCHEDULE!I1335="","",[1]SCHEDULE!I1335)</f>
        <v/>
      </c>
      <c r="J1335" s="3" t="str">
        <f>IF([1]SCHEDULE!J1335="","",[1]SCHEDULE!J1335)</f>
        <v/>
      </c>
    </row>
    <row r="1336" spans="2:10" x14ac:dyDescent="0.25">
      <c r="B1336" s="3" t="str">
        <f>IF([1]SCHEDULE!B1336="","",[1]SCHEDULE!B1336)</f>
        <v/>
      </c>
      <c r="C1336" s="3">
        <f>IF([1]SCHEDULE!C1336="","",[1]SCHEDULE!C1336)</f>
        <v>8</v>
      </c>
      <c r="D1336" s="1" t="e">
        <f>IF([1]SCHEDULE!D1336="","",[1]SCHEDULE!D1336)</f>
        <v>#N/A</v>
      </c>
      <c r="E1336" s="1" t="str">
        <f>IF([1]SCHEDULE!E1336="","",[1]SCHEDULE!E1336)</f>
        <v/>
      </c>
      <c r="F1336" s="6" t="str">
        <f>IF([1]SCHEDULE!F1336="","",[1]SCHEDULE!F1336)</f>
        <v/>
      </c>
      <c r="G1336" s="3" t="str">
        <f>IF([1]SCHEDULE!G1336="","",[1]SCHEDULE!G1336)</f>
        <v/>
      </c>
      <c r="H1336" s="3" t="str">
        <f>IF([1]SCHEDULE!H1336="","",[1]SCHEDULE!H1336)</f>
        <v/>
      </c>
      <c r="I1336" s="3" t="str">
        <f>IF([1]SCHEDULE!I1336="","",[1]SCHEDULE!I1336)</f>
        <v/>
      </c>
      <c r="J1336" s="3" t="str">
        <f>IF([1]SCHEDULE!J1336="","",[1]SCHEDULE!J1336)</f>
        <v/>
      </c>
    </row>
    <row r="1337" spans="2:10" x14ac:dyDescent="0.25">
      <c r="B1337" s="3" t="str">
        <f>IF([1]SCHEDULE!B1337="","",[1]SCHEDULE!B1337)</f>
        <v/>
      </c>
      <c r="C1337" s="3">
        <f>IF([1]SCHEDULE!C1337="","",[1]SCHEDULE!C1337)</f>
        <v>9</v>
      </c>
      <c r="D1337" s="1" t="e">
        <f>IF([1]SCHEDULE!D1337="","",[1]SCHEDULE!D1337)</f>
        <v>#N/A</v>
      </c>
      <c r="E1337" s="1" t="str">
        <f>IF([1]SCHEDULE!E1337="","",[1]SCHEDULE!E1337)</f>
        <v/>
      </c>
      <c r="F1337" s="6" t="str">
        <f>IF([1]SCHEDULE!F1337="","",[1]SCHEDULE!F1337)</f>
        <v/>
      </c>
      <c r="G1337" s="3" t="str">
        <f>IF([1]SCHEDULE!G1337="","",[1]SCHEDULE!G1337)</f>
        <v/>
      </c>
      <c r="H1337" s="3" t="str">
        <f>IF([1]SCHEDULE!H1337="","",[1]SCHEDULE!H1337)</f>
        <v/>
      </c>
      <c r="I1337" s="3" t="str">
        <f>IF([1]SCHEDULE!I1337="","",[1]SCHEDULE!I1337)</f>
        <v/>
      </c>
      <c r="J1337" s="3" t="str">
        <f>IF([1]SCHEDULE!J1337="","",[1]SCHEDULE!J1337)</f>
        <v/>
      </c>
    </row>
    <row r="1338" spans="2:10" x14ac:dyDescent="0.25">
      <c r="B1338" s="3" t="str">
        <f>IF([1]SCHEDULE!B1338="","",[1]SCHEDULE!B1338)</f>
        <v/>
      </c>
      <c r="C1338" s="3">
        <f>IF([1]SCHEDULE!C1338="","",[1]SCHEDULE!C1338)</f>
        <v>10</v>
      </c>
      <c r="D1338" s="1" t="e">
        <f>IF([1]SCHEDULE!D1338="","",[1]SCHEDULE!D1338)</f>
        <v>#N/A</v>
      </c>
      <c r="E1338" s="1" t="str">
        <f>IF([1]SCHEDULE!E1338="","",[1]SCHEDULE!E1338)</f>
        <v/>
      </c>
      <c r="F1338" s="6" t="str">
        <f>IF([1]SCHEDULE!F1338="","",[1]SCHEDULE!F1338)</f>
        <v/>
      </c>
      <c r="G1338" s="3" t="str">
        <f>IF([1]SCHEDULE!G1338="","",[1]SCHEDULE!G1338)</f>
        <v/>
      </c>
      <c r="H1338" s="3" t="str">
        <f>IF([1]SCHEDULE!H1338="","",[1]SCHEDULE!H1338)</f>
        <v/>
      </c>
      <c r="I1338" s="3" t="str">
        <f>IF([1]SCHEDULE!I1338="","",[1]SCHEDULE!I1338)</f>
        <v/>
      </c>
      <c r="J1338" s="3" t="str">
        <f>IF([1]SCHEDULE!J1338="","",[1]SCHEDULE!J1338)</f>
        <v/>
      </c>
    </row>
    <row r="1339" spans="2:10" x14ac:dyDescent="0.25">
      <c r="B1339" s="3" t="str">
        <f>IF([1]SCHEDULE!B1339="","",[1]SCHEDULE!B1339)</f>
        <v/>
      </c>
      <c r="C1339" s="3">
        <f>IF([1]SCHEDULE!C1339="","",[1]SCHEDULE!C1339)</f>
        <v>11</v>
      </c>
      <c r="D1339" s="1" t="e">
        <f>IF([1]SCHEDULE!D1339="","",[1]SCHEDULE!D1339)</f>
        <v>#N/A</v>
      </c>
      <c r="E1339" s="1" t="str">
        <f>IF([1]SCHEDULE!E1339="","",[1]SCHEDULE!E1339)</f>
        <v/>
      </c>
      <c r="F1339" s="6" t="str">
        <f>IF([1]SCHEDULE!F1339="","",[1]SCHEDULE!F1339)</f>
        <v/>
      </c>
      <c r="G1339" s="3" t="str">
        <f>IF([1]SCHEDULE!G1339="","",[1]SCHEDULE!G1339)</f>
        <v/>
      </c>
      <c r="H1339" s="3" t="str">
        <f>IF([1]SCHEDULE!H1339="","",[1]SCHEDULE!H1339)</f>
        <v/>
      </c>
      <c r="I1339" s="3" t="str">
        <f>IF([1]SCHEDULE!I1339="","",[1]SCHEDULE!I1339)</f>
        <v/>
      </c>
      <c r="J1339" s="3" t="str">
        <f>IF([1]SCHEDULE!J1339="","",[1]SCHEDULE!J1339)</f>
        <v/>
      </c>
    </row>
    <row r="1340" spans="2:10" x14ac:dyDescent="0.25">
      <c r="B1340" s="3" t="str">
        <f>IF([1]SCHEDULE!B1340="","",[1]SCHEDULE!B1340)</f>
        <v/>
      </c>
      <c r="C1340" s="3">
        <f>IF([1]SCHEDULE!C1340="","",[1]SCHEDULE!C1340)</f>
        <v>12</v>
      </c>
      <c r="D1340" s="1" t="e">
        <f>IF([1]SCHEDULE!D1340="","",[1]SCHEDULE!D1340)</f>
        <v>#N/A</v>
      </c>
      <c r="E1340" s="1" t="str">
        <f>IF([1]SCHEDULE!E1340="","",[1]SCHEDULE!E1340)</f>
        <v/>
      </c>
      <c r="F1340" s="6" t="str">
        <f>IF([1]SCHEDULE!F1340="","",[1]SCHEDULE!F1340)</f>
        <v/>
      </c>
      <c r="G1340" s="3" t="str">
        <f>IF([1]SCHEDULE!G1340="","",[1]SCHEDULE!G1340)</f>
        <v/>
      </c>
      <c r="H1340" s="3" t="str">
        <f>IF([1]SCHEDULE!H1340="","",[1]SCHEDULE!H1340)</f>
        <v/>
      </c>
      <c r="I1340" s="3" t="str">
        <f>IF([1]SCHEDULE!I1340="","",[1]SCHEDULE!I1340)</f>
        <v/>
      </c>
      <c r="J1340" s="3" t="str">
        <f>IF([1]SCHEDULE!J1340="","",[1]SCHEDULE!J1340)</f>
        <v/>
      </c>
    </row>
    <row r="1341" spans="2:10" x14ac:dyDescent="0.25">
      <c r="B1341" s="3" t="str">
        <f>IF([1]SCHEDULE!B1341="","",[1]SCHEDULE!B1341)</f>
        <v/>
      </c>
      <c r="C1341" s="3">
        <f>IF([1]SCHEDULE!C1341="","",[1]SCHEDULE!C1341)</f>
        <v>13</v>
      </c>
      <c r="D1341" s="1" t="e">
        <f>IF([1]SCHEDULE!D1341="","",[1]SCHEDULE!D1341)</f>
        <v>#N/A</v>
      </c>
      <c r="E1341" s="1" t="str">
        <f>IF([1]SCHEDULE!E1341="","",[1]SCHEDULE!E1341)</f>
        <v/>
      </c>
      <c r="F1341" s="6" t="str">
        <f>IF([1]SCHEDULE!F1341="","",[1]SCHEDULE!F1341)</f>
        <v/>
      </c>
      <c r="G1341" s="3" t="str">
        <f>IF([1]SCHEDULE!G1341="","",[1]SCHEDULE!G1341)</f>
        <v/>
      </c>
      <c r="H1341" s="3" t="str">
        <f>IF([1]SCHEDULE!H1341="","",[1]SCHEDULE!H1341)</f>
        <v/>
      </c>
      <c r="I1341" s="3" t="str">
        <f>IF([1]SCHEDULE!I1341="","",[1]SCHEDULE!I1341)</f>
        <v/>
      </c>
      <c r="J1341" s="3" t="str">
        <f>IF([1]SCHEDULE!J1341="","",[1]SCHEDULE!J1341)</f>
        <v/>
      </c>
    </row>
    <row r="1342" spans="2:10" x14ac:dyDescent="0.25">
      <c r="B1342" s="3" t="str">
        <f>IF([1]SCHEDULE!B1342="","",[1]SCHEDULE!B1342)</f>
        <v/>
      </c>
      <c r="C1342" s="3">
        <f>IF([1]SCHEDULE!C1342="","",[1]SCHEDULE!C1342)</f>
        <v>14</v>
      </c>
      <c r="D1342" s="1" t="e">
        <f>IF([1]SCHEDULE!D1342="","",[1]SCHEDULE!D1342)</f>
        <v>#N/A</v>
      </c>
      <c r="E1342" s="1" t="str">
        <f>IF([1]SCHEDULE!E1342="","",[1]SCHEDULE!E1342)</f>
        <v/>
      </c>
      <c r="F1342" s="6" t="str">
        <f>IF([1]SCHEDULE!F1342="","",[1]SCHEDULE!F1342)</f>
        <v/>
      </c>
      <c r="G1342" s="3" t="str">
        <f>IF([1]SCHEDULE!G1342="","",[1]SCHEDULE!G1342)</f>
        <v/>
      </c>
      <c r="H1342" s="3" t="str">
        <f>IF([1]SCHEDULE!H1342="","",[1]SCHEDULE!H1342)</f>
        <v/>
      </c>
      <c r="I1342" s="3" t="str">
        <f>IF([1]SCHEDULE!I1342="","",[1]SCHEDULE!I1342)</f>
        <v/>
      </c>
      <c r="J1342" s="3" t="str">
        <f>IF([1]SCHEDULE!J1342="","",[1]SCHEDULE!J1342)</f>
        <v/>
      </c>
    </row>
    <row r="1343" spans="2:10" x14ac:dyDescent="0.25">
      <c r="B1343" s="3" t="str">
        <f>IF([1]SCHEDULE!B1343="","",[1]SCHEDULE!B1343)</f>
        <v/>
      </c>
      <c r="C1343" s="3">
        <f>IF([1]SCHEDULE!C1343="","",[1]SCHEDULE!C1343)</f>
        <v>15</v>
      </c>
      <c r="D1343" s="1" t="e">
        <f>IF([1]SCHEDULE!D1343="","",[1]SCHEDULE!D1343)</f>
        <v>#N/A</v>
      </c>
      <c r="E1343" s="1" t="str">
        <f>IF([1]SCHEDULE!E1343="","",[1]SCHEDULE!E1343)</f>
        <v/>
      </c>
      <c r="F1343" s="6" t="str">
        <f>IF([1]SCHEDULE!F1343="","",[1]SCHEDULE!F1343)</f>
        <v/>
      </c>
      <c r="G1343" s="3" t="str">
        <f>IF([1]SCHEDULE!G1343="","",[1]SCHEDULE!G1343)</f>
        <v/>
      </c>
      <c r="H1343" s="3" t="str">
        <f>IF([1]SCHEDULE!H1343="","",[1]SCHEDULE!H1343)</f>
        <v/>
      </c>
      <c r="I1343" s="3" t="str">
        <f>IF([1]SCHEDULE!I1343="","",[1]SCHEDULE!I1343)</f>
        <v/>
      </c>
      <c r="J1343" s="3" t="str">
        <f>IF([1]SCHEDULE!J1343="","",[1]SCHEDULE!J1343)</f>
        <v/>
      </c>
    </row>
    <row r="1344" spans="2:10" x14ac:dyDescent="0.25">
      <c r="B1344" s="3" t="str">
        <f>IF([1]SCHEDULE!B1344="","",[1]SCHEDULE!B1344)</f>
        <v/>
      </c>
      <c r="C1344" s="3">
        <f>IF([1]SCHEDULE!C1344="","",[1]SCHEDULE!C1344)</f>
        <v>16</v>
      </c>
      <c r="D1344" s="1" t="e">
        <f>IF([1]SCHEDULE!D1344="","",[1]SCHEDULE!D1344)</f>
        <v>#N/A</v>
      </c>
      <c r="E1344" s="1" t="str">
        <f>IF([1]SCHEDULE!E1344="","",[1]SCHEDULE!E1344)</f>
        <v/>
      </c>
      <c r="F1344" s="6" t="str">
        <f>IF([1]SCHEDULE!F1344="","",[1]SCHEDULE!F1344)</f>
        <v/>
      </c>
      <c r="G1344" s="3" t="str">
        <f>IF([1]SCHEDULE!G1344="","",[1]SCHEDULE!G1344)</f>
        <v/>
      </c>
      <c r="H1344" s="3" t="str">
        <f>IF([1]SCHEDULE!H1344="","",[1]SCHEDULE!H1344)</f>
        <v/>
      </c>
      <c r="I1344" s="3" t="str">
        <f>IF([1]SCHEDULE!I1344="","",[1]SCHEDULE!I1344)</f>
        <v/>
      </c>
      <c r="J1344" s="3" t="str">
        <f>IF([1]SCHEDULE!J1344="","",[1]SCHEDULE!J1344)</f>
        <v/>
      </c>
    </row>
    <row r="1345" spans="2:10" x14ac:dyDescent="0.25">
      <c r="B1345" s="3" t="str">
        <f>IF([1]SCHEDULE!B1345="","",[1]SCHEDULE!B1345)</f>
        <v/>
      </c>
      <c r="C1345" s="3">
        <f>IF([1]SCHEDULE!C1345="","",[1]SCHEDULE!C1345)</f>
        <v>17</v>
      </c>
      <c r="D1345" s="1" t="e">
        <f>IF([1]SCHEDULE!D1345="","",[1]SCHEDULE!D1345)</f>
        <v>#N/A</v>
      </c>
      <c r="E1345" s="1" t="str">
        <f>IF([1]SCHEDULE!E1345="","",[1]SCHEDULE!E1345)</f>
        <v/>
      </c>
      <c r="F1345" s="6" t="str">
        <f>IF([1]SCHEDULE!F1345="","",[1]SCHEDULE!F1345)</f>
        <v/>
      </c>
      <c r="G1345" s="3" t="str">
        <f>IF([1]SCHEDULE!G1345="","",[1]SCHEDULE!G1345)</f>
        <v/>
      </c>
      <c r="H1345" s="3" t="str">
        <f>IF([1]SCHEDULE!H1345="","",[1]SCHEDULE!H1345)</f>
        <v/>
      </c>
      <c r="I1345" s="3" t="str">
        <f>IF([1]SCHEDULE!I1345="","",[1]SCHEDULE!I1345)</f>
        <v/>
      </c>
      <c r="J1345" s="3" t="str">
        <f>IF([1]SCHEDULE!J1345="","",[1]SCHEDULE!J1345)</f>
        <v/>
      </c>
    </row>
    <row r="1346" spans="2:10" x14ac:dyDescent="0.25">
      <c r="B1346" s="3" t="str">
        <f>IF([1]SCHEDULE!B1346="","",[1]SCHEDULE!B1346)</f>
        <v/>
      </c>
      <c r="C1346" s="3">
        <f>IF([1]SCHEDULE!C1346="","",[1]SCHEDULE!C1346)</f>
        <v>18</v>
      </c>
      <c r="D1346" s="1" t="e">
        <f>IF([1]SCHEDULE!D1346="","",[1]SCHEDULE!D1346)</f>
        <v>#N/A</v>
      </c>
      <c r="E1346" s="1" t="str">
        <f>IF([1]SCHEDULE!E1346="","",[1]SCHEDULE!E1346)</f>
        <v/>
      </c>
      <c r="F1346" s="6" t="str">
        <f>IF([1]SCHEDULE!F1346="","",[1]SCHEDULE!F1346)</f>
        <v/>
      </c>
      <c r="G1346" s="3" t="str">
        <f>IF([1]SCHEDULE!G1346="","",[1]SCHEDULE!G1346)</f>
        <v/>
      </c>
      <c r="H1346" s="3" t="str">
        <f>IF([1]SCHEDULE!H1346="","",[1]SCHEDULE!H1346)</f>
        <v/>
      </c>
      <c r="I1346" s="3" t="str">
        <f>IF([1]SCHEDULE!I1346="","",[1]SCHEDULE!I1346)</f>
        <v/>
      </c>
      <c r="J1346" s="3" t="str">
        <f>IF([1]SCHEDULE!J1346="","",[1]SCHEDULE!J1346)</f>
        <v/>
      </c>
    </row>
    <row r="1347" spans="2:10" x14ac:dyDescent="0.25">
      <c r="B1347" s="3" t="str">
        <f>IF([1]SCHEDULE!B1347="","",[1]SCHEDULE!B1347)</f>
        <v/>
      </c>
      <c r="C1347" s="3">
        <f>IF([1]SCHEDULE!C1347="","",[1]SCHEDULE!C1347)</f>
        <v>19</v>
      </c>
      <c r="D1347" s="1" t="e">
        <f>IF([1]SCHEDULE!D1347="","",[1]SCHEDULE!D1347)</f>
        <v>#N/A</v>
      </c>
      <c r="E1347" s="1" t="str">
        <f>IF([1]SCHEDULE!E1347="","",[1]SCHEDULE!E1347)</f>
        <v/>
      </c>
      <c r="F1347" s="6" t="str">
        <f>IF([1]SCHEDULE!F1347="","",[1]SCHEDULE!F1347)</f>
        <v/>
      </c>
      <c r="G1347" s="3" t="str">
        <f>IF([1]SCHEDULE!G1347="","",[1]SCHEDULE!G1347)</f>
        <v/>
      </c>
      <c r="H1347" s="3" t="str">
        <f>IF([1]SCHEDULE!H1347="","",[1]SCHEDULE!H1347)</f>
        <v/>
      </c>
      <c r="I1347" s="3" t="str">
        <f>IF([1]SCHEDULE!I1347="","",[1]SCHEDULE!I1347)</f>
        <v/>
      </c>
      <c r="J1347" s="3" t="str">
        <f>IF([1]SCHEDULE!J1347="","",[1]SCHEDULE!J1347)</f>
        <v/>
      </c>
    </row>
    <row r="1348" spans="2:10" x14ac:dyDescent="0.25">
      <c r="B1348" s="3" t="str">
        <f>IF([1]SCHEDULE!B1348="","",[1]SCHEDULE!B1348)</f>
        <v/>
      </c>
      <c r="C1348" s="3">
        <f>IF([1]SCHEDULE!C1348="","",[1]SCHEDULE!C1348)</f>
        <v>20</v>
      </c>
      <c r="D1348" s="1" t="e">
        <f>IF([1]SCHEDULE!D1348="","",[1]SCHEDULE!D1348)</f>
        <v>#N/A</v>
      </c>
      <c r="E1348" s="1" t="str">
        <f>IF([1]SCHEDULE!E1348="","",[1]SCHEDULE!E1348)</f>
        <v/>
      </c>
      <c r="F1348" s="6" t="str">
        <f>IF([1]SCHEDULE!F1348="","",[1]SCHEDULE!F1348)</f>
        <v/>
      </c>
      <c r="G1348" s="3" t="str">
        <f>IF([1]SCHEDULE!G1348="","",[1]SCHEDULE!G1348)</f>
        <v/>
      </c>
      <c r="H1348" s="3" t="str">
        <f>IF([1]SCHEDULE!H1348="","",[1]SCHEDULE!H1348)</f>
        <v/>
      </c>
      <c r="I1348" s="3" t="str">
        <f>IF([1]SCHEDULE!I1348="","",[1]SCHEDULE!I1348)</f>
        <v/>
      </c>
      <c r="J1348" s="3" t="str">
        <f>IF([1]SCHEDULE!J1348="","",[1]SCHEDULE!J1348)</f>
        <v/>
      </c>
    </row>
    <row r="1349" spans="2:10" x14ac:dyDescent="0.25">
      <c r="B1349" s="3" t="str">
        <f>IF([1]SCHEDULE!B1349="","",[1]SCHEDULE!B1349)</f>
        <v/>
      </c>
      <c r="C1349" s="3">
        <f>IF([1]SCHEDULE!C1349="","",[1]SCHEDULE!C1349)</f>
        <v>21</v>
      </c>
      <c r="D1349" s="1" t="e">
        <f>IF([1]SCHEDULE!D1349="","",[1]SCHEDULE!D1349)</f>
        <v>#N/A</v>
      </c>
      <c r="E1349" s="1" t="str">
        <f>IF([1]SCHEDULE!E1349="","",[1]SCHEDULE!E1349)</f>
        <v/>
      </c>
      <c r="F1349" s="6" t="str">
        <f>IF([1]SCHEDULE!F1349="","",[1]SCHEDULE!F1349)</f>
        <v/>
      </c>
      <c r="G1349" s="3" t="str">
        <f>IF([1]SCHEDULE!G1349="","",[1]SCHEDULE!G1349)</f>
        <v/>
      </c>
      <c r="H1349" s="3" t="str">
        <f>IF([1]SCHEDULE!H1349="","",[1]SCHEDULE!H1349)</f>
        <v/>
      </c>
      <c r="I1349" s="3" t="str">
        <f>IF([1]SCHEDULE!I1349="","",[1]SCHEDULE!I1349)</f>
        <v/>
      </c>
      <c r="J1349" s="3" t="str">
        <f>IF([1]SCHEDULE!J1349="","",[1]SCHEDULE!J1349)</f>
        <v/>
      </c>
    </row>
    <row r="1350" spans="2:10" x14ac:dyDescent="0.25">
      <c r="B1350" s="3" t="str">
        <f>IF([1]SCHEDULE!B1350="","",[1]SCHEDULE!B1350)</f>
        <v/>
      </c>
      <c r="C1350" s="3">
        <f>IF([1]SCHEDULE!C1350="","",[1]SCHEDULE!C1350)</f>
        <v>22</v>
      </c>
      <c r="D1350" s="1" t="e">
        <f>IF([1]SCHEDULE!D1350="","",[1]SCHEDULE!D1350)</f>
        <v>#N/A</v>
      </c>
      <c r="E1350" s="1" t="str">
        <f>IF([1]SCHEDULE!E1350="","",[1]SCHEDULE!E1350)</f>
        <v/>
      </c>
      <c r="F1350" s="6" t="str">
        <f>IF([1]SCHEDULE!F1350="","",[1]SCHEDULE!F1350)</f>
        <v/>
      </c>
      <c r="G1350" s="3" t="str">
        <f>IF([1]SCHEDULE!G1350="","",[1]SCHEDULE!G1350)</f>
        <v/>
      </c>
      <c r="H1350" s="3" t="str">
        <f>IF([1]SCHEDULE!H1350="","",[1]SCHEDULE!H1350)</f>
        <v/>
      </c>
      <c r="I1350" s="3" t="str">
        <f>IF([1]SCHEDULE!I1350="","",[1]SCHEDULE!I1350)</f>
        <v/>
      </c>
      <c r="J1350" s="3" t="str">
        <f>IF([1]SCHEDULE!J1350="","",[1]SCHEDULE!J1350)</f>
        <v/>
      </c>
    </row>
    <row r="1351" spans="2:10" x14ac:dyDescent="0.25">
      <c r="B1351" s="3" t="str">
        <f>IF([1]SCHEDULE!B1351="","",[1]SCHEDULE!B1351)</f>
        <v/>
      </c>
      <c r="C1351" s="3">
        <f>IF([1]SCHEDULE!C1351="","",[1]SCHEDULE!C1351)</f>
        <v>23</v>
      </c>
      <c r="D1351" s="1" t="e">
        <f>IF([1]SCHEDULE!D1351="","",[1]SCHEDULE!D1351)</f>
        <v>#N/A</v>
      </c>
      <c r="E1351" s="1" t="str">
        <f>IF([1]SCHEDULE!E1351="","",[1]SCHEDULE!E1351)</f>
        <v/>
      </c>
      <c r="F1351" s="6" t="str">
        <f>IF([1]SCHEDULE!F1351="","",[1]SCHEDULE!F1351)</f>
        <v/>
      </c>
      <c r="G1351" s="3" t="str">
        <f>IF([1]SCHEDULE!G1351="","",[1]SCHEDULE!G1351)</f>
        <v/>
      </c>
      <c r="H1351" s="3" t="str">
        <f>IF([1]SCHEDULE!H1351="","",[1]SCHEDULE!H1351)</f>
        <v/>
      </c>
      <c r="I1351" s="3" t="str">
        <f>IF([1]SCHEDULE!I1351="","",[1]SCHEDULE!I1351)</f>
        <v/>
      </c>
      <c r="J1351" s="3" t="str">
        <f>IF([1]SCHEDULE!J1351="","",[1]SCHEDULE!J1351)</f>
        <v/>
      </c>
    </row>
    <row r="1352" spans="2:10" x14ac:dyDescent="0.25">
      <c r="B1352" s="3" t="str">
        <f>IF([1]SCHEDULE!B1352="","",[1]SCHEDULE!B1352)</f>
        <v/>
      </c>
      <c r="C1352" s="3">
        <f>IF([1]SCHEDULE!C1352="","",[1]SCHEDULE!C1352)</f>
        <v>24</v>
      </c>
      <c r="D1352" s="1" t="e">
        <f>IF([1]SCHEDULE!D1352="","",[1]SCHEDULE!D1352)</f>
        <v>#N/A</v>
      </c>
      <c r="E1352" s="1" t="str">
        <f>IF([1]SCHEDULE!E1352="","",[1]SCHEDULE!E1352)</f>
        <v/>
      </c>
      <c r="F1352" s="6" t="str">
        <f>IF([1]SCHEDULE!F1352="","",[1]SCHEDULE!F1352)</f>
        <v/>
      </c>
      <c r="G1352" s="3" t="str">
        <f>IF([1]SCHEDULE!G1352="","",[1]SCHEDULE!G1352)</f>
        <v/>
      </c>
      <c r="H1352" s="3" t="str">
        <f>IF([1]SCHEDULE!H1352="","",[1]SCHEDULE!H1352)</f>
        <v/>
      </c>
      <c r="I1352" s="3" t="str">
        <f>IF([1]SCHEDULE!I1352="","",[1]SCHEDULE!I1352)</f>
        <v/>
      </c>
      <c r="J1352" s="3" t="str">
        <f>IF([1]SCHEDULE!J1352="","",[1]SCHEDULE!J1352)</f>
        <v/>
      </c>
    </row>
    <row r="1353" spans="2:10" x14ac:dyDescent="0.25">
      <c r="B1353" s="3" t="str">
        <f>IF([1]SCHEDULE!B1353="","",[1]SCHEDULE!B1353)</f>
        <v/>
      </c>
      <c r="C1353" s="3">
        <f>IF([1]SCHEDULE!C1353="","",[1]SCHEDULE!C1353)</f>
        <v>25</v>
      </c>
      <c r="D1353" s="1" t="e">
        <f>IF([1]SCHEDULE!D1353="","",[1]SCHEDULE!D1353)</f>
        <v>#N/A</v>
      </c>
      <c r="E1353" s="1" t="str">
        <f>IF([1]SCHEDULE!E1353="","",[1]SCHEDULE!E1353)</f>
        <v/>
      </c>
      <c r="F1353" s="6" t="str">
        <f>IF([1]SCHEDULE!F1353="","",[1]SCHEDULE!F1353)</f>
        <v/>
      </c>
      <c r="G1353" s="3" t="str">
        <f>IF([1]SCHEDULE!G1353="","",[1]SCHEDULE!G1353)</f>
        <v/>
      </c>
      <c r="H1353" s="3" t="str">
        <f>IF([1]SCHEDULE!H1353="","",[1]SCHEDULE!H1353)</f>
        <v/>
      </c>
      <c r="I1353" s="3" t="str">
        <f>IF([1]SCHEDULE!I1353="","",[1]SCHEDULE!I1353)</f>
        <v/>
      </c>
      <c r="J1353" s="3" t="str">
        <f>IF([1]SCHEDULE!J1353="","",[1]SCHEDULE!J1353)</f>
        <v/>
      </c>
    </row>
    <row r="1354" spans="2:10" x14ac:dyDescent="0.25">
      <c r="B1354" s="3" t="str">
        <f>IF([1]SCHEDULE!B1354="","",[1]SCHEDULE!B1354)</f>
        <v/>
      </c>
      <c r="C1354" s="3">
        <f>IF([1]SCHEDULE!C1354="","",[1]SCHEDULE!C1354)</f>
        <v>26</v>
      </c>
      <c r="D1354" s="1" t="e">
        <f>IF([1]SCHEDULE!D1354="","",[1]SCHEDULE!D1354)</f>
        <v>#N/A</v>
      </c>
      <c r="E1354" s="1" t="str">
        <f>IF([1]SCHEDULE!E1354="","",[1]SCHEDULE!E1354)</f>
        <v/>
      </c>
      <c r="F1354" s="6" t="str">
        <f>IF([1]SCHEDULE!F1354="","",[1]SCHEDULE!F1354)</f>
        <v/>
      </c>
      <c r="G1354" s="3" t="str">
        <f>IF([1]SCHEDULE!G1354="","",[1]SCHEDULE!G1354)</f>
        <v/>
      </c>
      <c r="H1354" s="3" t="str">
        <f>IF([1]SCHEDULE!H1354="","",[1]SCHEDULE!H1354)</f>
        <v/>
      </c>
      <c r="I1354" s="3" t="str">
        <f>IF([1]SCHEDULE!I1354="","",[1]SCHEDULE!I1354)</f>
        <v/>
      </c>
      <c r="J1354" s="3" t="str">
        <f>IF([1]SCHEDULE!J1354="","",[1]SCHEDULE!J1354)</f>
        <v/>
      </c>
    </row>
    <row r="1355" spans="2:10" x14ac:dyDescent="0.25">
      <c r="B1355" s="3" t="str">
        <f>IF([1]SCHEDULE!B1355="","",[1]SCHEDULE!B1355)</f>
        <v/>
      </c>
      <c r="C1355" s="3">
        <f>IF([1]SCHEDULE!C1355="","",[1]SCHEDULE!C1355)</f>
        <v>27</v>
      </c>
      <c r="D1355" s="1" t="e">
        <f>IF([1]SCHEDULE!D1355="","",[1]SCHEDULE!D1355)</f>
        <v>#N/A</v>
      </c>
      <c r="E1355" s="1" t="str">
        <f>IF([1]SCHEDULE!E1355="","",[1]SCHEDULE!E1355)</f>
        <v/>
      </c>
      <c r="F1355" s="6" t="str">
        <f>IF([1]SCHEDULE!F1355="","",[1]SCHEDULE!F1355)</f>
        <v/>
      </c>
      <c r="G1355" s="3" t="str">
        <f>IF([1]SCHEDULE!G1355="","",[1]SCHEDULE!G1355)</f>
        <v/>
      </c>
      <c r="H1355" s="3" t="str">
        <f>IF([1]SCHEDULE!H1355="","",[1]SCHEDULE!H1355)</f>
        <v/>
      </c>
      <c r="I1355" s="3" t="str">
        <f>IF([1]SCHEDULE!I1355="","",[1]SCHEDULE!I1355)</f>
        <v/>
      </c>
      <c r="J1355" s="3" t="str">
        <f>IF([1]SCHEDULE!J1355="","",[1]SCHEDULE!J1355)</f>
        <v/>
      </c>
    </row>
    <row r="1356" spans="2:10" x14ac:dyDescent="0.25">
      <c r="B1356" s="3" t="str">
        <f>IF([1]SCHEDULE!B1356="","",[1]SCHEDULE!B1356)</f>
        <v/>
      </c>
      <c r="C1356" s="3">
        <f>IF([1]SCHEDULE!C1356="","",[1]SCHEDULE!C1356)</f>
        <v>28</v>
      </c>
      <c r="D1356" s="1" t="e">
        <f>IF([1]SCHEDULE!D1356="","",[1]SCHEDULE!D1356)</f>
        <v>#N/A</v>
      </c>
      <c r="E1356" s="1" t="str">
        <f>IF([1]SCHEDULE!E1356="","",[1]SCHEDULE!E1356)</f>
        <v/>
      </c>
      <c r="F1356" s="6" t="str">
        <f>IF([1]SCHEDULE!F1356="","",[1]SCHEDULE!F1356)</f>
        <v/>
      </c>
      <c r="G1356" s="3" t="str">
        <f>IF([1]SCHEDULE!G1356="","",[1]SCHEDULE!G1356)</f>
        <v/>
      </c>
      <c r="H1356" s="3" t="str">
        <f>IF([1]SCHEDULE!H1356="","",[1]SCHEDULE!H1356)</f>
        <v/>
      </c>
      <c r="I1356" s="3" t="str">
        <f>IF([1]SCHEDULE!I1356="","",[1]SCHEDULE!I1356)</f>
        <v/>
      </c>
      <c r="J1356" s="3" t="str">
        <f>IF([1]SCHEDULE!J1356="","",[1]SCHEDULE!J1356)</f>
        <v/>
      </c>
    </row>
    <row r="1357" spans="2:10" x14ac:dyDescent="0.25">
      <c r="B1357" s="3" t="str">
        <f>IF([1]SCHEDULE!B1357="","",[1]SCHEDULE!B1357)</f>
        <v/>
      </c>
      <c r="C1357" s="3">
        <f>IF([1]SCHEDULE!C1357="","",[1]SCHEDULE!C1357)</f>
        <v>29</v>
      </c>
      <c r="D1357" s="1" t="e">
        <f>IF([1]SCHEDULE!D1357="","",[1]SCHEDULE!D1357)</f>
        <v>#N/A</v>
      </c>
      <c r="E1357" s="1" t="str">
        <f>IF([1]SCHEDULE!E1357="","",[1]SCHEDULE!E1357)</f>
        <v/>
      </c>
      <c r="F1357" s="6" t="str">
        <f>IF([1]SCHEDULE!F1357="","",[1]SCHEDULE!F1357)</f>
        <v/>
      </c>
      <c r="G1357" s="3" t="str">
        <f>IF([1]SCHEDULE!G1357="","",[1]SCHEDULE!G1357)</f>
        <v/>
      </c>
      <c r="H1357" s="3" t="str">
        <f>IF([1]SCHEDULE!H1357="","",[1]SCHEDULE!H1357)</f>
        <v/>
      </c>
      <c r="I1357" s="3" t="str">
        <f>IF([1]SCHEDULE!I1357="","",[1]SCHEDULE!I1357)</f>
        <v/>
      </c>
      <c r="J1357" s="3" t="str">
        <f>IF([1]SCHEDULE!J1357="","",[1]SCHEDULE!J1357)</f>
        <v/>
      </c>
    </row>
    <row r="1358" spans="2:10" x14ac:dyDescent="0.25">
      <c r="B1358" s="3" t="str">
        <f>IF([1]SCHEDULE!B1358="","",[1]SCHEDULE!B1358)</f>
        <v/>
      </c>
      <c r="C1358" s="3">
        <f>IF([1]SCHEDULE!C1358="","",[1]SCHEDULE!C1358)</f>
        <v>30</v>
      </c>
      <c r="D1358" s="1" t="e">
        <f>IF([1]SCHEDULE!D1358="","",[1]SCHEDULE!D1358)</f>
        <v>#N/A</v>
      </c>
      <c r="E1358" s="1" t="str">
        <f>IF([1]SCHEDULE!E1358="","",[1]SCHEDULE!E1358)</f>
        <v/>
      </c>
      <c r="F1358" s="6" t="str">
        <f>IF([1]SCHEDULE!F1358="","",[1]SCHEDULE!F1358)</f>
        <v/>
      </c>
      <c r="G1358" s="3" t="str">
        <f>IF([1]SCHEDULE!G1358="","",[1]SCHEDULE!G1358)</f>
        <v/>
      </c>
      <c r="H1358" s="3" t="str">
        <f>IF([1]SCHEDULE!H1358="","",[1]SCHEDULE!H1358)</f>
        <v/>
      </c>
      <c r="I1358" s="3" t="str">
        <f>IF([1]SCHEDULE!I1358="","",[1]SCHEDULE!I1358)</f>
        <v/>
      </c>
      <c r="J1358" s="3" t="str">
        <f>IF([1]SCHEDULE!J1358="","",[1]SCHEDULE!J1358)</f>
        <v/>
      </c>
    </row>
    <row r="1359" spans="2:10" x14ac:dyDescent="0.25">
      <c r="B1359" s="3" t="str">
        <f>IF([1]SCHEDULE!B1359="","",[1]SCHEDULE!B1359)</f>
        <v/>
      </c>
      <c r="C1359" s="3">
        <f>IF([1]SCHEDULE!C1359="","",[1]SCHEDULE!C1359)</f>
        <v>31</v>
      </c>
      <c r="D1359" s="1" t="e">
        <f>IF([1]SCHEDULE!D1359="","",[1]SCHEDULE!D1359)</f>
        <v>#N/A</v>
      </c>
      <c r="E1359" s="1" t="str">
        <f>IF([1]SCHEDULE!E1359="","",[1]SCHEDULE!E1359)</f>
        <v/>
      </c>
      <c r="F1359" s="6" t="str">
        <f>IF([1]SCHEDULE!F1359="","",[1]SCHEDULE!F1359)</f>
        <v/>
      </c>
      <c r="G1359" s="3" t="str">
        <f>IF([1]SCHEDULE!G1359="","",[1]SCHEDULE!G1359)</f>
        <v/>
      </c>
      <c r="H1359" s="3" t="str">
        <f>IF([1]SCHEDULE!H1359="","",[1]SCHEDULE!H1359)</f>
        <v/>
      </c>
      <c r="I1359" s="3" t="str">
        <f>IF([1]SCHEDULE!I1359="","",[1]SCHEDULE!I1359)</f>
        <v/>
      </c>
      <c r="J1359" s="3" t="str">
        <f>IF([1]SCHEDULE!J1359="","",[1]SCHEDULE!J1359)</f>
        <v/>
      </c>
    </row>
    <row r="1360" spans="2:10" x14ac:dyDescent="0.25">
      <c r="B1360" s="3" t="str">
        <f>IF([1]SCHEDULE!B1360="","",[1]SCHEDULE!B1360)</f>
        <v/>
      </c>
      <c r="C1360" s="3">
        <f>IF([1]SCHEDULE!C1360="","",[1]SCHEDULE!C1360)</f>
        <v>32</v>
      </c>
      <c r="D1360" s="1" t="e">
        <f>IF([1]SCHEDULE!D1360="","",[1]SCHEDULE!D1360)</f>
        <v>#N/A</v>
      </c>
      <c r="E1360" s="1" t="str">
        <f>IF([1]SCHEDULE!E1360="","",[1]SCHEDULE!E1360)</f>
        <v/>
      </c>
      <c r="F1360" s="6" t="str">
        <f>IF([1]SCHEDULE!F1360="","",[1]SCHEDULE!F1360)</f>
        <v/>
      </c>
      <c r="G1360" s="3" t="str">
        <f>IF([1]SCHEDULE!G1360="","",[1]SCHEDULE!G1360)</f>
        <v/>
      </c>
      <c r="H1360" s="3" t="str">
        <f>IF([1]SCHEDULE!H1360="","",[1]SCHEDULE!H1360)</f>
        <v/>
      </c>
      <c r="I1360" s="3" t="str">
        <f>IF([1]SCHEDULE!I1360="","",[1]SCHEDULE!I1360)</f>
        <v/>
      </c>
      <c r="J1360" s="3" t="str">
        <f>IF([1]SCHEDULE!J1360="","",[1]SCHEDULE!J1360)</f>
        <v/>
      </c>
    </row>
    <row r="1361" spans="2:10" x14ac:dyDescent="0.25">
      <c r="B1361" s="3" t="str">
        <f>IF([1]SCHEDULE!B1361="","",[1]SCHEDULE!B1361)</f>
        <v/>
      </c>
      <c r="C1361" s="3">
        <f>IF([1]SCHEDULE!C1361="","",[1]SCHEDULE!C1361)</f>
        <v>33</v>
      </c>
      <c r="D1361" s="1" t="e">
        <f>IF([1]SCHEDULE!D1361="","",[1]SCHEDULE!D1361)</f>
        <v>#N/A</v>
      </c>
      <c r="E1361" s="1" t="str">
        <f>IF([1]SCHEDULE!E1361="","",[1]SCHEDULE!E1361)</f>
        <v/>
      </c>
      <c r="F1361" s="6" t="str">
        <f>IF([1]SCHEDULE!F1361="","",[1]SCHEDULE!F1361)</f>
        <v/>
      </c>
      <c r="G1361" s="3" t="str">
        <f>IF([1]SCHEDULE!G1361="","",[1]SCHEDULE!G1361)</f>
        <v/>
      </c>
      <c r="H1361" s="3" t="str">
        <f>IF([1]SCHEDULE!H1361="","",[1]SCHEDULE!H1361)</f>
        <v/>
      </c>
      <c r="I1361" s="3" t="str">
        <f>IF([1]SCHEDULE!I1361="","",[1]SCHEDULE!I1361)</f>
        <v/>
      </c>
      <c r="J1361" s="3" t="str">
        <f>IF([1]SCHEDULE!J1361="","",[1]SCHEDULE!J1361)</f>
        <v/>
      </c>
    </row>
    <row r="1362" spans="2:10" x14ac:dyDescent="0.25">
      <c r="B1362" s="3" t="str">
        <f>IF([1]SCHEDULE!B1362="","",[1]SCHEDULE!B1362)</f>
        <v/>
      </c>
      <c r="C1362" s="3">
        <f>IF([1]SCHEDULE!C1362="","",[1]SCHEDULE!C1362)</f>
        <v>34</v>
      </c>
      <c r="D1362" s="1" t="e">
        <f>IF([1]SCHEDULE!D1362="","",[1]SCHEDULE!D1362)</f>
        <v>#N/A</v>
      </c>
      <c r="E1362" s="1" t="str">
        <f>IF([1]SCHEDULE!E1362="","",[1]SCHEDULE!E1362)</f>
        <v/>
      </c>
      <c r="F1362" s="6" t="str">
        <f>IF([1]SCHEDULE!F1362="","",[1]SCHEDULE!F1362)</f>
        <v/>
      </c>
      <c r="G1362" s="3" t="str">
        <f>IF([1]SCHEDULE!G1362="","",[1]SCHEDULE!G1362)</f>
        <v/>
      </c>
      <c r="H1362" s="3" t="str">
        <f>IF([1]SCHEDULE!H1362="","",[1]SCHEDULE!H1362)</f>
        <v/>
      </c>
      <c r="I1362" s="3" t="str">
        <f>IF([1]SCHEDULE!I1362="","",[1]SCHEDULE!I1362)</f>
        <v/>
      </c>
      <c r="J1362" s="3" t="str">
        <f>IF([1]SCHEDULE!J1362="","",[1]SCHEDULE!J1362)</f>
        <v/>
      </c>
    </row>
    <row r="1363" spans="2:10" x14ac:dyDescent="0.25">
      <c r="B1363" s="3" t="str">
        <f>IF([1]SCHEDULE!B1363="","",[1]SCHEDULE!B1363)</f>
        <v/>
      </c>
      <c r="C1363" s="3">
        <f>IF([1]SCHEDULE!C1363="","",[1]SCHEDULE!C1363)</f>
        <v>35</v>
      </c>
      <c r="D1363" s="1" t="e">
        <f>IF([1]SCHEDULE!D1363="","",[1]SCHEDULE!D1363)</f>
        <v>#N/A</v>
      </c>
      <c r="E1363" s="1" t="str">
        <f>IF([1]SCHEDULE!E1363="","",[1]SCHEDULE!E1363)</f>
        <v/>
      </c>
      <c r="F1363" s="6" t="str">
        <f>IF([1]SCHEDULE!F1363="","",[1]SCHEDULE!F1363)</f>
        <v/>
      </c>
      <c r="G1363" s="3" t="str">
        <f>IF([1]SCHEDULE!G1363="","",[1]SCHEDULE!G1363)</f>
        <v/>
      </c>
      <c r="H1363" s="3" t="str">
        <f>IF([1]SCHEDULE!H1363="","",[1]SCHEDULE!H1363)</f>
        <v/>
      </c>
      <c r="I1363" s="3" t="str">
        <f>IF([1]SCHEDULE!I1363="","",[1]SCHEDULE!I1363)</f>
        <v/>
      </c>
      <c r="J1363" s="3" t="str">
        <f>IF([1]SCHEDULE!J1363="","",[1]SCHEDULE!J1363)</f>
        <v/>
      </c>
    </row>
    <row r="1364" spans="2:10" x14ac:dyDescent="0.25">
      <c r="B1364" s="3" t="str">
        <f>IF([1]SCHEDULE!B1364="","",[1]SCHEDULE!B1364)</f>
        <v/>
      </c>
      <c r="C1364" s="3">
        <f>IF([1]SCHEDULE!C1364="","",[1]SCHEDULE!C1364)</f>
        <v>36</v>
      </c>
      <c r="D1364" s="1" t="e">
        <f>IF([1]SCHEDULE!D1364="","",[1]SCHEDULE!D1364)</f>
        <v>#N/A</v>
      </c>
      <c r="E1364" s="1" t="str">
        <f>IF([1]SCHEDULE!E1364="","",[1]SCHEDULE!E1364)</f>
        <v/>
      </c>
      <c r="F1364" s="6" t="str">
        <f>IF([1]SCHEDULE!F1364="","",[1]SCHEDULE!F1364)</f>
        <v/>
      </c>
      <c r="G1364" s="3" t="str">
        <f>IF([1]SCHEDULE!G1364="","",[1]SCHEDULE!G1364)</f>
        <v/>
      </c>
      <c r="H1364" s="3" t="str">
        <f>IF([1]SCHEDULE!H1364="","",[1]SCHEDULE!H1364)</f>
        <v/>
      </c>
      <c r="I1364" s="3" t="str">
        <f>IF([1]SCHEDULE!I1364="","",[1]SCHEDULE!I1364)</f>
        <v/>
      </c>
      <c r="J1364" s="3" t="str">
        <f>IF([1]SCHEDULE!J1364="","",[1]SCHEDULE!J1364)</f>
        <v/>
      </c>
    </row>
    <row r="1365" spans="2:10" x14ac:dyDescent="0.25">
      <c r="B1365" s="3" t="str">
        <f>IF([1]SCHEDULE!B1365="","",[1]SCHEDULE!B1365)</f>
        <v/>
      </c>
      <c r="C1365" s="3">
        <f>IF([1]SCHEDULE!C1365="","",[1]SCHEDULE!C1365)</f>
        <v>37</v>
      </c>
      <c r="D1365" s="1" t="e">
        <f>IF([1]SCHEDULE!D1365="","",[1]SCHEDULE!D1365)</f>
        <v>#N/A</v>
      </c>
      <c r="E1365" s="1" t="str">
        <f>IF([1]SCHEDULE!E1365="","",[1]SCHEDULE!E1365)</f>
        <v/>
      </c>
      <c r="F1365" s="6" t="str">
        <f>IF([1]SCHEDULE!F1365="","",[1]SCHEDULE!F1365)</f>
        <v/>
      </c>
      <c r="G1365" s="3" t="str">
        <f>IF([1]SCHEDULE!G1365="","",[1]SCHEDULE!G1365)</f>
        <v/>
      </c>
      <c r="H1365" s="3" t="str">
        <f>IF([1]SCHEDULE!H1365="","",[1]SCHEDULE!H1365)</f>
        <v/>
      </c>
      <c r="I1365" s="3" t="str">
        <f>IF([1]SCHEDULE!I1365="","",[1]SCHEDULE!I1365)</f>
        <v/>
      </c>
      <c r="J1365" s="3" t="str">
        <f>IF([1]SCHEDULE!J1365="","",[1]SCHEDULE!J1365)</f>
        <v/>
      </c>
    </row>
    <row r="1366" spans="2:10" x14ac:dyDescent="0.25">
      <c r="B1366" s="3" t="str">
        <f>IF([1]SCHEDULE!B1366="","",[1]SCHEDULE!B1366)</f>
        <v/>
      </c>
      <c r="C1366" s="3">
        <f>IF([1]SCHEDULE!C1366="","",[1]SCHEDULE!C1366)</f>
        <v>38</v>
      </c>
      <c r="D1366" s="1" t="e">
        <f>IF([1]SCHEDULE!D1366="","",[1]SCHEDULE!D1366)</f>
        <v>#N/A</v>
      </c>
      <c r="E1366" s="1" t="str">
        <f>IF([1]SCHEDULE!E1366="","",[1]SCHEDULE!E1366)</f>
        <v/>
      </c>
      <c r="F1366" s="6" t="str">
        <f>IF([1]SCHEDULE!F1366="","",[1]SCHEDULE!F1366)</f>
        <v/>
      </c>
      <c r="G1366" s="3" t="str">
        <f>IF([1]SCHEDULE!G1366="","",[1]SCHEDULE!G1366)</f>
        <v/>
      </c>
      <c r="H1366" s="3" t="str">
        <f>IF([1]SCHEDULE!H1366="","",[1]SCHEDULE!H1366)</f>
        <v/>
      </c>
      <c r="I1366" s="3" t="str">
        <f>IF([1]SCHEDULE!I1366="","",[1]SCHEDULE!I1366)</f>
        <v/>
      </c>
      <c r="J1366" s="3" t="str">
        <f>IF([1]SCHEDULE!J1366="","",[1]SCHEDULE!J1366)</f>
        <v/>
      </c>
    </row>
    <row r="1367" spans="2:10" x14ac:dyDescent="0.25">
      <c r="B1367" s="3" t="str">
        <f>IF([1]SCHEDULE!B1367="","",[1]SCHEDULE!B1367)</f>
        <v/>
      </c>
      <c r="C1367" s="3">
        <f>IF([1]SCHEDULE!C1367="","",[1]SCHEDULE!C1367)</f>
        <v>39</v>
      </c>
      <c r="D1367" s="1" t="e">
        <f>IF([1]SCHEDULE!D1367="","",[1]SCHEDULE!D1367)</f>
        <v>#N/A</v>
      </c>
      <c r="E1367" s="1" t="str">
        <f>IF([1]SCHEDULE!E1367="","",[1]SCHEDULE!E1367)</f>
        <v/>
      </c>
      <c r="F1367" s="6" t="str">
        <f>IF([1]SCHEDULE!F1367="","",[1]SCHEDULE!F1367)</f>
        <v/>
      </c>
      <c r="G1367" s="3" t="str">
        <f>IF([1]SCHEDULE!G1367="","",[1]SCHEDULE!G1367)</f>
        <v/>
      </c>
      <c r="H1367" s="3" t="str">
        <f>IF([1]SCHEDULE!H1367="","",[1]SCHEDULE!H1367)</f>
        <v/>
      </c>
      <c r="I1367" s="3" t="str">
        <f>IF([1]SCHEDULE!I1367="","",[1]SCHEDULE!I1367)</f>
        <v/>
      </c>
      <c r="J1367" s="3" t="str">
        <f>IF([1]SCHEDULE!J1367="","",[1]SCHEDULE!J1367)</f>
        <v/>
      </c>
    </row>
    <row r="1368" spans="2:10" x14ac:dyDescent="0.25">
      <c r="B1368" s="3" t="str">
        <f>IF([1]SCHEDULE!B1368="","",[1]SCHEDULE!B1368)</f>
        <v/>
      </c>
      <c r="C1368" s="3">
        <f>IF([1]SCHEDULE!C1368="","",[1]SCHEDULE!C1368)</f>
        <v>40</v>
      </c>
      <c r="D1368" s="1" t="e">
        <f>IF([1]SCHEDULE!D1368="","",[1]SCHEDULE!D1368)</f>
        <v>#N/A</v>
      </c>
      <c r="E1368" s="1" t="str">
        <f>IF([1]SCHEDULE!E1368="","",[1]SCHEDULE!E1368)</f>
        <v/>
      </c>
      <c r="F1368" s="6" t="str">
        <f>IF([1]SCHEDULE!F1368="","",[1]SCHEDULE!F1368)</f>
        <v/>
      </c>
      <c r="G1368" s="3" t="str">
        <f>IF([1]SCHEDULE!G1368="","",[1]SCHEDULE!G1368)</f>
        <v/>
      </c>
      <c r="H1368" s="3" t="str">
        <f>IF([1]SCHEDULE!H1368="","",[1]SCHEDULE!H1368)</f>
        <v/>
      </c>
      <c r="I1368" s="3" t="str">
        <f>IF([1]SCHEDULE!I1368="","",[1]SCHEDULE!I1368)</f>
        <v/>
      </c>
      <c r="J1368" s="3" t="str">
        <f>IF([1]SCHEDULE!J1368="","",[1]SCHEDULE!J1368)</f>
        <v/>
      </c>
    </row>
    <row r="1369" spans="2:10" x14ac:dyDescent="0.25">
      <c r="B1369" s="3" t="str">
        <f>IF([1]SCHEDULE!B1369="","",[1]SCHEDULE!B1369)</f>
        <v/>
      </c>
      <c r="C1369" s="3">
        <f>IF([1]SCHEDULE!C1369="","",[1]SCHEDULE!C1369)</f>
        <v>41</v>
      </c>
      <c r="D1369" s="1" t="e">
        <f>IF([1]SCHEDULE!D1369="","",[1]SCHEDULE!D1369)</f>
        <v>#N/A</v>
      </c>
      <c r="E1369" s="1" t="str">
        <f>IF([1]SCHEDULE!E1369="","",[1]SCHEDULE!E1369)</f>
        <v/>
      </c>
      <c r="F1369" s="6" t="str">
        <f>IF([1]SCHEDULE!F1369="","",[1]SCHEDULE!F1369)</f>
        <v/>
      </c>
      <c r="G1369" s="3" t="str">
        <f>IF([1]SCHEDULE!G1369="","",[1]SCHEDULE!G1369)</f>
        <v/>
      </c>
      <c r="H1369" s="3" t="str">
        <f>IF([1]SCHEDULE!H1369="","",[1]SCHEDULE!H1369)</f>
        <v/>
      </c>
      <c r="I1369" s="3" t="str">
        <f>IF([1]SCHEDULE!I1369="","",[1]SCHEDULE!I1369)</f>
        <v/>
      </c>
      <c r="J1369" s="3" t="str">
        <f>IF([1]SCHEDULE!J1369="","",[1]SCHEDULE!J1369)</f>
        <v/>
      </c>
    </row>
    <row r="1370" spans="2:10" x14ac:dyDescent="0.25">
      <c r="B1370" s="3" t="str">
        <f>IF([1]SCHEDULE!B1370="","",[1]SCHEDULE!B1370)</f>
        <v/>
      </c>
      <c r="C1370" s="3">
        <f>IF([1]SCHEDULE!C1370="","",[1]SCHEDULE!C1370)</f>
        <v>42</v>
      </c>
      <c r="D1370" s="1" t="e">
        <f>IF([1]SCHEDULE!D1370="","",[1]SCHEDULE!D1370)</f>
        <v>#N/A</v>
      </c>
      <c r="E1370" s="1" t="str">
        <f>IF([1]SCHEDULE!E1370="","",[1]SCHEDULE!E1370)</f>
        <v/>
      </c>
      <c r="F1370" s="6" t="str">
        <f>IF([1]SCHEDULE!F1370="","",[1]SCHEDULE!F1370)</f>
        <v/>
      </c>
      <c r="G1370" s="3" t="str">
        <f>IF([1]SCHEDULE!G1370="","",[1]SCHEDULE!G1370)</f>
        <v/>
      </c>
      <c r="H1370" s="3" t="str">
        <f>IF([1]SCHEDULE!H1370="","",[1]SCHEDULE!H1370)</f>
        <v/>
      </c>
      <c r="I1370" s="3" t="str">
        <f>IF([1]SCHEDULE!I1370="","",[1]SCHEDULE!I1370)</f>
        <v/>
      </c>
      <c r="J1370" s="3" t="str">
        <f>IF([1]SCHEDULE!J1370="","",[1]SCHEDULE!J1370)</f>
        <v/>
      </c>
    </row>
    <row r="1371" spans="2:10" x14ac:dyDescent="0.25">
      <c r="B1371" s="3" t="str">
        <f>IF([1]SCHEDULE!B1371="","",[1]SCHEDULE!B1371)</f>
        <v/>
      </c>
      <c r="C1371" s="3">
        <f>IF([1]SCHEDULE!C1371="","",[1]SCHEDULE!C1371)</f>
        <v>43</v>
      </c>
      <c r="D1371" s="1" t="e">
        <f>IF([1]SCHEDULE!D1371="","",[1]SCHEDULE!D1371)</f>
        <v>#N/A</v>
      </c>
      <c r="E1371" s="1" t="str">
        <f>IF([1]SCHEDULE!E1371="","",[1]SCHEDULE!E1371)</f>
        <v/>
      </c>
      <c r="F1371" s="6" t="str">
        <f>IF([1]SCHEDULE!F1371="","",[1]SCHEDULE!F1371)</f>
        <v/>
      </c>
      <c r="G1371" s="3" t="str">
        <f>IF([1]SCHEDULE!G1371="","",[1]SCHEDULE!G1371)</f>
        <v/>
      </c>
      <c r="H1371" s="3" t="str">
        <f>IF([1]SCHEDULE!H1371="","",[1]SCHEDULE!H1371)</f>
        <v/>
      </c>
      <c r="I1371" s="3" t="str">
        <f>IF([1]SCHEDULE!I1371="","",[1]SCHEDULE!I1371)</f>
        <v/>
      </c>
      <c r="J1371" s="3" t="str">
        <f>IF([1]SCHEDULE!J1371="","",[1]SCHEDULE!J1371)</f>
        <v/>
      </c>
    </row>
    <row r="1372" spans="2:10" x14ac:dyDescent="0.25">
      <c r="B1372" s="3" t="str">
        <f>IF([1]SCHEDULE!B1372="","",[1]SCHEDULE!B1372)</f>
        <v/>
      </c>
      <c r="C1372" s="3">
        <f>IF([1]SCHEDULE!C1372="","",[1]SCHEDULE!C1372)</f>
        <v>44</v>
      </c>
      <c r="D1372" s="1" t="e">
        <f>IF([1]SCHEDULE!D1372="","",[1]SCHEDULE!D1372)</f>
        <v>#N/A</v>
      </c>
      <c r="E1372" s="1" t="str">
        <f>IF([1]SCHEDULE!E1372="","",[1]SCHEDULE!E1372)</f>
        <v/>
      </c>
      <c r="F1372" s="6" t="str">
        <f>IF([1]SCHEDULE!F1372="","",[1]SCHEDULE!F1372)</f>
        <v/>
      </c>
      <c r="G1372" s="3" t="str">
        <f>IF([1]SCHEDULE!G1372="","",[1]SCHEDULE!G1372)</f>
        <v/>
      </c>
      <c r="H1372" s="3" t="str">
        <f>IF([1]SCHEDULE!H1372="","",[1]SCHEDULE!H1372)</f>
        <v/>
      </c>
      <c r="I1372" s="3" t="str">
        <f>IF([1]SCHEDULE!I1372="","",[1]SCHEDULE!I1372)</f>
        <v/>
      </c>
      <c r="J1372" s="3" t="str">
        <f>IF([1]SCHEDULE!J1372="","",[1]SCHEDULE!J1372)</f>
        <v/>
      </c>
    </row>
    <row r="1373" spans="2:10" x14ac:dyDescent="0.25">
      <c r="B1373" s="3" t="str">
        <f>IF([1]SCHEDULE!B1373="","",[1]SCHEDULE!B1373)</f>
        <v/>
      </c>
      <c r="C1373" s="3">
        <f>IF([1]SCHEDULE!C1373="","",[1]SCHEDULE!C1373)</f>
        <v>45</v>
      </c>
      <c r="D1373" s="1" t="e">
        <f>IF([1]SCHEDULE!D1373="","",[1]SCHEDULE!D1373)</f>
        <v>#N/A</v>
      </c>
      <c r="E1373" s="1" t="str">
        <f>IF([1]SCHEDULE!E1373="","",[1]SCHEDULE!E1373)</f>
        <v/>
      </c>
      <c r="F1373" s="6" t="str">
        <f>IF([1]SCHEDULE!F1373="","",[1]SCHEDULE!F1373)</f>
        <v/>
      </c>
      <c r="G1373" s="3" t="str">
        <f>IF([1]SCHEDULE!G1373="","",[1]SCHEDULE!G1373)</f>
        <v/>
      </c>
      <c r="H1373" s="3" t="str">
        <f>IF([1]SCHEDULE!H1373="","",[1]SCHEDULE!H1373)</f>
        <v/>
      </c>
      <c r="I1373" s="3" t="str">
        <f>IF([1]SCHEDULE!I1373="","",[1]SCHEDULE!I1373)</f>
        <v/>
      </c>
      <c r="J1373" s="3" t="str">
        <f>IF([1]SCHEDULE!J1373="","",[1]SCHEDULE!J1373)</f>
        <v/>
      </c>
    </row>
    <row r="1374" spans="2:10" x14ac:dyDescent="0.25">
      <c r="B1374" s="3" t="str">
        <f>IF([1]SCHEDULE!B1374="","",[1]SCHEDULE!B1374)</f>
        <v/>
      </c>
      <c r="C1374" s="3">
        <f>IF([1]SCHEDULE!C1374="","",[1]SCHEDULE!C1374)</f>
        <v>46</v>
      </c>
      <c r="D1374" s="1" t="e">
        <f>IF([1]SCHEDULE!D1374="","",[1]SCHEDULE!D1374)</f>
        <v>#N/A</v>
      </c>
      <c r="E1374" s="1" t="str">
        <f>IF([1]SCHEDULE!E1374="","",[1]SCHEDULE!E1374)</f>
        <v/>
      </c>
      <c r="F1374" s="6" t="str">
        <f>IF([1]SCHEDULE!F1374="","",[1]SCHEDULE!F1374)</f>
        <v/>
      </c>
      <c r="G1374" s="3" t="str">
        <f>IF([1]SCHEDULE!G1374="","",[1]SCHEDULE!G1374)</f>
        <v/>
      </c>
      <c r="H1374" s="3" t="str">
        <f>IF([1]SCHEDULE!H1374="","",[1]SCHEDULE!H1374)</f>
        <v/>
      </c>
      <c r="I1374" s="3" t="str">
        <f>IF([1]SCHEDULE!I1374="","",[1]SCHEDULE!I1374)</f>
        <v/>
      </c>
      <c r="J1374" s="3" t="str">
        <f>IF([1]SCHEDULE!J1374="","",[1]SCHEDULE!J1374)</f>
        <v/>
      </c>
    </row>
    <row r="1375" spans="2:10" x14ac:dyDescent="0.25">
      <c r="B1375" s="3" t="str">
        <f>IF([1]SCHEDULE!B1375="","",[1]SCHEDULE!B1375)</f>
        <v/>
      </c>
      <c r="C1375" s="3">
        <f>IF([1]SCHEDULE!C1375="","",[1]SCHEDULE!C1375)</f>
        <v>47</v>
      </c>
      <c r="D1375" s="1" t="e">
        <f>IF([1]SCHEDULE!D1375="","",[1]SCHEDULE!D1375)</f>
        <v>#N/A</v>
      </c>
      <c r="E1375" s="1" t="str">
        <f>IF([1]SCHEDULE!E1375="","",[1]SCHEDULE!E1375)</f>
        <v/>
      </c>
      <c r="F1375" s="6" t="str">
        <f>IF([1]SCHEDULE!F1375="","",[1]SCHEDULE!F1375)</f>
        <v/>
      </c>
      <c r="G1375" s="3" t="str">
        <f>IF([1]SCHEDULE!G1375="","",[1]SCHEDULE!G1375)</f>
        <v/>
      </c>
      <c r="H1375" s="3" t="str">
        <f>IF([1]SCHEDULE!H1375="","",[1]SCHEDULE!H1375)</f>
        <v/>
      </c>
      <c r="I1375" s="3" t="str">
        <f>IF([1]SCHEDULE!I1375="","",[1]SCHEDULE!I1375)</f>
        <v/>
      </c>
      <c r="J1375" s="3" t="str">
        <f>IF([1]SCHEDULE!J1375="","",[1]SCHEDULE!J1375)</f>
        <v/>
      </c>
    </row>
    <row r="1376" spans="2:10" x14ac:dyDescent="0.25">
      <c r="B1376" s="3" t="str">
        <f>IF([1]SCHEDULE!B1376="","",[1]SCHEDULE!B1376)</f>
        <v/>
      </c>
      <c r="C1376" s="3">
        <f>IF([1]SCHEDULE!C1376="","",[1]SCHEDULE!C1376)</f>
        <v>48</v>
      </c>
      <c r="D1376" s="1" t="e">
        <f>IF([1]SCHEDULE!D1376="","",[1]SCHEDULE!D1376)</f>
        <v>#N/A</v>
      </c>
      <c r="E1376" s="1" t="str">
        <f>IF([1]SCHEDULE!E1376="","",[1]SCHEDULE!E1376)</f>
        <v/>
      </c>
      <c r="F1376" s="6" t="str">
        <f>IF([1]SCHEDULE!F1376="","",[1]SCHEDULE!F1376)</f>
        <v/>
      </c>
      <c r="G1376" s="3" t="str">
        <f>IF([1]SCHEDULE!G1376="","",[1]SCHEDULE!G1376)</f>
        <v/>
      </c>
      <c r="H1376" s="3" t="str">
        <f>IF([1]SCHEDULE!H1376="","",[1]SCHEDULE!H1376)</f>
        <v/>
      </c>
      <c r="I1376" s="3" t="str">
        <f>IF([1]SCHEDULE!I1376="","",[1]SCHEDULE!I1376)</f>
        <v/>
      </c>
      <c r="J1376" s="3" t="str">
        <f>IF([1]SCHEDULE!J1376="","",[1]SCHEDULE!J1376)</f>
        <v/>
      </c>
    </row>
    <row r="1377" spans="2:10" x14ac:dyDescent="0.25">
      <c r="B1377" s="3" t="str">
        <f>IF([1]SCHEDULE!B1377="","",[1]SCHEDULE!B1377)</f>
        <v/>
      </c>
      <c r="C1377" s="3">
        <f>IF([1]SCHEDULE!C1377="","",[1]SCHEDULE!C1377)</f>
        <v>49</v>
      </c>
      <c r="D1377" s="1" t="e">
        <f>IF([1]SCHEDULE!D1377="","",[1]SCHEDULE!D1377)</f>
        <v>#N/A</v>
      </c>
      <c r="E1377" s="1" t="str">
        <f>IF([1]SCHEDULE!E1377="","",[1]SCHEDULE!E1377)</f>
        <v/>
      </c>
      <c r="F1377" s="6" t="str">
        <f>IF([1]SCHEDULE!F1377="","",[1]SCHEDULE!F1377)</f>
        <v/>
      </c>
      <c r="G1377" s="3" t="str">
        <f>IF([1]SCHEDULE!G1377="","",[1]SCHEDULE!G1377)</f>
        <v/>
      </c>
      <c r="H1377" s="3" t="str">
        <f>IF([1]SCHEDULE!H1377="","",[1]SCHEDULE!H1377)</f>
        <v/>
      </c>
      <c r="I1377" s="3" t="str">
        <f>IF([1]SCHEDULE!I1377="","",[1]SCHEDULE!I1377)</f>
        <v/>
      </c>
      <c r="J1377" s="3" t="str">
        <f>IF([1]SCHEDULE!J1377="","",[1]SCHEDULE!J1377)</f>
        <v/>
      </c>
    </row>
    <row r="1378" spans="2:10" x14ac:dyDescent="0.25">
      <c r="B1378" s="3" t="str">
        <f>IF([1]SCHEDULE!B1378="","",[1]SCHEDULE!B1378)</f>
        <v/>
      </c>
      <c r="C1378" s="3">
        <f>IF([1]SCHEDULE!C1378="","",[1]SCHEDULE!C1378)</f>
        <v>50</v>
      </c>
      <c r="D1378" s="1" t="e">
        <f>IF([1]SCHEDULE!D1378="","",[1]SCHEDULE!D1378)</f>
        <v>#N/A</v>
      </c>
      <c r="E1378" s="1" t="str">
        <f>IF([1]SCHEDULE!E1378="","",[1]SCHEDULE!E1378)</f>
        <v/>
      </c>
      <c r="F1378" s="6" t="str">
        <f>IF([1]SCHEDULE!F1378="","",[1]SCHEDULE!F1378)</f>
        <v/>
      </c>
      <c r="G1378" s="3" t="str">
        <f>IF([1]SCHEDULE!G1378="","",[1]SCHEDULE!G1378)</f>
        <v/>
      </c>
      <c r="H1378" s="3" t="str">
        <f>IF([1]SCHEDULE!H1378="","",[1]SCHEDULE!H1378)</f>
        <v/>
      </c>
      <c r="I1378" s="3" t="str">
        <f>IF([1]SCHEDULE!I1378="","",[1]SCHEDULE!I1378)</f>
        <v/>
      </c>
      <c r="J1378" s="3" t="str">
        <f>IF([1]SCHEDULE!J1378="","",[1]SCHEDULE!J1378)</f>
        <v/>
      </c>
    </row>
    <row r="1379" spans="2:10" x14ac:dyDescent="0.25">
      <c r="B1379" s="3" t="str">
        <f>IF([1]SCHEDULE!B1379="","",[1]SCHEDULE!B1379)</f>
        <v/>
      </c>
      <c r="C1379" s="3">
        <f>IF([1]SCHEDULE!C1379="","",[1]SCHEDULE!C1379)</f>
        <v>51</v>
      </c>
      <c r="D1379" s="1" t="e">
        <f>IF([1]SCHEDULE!D1379="","",[1]SCHEDULE!D1379)</f>
        <v>#N/A</v>
      </c>
      <c r="E1379" s="1" t="str">
        <f>IF([1]SCHEDULE!E1379="","",[1]SCHEDULE!E1379)</f>
        <v/>
      </c>
      <c r="F1379" s="6" t="str">
        <f>IF([1]SCHEDULE!F1379="","",[1]SCHEDULE!F1379)</f>
        <v/>
      </c>
      <c r="G1379" s="3" t="str">
        <f>IF([1]SCHEDULE!G1379="","",[1]SCHEDULE!G1379)</f>
        <v/>
      </c>
      <c r="H1379" s="3" t="str">
        <f>IF([1]SCHEDULE!H1379="","",[1]SCHEDULE!H1379)</f>
        <v/>
      </c>
      <c r="I1379" s="3" t="str">
        <f>IF([1]SCHEDULE!I1379="","",[1]SCHEDULE!I1379)</f>
        <v/>
      </c>
      <c r="J1379" s="3" t="str">
        <f>IF([1]SCHEDULE!J1379="","",[1]SCHEDULE!J1379)</f>
        <v/>
      </c>
    </row>
    <row r="1380" spans="2:10" x14ac:dyDescent="0.25">
      <c r="B1380" s="3" t="str">
        <f>IF([1]SCHEDULE!B1380="","",[1]SCHEDULE!B1380)</f>
        <v/>
      </c>
      <c r="C1380" s="3">
        <f>IF([1]SCHEDULE!C1380="","",[1]SCHEDULE!C1380)</f>
        <v>1</v>
      </c>
      <c r="D1380" s="1" t="e">
        <f>IF([1]SCHEDULE!D1380="","",[1]SCHEDULE!D1380)</f>
        <v>#N/A</v>
      </c>
      <c r="E1380" s="1" t="str">
        <f>IF([1]SCHEDULE!E1380="","",[1]SCHEDULE!E1380)</f>
        <v/>
      </c>
      <c r="F1380" s="6" t="str">
        <f>IF([1]SCHEDULE!F1380="","",[1]SCHEDULE!F1380)</f>
        <v/>
      </c>
      <c r="G1380" s="3" t="str">
        <f>IF([1]SCHEDULE!G1380="","",[1]SCHEDULE!G1380)</f>
        <v/>
      </c>
      <c r="H1380" s="3" t="str">
        <f>IF([1]SCHEDULE!H1380="","",[1]SCHEDULE!H1380)</f>
        <v/>
      </c>
      <c r="I1380" s="3" t="str">
        <f>IF([1]SCHEDULE!I1380="","",[1]SCHEDULE!I1380)</f>
        <v/>
      </c>
      <c r="J1380" s="3" t="str">
        <f>IF([1]SCHEDULE!J1380="","",[1]SCHEDULE!J1380)</f>
        <v/>
      </c>
    </row>
    <row r="1381" spans="2:10" x14ac:dyDescent="0.25">
      <c r="B1381" s="3" t="str">
        <f>IF([1]SCHEDULE!B1381="","",[1]SCHEDULE!B1381)</f>
        <v/>
      </c>
      <c r="C1381" s="3">
        <f>IF([1]SCHEDULE!C1381="","",[1]SCHEDULE!C1381)</f>
        <v>2</v>
      </c>
      <c r="D1381" s="1" t="e">
        <f>IF([1]SCHEDULE!D1381="","",[1]SCHEDULE!D1381)</f>
        <v>#N/A</v>
      </c>
      <c r="E1381" s="1" t="str">
        <f>IF([1]SCHEDULE!E1381="","",[1]SCHEDULE!E1381)</f>
        <v/>
      </c>
      <c r="F1381" s="6" t="str">
        <f>IF([1]SCHEDULE!F1381="","",[1]SCHEDULE!F1381)</f>
        <v/>
      </c>
      <c r="G1381" s="3" t="str">
        <f>IF([1]SCHEDULE!G1381="","",[1]SCHEDULE!G1381)</f>
        <v/>
      </c>
      <c r="H1381" s="3" t="str">
        <f>IF([1]SCHEDULE!H1381="","",[1]SCHEDULE!H1381)</f>
        <v/>
      </c>
      <c r="I1381" s="3" t="str">
        <f>IF([1]SCHEDULE!I1381="","",[1]SCHEDULE!I1381)</f>
        <v/>
      </c>
      <c r="J1381" s="3" t="str">
        <f>IF([1]SCHEDULE!J1381="","",[1]SCHEDULE!J1381)</f>
        <v/>
      </c>
    </row>
    <row r="1382" spans="2:10" x14ac:dyDescent="0.25">
      <c r="B1382" s="3" t="str">
        <f>IF([1]SCHEDULE!B1382="","",[1]SCHEDULE!B1382)</f>
        <v/>
      </c>
      <c r="C1382" s="3">
        <f>IF([1]SCHEDULE!C1382="","",[1]SCHEDULE!C1382)</f>
        <v>3</v>
      </c>
      <c r="D1382" s="1" t="e">
        <f>IF([1]SCHEDULE!D1382="","",[1]SCHEDULE!D1382)</f>
        <v>#N/A</v>
      </c>
      <c r="E1382" s="1" t="str">
        <f>IF([1]SCHEDULE!E1382="","",[1]SCHEDULE!E1382)</f>
        <v/>
      </c>
      <c r="F1382" s="6" t="str">
        <f>IF([1]SCHEDULE!F1382="","",[1]SCHEDULE!F1382)</f>
        <v/>
      </c>
      <c r="G1382" s="3" t="str">
        <f>IF([1]SCHEDULE!G1382="","",[1]SCHEDULE!G1382)</f>
        <v/>
      </c>
      <c r="H1382" s="3" t="str">
        <f>IF([1]SCHEDULE!H1382="","",[1]SCHEDULE!H1382)</f>
        <v/>
      </c>
      <c r="I1382" s="3" t="str">
        <f>IF([1]SCHEDULE!I1382="","",[1]SCHEDULE!I1382)</f>
        <v/>
      </c>
      <c r="J1382" s="3" t="str">
        <f>IF([1]SCHEDULE!J1382="","",[1]SCHEDULE!J1382)</f>
        <v/>
      </c>
    </row>
    <row r="1383" spans="2:10" x14ac:dyDescent="0.25">
      <c r="B1383" s="3" t="str">
        <f>IF([1]SCHEDULE!B1383="","",[1]SCHEDULE!B1383)</f>
        <v/>
      </c>
      <c r="C1383" s="3">
        <f>IF([1]SCHEDULE!C1383="","",[1]SCHEDULE!C1383)</f>
        <v>4</v>
      </c>
      <c r="D1383" s="1" t="e">
        <f>IF([1]SCHEDULE!D1383="","",[1]SCHEDULE!D1383)</f>
        <v>#N/A</v>
      </c>
      <c r="E1383" s="1" t="str">
        <f>IF([1]SCHEDULE!E1383="","",[1]SCHEDULE!E1383)</f>
        <v/>
      </c>
      <c r="F1383" s="6" t="str">
        <f>IF([1]SCHEDULE!F1383="","",[1]SCHEDULE!F1383)</f>
        <v/>
      </c>
      <c r="G1383" s="3" t="str">
        <f>IF([1]SCHEDULE!G1383="","",[1]SCHEDULE!G1383)</f>
        <v/>
      </c>
      <c r="H1383" s="3" t="str">
        <f>IF([1]SCHEDULE!H1383="","",[1]SCHEDULE!H1383)</f>
        <v/>
      </c>
      <c r="I1383" s="3" t="str">
        <f>IF([1]SCHEDULE!I1383="","",[1]SCHEDULE!I1383)</f>
        <v/>
      </c>
      <c r="J1383" s="3" t="str">
        <f>IF([1]SCHEDULE!J1383="","",[1]SCHEDULE!J1383)</f>
        <v/>
      </c>
    </row>
    <row r="1384" spans="2:10" x14ac:dyDescent="0.25">
      <c r="B1384" s="3" t="str">
        <f>IF([1]SCHEDULE!B1384="","",[1]SCHEDULE!B1384)</f>
        <v/>
      </c>
      <c r="C1384" s="3">
        <f>IF([1]SCHEDULE!C1384="","",[1]SCHEDULE!C1384)</f>
        <v>5</v>
      </c>
      <c r="D1384" s="1" t="e">
        <f>IF([1]SCHEDULE!D1384="","",[1]SCHEDULE!D1384)</f>
        <v>#N/A</v>
      </c>
      <c r="E1384" s="1" t="str">
        <f>IF([1]SCHEDULE!E1384="","",[1]SCHEDULE!E1384)</f>
        <v/>
      </c>
      <c r="F1384" s="6" t="str">
        <f>IF([1]SCHEDULE!F1384="","",[1]SCHEDULE!F1384)</f>
        <v/>
      </c>
      <c r="G1384" s="3" t="str">
        <f>IF([1]SCHEDULE!G1384="","",[1]SCHEDULE!G1384)</f>
        <v/>
      </c>
      <c r="H1384" s="3" t="str">
        <f>IF([1]SCHEDULE!H1384="","",[1]SCHEDULE!H1384)</f>
        <v/>
      </c>
      <c r="I1384" s="3" t="str">
        <f>IF([1]SCHEDULE!I1384="","",[1]SCHEDULE!I1384)</f>
        <v/>
      </c>
      <c r="J1384" s="3" t="str">
        <f>IF([1]SCHEDULE!J1384="","",[1]SCHEDULE!J1384)</f>
        <v/>
      </c>
    </row>
    <row r="1385" spans="2:10" x14ac:dyDescent="0.25">
      <c r="B1385" s="3" t="str">
        <f>IF([1]SCHEDULE!B1385="","",[1]SCHEDULE!B1385)</f>
        <v/>
      </c>
      <c r="C1385" s="3">
        <f>IF([1]SCHEDULE!C1385="","",[1]SCHEDULE!C1385)</f>
        <v>6</v>
      </c>
      <c r="D1385" s="1" t="e">
        <f>IF([1]SCHEDULE!D1385="","",[1]SCHEDULE!D1385)</f>
        <v>#N/A</v>
      </c>
      <c r="E1385" s="1" t="str">
        <f>IF([1]SCHEDULE!E1385="","",[1]SCHEDULE!E1385)</f>
        <v/>
      </c>
      <c r="F1385" s="6" t="str">
        <f>IF([1]SCHEDULE!F1385="","",[1]SCHEDULE!F1385)</f>
        <v/>
      </c>
      <c r="G1385" s="3" t="str">
        <f>IF([1]SCHEDULE!G1385="","",[1]SCHEDULE!G1385)</f>
        <v/>
      </c>
      <c r="H1385" s="3" t="str">
        <f>IF([1]SCHEDULE!H1385="","",[1]SCHEDULE!H1385)</f>
        <v/>
      </c>
      <c r="I1385" s="3" t="str">
        <f>IF([1]SCHEDULE!I1385="","",[1]SCHEDULE!I1385)</f>
        <v/>
      </c>
      <c r="J1385" s="3" t="str">
        <f>IF([1]SCHEDULE!J1385="","",[1]SCHEDULE!J1385)</f>
        <v/>
      </c>
    </row>
    <row r="1386" spans="2:10" x14ac:dyDescent="0.25">
      <c r="B1386" s="3" t="str">
        <f>IF([1]SCHEDULE!B1386="","",[1]SCHEDULE!B1386)</f>
        <v/>
      </c>
      <c r="C1386" s="3">
        <f>IF([1]SCHEDULE!C1386="","",[1]SCHEDULE!C1386)</f>
        <v>7</v>
      </c>
      <c r="D1386" s="1" t="e">
        <f>IF([1]SCHEDULE!D1386="","",[1]SCHEDULE!D1386)</f>
        <v>#N/A</v>
      </c>
      <c r="E1386" s="1" t="str">
        <f>IF([1]SCHEDULE!E1386="","",[1]SCHEDULE!E1386)</f>
        <v/>
      </c>
      <c r="F1386" s="6" t="str">
        <f>IF([1]SCHEDULE!F1386="","",[1]SCHEDULE!F1386)</f>
        <v/>
      </c>
      <c r="G1386" s="3" t="str">
        <f>IF([1]SCHEDULE!G1386="","",[1]SCHEDULE!G1386)</f>
        <v/>
      </c>
      <c r="H1386" s="3" t="str">
        <f>IF([1]SCHEDULE!H1386="","",[1]SCHEDULE!H1386)</f>
        <v/>
      </c>
      <c r="I1386" s="3" t="str">
        <f>IF([1]SCHEDULE!I1386="","",[1]SCHEDULE!I1386)</f>
        <v/>
      </c>
      <c r="J1386" s="3" t="str">
        <f>IF([1]SCHEDULE!J1386="","",[1]SCHEDULE!J1386)</f>
        <v/>
      </c>
    </row>
    <row r="1387" spans="2:10" x14ac:dyDescent="0.25">
      <c r="B1387" s="3" t="str">
        <f>IF([1]SCHEDULE!B1387="","",[1]SCHEDULE!B1387)</f>
        <v/>
      </c>
      <c r="C1387" s="3">
        <f>IF([1]SCHEDULE!C1387="","",[1]SCHEDULE!C1387)</f>
        <v>8</v>
      </c>
      <c r="D1387" s="1" t="e">
        <f>IF([1]SCHEDULE!D1387="","",[1]SCHEDULE!D1387)</f>
        <v>#N/A</v>
      </c>
      <c r="E1387" s="1" t="str">
        <f>IF([1]SCHEDULE!E1387="","",[1]SCHEDULE!E1387)</f>
        <v/>
      </c>
      <c r="F1387" s="6" t="str">
        <f>IF([1]SCHEDULE!F1387="","",[1]SCHEDULE!F1387)</f>
        <v/>
      </c>
      <c r="G1387" s="3" t="str">
        <f>IF([1]SCHEDULE!G1387="","",[1]SCHEDULE!G1387)</f>
        <v/>
      </c>
      <c r="H1387" s="3" t="str">
        <f>IF([1]SCHEDULE!H1387="","",[1]SCHEDULE!H1387)</f>
        <v/>
      </c>
      <c r="I1387" s="3" t="str">
        <f>IF([1]SCHEDULE!I1387="","",[1]SCHEDULE!I1387)</f>
        <v/>
      </c>
      <c r="J1387" s="3" t="str">
        <f>IF([1]SCHEDULE!J1387="","",[1]SCHEDULE!J1387)</f>
        <v/>
      </c>
    </row>
    <row r="1388" spans="2:10" x14ac:dyDescent="0.25">
      <c r="B1388" s="3" t="str">
        <f>IF([1]SCHEDULE!B1388="","",[1]SCHEDULE!B1388)</f>
        <v/>
      </c>
      <c r="C1388" s="3">
        <f>IF([1]SCHEDULE!C1388="","",[1]SCHEDULE!C1388)</f>
        <v>9</v>
      </c>
      <c r="D1388" s="1" t="e">
        <f>IF([1]SCHEDULE!D1388="","",[1]SCHEDULE!D1388)</f>
        <v>#N/A</v>
      </c>
      <c r="E1388" s="1" t="str">
        <f>IF([1]SCHEDULE!E1388="","",[1]SCHEDULE!E1388)</f>
        <v/>
      </c>
      <c r="F1388" s="6" t="str">
        <f>IF([1]SCHEDULE!F1388="","",[1]SCHEDULE!F1388)</f>
        <v/>
      </c>
      <c r="G1388" s="3" t="str">
        <f>IF([1]SCHEDULE!G1388="","",[1]SCHEDULE!G1388)</f>
        <v/>
      </c>
      <c r="H1388" s="3" t="str">
        <f>IF([1]SCHEDULE!H1388="","",[1]SCHEDULE!H1388)</f>
        <v/>
      </c>
      <c r="I1388" s="3" t="str">
        <f>IF([1]SCHEDULE!I1388="","",[1]SCHEDULE!I1388)</f>
        <v/>
      </c>
      <c r="J1388" s="3" t="str">
        <f>IF([1]SCHEDULE!J1388="","",[1]SCHEDULE!J1388)</f>
        <v/>
      </c>
    </row>
    <row r="1389" spans="2:10" x14ac:dyDescent="0.25">
      <c r="B1389" s="3" t="str">
        <f>IF([1]SCHEDULE!B1389="","",[1]SCHEDULE!B1389)</f>
        <v/>
      </c>
      <c r="C1389" s="3">
        <f>IF([1]SCHEDULE!C1389="","",[1]SCHEDULE!C1389)</f>
        <v>10</v>
      </c>
      <c r="D1389" s="1" t="e">
        <f>IF([1]SCHEDULE!D1389="","",[1]SCHEDULE!D1389)</f>
        <v>#N/A</v>
      </c>
      <c r="E1389" s="1" t="str">
        <f>IF([1]SCHEDULE!E1389="","",[1]SCHEDULE!E1389)</f>
        <v/>
      </c>
      <c r="F1389" s="6" t="str">
        <f>IF([1]SCHEDULE!F1389="","",[1]SCHEDULE!F1389)</f>
        <v/>
      </c>
      <c r="G1389" s="3" t="str">
        <f>IF([1]SCHEDULE!G1389="","",[1]SCHEDULE!G1389)</f>
        <v/>
      </c>
      <c r="H1389" s="3" t="str">
        <f>IF([1]SCHEDULE!H1389="","",[1]SCHEDULE!H1389)</f>
        <v/>
      </c>
      <c r="I1389" s="3" t="str">
        <f>IF([1]SCHEDULE!I1389="","",[1]SCHEDULE!I1389)</f>
        <v/>
      </c>
      <c r="J1389" s="3" t="str">
        <f>IF([1]SCHEDULE!J1389="","",[1]SCHEDULE!J1389)</f>
        <v/>
      </c>
    </row>
    <row r="1390" spans="2:10" x14ac:dyDescent="0.25">
      <c r="B1390" s="3" t="str">
        <f>IF([1]SCHEDULE!B1390="","",[1]SCHEDULE!B1390)</f>
        <v/>
      </c>
      <c r="C1390" s="3">
        <f>IF([1]SCHEDULE!C1390="","",[1]SCHEDULE!C1390)</f>
        <v>11</v>
      </c>
      <c r="D1390" s="1" t="e">
        <f>IF([1]SCHEDULE!D1390="","",[1]SCHEDULE!D1390)</f>
        <v>#N/A</v>
      </c>
      <c r="E1390" s="1" t="str">
        <f>IF([1]SCHEDULE!E1390="","",[1]SCHEDULE!E1390)</f>
        <v/>
      </c>
      <c r="F1390" s="6" t="str">
        <f>IF([1]SCHEDULE!F1390="","",[1]SCHEDULE!F1390)</f>
        <v/>
      </c>
      <c r="G1390" s="3" t="str">
        <f>IF([1]SCHEDULE!G1390="","",[1]SCHEDULE!G1390)</f>
        <v/>
      </c>
      <c r="H1390" s="3" t="str">
        <f>IF([1]SCHEDULE!H1390="","",[1]SCHEDULE!H1390)</f>
        <v/>
      </c>
      <c r="I1390" s="3" t="str">
        <f>IF([1]SCHEDULE!I1390="","",[1]SCHEDULE!I1390)</f>
        <v/>
      </c>
      <c r="J1390" s="3" t="str">
        <f>IF([1]SCHEDULE!J1390="","",[1]SCHEDULE!J1390)</f>
        <v/>
      </c>
    </row>
    <row r="1391" spans="2:10" x14ac:dyDescent="0.25">
      <c r="B1391" s="3" t="str">
        <f>IF([1]SCHEDULE!B1391="","",[1]SCHEDULE!B1391)</f>
        <v/>
      </c>
      <c r="C1391" s="3">
        <f>IF([1]SCHEDULE!C1391="","",[1]SCHEDULE!C1391)</f>
        <v>12</v>
      </c>
      <c r="D1391" s="1" t="e">
        <f>IF([1]SCHEDULE!D1391="","",[1]SCHEDULE!D1391)</f>
        <v>#N/A</v>
      </c>
      <c r="E1391" s="1" t="str">
        <f>IF([1]SCHEDULE!E1391="","",[1]SCHEDULE!E1391)</f>
        <v/>
      </c>
      <c r="F1391" s="6" t="str">
        <f>IF([1]SCHEDULE!F1391="","",[1]SCHEDULE!F1391)</f>
        <v/>
      </c>
      <c r="G1391" s="3" t="str">
        <f>IF([1]SCHEDULE!G1391="","",[1]SCHEDULE!G1391)</f>
        <v/>
      </c>
      <c r="H1391" s="3" t="str">
        <f>IF([1]SCHEDULE!H1391="","",[1]SCHEDULE!H1391)</f>
        <v/>
      </c>
      <c r="I1391" s="3" t="str">
        <f>IF([1]SCHEDULE!I1391="","",[1]SCHEDULE!I1391)</f>
        <v/>
      </c>
      <c r="J1391" s="3" t="str">
        <f>IF([1]SCHEDULE!J1391="","",[1]SCHEDULE!J1391)</f>
        <v/>
      </c>
    </row>
    <row r="1392" spans="2:10" x14ac:dyDescent="0.25">
      <c r="B1392" s="3" t="str">
        <f>IF([1]SCHEDULE!B1392="","",[1]SCHEDULE!B1392)</f>
        <v/>
      </c>
      <c r="C1392" s="3">
        <f>IF([1]SCHEDULE!C1392="","",[1]SCHEDULE!C1392)</f>
        <v>13</v>
      </c>
      <c r="D1392" s="1" t="e">
        <f>IF([1]SCHEDULE!D1392="","",[1]SCHEDULE!D1392)</f>
        <v>#N/A</v>
      </c>
      <c r="E1392" s="1" t="str">
        <f>IF([1]SCHEDULE!E1392="","",[1]SCHEDULE!E1392)</f>
        <v/>
      </c>
      <c r="F1392" s="6" t="str">
        <f>IF([1]SCHEDULE!F1392="","",[1]SCHEDULE!F1392)</f>
        <v/>
      </c>
      <c r="G1392" s="3" t="str">
        <f>IF([1]SCHEDULE!G1392="","",[1]SCHEDULE!G1392)</f>
        <v/>
      </c>
      <c r="H1392" s="3" t="str">
        <f>IF([1]SCHEDULE!H1392="","",[1]SCHEDULE!H1392)</f>
        <v/>
      </c>
      <c r="I1392" s="3" t="str">
        <f>IF([1]SCHEDULE!I1392="","",[1]SCHEDULE!I1392)</f>
        <v/>
      </c>
      <c r="J1392" s="3" t="str">
        <f>IF([1]SCHEDULE!J1392="","",[1]SCHEDULE!J1392)</f>
        <v/>
      </c>
    </row>
    <row r="1393" spans="2:10" x14ac:dyDescent="0.25">
      <c r="B1393" s="3" t="str">
        <f>IF([1]SCHEDULE!B1393="","",[1]SCHEDULE!B1393)</f>
        <v/>
      </c>
      <c r="C1393" s="3">
        <f>IF([1]SCHEDULE!C1393="","",[1]SCHEDULE!C1393)</f>
        <v>14</v>
      </c>
      <c r="D1393" s="1" t="e">
        <f>IF([1]SCHEDULE!D1393="","",[1]SCHEDULE!D1393)</f>
        <v>#N/A</v>
      </c>
      <c r="E1393" s="1" t="str">
        <f>IF([1]SCHEDULE!E1393="","",[1]SCHEDULE!E1393)</f>
        <v/>
      </c>
      <c r="F1393" s="6" t="str">
        <f>IF([1]SCHEDULE!F1393="","",[1]SCHEDULE!F1393)</f>
        <v/>
      </c>
      <c r="G1393" s="3" t="str">
        <f>IF([1]SCHEDULE!G1393="","",[1]SCHEDULE!G1393)</f>
        <v/>
      </c>
      <c r="H1393" s="3" t="str">
        <f>IF([1]SCHEDULE!H1393="","",[1]SCHEDULE!H1393)</f>
        <v/>
      </c>
      <c r="I1393" s="3" t="str">
        <f>IF([1]SCHEDULE!I1393="","",[1]SCHEDULE!I1393)</f>
        <v/>
      </c>
      <c r="J1393" s="3" t="str">
        <f>IF([1]SCHEDULE!J1393="","",[1]SCHEDULE!J1393)</f>
        <v/>
      </c>
    </row>
    <row r="1394" spans="2:10" x14ac:dyDescent="0.25">
      <c r="B1394" s="3" t="str">
        <f>IF([1]SCHEDULE!B1394="","",[1]SCHEDULE!B1394)</f>
        <v/>
      </c>
      <c r="C1394" s="3">
        <f>IF([1]SCHEDULE!C1394="","",[1]SCHEDULE!C1394)</f>
        <v>15</v>
      </c>
      <c r="D1394" s="1" t="e">
        <f>IF([1]SCHEDULE!D1394="","",[1]SCHEDULE!D1394)</f>
        <v>#N/A</v>
      </c>
      <c r="E1394" s="1" t="str">
        <f>IF([1]SCHEDULE!E1394="","",[1]SCHEDULE!E1394)</f>
        <v/>
      </c>
      <c r="F1394" s="6" t="str">
        <f>IF([1]SCHEDULE!F1394="","",[1]SCHEDULE!F1394)</f>
        <v/>
      </c>
      <c r="G1394" s="3" t="str">
        <f>IF([1]SCHEDULE!G1394="","",[1]SCHEDULE!G1394)</f>
        <v/>
      </c>
      <c r="H1394" s="3" t="str">
        <f>IF([1]SCHEDULE!H1394="","",[1]SCHEDULE!H1394)</f>
        <v/>
      </c>
      <c r="I1394" s="3" t="str">
        <f>IF([1]SCHEDULE!I1394="","",[1]SCHEDULE!I1394)</f>
        <v/>
      </c>
      <c r="J1394" s="3" t="str">
        <f>IF([1]SCHEDULE!J1394="","",[1]SCHEDULE!J1394)</f>
        <v/>
      </c>
    </row>
    <row r="1395" spans="2:10" x14ac:dyDescent="0.25">
      <c r="B1395" s="3" t="str">
        <f>IF([1]SCHEDULE!B1395="","",[1]SCHEDULE!B1395)</f>
        <v/>
      </c>
      <c r="C1395" s="3">
        <f>IF([1]SCHEDULE!C1395="","",[1]SCHEDULE!C1395)</f>
        <v>16</v>
      </c>
      <c r="D1395" s="1" t="e">
        <f>IF([1]SCHEDULE!D1395="","",[1]SCHEDULE!D1395)</f>
        <v>#N/A</v>
      </c>
      <c r="E1395" s="1" t="str">
        <f>IF([1]SCHEDULE!E1395="","",[1]SCHEDULE!E1395)</f>
        <v/>
      </c>
      <c r="F1395" s="6" t="str">
        <f>IF([1]SCHEDULE!F1395="","",[1]SCHEDULE!F1395)</f>
        <v/>
      </c>
      <c r="G1395" s="3" t="str">
        <f>IF([1]SCHEDULE!G1395="","",[1]SCHEDULE!G1395)</f>
        <v/>
      </c>
      <c r="H1395" s="3" t="str">
        <f>IF([1]SCHEDULE!H1395="","",[1]SCHEDULE!H1395)</f>
        <v/>
      </c>
      <c r="I1395" s="3" t="str">
        <f>IF([1]SCHEDULE!I1395="","",[1]SCHEDULE!I1395)</f>
        <v/>
      </c>
      <c r="J1395" s="3" t="str">
        <f>IF([1]SCHEDULE!J1395="","",[1]SCHEDULE!J1395)</f>
        <v/>
      </c>
    </row>
    <row r="1396" spans="2:10" x14ac:dyDescent="0.25">
      <c r="B1396" s="3" t="str">
        <f>IF([1]SCHEDULE!B1396="","",[1]SCHEDULE!B1396)</f>
        <v/>
      </c>
      <c r="C1396" s="3">
        <f>IF([1]SCHEDULE!C1396="","",[1]SCHEDULE!C1396)</f>
        <v>17</v>
      </c>
      <c r="D1396" s="1" t="e">
        <f>IF([1]SCHEDULE!D1396="","",[1]SCHEDULE!D1396)</f>
        <v>#N/A</v>
      </c>
      <c r="E1396" s="1" t="str">
        <f>IF([1]SCHEDULE!E1396="","",[1]SCHEDULE!E1396)</f>
        <v/>
      </c>
      <c r="F1396" s="6" t="str">
        <f>IF([1]SCHEDULE!F1396="","",[1]SCHEDULE!F1396)</f>
        <v/>
      </c>
      <c r="G1396" s="3" t="str">
        <f>IF([1]SCHEDULE!G1396="","",[1]SCHEDULE!G1396)</f>
        <v/>
      </c>
      <c r="H1396" s="3" t="str">
        <f>IF([1]SCHEDULE!H1396="","",[1]SCHEDULE!H1396)</f>
        <v/>
      </c>
      <c r="I1396" s="3" t="str">
        <f>IF([1]SCHEDULE!I1396="","",[1]SCHEDULE!I1396)</f>
        <v/>
      </c>
      <c r="J1396" s="3" t="str">
        <f>IF([1]SCHEDULE!J1396="","",[1]SCHEDULE!J1396)</f>
        <v/>
      </c>
    </row>
    <row r="1397" spans="2:10" x14ac:dyDescent="0.25">
      <c r="B1397" s="3" t="str">
        <f>IF([1]SCHEDULE!B1397="","",[1]SCHEDULE!B1397)</f>
        <v/>
      </c>
      <c r="C1397" s="3">
        <f>IF([1]SCHEDULE!C1397="","",[1]SCHEDULE!C1397)</f>
        <v>18</v>
      </c>
      <c r="D1397" s="1" t="e">
        <f>IF([1]SCHEDULE!D1397="","",[1]SCHEDULE!D1397)</f>
        <v>#N/A</v>
      </c>
      <c r="E1397" s="1" t="str">
        <f>IF([1]SCHEDULE!E1397="","",[1]SCHEDULE!E1397)</f>
        <v/>
      </c>
      <c r="F1397" s="6" t="str">
        <f>IF([1]SCHEDULE!F1397="","",[1]SCHEDULE!F1397)</f>
        <v/>
      </c>
      <c r="G1397" s="3" t="str">
        <f>IF([1]SCHEDULE!G1397="","",[1]SCHEDULE!G1397)</f>
        <v/>
      </c>
      <c r="H1397" s="3" t="str">
        <f>IF([1]SCHEDULE!H1397="","",[1]SCHEDULE!H1397)</f>
        <v/>
      </c>
      <c r="I1397" s="3" t="str">
        <f>IF([1]SCHEDULE!I1397="","",[1]SCHEDULE!I1397)</f>
        <v/>
      </c>
      <c r="J1397" s="3" t="str">
        <f>IF([1]SCHEDULE!J1397="","",[1]SCHEDULE!J1397)</f>
        <v/>
      </c>
    </row>
    <row r="1398" spans="2:10" x14ac:dyDescent="0.25">
      <c r="B1398" s="3" t="str">
        <f>IF([1]SCHEDULE!B1398="","",[1]SCHEDULE!B1398)</f>
        <v/>
      </c>
      <c r="C1398" s="3">
        <f>IF([1]SCHEDULE!C1398="","",[1]SCHEDULE!C1398)</f>
        <v>19</v>
      </c>
      <c r="D1398" s="1" t="e">
        <f>IF([1]SCHEDULE!D1398="","",[1]SCHEDULE!D1398)</f>
        <v>#N/A</v>
      </c>
      <c r="E1398" s="1" t="str">
        <f>IF([1]SCHEDULE!E1398="","",[1]SCHEDULE!E1398)</f>
        <v/>
      </c>
      <c r="F1398" s="6" t="str">
        <f>IF([1]SCHEDULE!F1398="","",[1]SCHEDULE!F1398)</f>
        <v/>
      </c>
      <c r="G1398" s="3" t="str">
        <f>IF([1]SCHEDULE!G1398="","",[1]SCHEDULE!G1398)</f>
        <v/>
      </c>
      <c r="H1398" s="3" t="str">
        <f>IF([1]SCHEDULE!H1398="","",[1]SCHEDULE!H1398)</f>
        <v/>
      </c>
      <c r="I1398" s="3" t="str">
        <f>IF([1]SCHEDULE!I1398="","",[1]SCHEDULE!I1398)</f>
        <v/>
      </c>
      <c r="J1398" s="3" t="str">
        <f>IF([1]SCHEDULE!J1398="","",[1]SCHEDULE!J1398)</f>
        <v/>
      </c>
    </row>
    <row r="1399" spans="2:10" x14ac:dyDescent="0.25">
      <c r="B1399" s="3" t="str">
        <f>IF([1]SCHEDULE!B1399="","",[1]SCHEDULE!B1399)</f>
        <v/>
      </c>
      <c r="C1399" s="3">
        <f>IF([1]SCHEDULE!C1399="","",[1]SCHEDULE!C1399)</f>
        <v>20</v>
      </c>
      <c r="D1399" s="1" t="e">
        <f>IF([1]SCHEDULE!D1399="","",[1]SCHEDULE!D1399)</f>
        <v>#N/A</v>
      </c>
      <c r="E1399" s="1" t="str">
        <f>IF([1]SCHEDULE!E1399="","",[1]SCHEDULE!E1399)</f>
        <v/>
      </c>
      <c r="F1399" s="6" t="str">
        <f>IF([1]SCHEDULE!F1399="","",[1]SCHEDULE!F1399)</f>
        <v/>
      </c>
      <c r="G1399" s="3" t="str">
        <f>IF([1]SCHEDULE!G1399="","",[1]SCHEDULE!G1399)</f>
        <v/>
      </c>
      <c r="H1399" s="3" t="str">
        <f>IF([1]SCHEDULE!H1399="","",[1]SCHEDULE!H1399)</f>
        <v/>
      </c>
      <c r="I1399" s="3" t="str">
        <f>IF([1]SCHEDULE!I1399="","",[1]SCHEDULE!I1399)</f>
        <v/>
      </c>
      <c r="J1399" s="3" t="str">
        <f>IF([1]SCHEDULE!J1399="","",[1]SCHEDULE!J1399)</f>
        <v/>
      </c>
    </row>
    <row r="1400" spans="2:10" x14ac:dyDescent="0.25">
      <c r="B1400" s="3" t="str">
        <f>IF([1]SCHEDULE!B1400="","",[1]SCHEDULE!B1400)</f>
        <v/>
      </c>
      <c r="C1400" s="3">
        <f>IF([1]SCHEDULE!C1400="","",[1]SCHEDULE!C1400)</f>
        <v>21</v>
      </c>
      <c r="D1400" s="1" t="e">
        <f>IF([1]SCHEDULE!D1400="","",[1]SCHEDULE!D1400)</f>
        <v>#N/A</v>
      </c>
      <c r="E1400" s="1" t="str">
        <f>IF([1]SCHEDULE!E1400="","",[1]SCHEDULE!E1400)</f>
        <v/>
      </c>
      <c r="F1400" s="6" t="str">
        <f>IF([1]SCHEDULE!F1400="","",[1]SCHEDULE!F1400)</f>
        <v/>
      </c>
      <c r="G1400" s="3" t="str">
        <f>IF([1]SCHEDULE!G1400="","",[1]SCHEDULE!G1400)</f>
        <v/>
      </c>
      <c r="H1400" s="3" t="str">
        <f>IF([1]SCHEDULE!H1400="","",[1]SCHEDULE!H1400)</f>
        <v/>
      </c>
      <c r="I1400" s="3" t="str">
        <f>IF([1]SCHEDULE!I1400="","",[1]SCHEDULE!I1400)</f>
        <v/>
      </c>
      <c r="J1400" s="3" t="str">
        <f>IF([1]SCHEDULE!J1400="","",[1]SCHEDULE!J1400)</f>
        <v/>
      </c>
    </row>
    <row r="1401" spans="2:10" x14ac:dyDescent="0.25">
      <c r="B1401" s="3" t="str">
        <f>IF([1]SCHEDULE!B1401="","",[1]SCHEDULE!B1401)</f>
        <v/>
      </c>
      <c r="C1401" s="3">
        <f>IF([1]SCHEDULE!C1401="","",[1]SCHEDULE!C1401)</f>
        <v>22</v>
      </c>
      <c r="D1401" s="1" t="e">
        <f>IF([1]SCHEDULE!D1401="","",[1]SCHEDULE!D1401)</f>
        <v>#N/A</v>
      </c>
      <c r="E1401" s="1" t="str">
        <f>IF([1]SCHEDULE!E1401="","",[1]SCHEDULE!E1401)</f>
        <v/>
      </c>
      <c r="F1401" s="6" t="str">
        <f>IF([1]SCHEDULE!F1401="","",[1]SCHEDULE!F1401)</f>
        <v/>
      </c>
      <c r="G1401" s="3" t="str">
        <f>IF([1]SCHEDULE!G1401="","",[1]SCHEDULE!G1401)</f>
        <v/>
      </c>
      <c r="H1401" s="3" t="str">
        <f>IF([1]SCHEDULE!H1401="","",[1]SCHEDULE!H1401)</f>
        <v/>
      </c>
      <c r="I1401" s="3" t="str">
        <f>IF([1]SCHEDULE!I1401="","",[1]SCHEDULE!I1401)</f>
        <v/>
      </c>
      <c r="J1401" s="3" t="str">
        <f>IF([1]SCHEDULE!J1401="","",[1]SCHEDULE!J1401)</f>
        <v/>
      </c>
    </row>
    <row r="1402" spans="2:10" x14ac:dyDescent="0.25">
      <c r="B1402" s="3" t="str">
        <f>IF([1]SCHEDULE!B1402="","",[1]SCHEDULE!B1402)</f>
        <v/>
      </c>
      <c r="C1402" s="3">
        <f>IF([1]SCHEDULE!C1402="","",[1]SCHEDULE!C1402)</f>
        <v>23</v>
      </c>
      <c r="D1402" s="1" t="e">
        <f>IF([1]SCHEDULE!D1402="","",[1]SCHEDULE!D1402)</f>
        <v>#N/A</v>
      </c>
      <c r="E1402" s="1" t="str">
        <f>IF([1]SCHEDULE!E1402="","",[1]SCHEDULE!E1402)</f>
        <v/>
      </c>
      <c r="F1402" s="6" t="str">
        <f>IF([1]SCHEDULE!F1402="","",[1]SCHEDULE!F1402)</f>
        <v/>
      </c>
      <c r="G1402" s="3" t="str">
        <f>IF([1]SCHEDULE!G1402="","",[1]SCHEDULE!G1402)</f>
        <v/>
      </c>
      <c r="H1402" s="3" t="str">
        <f>IF([1]SCHEDULE!H1402="","",[1]SCHEDULE!H1402)</f>
        <v/>
      </c>
      <c r="I1402" s="3" t="str">
        <f>IF([1]SCHEDULE!I1402="","",[1]SCHEDULE!I1402)</f>
        <v/>
      </c>
      <c r="J1402" s="3" t="str">
        <f>IF([1]SCHEDULE!J1402="","",[1]SCHEDULE!J1402)</f>
        <v/>
      </c>
    </row>
    <row r="1403" spans="2:10" x14ac:dyDescent="0.25">
      <c r="B1403" s="3" t="str">
        <f>IF([1]SCHEDULE!B1403="","",[1]SCHEDULE!B1403)</f>
        <v/>
      </c>
      <c r="C1403" s="3">
        <f>IF([1]SCHEDULE!C1403="","",[1]SCHEDULE!C1403)</f>
        <v>24</v>
      </c>
      <c r="D1403" s="1" t="e">
        <f>IF([1]SCHEDULE!D1403="","",[1]SCHEDULE!D1403)</f>
        <v>#N/A</v>
      </c>
      <c r="E1403" s="1" t="str">
        <f>IF([1]SCHEDULE!E1403="","",[1]SCHEDULE!E1403)</f>
        <v/>
      </c>
      <c r="F1403" s="6" t="str">
        <f>IF([1]SCHEDULE!F1403="","",[1]SCHEDULE!F1403)</f>
        <v/>
      </c>
      <c r="G1403" s="3" t="str">
        <f>IF([1]SCHEDULE!G1403="","",[1]SCHEDULE!G1403)</f>
        <v/>
      </c>
      <c r="H1403" s="3" t="str">
        <f>IF([1]SCHEDULE!H1403="","",[1]SCHEDULE!H1403)</f>
        <v/>
      </c>
      <c r="I1403" s="3" t="str">
        <f>IF([1]SCHEDULE!I1403="","",[1]SCHEDULE!I1403)</f>
        <v/>
      </c>
      <c r="J1403" s="3" t="str">
        <f>IF([1]SCHEDULE!J1403="","",[1]SCHEDULE!J1403)</f>
        <v/>
      </c>
    </row>
    <row r="1404" spans="2:10" x14ac:dyDescent="0.25">
      <c r="B1404" s="3" t="str">
        <f>IF([1]SCHEDULE!B1404="","",[1]SCHEDULE!B1404)</f>
        <v/>
      </c>
      <c r="C1404" s="3">
        <f>IF([1]SCHEDULE!C1404="","",[1]SCHEDULE!C1404)</f>
        <v>25</v>
      </c>
      <c r="D1404" s="1" t="e">
        <f>IF([1]SCHEDULE!D1404="","",[1]SCHEDULE!D1404)</f>
        <v>#N/A</v>
      </c>
      <c r="E1404" s="1" t="str">
        <f>IF([1]SCHEDULE!E1404="","",[1]SCHEDULE!E1404)</f>
        <v/>
      </c>
      <c r="F1404" s="6" t="str">
        <f>IF([1]SCHEDULE!F1404="","",[1]SCHEDULE!F1404)</f>
        <v/>
      </c>
      <c r="G1404" s="3" t="str">
        <f>IF([1]SCHEDULE!G1404="","",[1]SCHEDULE!G1404)</f>
        <v/>
      </c>
      <c r="H1404" s="3" t="str">
        <f>IF([1]SCHEDULE!H1404="","",[1]SCHEDULE!H1404)</f>
        <v/>
      </c>
      <c r="I1404" s="3" t="str">
        <f>IF([1]SCHEDULE!I1404="","",[1]SCHEDULE!I1404)</f>
        <v/>
      </c>
      <c r="J1404" s="3" t="str">
        <f>IF([1]SCHEDULE!J1404="","",[1]SCHEDULE!J1404)</f>
        <v/>
      </c>
    </row>
    <row r="1405" spans="2:10" x14ac:dyDescent="0.25">
      <c r="B1405" s="3" t="str">
        <f>IF([1]SCHEDULE!B1405="","",[1]SCHEDULE!B1405)</f>
        <v/>
      </c>
      <c r="C1405" s="3">
        <f>IF([1]SCHEDULE!C1405="","",[1]SCHEDULE!C1405)</f>
        <v>26</v>
      </c>
      <c r="D1405" s="1" t="e">
        <f>IF([1]SCHEDULE!D1405="","",[1]SCHEDULE!D1405)</f>
        <v>#N/A</v>
      </c>
      <c r="E1405" s="1" t="str">
        <f>IF([1]SCHEDULE!E1405="","",[1]SCHEDULE!E1405)</f>
        <v/>
      </c>
      <c r="F1405" s="6" t="str">
        <f>IF([1]SCHEDULE!F1405="","",[1]SCHEDULE!F1405)</f>
        <v/>
      </c>
      <c r="G1405" s="3" t="str">
        <f>IF([1]SCHEDULE!G1405="","",[1]SCHEDULE!G1405)</f>
        <v/>
      </c>
      <c r="H1405" s="3" t="str">
        <f>IF([1]SCHEDULE!H1405="","",[1]SCHEDULE!H1405)</f>
        <v/>
      </c>
      <c r="I1405" s="3" t="str">
        <f>IF([1]SCHEDULE!I1405="","",[1]SCHEDULE!I1405)</f>
        <v/>
      </c>
      <c r="J1405" s="3" t="str">
        <f>IF([1]SCHEDULE!J1405="","",[1]SCHEDULE!J1405)</f>
        <v/>
      </c>
    </row>
    <row r="1406" spans="2:10" x14ac:dyDescent="0.25">
      <c r="B1406" s="3" t="str">
        <f>IF([1]SCHEDULE!B1406="","",[1]SCHEDULE!B1406)</f>
        <v/>
      </c>
      <c r="C1406" s="3">
        <f>IF([1]SCHEDULE!C1406="","",[1]SCHEDULE!C1406)</f>
        <v>27</v>
      </c>
      <c r="D1406" s="1" t="e">
        <f>IF([1]SCHEDULE!D1406="","",[1]SCHEDULE!D1406)</f>
        <v>#N/A</v>
      </c>
      <c r="E1406" s="1" t="str">
        <f>IF([1]SCHEDULE!E1406="","",[1]SCHEDULE!E1406)</f>
        <v/>
      </c>
      <c r="F1406" s="6" t="str">
        <f>IF([1]SCHEDULE!F1406="","",[1]SCHEDULE!F1406)</f>
        <v/>
      </c>
      <c r="G1406" s="3" t="str">
        <f>IF([1]SCHEDULE!G1406="","",[1]SCHEDULE!G1406)</f>
        <v/>
      </c>
      <c r="H1406" s="3" t="str">
        <f>IF([1]SCHEDULE!H1406="","",[1]SCHEDULE!H1406)</f>
        <v/>
      </c>
      <c r="I1406" s="3" t="str">
        <f>IF([1]SCHEDULE!I1406="","",[1]SCHEDULE!I1406)</f>
        <v/>
      </c>
      <c r="J1406" s="3" t="str">
        <f>IF([1]SCHEDULE!J1406="","",[1]SCHEDULE!J1406)</f>
        <v/>
      </c>
    </row>
    <row r="1407" spans="2:10" x14ac:dyDescent="0.25">
      <c r="B1407" s="3" t="str">
        <f>IF([1]SCHEDULE!B1407="","",[1]SCHEDULE!B1407)</f>
        <v/>
      </c>
      <c r="C1407" s="3">
        <f>IF([1]SCHEDULE!C1407="","",[1]SCHEDULE!C1407)</f>
        <v>28</v>
      </c>
      <c r="D1407" s="1" t="e">
        <f>IF([1]SCHEDULE!D1407="","",[1]SCHEDULE!D1407)</f>
        <v>#N/A</v>
      </c>
      <c r="E1407" s="1" t="str">
        <f>IF([1]SCHEDULE!E1407="","",[1]SCHEDULE!E1407)</f>
        <v/>
      </c>
      <c r="F1407" s="6" t="str">
        <f>IF([1]SCHEDULE!F1407="","",[1]SCHEDULE!F1407)</f>
        <v/>
      </c>
      <c r="G1407" s="3" t="str">
        <f>IF([1]SCHEDULE!G1407="","",[1]SCHEDULE!G1407)</f>
        <v/>
      </c>
      <c r="H1407" s="3" t="str">
        <f>IF([1]SCHEDULE!H1407="","",[1]SCHEDULE!H1407)</f>
        <v/>
      </c>
      <c r="I1407" s="3" t="str">
        <f>IF([1]SCHEDULE!I1407="","",[1]SCHEDULE!I1407)</f>
        <v/>
      </c>
      <c r="J1407" s="3" t="str">
        <f>IF([1]SCHEDULE!J1407="","",[1]SCHEDULE!J1407)</f>
        <v/>
      </c>
    </row>
    <row r="1408" spans="2:10" x14ac:dyDescent="0.25">
      <c r="B1408" s="3" t="str">
        <f>IF([1]SCHEDULE!B1408="","",[1]SCHEDULE!B1408)</f>
        <v/>
      </c>
      <c r="C1408" s="3">
        <f>IF([1]SCHEDULE!C1408="","",[1]SCHEDULE!C1408)</f>
        <v>29</v>
      </c>
      <c r="D1408" s="1" t="e">
        <f>IF([1]SCHEDULE!D1408="","",[1]SCHEDULE!D1408)</f>
        <v>#N/A</v>
      </c>
      <c r="E1408" s="1" t="str">
        <f>IF([1]SCHEDULE!E1408="","",[1]SCHEDULE!E1408)</f>
        <v/>
      </c>
      <c r="F1408" s="6" t="str">
        <f>IF([1]SCHEDULE!F1408="","",[1]SCHEDULE!F1408)</f>
        <v/>
      </c>
      <c r="G1408" s="3" t="str">
        <f>IF([1]SCHEDULE!G1408="","",[1]SCHEDULE!G1408)</f>
        <v/>
      </c>
      <c r="H1408" s="3" t="str">
        <f>IF([1]SCHEDULE!H1408="","",[1]SCHEDULE!H1408)</f>
        <v/>
      </c>
      <c r="I1408" s="3" t="str">
        <f>IF([1]SCHEDULE!I1408="","",[1]SCHEDULE!I1408)</f>
        <v/>
      </c>
      <c r="J1408" s="3" t="str">
        <f>IF([1]SCHEDULE!J1408="","",[1]SCHEDULE!J1408)</f>
        <v/>
      </c>
    </row>
    <row r="1409" spans="2:10" x14ac:dyDescent="0.25">
      <c r="B1409" s="3" t="str">
        <f>IF([1]SCHEDULE!B1409="","",[1]SCHEDULE!B1409)</f>
        <v/>
      </c>
      <c r="C1409" s="3">
        <f>IF([1]SCHEDULE!C1409="","",[1]SCHEDULE!C1409)</f>
        <v>30</v>
      </c>
      <c r="D1409" s="1" t="e">
        <f>IF([1]SCHEDULE!D1409="","",[1]SCHEDULE!D1409)</f>
        <v>#N/A</v>
      </c>
      <c r="E1409" s="1" t="str">
        <f>IF([1]SCHEDULE!E1409="","",[1]SCHEDULE!E1409)</f>
        <v/>
      </c>
      <c r="F1409" s="6" t="str">
        <f>IF([1]SCHEDULE!F1409="","",[1]SCHEDULE!F1409)</f>
        <v/>
      </c>
      <c r="G1409" s="3" t="str">
        <f>IF([1]SCHEDULE!G1409="","",[1]SCHEDULE!G1409)</f>
        <v/>
      </c>
      <c r="H1409" s="3" t="str">
        <f>IF([1]SCHEDULE!H1409="","",[1]SCHEDULE!H1409)</f>
        <v/>
      </c>
      <c r="I1409" s="3" t="str">
        <f>IF([1]SCHEDULE!I1409="","",[1]SCHEDULE!I1409)</f>
        <v/>
      </c>
      <c r="J1409" s="3" t="str">
        <f>IF([1]SCHEDULE!J1409="","",[1]SCHEDULE!J1409)</f>
        <v/>
      </c>
    </row>
    <row r="1410" spans="2:10" x14ac:dyDescent="0.25">
      <c r="B1410" s="3" t="str">
        <f>IF([1]SCHEDULE!B1410="","",[1]SCHEDULE!B1410)</f>
        <v/>
      </c>
      <c r="C1410" s="3">
        <f>IF([1]SCHEDULE!C1410="","",[1]SCHEDULE!C1410)</f>
        <v>31</v>
      </c>
      <c r="D1410" s="1" t="e">
        <f>IF([1]SCHEDULE!D1410="","",[1]SCHEDULE!D1410)</f>
        <v>#N/A</v>
      </c>
      <c r="E1410" s="1" t="str">
        <f>IF([1]SCHEDULE!E1410="","",[1]SCHEDULE!E1410)</f>
        <v/>
      </c>
      <c r="F1410" s="6" t="str">
        <f>IF([1]SCHEDULE!F1410="","",[1]SCHEDULE!F1410)</f>
        <v/>
      </c>
      <c r="G1410" s="3" t="str">
        <f>IF([1]SCHEDULE!G1410="","",[1]SCHEDULE!G1410)</f>
        <v/>
      </c>
      <c r="H1410" s="3" t="str">
        <f>IF([1]SCHEDULE!H1410="","",[1]SCHEDULE!H1410)</f>
        <v/>
      </c>
      <c r="I1410" s="3" t="str">
        <f>IF([1]SCHEDULE!I1410="","",[1]SCHEDULE!I1410)</f>
        <v/>
      </c>
      <c r="J1410" s="3" t="str">
        <f>IF([1]SCHEDULE!J1410="","",[1]SCHEDULE!J1410)</f>
        <v/>
      </c>
    </row>
    <row r="1411" spans="2:10" x14ac:dyDescent="0.25">
      <c r="B1411" s="3" t="str">
        <f>IF([1]SCHEDULE!B1411="","",[1]SCHEDULE!B1411)</f>
        <v/>
      </c>
      <c r="C1411" s="3">
        <f>IF([1]SCHEDULE!C1411="","",[1]SCHEDULE!C1411)</f>
        <v>32</v>
      </c>
      <c r="D1411" s="1" t="e">
        <f>IF([1]SCHEDULE!D1411="","",[1]SCHEDULE!D1411)</f>
        <v>#N/A</v>
      </c>
      <c r="E1411" s="1" t="str">
        <f>IF([1]SCHEDULE!E1411="","",[1]SCHEDULE!E1411)</f>
        <v/>
      </c>
      <c r="F1411" s="6" t="str">
        <f>IF([1]SCHEDULE!F1411="","",[1]SCHEDULE!F1411)</f>
        <v/>
      </c>
      <c r="G1411" s="3" t="str">
        <f>IF([1]SCHEDULE!G1411="","",[1]SCHEDULE!G1411)</f>
        <v/>
      </c>
      <c r="H1411" s="3" t="str">
        <f>IF([1]SCHEDULE!H1411="","",[1]SCHEDULE!H1411)</f>
        <v/>
      </c>
      <c r="I1411" s="3" t="str">
        <f>IF([1]SCHEDULE!I1411="","",[1]SCHEDULE!I1411)</f>
        <v/>
      </c>
      <c r="J1411" s="3" t="str">
        <f>IF([1]SCHEDULE!J1411="","",[1]SCHEDULE!J1411)</f>
        <v/>
      </c>
    </row>
    <row r="1412" spans="2:10" x14ac:dyDescent="0.25">
      <c r="B1412" s="3" t="str">
        <f>IF([1]SCHEDULE!B1412="","",[1]SCHEDULE!B1412)</f>
        <v/>
      </c>
      <c r="C1412" s="3">
        <f>IF([1]SCHEDULE!C1412="","",[1]SCHEDULE!C1412)</f>
        <v>33</v>
      </c>
      <c r="D1412" s="1" t="e">
        <f>IF([1]SCHEDULE!D1412="","",[1]SCHEDULE!D1412)</f>
        <v>#N/A</v>
      </c>
      <c r="E1412" s="1" t="str">
        <f>IF([1]SCHEDULE!E1412="","",[1]SCHEDULE!E1412)</f>
        <v/>
      </c>
      <c r="F1412" s="6" t="str">
        <f>IF([1]SCHEDULE!F1412="","",[1]SCHEDULE!F1412)</f>
        <v/>
      </c>
      <c r="G1412" s="3" t="str">
        <f>IF([1]SCHEDULE!G1412="","",[1]SCHEDULE!G1412)</f>
        <v/>
      </c>
      <c r="H1412" s="3" t="str">
        <f>IF([1]SCHEDULE!H1412="","",[1]SCHEDULE!H1412)</f>
        <v/>
      </c>
      <c r="I1412" s="3" t="str">
        <f>IF([1]SCHEDULE!I1412="","",[1]SCHEDULE!I1412)</f>
        <v/>
      </c>
      <c r="J1412" s="3" t="str">
        <f>IF([1]SCHEDULE!J1412="","",[1]SCHEDULE!J1412)</f>
        <v/>
      </c>
    </row>
    <row r="1413" spans="2:10" x14ac:dyDescent="0.25">
      <c r="B1413" s="3" t="str">
        <f>IF([1]SCHEDULE!B1413="","",[1]SCHEDULE!B1413)</f>
        <v/>
      </c>
      <c r="C1413" s="3">
        <f>IF([1]SCHEDULE!C1413="","",[1]SCHEDULE!C1413)</f>
        <v>34</v>
      </c>
      <c r="D1413" s="1" t="e">
        <f>IF([1]SCHEDULE!D1413="","",[1]SCHEDULE!D1413)</f>
        <v>#N/A</v>
      </c>
      <c r="E1413" s="1" t="str">
        <f>IF([1]SCHEDULE!E1413="","",[1]SCHEDULE!E1413)</f>
        <v/>
      </c>
      <c r="F1413" s="6" t="str">
        <f>IF([1]SCHEDULE!F1413="","",[1]SCHEDULE!F1413)</f>
        <v/>
      </c>
      <c r="G1413" s="3" t="str">
        <f>IF([1]SCHEDULE!G1413="","",[1]SCHEDULE!G1413)</f>
        <v/>
      </c>
      <c r="H1413" s="3" t="str">
        <f>IF([1]SCHEDULE!H1413="","",[1]SCHEDULE!H1413)</f>
        <v/>
      </c>
      <c r="I1413" s="3" t="str">
        <f>IF([1]SCHEDULE!I1413="","",[1]SCHEDULE!I1413)</f>
        <v/>
      </c>
      <c r="J1413" s="3" t="str">
        <f>IF([1]SCHEDULE!J1413="","",[1]SCHEDULE!J1413)</f>
        <v/>
      </c>
    </row>
    <row r="1414" spans="2:10" x14ac:dyDescent="0.25">
      <c r="B1414" s="3" t="str">
        <f>IF([1]SCHEDULE!B1414="","",[1]SCHEDULE!B1414)</f>
        <v/>
      </c>
      <c r="C1414" s="3">
        <f>IF([1]SCHEDULE!C1414="","",[1]SCHEDULE!C1414)</f>
        <v>35</v>
      </c>
      <c r="D1414" s="1" t="e">
        <f>IF([1]SCHEDULE!D1414="","",[1]SCHEDULE!D1414)</f>
        <v>#N/A</v>
      </c>
      <c r="E1414" s="1" t="str">
        <f>IF([1]SCHEDULE!E1414="","",[1]SCHEDULE!E1414)</f>
        <v/>
      </c>
      <c r="F1414" s="6" t="str">
        <f>IF([1]SCHEDULE!F1414="","",[1]SCHEDULE!F1414)</f>
        <v/>
      </c>
      <c r="G1414" s="3" t="str">
        <f>IF([1]SCHEDULE!G1414="","",[1]SCHEDULE!G1414)</f>
        <v/>
      </c>
      <c r="H1414" s="3" t="str">
        <f>IF([1]SCHEDULE!H1414="","",[1]SCHEDULE!H1414)</f>
        <v/>
      </c>
      <c r="I1414" s="3" t="str">
        <f>IF([1]SCHEDULE!I1414="","",[1]SCHEDULE!I1414)</f>
        <v/>
      </c>
      <c r="J1414" s="3" t="str">
        <f>IF([1]SCHEDULE!J1414="","",[1]SCHEDULE!J1414)</f>
        <v/>
      </c>
    </row>
    <row r="1415" spans="2:10" x14ac:dyDescent="0.25">
      <c r="B1415" s="3" t="str">
        <f>IF([1]SCHEDULE!B1415="","",[1]SCHEDULE!B1415)</f>
        <v/>
      </c>
      <c r="C1415" s="3">
        <f>IF([1]SCHEDULE!C1415="","",[1]SCHEDULE!C1415)</f>
        <v>36</v>
      </c>
      <c r="D1415" s="1" t="e">
        <f>IF([1]SCHEDULE!D1415="","",[1]SCHEDULE!D1415)</f>
        <v>#N/A</v>
      </c>
      <c r="E1415" s="1" t="str">
        <f>IF([1]SCHEDULE!E1415="","",[1]SCHEDULE!E1415)</f>
        <v/>
      </c>
      <c r="F1415" s="6" t="str">
        <f>IF([1]SCHEDULE!F1415="","",[1]SCHEDULE!F1415)</f>
        <v/>
      </c>
      <c r="G1415" s="3" t="str">
        <f>IF([1]SCHEDULE!G1415="","",[1]SCHEDULE!G1415)</f>
        <v/>
      </c>
      <c r="H1415" s="3" t="str">
        <f>IF([1]SCHEDULE!H1415="","",[1]SCHEDULE!H1415)</f>
        <v/>
      </c>
      <c r="I1415" s="3" t="str">
        <f>IF([1]SCHEDULE!I1415="","",[1]SCHEDULE!I1415)</f>
        <v/>
      </c>
      <c r="J1415" s="3" t="str">
        <f>IF([1]SCHEDULE!J1415="","",[1]SCHEDULE!J1415)</f>
        <v/>
      </c>
    </row>
    <row r="1416" spans="2:10" x14ac:dyDescent="0.25">
      <c r="B1416" s="3" t="str">
        <f>IF([1]SCHEDULE!B1416="","",[1]SCHEDULE!B1416)</f>
        <v/>
      </c>
      <c r="C1416" s="3">
        <f>IF([1]SCHEDULE!C1416="","",[1]SCHEDULE!C1416)</f>
        <v>37</v>
      </c>
      <c r="D1416" s="1" t="e">
        <f>IF([1]SCHEDULE!D1416="","",[1]SCHEDULE!D1416)</f>
        <v>#N/A</v>
      </c>
      <c r="E1416" s="1" t="str">
        <f>IF([1]SCHEDULE!E1416="","",[1]SCHEDULE!E1416)</f>
        <v/>
      </c>
      <c r="F1416" s="6" t="str">
        <f>IF([1]SCHEDULE!F1416="","",[1]SCHEDULE!F1416)</f>
        <v/>
      </c>
      <c r="G1416" s="3" t="str">
        <f>IF([1]SCHEDULE!G1416="","",[1]SCHEDULE!G1416)</f>
        <v/>
      </c>
      <c r="H1416" s="3" t="str">
        <f>IF([1]SCHEDULE!H1416="","",[1]SCHEDULE!H1416)</f>
        <v/>
      </c>
      <c r="I1416" s="3" t="str">
        <f>IF([1]SCHEDULE!I1416="","",[1]SCHEDULE!I1416)</f>
        <v/>
      </c>
      <c r="J1416" s="3" t="str">
        <f>IF([1]SCHEDULE!J1416="","",[1]SCHEDULE!J1416)</f>
        <v/>
      </c>
    </row>
    <row r="1417" spans="2:10" x14ac:dyDescent="0.25">
      <c r="B1417" s="3" t="str">
        <f>IF([1]SCHEDULE!B1417="","",[1]SCHEDULE!B1417)</f>
        <v/>
      </c>
      <c r="C1417" s="3">
        <f>IF([1]SCHEDULE!C1417="","",[1]SCHEDULE!C1417)</f>
        <v>38</v>
      </c>
      <c r="D1417" s="1" t="e">
        <f>IF([1]SCHEDULE!D1417="","",[1]SCHEDULE!D1417)</f>
        <v>#N/A</v>
      </c>
      <c r="E1417" s="1" t="str">
        <f>IF([1]SCHEDULE!E1417="","",[1]SCHEDULE!E1417)</f>
        <v/>
      </c>
      <c r="F1417" s="6" t="str">
        <f>IF([1]SCHEDULE!F1417="","",[1]SCHEDULE!F1417)</f>
        <v/>
      </c>
      <c r="G1417" s="3" t="str">
        <f>IF([1]SCHEDULE!G1417="","",[1]SCHEDULE!G1417)</f>
        <v/>
      </c>
      <c r="H1417" s="3" t="str">
        <f>IF([1]SCHEDULE!H1417="","",[1]SCHEDULE!H1417)</f>
        <v/>
      </c>
      <c r="I1417" s="3" t="str">
        <f>IF([1]SCHEDULE!I1417="","",[1]SCHEDULE!I1417)</f>
        <v/>
      </c>
      <c r="J1417" s="3" t="str">
        <f>IF([1]SCHEDULE!J1417="","",[1]SCHEDULE!J1417)</f>
        <v/>
      </c>
    </row>
    <row r="1418" spans="2:10" x14ac:dyDescent="0.25">
      <c r="B1418" s="3" t="str">
        <f>IF([1]SCHEDULE!B1418="","",[1]SCHEDULE!B1418)</f>
        <v/>
      </c>
      <c r="C1418" s="3">
        <f>IF([1]SCHEDULE!C1418="","",[1]SCHEDULE!C1418)</f>
        <v>39</v>
      </c>
      <c r="D1418" s="1" t="e">
        <f>IF([1]SCHEDULE!D1418="","",[1]SCHEDULE!D1418)</f>
        <v>#N/A</v>
      </c>
      <c r="E1418" s="1" t="str">
        <f>IF([1]SCHEDULE!E1418="","",[1]SCHEDULE!E1418)</f>
        <v/>
      </c>
      <c r="F1418" s="6" t="str">
        <f>IF([1]SCHEDULE!F1418="","",[1]SCHEDULE!F1418)</f>
        <v/>
      </c>
      <c r="G1418" s="3" t="str">
        <f>IF([1]SCHEDULE!G1418="","",[1]SCHEDULE!G1418)</f>
        <v/>
      </c>
      <c r="H1418" s="3" t="str">
        <f>IF([1]SCHEDULE!H1418="","",[1]SCHEDULE!H1418)</f>
        <v/>
      </c>
      <c r="I1418" s="3" t="str">
        <f>IF([1]SCHEDULE!I1418="","",[1]SCHEDULE!I1418)</f>
        <v/>
      </c>
      <c r="J1418" s="3" t="str">
        <f>IF([1]SCHEDULE!J1418="","",[1]SCHEDULE!J1418)</f>
        <v/>
      </c>
    </row>
    <row r="1419" spans="2:10" x14ac:dyDescent="0.25">
      <c r="B1419" s="3" t="str">
        <f>IF([1]SCHEDULE!B1419="","",[1]SCHEDULE!B1419)</f>
        <v/>
      </c>
      <c r="C1419" s="3">
        <f>IF([1]SCHEDULE!C1419="","",[1]SCHEDULE!C1419)</f>
        <v>40</v>
      </c>
      <c r="D1419" s="1" t="e">
        <f>IF([1]SCHEDULE!D1419="","",[1]SCHEDULE!D1419)</f>
        <v>#N/A</v>
      </c>
      <c r="E1419" s="1" t="str">
        <f>IF([1]SCHEDULE!E1419="","",[1]SCHEDULE!E1419)</f>
        <v/>
      </c>
      <c r="F1419" s="6" t="str">
        <f>IF([1]SCHEDULE!F1419="","",[1]SCHEDULE!F1419)</f>
        <v/>
      </c>
      <c r="G1419" s="3" t="str">
        <f>IF([1]SCHEDULE!G1419="","",[1]SCHEDULE!G1419)</f>
        <v/>
      </c>
      <c r="H1419" s="3" t="str">
        <f>IF([1]SCHEDULE!H1419="","",[1]SCHEDULE!H1419)</f>
        <v/>
      </c>
      <c r="I1419" s="3" t="str">
        <f>IF([1]SCHEDULE!I1419="","",[1]SCHEDULE!I1419)</f>
        <v/>
      </c>
      <c r="J1419" s="3" t="str">
        <f>IF([1]SCHEDULE!J1419="","",[1]SCHEDULE!J1419)</f>
        <v/>
      </c>
    </row>
    <row r="1420" spans="2:10" x14ac:dyDescent="0.25">
      <c r="B1420" s="3" t="str">
        <f>IF([1]SCHEDULE!B1420="","",[1]SCHEDULE!B1420)</f>
        <v/>
      </c>
      <c r="C1420" s="3">
        <f>IF([1]SCHEDULE!C1420="","",[1]SCHEDULE!C1420)</f>
        <v>41</v>
      </c>
      <c r="D1420" s="1" t="e">
        <f>IF([1]SCHEDULE!D1420="","",[1]SCHEDULE!D1420)</f>
        <v>#N/A</v>
      </c>
      <c r="E1420" s="1" t="str">
        <f>IF([1]SCHEDULE!E1420="","",[1]SCHEDULE!E1420)</f>
        <v/>
      </c>
      <c r="F1420" s="6" t="str">
        <f>IF([1]SCHEDULE!F1420="","",[1]SCHEDULE!F1420)</f>
        <v/>
      </c>
      <c r="G1420" s="3" t="str">
        <f>IF([1]SCHEDULE!G1420="","",[1]SCHEDULE!G1420)</f>
        <v/>
      </c>
      <c r="H1420" s="3" t="str">
        <f>IF([1]SCHEDULE!H1420="","",[1]SCHEDULE!H1420)</f>
        <v/>
      </c>
      <c r="I1420" s="3" t="str">
        <f>IF([1]SCHEDULE!I1420="","",[1]SCHEDULE!I1420)</f>
        <v/>
      </c>
      <c r="J1420" s="3" t="str">
        <f>IF([1]SCHEDULE!J1420="","",[1]SCHEDULE!J1420)</f>
        <v/>
      </c>
    </row>
    <row r="1421" spans="2:10" x14ac:dyDescent="0.25">
      <c r="B1421" s="3" t="str">
        <f>IF([1]SCHEDULE!B1421="","",[1]SCHEDULE!B1421)</f>
        <v/>
      </c>
      <c r="C1421" s="3">
        <f>IF([1]SCHEDULE!C1421="","",[1]SCHEDULE!C1421)</f>
        <v>42</v>
      </c>
      <c r="D1421" s="1" t="e">
        <f>IF([1]SCHEDULE!D1421="","",[1]SCHEDULE!D1421)</f>
        <v>#N/A</v>
      </c>
      <c r="E1421" s="1" t="str">
        <f>IF([1]SCHEDULE!E1421="","",[1]SCHEDULE!E1421)</f>
        <v/>
      </c>
      <c r="F1421" s="6" t="str">
        <f>IF([1]SCHEDULE!F1421="","",[1]SCHEDULE!F1421)</f>
        <v/>
      </c>
      <c r="G1421" s="3" t="str">
        <f>IF([1]SCHEDULE!G1421="","",[1]SCHEDULE!G1421)</f>
        <v/>
      </c>
      <c r="H1421" s="3" t="str">
        <f>IF([1]SCHEDULE!H1421="","",[1]SCHEDULE!H1421)</f>
        <v/>
      </c>
      <c r="I1421" s="3" t="str">
        <f>IF([1]SCHEDULE!I1421="","",[1]SCHEDULE!I1421)</f>
        <v/>
      </c>
      <c r="J1421" s="3" t="str">
        <f>IF([1]SCHEDULE!J1421="","",[1]SCHEDULE!J1421)</f>
        <v/>
      </c>
    </row>
    <row r="1422" spans="2:10" x14ac:dyDescent="0.25">
      <c r="B1422" s="3" t="str">
        <f>IF([1]SCHEDULE!B1422="","",[1]SCHEDULE!B1422)</f>
        <v/>
      </c>
      <c r="C1422" s="3">
        <f>IF([1]SCHEDULE!C1422="","",[1]SCHEDULE!C1422)</f>
        <v>43</v>
      </c>
      <c r="D1422" s="1" t="e">
        <f>IF([1]SCHEDULE!D1422="","",[1]SCHEDULE!D1422)</f>
        <v>#N/A</v>
      </c>
      <c r="E1422" s="1" t="str">
        <f>IF([1]SCHEDULE!E1422="","",[1]SCHEDULE!E1422)</f>
        <v/>
      </c>
      <c r="F1422" s="6" t="str">
        <f>IF([1]SCHEDULE!F1422="","",[1]SCHEDULE!F1422)</f>
        <v/>
      </c>
      <c r="G1422" s="3" t="str">
        <f>IF([1]SCHEDULE!G1422="","",[1]SCHEDULE!G1422)</f>
        <v/>
      </c>
      <c r="H1422" s="3" t="str">
        <f>IF([1]SCHEDULE!H1422="","",[1]SCHEDULE!H1422)</f>
        <v/>
      </c>
      <c r="I1422" s="3" t="str">
        <f>IF([1]SCHEDULE!I1422="","",[1]SCHEDULE!I1422)</f>
        <v/>
      </c>
      <c r="J1422" s="3" t="str">
        <f>IF([1]SCHEDULE!J1422="","",[1]SCHEDULE!J1422)</f>
        <v/>
      </c>
    </row>
    <row r="1423" spans="2:10" x14ac:dyDescent="0.25">
      <c r="B1423" s="3" t="str">
        <f>IF([1]SCHEDULE!B1423="","",[1]SCHEDULE!B1423)</f>
        <v/>
      </c>
      <c r="C1423" s="3">
        <f>IF([1]SCHEDULE!C1423="","",[1]SCHEDULE!C1423)</f>
        <v>44</v>
      </c>
      <c r="D1423" s="1" t="e">
        <f>IF([1]SCHEDULE!D1423="","",[1]SCHEDULE!D1423)</f>
        <v>#N/A</v>
      </c>
      <c r="E1423" s="1" t="str">
        <f>IF([1]SCHEDULE!E1423="","",[1]SCHEDULE!E1423)</f>
        <v/>
      </c>
      <c r="F1423" s="6" t="str">
        <f>IF([1]SCHEDULE!F1423="","",[1]SCHEDULE!F1423)</f>
        <v/>
      </c>
      <c r="G1423" s="3" t="str">
        <f>IF([1]SCHEDULE!G1423="","",[1]SCHEDULE!G1423)</f>
        <v/>
      </c>
      <c r="H1423" s="3" t="str">
        <f>IF([1]SCHEDULE!H1423="","",[1]SCHEDULE!H1423)</f>
        <v/>
      </c>
      <c r="I1423" s="3" t="str">
        <f>IF([1]SCHEDULE!I1423="","",[1]SCHEDULE!I1423)</f>
        <v/>
      </c>
      <c r="J1423" s="3" t="str">
        <f>IF([1]SCHEDULE!J1423="","",[1]SCHEDULE!J1423)</f>
        <v/>
      </c>
    </row>
    <row r="1424" spans="2:10" x14ac:dyDescent="0.25">
      <c r="B1424" s="3" t="str">
        <f>IF([1]SCHEDULE!B1424="","",[1]SCHEDULE!B1424)</f>
        <v/>
      </c>
      <c r="C1424" s="3">
        <f>IF([1]SCHEDULE!C1424="","",[1]SCHEDULE!C1424)</f>
        <v>45</v>
      </c>
      <c r="D1424" s="1" t="e">
        <f>IF([1]SCHEDULE!D1424="","",[1]SCHEDULE!D1424)</f>
        <v>#N/A</v>
      </c>
      <c r="E1424" s="1" t="str">
        <f>IF([1]SCHEDULE!E1424="","",[1]SCHEDULE!E1424)</f>
        <v/>
      </c>
      <c r="F1424" s="6" t="str">
        <f>IF([1]SCHEDULE!F1424="","",[1]SCHEDULE!F1424)</f>
        <v/>
      </c>
      <c r="G1424" s="3" t="str">
        <f>IF([1]SCHEDULE!G1424="","",[1]SCHEDULE!G1424)</f>
        <v/>
      </c>
      <c r="H1424" s="3" t="str">
        <f>IF([1]SCHEDULE!H1424="","",[1]SCHEDULE!H1424)</f>
        <v/>
      </c>
      <c r="I1424" s="3" t="str">
        <f>IF([1]SCHEDULE!I1424="","",[1]SCHEDULE!I1424)</f>
        <v/>
      </c>
      <c r="J1424" s="3" t="str">
        <f>IF([1]SCHEDULE!J1424="","",[1]SCHEDULE!J1424)</f>
        <v/>
      </c>
    </row>
    <row r="1425" spans="2:10" x14ac:dyDescent="0.25">
      <c r="B1425" s="3" t="str">
        <f>IF([1]SCHEDULE!B1425="","",[1]SCHEDULE!B1425)</f>
        <v/>
      </c>
      <c r="C1425" s="3">
        <f>IF([1]SCHEDULE!C1425="","",[1]SCHEDULE!C1425)</f>
        <v>46</v>
      </c>
      <c r="D1425" s="1" t="e">
        <f>IF([1]SCHEDULE!D1425="","",[1]SCHEDULE!D1425)</f>
        <v>#N/A</v>
      </c>
      <c r="E1425" s="1" t="str">
        <f>IF([1]SCHEDULE!E1425="","",[1]SCHEDULE!E1425)</f>
        <v/>
      </c>
      <c r="F1425" s="6" t="str">
        <f>IF([1]SCHEDULE!F1425="","",[1]SCHEDULE!F1425)</f>
        <v/>
      </c>
      <c r="G1425" s="3" t="str">
        <f>IF([1]SCHEDULE!G1425="","",[1]SCHEDULE!G1425)</f>
        <v/>
      </c>
      <c r="H1425" s="3" t="str">
        <f>IF([1]SCHEDULE!H1425="","",[1]SCHEDULE!H1425)</f>
        <v/>
      </c>
      <c r="I1425" s="3" t="str">
        <f>IF([1]SCHEDULE!I1425="","",[1]SCHEDULE!I1425)</f>
        <v/>
      </c>
      <c r="J1425" s="3" t="str">
        <f>IF([1]SCHEDULE!J1425="","",[1]SCHEDULE!J1425)</f>
        <v/>
      </c>
    </row>
    <row r="1426" spans="2:10" x14ac:dyDescent="0.25">
      <c r="B1426" s="3" t="str">
        <f>IF([1]SCHEDULE!B1426="","",[1]SCHEDULE!B1426)</f>
        <v/>
      </c>
      <c r="C1426" s="3">
        <f>IF([1]SCHEDULE!C1426="","",[1]SCHEDULE!C1426)</f>
        <v>47</v>
      </c>
      <c r="D1426" s="1" t="e">
        <f>IF([1]SCHEDULE!D1426="","",[1]SCHEDULE!D1426)</f>
        <v>#N/A</v>
      </c>
      <c r="E1426" s="1" t="str">
        <f>IF([1]SCHEDULE!E1426="","",[1]SCHEDULE!E1426)</f>
        <v/>
      </c>
      <c r="F1426" s="6" t="str">
        <f>IF([1]SCHEDULE!F1426="","",[1]SCHEDULE!F1426)</f>
        <v/>
      </c>
      <c r="G1426" s="3" t="str">
        <f>IF([1]SCHEDULE!G1426="","",[1]SCHEDULE!G1426)</f>
        <v/>
      </c>
      <c r="H1426" s="3" t="str">
        <f>IF([1]SCHEDULE!H1426="","",[1]SCHEDULE!H1426)</f>
        <v/>
      </c>
      <c r="I1426" s="3" t="str">
        <f>IF([1]SCHEDULE!I1426="","",[1]SCHEDULE!I1426)</f>
        <v/>
      </c>
      <c r="J1426" s="3" t="str">
        <f>IF([1]SCHEDULE!J1426="","",[1]SCHEDULE!J1426)</f>
        <v/>
      </c>
    </row>
    <row r="1427" spans="2:10" x14ac:dyDescent="0.25">
      <c r="B1427" s="3" t="str">
        <f>IF([1]SCHEDULE!B1427="","",[1]SCHEDULE!B1427)</f>
        <v/>
      </c>
      <c r="C1427" s="3">
        <f>IF([1]SCHEDULE!C1427="","",[1]SCHEDULE!C1427)</f>
        <v>48</v>
      </c>
      <c r="D1427" s="1" t="e">
        <f>IF([1]SCHEDULE!D1427="","",[1]SCHEDULE!D1427)</f>
        <v>#N/A</v>
      </c>
      <c r="E1427" s="1" t="str">
        <f>IF([1]SCHEDULE!E1427="","",[1]SCHEDULE!E1427)</f>
        <v/>
      </c>
      <c r="F1427" s="6" t="str">
        <f>IF([1]SCHEDULE!F1427="","",[1]SCHEDULE!F1427)</f>
        <v/>
      </c>
      <c r="G1427" s="3" t="str">
        <f>IF([1]SCHEDULE!G1427="","",[1]SCHEDULE!G1427)</f>
        <v/>
      </c>
      <c r="H1427" s="3" t="str">
        <f>IF([1]SCHEDULE!H1427="","",[1]SCHEDULE!H1427)</f>
        <v/>
      </c>
      <c r="I1427" s="3" t="str">
        <f>IF([1]SCHEDULE!I1427="","",[1]SCHEDULE!I1427)</f>
        <v/>
      </c>
      <c r="J1427" s="3" t="str">
        <f>IF([1]SCHEDULE!J1427="","",[1]SCHEDULE!J1427)</f>
        <v/>
      </c>
    </row>
    <row r="1428" spans="2:10" x14ac:dyDescent="0.25">
      <c r="B1428" s="3" t="str">
        <f>IF([1]SCHEDULE!B1428="","",[1]SCHEDULE!B1428)</f>
        <v/>
      </c>
      <c r="C1428" s="3">
        <f>IF([1]SCHEDULE!C1428="","",[1]SCHEDULE!C1428)</f>
        <v>49</v>
      </c>
      <c r="D1428" s="1" t="e">
        <f>IF([1]SCHEDULE!D1428="","",[1]SCHEDULE!D1428)</f>
        <v>#N/A</v>
      </c>
      <c r="E1428" s="1" t="str">
        <f>IF([1]SCHEDULE!E1428="","",[1]SCHEDULE!E1428)</f>
        <v/>
      </c>
      <c r="F1428" s="6" t="str">
        <f>IF([1]SCHEDULE!F1428="","",[1]SCHEDULE!F1428)</f>
        <v/>
      </c>
      <c r="G1428" s="3" t="str">
        <f>IF([1]SCHEDULE!G1428="","",[1]SCHEDULE!G1428)</f>
        <v/>
      </c>
      <c r="H1428" s="3" t="str">
        <f>IF([1]SCHEDULE!H1428="","",[1]SCHEDULE!H1428)</f>
        <v/>
      </c>
      <c r="I1428" s="3" t="str">
        <f>IF([1]SCHEDULE!I1428="","",[1]SCHEDULE!I1428)</f>
        <v/>
      </c>
      <c r="J1428" s="3" t="str">
        <f>IF([1]SCHEDULE!J1428="","",[1]SCHEDULE!J1428)</f>
        <v/>
      </c>
    </row>
    <row r="1429" spans="2:10" x14ac:dyDescent="0.25">
      <c r="B1429" s="3" t="str">
        <f>IF([1]SCHEDULE!B1429="","",[1]SCHEDULE!B1429)</f>
        <v/>
      </c>
      <c r="C1429" s="3">
        <f>IF([1]SCHEDULE!C1429="","",[1]SCHEDULE!C1429)</f>
        <v>50</v>
      </c>
      <c r="D1429" s="1" t="e">
        <f>IF([1]SCHEDULE!D1429="","",[1]SCHEDULE!D1429)</f>
        <v>#N/A</v>
      </c>
      <c r="E1429" s="1" t="str">
        <f>IF([1]SCHEDULE!E1429="","",[1]SCHEDULE!E1429)</f>
        <v/>
      </c>
      <c r="F1429" s="6" t="str">
        <f>IF([1]SCHEDULE!F1429="","",[1]SCHEDULE!F1429)</f>
        <v/>
      </c>
      <c r="G1429" s="3" t="str">
        <f>IF([1]SCHEDULE!G1429="","",[1]SCHEDULE!G1429)</f>
        <v/>
      </c>
      <c r="H1429" s="3" t="str">
        <f>IF([1]SCHEDULE!H1429="","",[1]SCHEDULE!H1429)</f>
        <v/>
      </c>
      <c r="I1429" s="3" t="str">
        <f>IF([1]SCHEDULE!I1429="","",[1]SCHEDULE!I1429)</f>
        <v/>
      </c>
      <c r="J1429" s="3" t="str">
        <f>IF([1]SCHEDULE!J1429="","",[1]SCHEDULE!J1429)</f>
        <v/>
      </c>
    </row>
    <row r="1430" spans="2:10" x14ac:dyDescent="0.25">
      <c r="B1430" s="3" t="str">
        <f>IF([1]SCHEDULE!B1430="","",[1]SCHEDULE!B1430)</f>
        <v/>
      </c>
      <c r="C1430" s="3">
        <f>IF([1]SCHEDULE!C1430="","",[1]SCHEDULE!C1430)</f>
        <v>51</v>
      </c>
      <c r="D1430" s="1" t="e">
        <f>IF([1]SCHEDULE!D1430="","",[1]SCHEDULE!D1430)</f>
        <v>#N/A</v>
      </c>
      <c r="E1430" s="1" t="str">
        <f>IF([1]SCHEDULE!E1430="","",[1]SCHEDULE!E1430)</f>
        <v/>
      </c>
      <c r="F1430" s="6" t="str">
        <f>IF([1]SCHEDULE!F1430="","",[1]SCHEDULE!F1430)</f>
        <v/>
      </c>
      <c r="G1430" s="3" t="str">
        <f>IF([1]SCHEDULE!G1430="","",[1]SCHEDULE!G1430)</f>
        <v/>
      </c>
      <c r="H1430" s="3" t="str">
        <f>IF([1]SCHEDULE!H1430="","",[1]SCHEDULE!H1430)</f>
        <v/>
      </c>
      <c r="I1430" s="3" t="str">
        <f>IF([1]SCHEDULE!I1430="","",[1]SCHEDULE!I1430)</f>
        <v/>
      </c>
      <c r="J1430" s="3" t="str">
        <f>IF([1]SCHEDULE!J1430="","",[1]SCHEDULE!J1430)</f>
        <v/>
      </c>
    </row>
    <row r="1431" spans="2:10" x14ac:dyDescent="0.25">
      <c r="B1431" s="3" t="str">
        <f>IF([1]SCHEDULE!B1431="","",[1]SCHEDULE!B1431)</f>
        <v/>
      </c>
      <c r="C1431" s="3">
        <f>IF([1]SCHEDULE!C1431="","",[1]SCHEDULE!C1431)</f>
        <v>1</v>
      </c>
      <c r="D1431" s="1" t="e">
        <f>IF([1]SCHEDULE!D1431="","",[1]SCHEDULE!D1431)</f>
        <v>#N/A</v>
      </c>
      <c r="E1431" s="1" t="str">
        <f>IF([1]SCHEDULE!E1431="","",[1]SCHEDULE!E1431)</f>
        <v/>
      </c>
      <c r="F1431" s="6" t="str">
        <f>IF([1]SCHEDULE!F1431="","",[1]SCHEDULE!F1431)</f>
        <v/>
      </c>
      <c r="G1431" s="3" t="str">
        <f>IF([1]SCHEDULE!G1431="","",[1]SCHEDULE!G1431)</f>
        <v/>
      </c>
      <c r="H1431" s="3" t="str">
        <f>IF([1]SCHEDULE!H1431="","",[1]SCHEDULE!H1431)</f>
        <v/>
      </c>
      <c r="I1431" s="3" t="str">
        <f>IF([1]SCHEDULE!I1431="","",[1]SCHEDULE!I1431)</f>
        <v/>
      </c>
      <c r="J1431" s="3" t="str">
        <f>IF([1]SCHEDULE!J1431="","",[1]SCHEDULE!J1431)</f>
        <v/>
      </c>
    </row>
    <row r="1432" spans="2:10" x14ac:dyDescent="0.25">
      <c r="B1432" s="3" t="str">
        <f>IF([1]SCHEDULE!B1432="","",[1]SCHEDULE!B1432)</f>
        <v/>
      </c>
      <c r="C1432" s="3">
        <f>IF([1]SCHEDULE!C1432="","",[1]SCHEDULE!C1432)</f>
        <v>2</v>
      </c>
      <c r="D1432" s="1" t="e">
        <f>IF([1]SCHEDULE!D1432="","",[1]SCHEDULE!D1432)</f>
        <v>#N/A</v>
      </c>
      <c r="E1432" s="1" t="str">
        <f>IF([1]SCHEDULE!E1432="","",[1]SCHEDULE!E1432)</f>
        <v/>
      </c>
      <c r="F1432" s="6" t="str">
        <f>IF([1]SCHEDULE!F1432="","",[1]SCHEDULE!F1432)</f>
        <v/>
      </c>
      <c r="G1432" s="3" t="str">
        <f>IF([1]SCHEDULE!G1432="","",[1]SCHEDULE!G1432)</f>
        <v/>
      </c>
      <c r="H1432" s="3" t="str">
        <f>IF([1]SCHEDULE!H1432="","",[1]SCHEDULE!H1432)</f>
        <v/>
      </c>
      <c r="I1432" s="3" t="str">
        <f>IF([1]SCHEDULE!I1432="","",[1]SCHEDULE!I1432)</f>
        <v/>
      </c>
      <c r="J1432" s="3" t="str">
        <f>IF([1]SCHEDULE!J1432="","",[1]SCHEDULE!J1432)</f>
        <v/>
      </c>
    </row>
    <row r="1433" spans="2:10" x14ac:dyDescent="0.25">
      <c r="B1433" s="3" t="str">
        <f>IF([1]SCHEDULE!B1433="","",[1]SCHEDULE!B1433)</f>
        <v/>
      </c>
      <c r="C1433" s="3">
        <f>IF([1]SCHEDULE!C1433="","",[1]SCHEDULE!C1433)</f>
        <v>3</v>
      </c>
      <c r="D1433" s="1" t="e">
        <f>IF([1]SCHEDULE!D1433="","",[1]SCHEDULE!D1433)</f>
        <v>#N/A</v>
      </c>
      <c r="E1433" s="1" t="str">
        <f>IF([1]SCHEDULE!E1433="","",[1]SCHEDULE!E1433)</f>
        <v/>
      </c>
      <c r="F1433" s="6" t="str">
        <f>IF([1]SCHEDULE!F1433="","",[1]SCHEDULE!F1433)</f>
        <v/>
      </c>
      <c r="G1433" s="3" t="str">
        <f>IF([1]SCHEDULE!G1433="","",[1]SCHEDULE!G1433)</f>
        <v/>
      </c>
      <c r="H1433" s="3" t="str">
        <f>IF([1]SCHEDULE!H1433="","",[1]SCHEDULE!H1433)</f>
        <v/>
      </c>
      <c r="I1433" s="3" t="str">
        <f>IF([1]SCHEDULE!I1433="","",[1]SCHEDULE!I1433)</f>
        <v/>
      </c>
      <c r="J1433" s="3" t="str">
        <f>IF([1]SCHEDULE!J1433="","",[1]SCHEDULE!J1433)</f>
        <v/>
      </c>
    </row>
    <row r="1434" spans="2:10" x14ac:dyDescent="0.25">
      <c r="B1434" s="3" t="str">
        <f>IF([1]SCHEDULE!B1434="","",[1]SCHEDULE!B1434)</f>
        <v/>
      </c>
      <c r="C1434" s="3">
        <f>IF([1]SCHEDULE!C1434="","",[1]SCHEDULE!C1434)</f>
        <v>4</v>
      </c>
      <c r="D1434" s="1" t="e">
        <f>IF([1]SCHEDULE!D1434="","",[1]SCHEDULE!D1434)</f>
        <v>#N/A</v>
      </c>
      <c r="E1434" s="1" t="str">
        <f>IF([1]SCHEDULE!E1434="","",[1]SCHEDULE!E1434)</f>
        <v/>
      </c>
      <c r="F1434" s="6" t="str">
        <f>IF([1]SCHEDULE!F1434="","",[1]SCHEDULE!F1434)</f>
        <v/>
      </c>
      <c r="G1434" s="3" t="str">
        <f>IF([1]SCHEDULE!G1434="","",[1]SCHEDULE!G1434)</f>
        <v/>
      </c>
      <c r="H1434" s="3" t="str">
        <f>IF([1]SCHEDULE!H1434="","",[1]SCHEDULE!H1434)</f>
        <v/>
      </c>
      <c r="I1434" s="3" t="str">
        <f>IF([1]SCHEDULE!I1434="","",[1]SCHEDULE!I1434)</f>
        <v/>
      </c>
      <c r="J1434" s="3" t="str">
        <f>IF([1]SCHEDULE!J1434="","",[1]SCHEDULE!J1434)</f>
        <v/>
      </c>
    </row>
    <row r="1435" spans="2:10" x14ac:dyDescent="0.25">
      <c r="B1435" s="3" t="str">
        <f>IF([1]SCHEDULE!B1435="","",[1]SCHEDULE!B1435)</f>
        <v/>
      </c>
      <c r="C1435" s="3">
        <f>IF([1]SCHEDULE!C1435="","",[1]SCHEDULE!C1435)</f>
        <v>5</v>
      </c>
      <c r="D1435" s="1" t="e">
        <f>IF([1]SCHEDULE!D1435="","",[1]SCHEDULE!D1435)</f>
        <v>#N/A</v>
      </c>
      <c r="E1435" s="1" t="str">
        <f>IF([1]SCHEDULE!E1435="","",[1]SCHEDULE!E1435)</f>
        <v/>
      </c>
      <c r="F1435" s="6" t="str">
        <f>IF([1]SCHEDULE!F1435="","",[1]SCHEDULE!F1435)</f>
        <v/>
      </c>
      <c r="G1435" s="3" t="str">
        <f>IF([1]SCHEDULE!G1435="","",[1]SCHEDULE!G1435)</f>
        <v/>
      </c>
      <c r="H1435" s="3" t="str">
        <f>IF([1]SCHEDULE!H1435="","",[1]SCHEDULE!H1435)</f>
        <v/>
      </c>
      <c r="I1435" s="3" t="str">
        <f>IF([1]SCHEDULE!I1435="","",[1]SCHEDULE!I1435)</f>
        <v/>
      </c>
      <c r="J1435" s="3" t="str">
        <f>IF([1]SCHEDULE!J1435="","",[1]SCHEDULE!J1435)</f>
        <v/>
      </c>
    </row>
    <row r="1436" spans="2:10" x14ac:dyDescent="0.25">
      <c r="B1436" s="3" t="str">
        <f>IF([1]SCHEDULE!B1436="","",[1]SCHEDULE!B1436)</f>
        <v/>
      </c>
      <c r="C1436" s="3">
        <f>IF([1]SCHEDULE!C1436="","",[1]SCHEDULE!C1436)</f>
        <v>6</v>
      </c>
      <c r="D1436" s="1" t="e">
        <f>IF([1]SCHEDULE!D1436="","",[1]SCHEDULE!D1436)</f>
        <v>#N/A</v>
      </c>
      <c r="E1436" s="1" t="str">
        <f>IF([1]SCHEDULE!E1436="","",[1]SCHEDULE!E1436)</f>
        <v/>
      </c>
      <c r="F1436" s="6" t="str">
        <f>IF([1]SCHEDULE!F1436="","",[1]SCHEDULE!F1436)</f>
        <v/>
      </c>
      <c r="G1436" s="3" t="str">
        <f>IF([1]SCHEDULE!G1436="","",[1]SCHEDULE!G1436)</f>
        <v/>
      </c>
      <c r="H1436" s="3" t="str">
        <f>IF([1]SCHEDULE!H1436="","",[1]SCHEDULE!H1436)</f>
        <v/>
      </c>
      <c r="I1436" s="3" t="str">
        <f>IF([1]SCHEDULE!I1436="","",[1]SCHEDULE!I1436)</f>
        <v/>
      </c>
      <c r="J1436" s="3" t="str">
        <f>IF([1]SCHEDULE!J1436="","",[1]SCHEDULE!J1436)</f>
        <v/>
      </c>
    </row>
    <row r="1437" spans="2:10" x14ac:dyDescent="0.25">
      <c r="B1437" s="3" t="str">
        <f>IF([1]SCHEDULE!B1437="","",[1]SCHEDULE!B1437)</f>
        <v/>
      </c>
      <c r="C1437" s="3">
        <f>IF([1]SCHEDULE!C1437="","",[1]SCHEDULE!C1437)</f>
        <v>7</v>
      </c>
      <c r="D1437" s="1" t="e">
        <f>IF([1]SCHEDULE!D1437="","",[1]SCHEDULE!D1437)</f>
        <v>#N/A</v>
      </c>
      <c r="E1437" s="1" t="str">
        <f>IF([1]SCHEDULE!E1437="","",[1]SCHEDULE!E1437)</f>
        <v/>
      </c>
      <c r="F1437" s="6" t="str">
        <f>IF([1]SCHEDULE!F1437="","",[1]SCHEDULE!F1437)</f>
        <v/>
      </c>
      <c r="G1437" s="3" t="str">
        <f>IF([1]SCHEDULE!G1437="","",[1]SCHEDULE!G1437)</f>
        <v/>
      </c>
      <c r="H1437" s="3" t="str">
        <f>IF([1]SCHEDULE!H1437="","",[1]SCHEDULE!H1437)</f>
        <v/>
      </c>
      <c r="I1437" s="3" t="str">
        <f>IF([1]SCHEDULE!I1437="","",[1]SCHEDULE!I1437)</f>
        <v/>
      </c>
      <c r="J1437" s="3" t="str">
        <f>IF([1]SCHEDULE!J1437="","",[1]SCHEDULE!J1437)</f>
        <v/>
      </c>
    </row>
    <row r="1438" spans="2:10" x14ac:dyDescent="0.25">
      <c r="B1438" s="3" t="str">
        <f>IF([1]SCHEDULE!B1438="","",[1]SCHEDULE!B1438)</f>
        <v/>
      </c>
      <c r="C1438" s="3">
        <f>IF([1]SCHEDULE!C1438="","",[1]SCHEDULE!C1438)</f>
        <v>8</v>
      </c>
      <c r="D1438" s="1" t="e">
        <f>IF([1]SCHEDULE!D1438="","",[1]SCHEDULE!D1438)</f>
        <v>#N/A</v>
      </c>
      <c r="E1438" s="1" t="str">
        <f>IF([1]SCHEDULE!E1438="","",[1]SCHEDULE!E1438)</f>
        <v/>
      </c>
      <c r="F1438" s="6" t="str">
        <f>IF([1]SCHEDULE!F1438="","",[1]SCHEDULE!F1438)</f>
        <v/>
      </c>
      <c r="G1438" s="3" t="str">
        <f>IF([1]SCHEDULE!G1438="","",[1]SCHEDULE!G1438)</f>
        <v/>
      </c>
      <c r="H1438" s="3" t="str">
        <f>IF([1]SCHEDULE!H1438="","",[1]SCHEDULE!H1438)</f>
        <v/>
      </c>
      <c r="I1438" s="3" t="str">
        <f>IF([1]SCHEDULE!I1438="","",[1]SCHEDULE!I1438)</f>
        <v/>
      </c>
      <c r="J1438" s="3" t="str">
        <f>IF([1]SCHEDULE!J1438="","",[1]SCHEDULE!J1438)</f>
        <v/>
      </c>
    </row>
    <row r="1439" spans="2:10" x14ac:dyDescent="0.25">
      <c r="B1439" s="3" t="str">
        <f>IF([1]SCHEDULE!B1439="","",[1]SCHEDULE!B1439)</f>
        <v/>
      </c>
      <c r="C1439" s="3">
        <f>IF([1]SCHEDULE!C1439="","",[1]SCHEDULE!C1439)</f>
        <v>9</v>
      </c>
      <c r="D1439" s="1" t="e">
        <f>IF([1]SCHEDULE!D1439="","",[1]SCHEDULE!D1439)</f>
        <v>#N/A</v>
      </c>
      <c r="E1439" s="1" t="str">
        <f>IF([1]SCHEDULE!E1439="","",[1]SCHEDULE!E1439)</f>
        <v/>
      </c>
      <c r="F1439" s="6" t="str">
        <f>IF([1]SCHEDULE!F1439="","",[1]SCHEDULE!F1439)</f>
        <v/>
      </c>
      <c r="G1439" s="3" t="str">
        <f>IF([1]SCHEDULE!G1439="","",[1]SCHEDULE!G1439)</f>
        <v/>
      </c>
      <c r="H1439" s="3" t="str">
        <f>IF([1]SCHEDULE!H1439="","",[1]SCHEDULE!H1439)</f>
        <v/>
      </c>
      <c r="I1439" s="3" t="str">
        <f>IF([1]SCHEDULE!I1439="","",[1]SCHEDULE!I1439)</f>
        <v/>
      </c>
      <c r="J1439" s="3" t="str">
        <f>IF([1]SCHEDULE!J1439="","",[1]SCHEDULE!J1439)</f>
        <v/>
      </c>
    </row>
    <row r="1440" spans="2:10" x14ac:dyDescent="0.25">
      <c r="B1440" s="3" t="str">
        <f>IF([1]SCHEDULE!B1440="","",[1]SCHEDULE!B1440)</f>
        <v/>
      </c>
      <c r="C1440" s="3">
        <f>IF([1]SCHEDULE!C1440="","",[1]SCHEDULE!C1440)</f>
        <v>10</v>
      </c>
      <c r="D1440" s="1" t="e">
        <f>IF([1]SCHEDULE!D1440="","",[1]SCHEDULE!D1440)</f>
        <v>#N/A</v>
      </c>
      <c r="E1440" s="1" t="str">
        <f>IF([1]SCHEDULE!E1440="","",[1]SCHEDULE!E1440)</f>
        <v/>
      </c>
      <c r="F1440" s="6" t="str">
        <f>IF([1]SCHEDULE!F1440="","",[1]SCHEDULE!F1440)</f>
        <v/>
      </c>
      <c r="G1440" s="3" t="str">
        <f>IF([1]SCHEDULE!G1440="","",[1]SCHEDULE!G1440)</f>
        <v/>
      </c>
      <c r="H1440" s="3" t="str">
        <f>IF([1]SCHEDULE!H1440="","",[1]SCHEDULE!H1440)</f>
        <v/>
      </c>
      <c r="I1440" s="3" t="str">
        <f>IF([1]SCHEDULE!I1440="","",[1]SCHEDULE!I1440)</f>
        <v/>
      </c>
      <c r="J1440" s="3" t="str">
        <f>IF([1]SCHEDULE!J1440="","",[1]SCHEDULE!J1440)</f>
        <v/>
      </c>
    </row>
    <row r="1441" spans="2:10" x14ac:dyDescent="0.25">
      <c r="B1441" s="3" t="str">
        <f>IF([1]SCHEDULE!B1441="","",[1]SCHEDULE!B1441)</f>
        <v/>
      </c>
      <c r="C1441" s="3">
        <f>IF([1]SCHEDULE!C1441="","",[1]SCHEDULE!C1441)</f>
        <v>11</v>
      </c>
      <c r="D1441" s="1" t="e">
        <f>IF([1]SCHEDULE!D1441="","",[1]SCHEDULE!D1441)</f>
        <v>#N/A</v>
      </c>
      <c r="E1441" s="1" t="str">
        <f>IF([1]SCHEDULE!E1441="","",[1]SCHEDULE!E1441)</f>
        <v/>
      </c>
      <c r="F1441" s="6" t="str">
        <f>IF([1]SCHEDULE!F1441="","",[1]SCHEDULE!F1441)</f>
        <v/>
      </c>
      <c r="G1441" s="3" t="str">
        <f>IF([1]SCHEDULE!G1441="","",[1]SCHEDULE!G1441)</f>
        <v/>
      </c>
      <c r="H1441" s="3" t="str">
        <f>IF([1]SCHEDULE!H1441="","",[1]SCHEDULE!H1441)</f>
        <v/>
      </c>
      <c r="I1441" s="3" t="str">
        <f>IF([1]SCHEDULE!I1441="","",[1]SCHEDULE!I1441)</f>
        <v/>
      </c>
      <c r="J1441" s="3" t="str">
        <f>IF([1]SCHEDULE!J1441="","",[1]SCHEDULE!J1441)</f>
        <v/>
      </c>
    </row>
    <row r="1442" spans="2:10" x14ac:dyDescent="0.25">
      <c r="B1442" s="3" t="str">
        <f>IF([1]SCHEDULE!B1442="","",[1]SCHEDULE!B1442)</f>
        <v/>
      </c>
      <c r="C1442" s="3">
        <f>IF([1]SCHEDULE!C1442="","",[1]SCHEDULE!C1442)</f>
        <v>12</v>
      </c>
      <c r="D1442" s="1" t="e">
        <f>IF([1]SCHEDULE!D1442="","",[1]SCHEDULE!D1442)</f>
        <v>#N/A</v>
      </c>
      <c r="E1442" s="1" t="str">
        <f>IF([1]SCHEDULE!E1442="","",[1]SCHEDULE!E1442)</f>
        <v/>
      </c>
      <c r="F1442" s="6" t="str">
        <f>IF([1]SCHEDULE!F1442="","",[1]SCHEDULE!F1442)</f>
        <v/>
      </c>
      <c r="G1442" s="3" t="str">
        <f>IF([1]SCHEDULE!G1442="","",[1]SCHEDULE!G1442)</f>
        <v/>
      </c>
      <c r="H1442" s="3" t="str">
        <f>IF([1]SCHEDULE!H1442="","",[1]SCHEDULE!H1442)</f>
        <v/>
      </c>
      <c r="I1442" s="3" t="str">
        <f>IF([1]SCHEDULE!I1442="","",[1]SCHEDULE!I1442)</f>
        <v/>
      </c>
      <c r="J1442" s="3" t="str">
        <f>IF([1]SCHEDULE!J1442="","",[1]SCHEDULE!J1442)</f>
        <v/>
      </c>
    </row>
    <row r="1443" spans="2:10" x14ac:dyDescent="0.25">
      <c r="B1443" s="3" t="str">
        <f>IF([1]SCHEDULE!B1443="","",[1]SCHEDULE!B1443)</f>
        <v/>
      </c>
      <c r="C1443" s="3">
        <f>IF([1]SCHEDULE!C1443="","",[1]SCHEDULE!C1443)</f>
        <v>13</v>
      </c>
      <c r="D1443" s="1" t="e">
        <f>IF([1]SCHEDULE!D1443="","",[1]SCHEDULE!D1443)</f>
        <v>#N/A</v>
      </c>
      <c r="E1443" s="1" t="str">
        <f>IF([1]SCHEDULE!E1443="","",[1]SCHEDULE!E1443)</f>
        <v/>
      </c>
      <c r="F1443" s="6" t="str">
        <f>IF([1]SCHEDULE!F1443="","",[1]SCHEDULE!F1443)</f>
        <v/>
      </c>
      <c r="G1443" s="3" t="str">
        <f>IF([1]SCHEDULE!G1443="","",[1]SCHEDULE!G1443)</f>
        <v/>
      </c>
      <c r="H1443" s="3" t="str">
        <f>IF([1]SCHEDULE!H1443="","",[1]SCHEDULE!H1443)</f>
        <v/>
      </c>
      <c r="I1443" s="3" t="str">
        <f>IF([1]SCHEDULE!I1443="","",[1]SCHEDULE!I1443)</f>
        <v/>
      </c>
      <c r="J1443" s="3" t="str">
        <f>IF([1]SCHEDULE!J1443="","",[1]SCHEDULE!J1443)</f>
        <v/>
      </c>
    </row>
    <row r="1444" spans="2:10" x14ac:dyDescent="0.25">
      <c r="B1444" s="3" t="str">
        <f>IF([1]SCHEDULE!B1444="","",[1]SCHEDULE!B1444)</f>
        <v/>
      </c>
      <c r="C1444" s="3">
        <f>IF([1]SCHEDULE!C1444="","",[1]SCHEDULE!C1444)</f>
        <v>14</v>
      </c>
      <c r="D1444" s="1" t="e">
        <f>IF([1]SCHEDULE!D1444="","",[1]SCHEDULE!D1444)</f>
        <v>#N/A</v>
      </c>
      <c r="E1444" s="1" t="str">
        <f>IF([1]SCHEDULE!E1444="","",[1]SCHEDULE!E1444)</f>
        <v/>
      </c>
      <c r="F1444" s="6" t="str">
        <f>IF([1]SCHEDULE!F1444="","",[1]SCHEDULE!F1444)</f>
        <v/>
      </c>
      <c r="G1444" s="3" t="str">
        <f>IF([1]SCHEDULE!G1444="","",[1]SCHEDULE!G1444)</f>
        <v/>
      </c>
      <c r="H1444" s="3" t="str">
        <f>IF([1]SCHEDULE!H1444="","",[1]SCHEDULE!H1444)</f>
        <v/>
      </c>
      <c r="I1444" s="3" t="str">
        <f>IF([1]SCHEDULE!I1444="","",[1]SCHEDULE!I1444)</f>
        <v/>
      </c>
      <c r="J1444" s="3" t="str">
        <f>IF([1]SCHEDULE!J1444="","",[1]SCHEDULE!J1444)</f>
        <v/>
      </c>
    </row>
    <row r="1445" spans="2:10" x14ac:dyDescent="0.25">
      <c r="B1445" s="3" t="str">
        <f>IF([1]SCHEDULE!B1445="","",[1]SCHEDULE!B1445)</f>
        <v/>
      </c>
      <c r="C1445" s="3">
        <f>IF([1]SCHEDULE!C1445="","",[1]SCHEDULE!C1445)</f>
        <v>15</v>
      </c>
      <c r="D1445" s="1" t="e">
        <f>IF([1]SCHEDULE!D1445="","",[1]SCHEDULE!D1445)</f>
        <v>#N/A</v>
      </c>
      <c r="E1445" s="1" t="str">
        <f>IF([1]SCHEDULE!E1445="","",[1]SCHEDULE!E1445)</f>
        <v/>
      </c>
      <c r="F1445" s="6" t="str">
        <f>IF([1]SCHEDULE!F1445="","",[1]SCHEDULE!F1445)</f>
        <v/>
      </c>
      <c r="G1445" s="3" t="str">
        <f>IF([1]SCHEDULE!G1445="","",[1]SCHEDULE!G1445)</f>
        <v/>
      </c>
      <c r="H1445" s="3" t="str">
        <f>IF([1]SCHEDULE!H1445="","",[1]SCHEDULE!H1445)</f>
        <v/>
      </c>
      <c r="I1445" s="3" t="str">
        <f>IF([1]SCHEDULE!I1445="","",[1]SCHEDULE!I1445)</f>
        <v/>
      </c>
      <c r="J1445" s="3" t="str">
        <f>IF([1]SCHEDULE!J1445="","",[1]SCHEDULE!J1445)</f>
        <v/>
      </c>
    </row>
    <row r="1446" spans="2:10" x14ac:dyDescent="0.25">
      <c r="B1446" s="3" t="str">
        <f>IF([1]SCHEDULE!B1446="","",[1]SCHEDULE!B1446)</f>
        <v/>
      </c>
      <c r="C1446" s="3">
        <f>IF([1]SCHEDULE!C1446="","",[1]SCHEDULE!C1446)</f>
        <v>16</v>
      </c>
      <c r="D1446" s="1" t="e">
        <f>IF([1]SCHEDULE!D1446="","",[1]SCHEDULE!D1446)</f>
        <v>#N/A</v>
      </c>
      <c r="E1446" s="1" t="str">
        <f>IF([1]SCHEDULE!E1446="","",[1]SCHEDULE!E1446)</f>
        <v/>
      </c>
      <c r="F1446" s="6" t="str">
        <f>IF([1]SCHEDULE!F1446="","",[1]SCHEDULE!F1446)</f>
        <v/>
      </c>
      <c r="G1446" s="3" t="str">
        <f>IF([1]SCHEDULE!G1446="","",[1]SCHEDULE!G1446)</f>
        <v/>
      </c>
      <c r="H1446" s="3" t="str">
        <f>IF([1]SCHEDULE!H1446="","",[1]SCHEDULE!H1446)</f>
        <v/>
      </c>
      <c r="I1446" s="3" t="str">
        <f>IF([1]SCHEDULE!I1446="","",[1]SCHEDULE!I1446)</f>
        <v/>
      </c>
      <c r="J1446" s="3" t="str">
        <f>IF([1]SCHEDULE!J1446="","",[1]SCHEDULE!J1446)</f>
        <v/>
      </c>
    </row>
    <row r="1447" spans="2:10" x14ac:dyDescent="0.25">
      <c r="B1447" s="3" t="str">
        <f>IF([1]SCHEDULE!B1447="","",[1]SCHEDULE!B1447)</f>
        <v/>
      </c>
      <c r="C1447" s="3">
        <f>IF([1]SCHEDULE!C1447="","",[1]SCHEDULE!C1447)</f>
        <v>17</v>
      </c>
      <c r="D1447" s="1" t="e">
        <f>IF([1]SCHEDULE!D1447="","",[1]SCHEDULE!D1447)</f>
        <v>#N/A</v>
      </c>
      <c r="E1447" s="1" t="str">
        <f>IF([1]SCHEDULE!E1447="","",[1]SCHEDULE!E1447)</f>
        <v/>
      </c>
      <c r="F1447" s="6" t="str">
        <f>IF([1]SCHEDULE!F1447="","",[1]SCHEDULE!F1447)</f>
        <v/>
      </c>
      <c r="G1447" s="3" t="str">
        <f>IF([1]SCHEDULE!G1447="","",[1]SCHEDULE!G1447)</f>
        <v/>
      </c>
      <c r="H1447" s="3" t="str">
        <f>IF([1]SCHEDULE!H1447="","",[1]SCHEDULE!H1447)</f>
        <v/>
      </c>
      <c r="I1447" s="3" t="str">
        <f>IF([1]SCHEDULE!I1447="","",[1]SCHEDULE!I1447)</f>
        <v/>
      </c>
      <c r="J1447" s="3" t="str">
        <f>IF([1]SCHEDULE!J1447="","",[1]SCHEDULE!J1447)</f>
        <v/>
      </c>
    </row>
    <row r="1448" spans="2:10" x14ac:dyDescent="0.25">
      <c r="B1448" s="3" t="str">
        <f>IF([1]SCHEDULE!B1448="","",[1]SCHEDULE!B1448)</f>
        <v/>
      </c>
      <c r="C1448" s="3">
        <f>IF([1]SCHEDULE!C1448="","",[1]SCHEDULE!C1448)</f>
        <v>18</v>
      </c>
      <c r="D1448" s="1" t="e">
        <f>IF([1]SCHEDULE!D1448="","",[1]SCHEDULE!D1448)</f>
        <v>#N/A</v>
      </c>
      <c r="E1448" s="1" t="str">
        <f>IF([1]SCHEDULE!E1448="","",[1]SCHEDULE!E1448)</f>
        <v/>
      </c>
      <c r="F1448" s="6" t="str">
        <f>IF([1]SCHEDULE!F1448="","",[1]SCHEDULE!F1448)</f>
        <v/>
      </c>
      <c r="G1448" s="3" t="str">
        <f>IF([1]SCHEDULE!G1448="","",[1]SCHEDULE!G1448)</f>
        <v/>
      </c>
      <c r="H1448" s="3" t="str">
        <f>IF([1]SCHEDULE!H1448="","",[1]SCHEDULE!H1448)</f>
        <v/>
      </c>
      <c r="I1448" s="3" t="str">
        <f>IF([1]SCHEDULE!I1448="","",[1]SCHEDULE!I1448)</f>
        <v/>
      </c>
      <c r="J1448" s="3" t="str">
        <f>IF([1]SCHEDULE!J1448="","",[1]SCHEDULE!J1448)</f>
        <v/>
      </c>
    </row>
    <row r="1449" spans="2:10" x14ac:dyDescent="0.25">
      <c r="B1449" s="3" t="str">
        <f>IF([1]SCHEDULE!B1449="","",[1]SCHEDULE!B1449)</f>
        <v/>
      </c>
      <c r="C1449" s="3">
        <f>IF([1]SCHEDULE!C1449="","",[1]SCHEDULE!C1449)</f>
        <v>19</v>
      </c>
      <c r="D1449" s="1" t="e">
        <f>IF([1]SCHEDULE!D1449="","",[1]SCHEDULE!D1449)</f>
        <v>#N/A</v>
      </c>
      <c r="E1449" s="1" t="str">
        <f>IF([1]SCHEDULE!E1449="","",[1]SCHEDULE!E1449)</f>
        <v/>
      </c>
      <c r="F1449" s="6" t="str">
        <f>IF([1]SCHEDULE!F1449="","",[1]SCHEDULE!F1449)</f>
        <v/>
      </c>
      <c r="G1449" s="3" t="str">
        <f>IF([1]SCHEDULE!G1449="","",[1]SCHEDULE!G1449)</f>
        <v/>
      </c>
      <c r="H1449" s="3" t="str">
        <f>IF([1]SCHEDULE!H1449="","",[1]SCHEDULE!H1449)</f>
        <v/>
      </c>
      <c r="I1449" s="3" t="str">
        <f>IF([1]SCHEDULE!I1449="","",[1]SCHEDULE!I1449)</f>
        <v/>
      </c>
      <c r="J1449" s="3" t="str">
        <f>IF([1]SCHEDULE!J1449="","",[1]SCHEDULE!J1449)</f>
        <v/>
      </c>
    </row>
    <row r="1450" spans="2:10" x14ac:dyDescent="0.25">
      <c r="B1450" s="3" t="str">
        <f>IF([1]SCHEDULE!B1450="","",[1]SCHEDULE!B1450)</f>
        <v/>
      </c>
      <c r="C1450" s="3">
        <f>IF([1]SCHEDULE!C1450="","",[1]SCHEDULE!C1450)</f>
        <v>20</v>
      </c>
      <c r="D1450" s="1" t="e">
        <f>IF([1]SCHEDULE!D1450="","",[1]SCHEDULE!D1450)</f>
        <v>#N/A</v>
      </c>
      <c r="E1450" s="1" t="str">
        <f>IF([1]SCHEDULE!E1450="","",[1]SCHEDULE!E1450)</f>
        <v/>
      </c>
      <c r="F1450" s="6" t="str">
        <f>IF([1]SCHEDULE!F1450="","",[1]SCHEDULE!F1450)</f>
        <v/>
      </c>
      <c r="G1450" s="3" t="str">
        <f>IF([1]SCHEDULE!G1450="","",[1]SCHEDULE!G1450)</f>
        <v/>
      </c>
      <c r="H1450" s="3" t="str">
        <f>IF([1]SCHEDULE!H1450="","",[1]SCHEDULE!H1450)</f>
        <v/>
      </c>
      <c r="I1450" s="3" t="str">
        <f>IF([1]SCHEDULE!I1450="","",[1]SCHEDULE!I1450)</f>
        <v/>
      </c>
      <c r="J1450" s="3" t="str">
        <f>IF([1]SCHEDULE!J1450="","",[1]SCHEDULE!J1450)</f>
        <v/>
      </c>
    </row>
    <row r="1451" spans="2:10" x14ac:dyDescent="0.25">
      <c r="B1451" s="3" t="str">
        <f>IF([1]SCHEDULE!B1451="","",[1]SCHEDULE!B1451)</f>
        <v/>
      </c>
      <c r="C1451" s="3">
        <f>IF([1]SCHEDULE!C1451="","",[1]SCHEDULE!C1451)</f>
        <v>21</v>
      </c>
      <c r="D1451" s="1" t="e">
        <f>IF([1]SCHEDULE!D1451="","",[1]SCHEDULE!D1451)</f>
        <v>#N/A</v>
      </c>
      <c r="E1451" s="1" t="str">
        <f>IF([1]SCHEDULE!E1451="","",[1]SCHEDULE!E1451)</f>
        <v/>
      </c>
      <c r="F1451" s="6" t="str">
        <f>IF([1]SCHEDULE!F1451="","",[1]SCHEDULE!F1451)</f>
        <v/>
      </c>
      <c r="G1451" s="3" t="str">
        <f>IF([1]SCHEDULE!G1451="","",[1]SCHEDULE!G1451)</f>
        <v/>
      </c>
      <c r="H1451" s="3" t="str">
        <f>IF([1]SCHEDULE!H1451="","",[1]SCHEDULE!H1451)</f>
        <v/>
      </c>
      <c r="I1451" s="3" t="str">
        <f>IF([1]SCHEDULE!I1451="","",[1]SCHEDULE!I1451)</f>
        <v/>
      </c>
      <c r="J1451" s="3" t="str">
        <f>IF([1]SCHEDULE!J1451="","",[1]SCHEDULE!J1451)</f>
        <v/>
      </c>
    </row>
    <row r="1452" spans="2:10" x14ac:dyDescent="0.25">
      <c r="B1452" s="3" t="str">
        <f>IF([1]SCHEDULE!B1452="","",[1]SCHEDULE!B1452)</f>
        <v/>
      </c>
      <c r="C1452" s="3">
        <f>IF([1]SCHEDULE!C1452="","",[1]SCHEDULE!C1452)</f>
        <v>22</v>
      </c>
      <c r="D1452" s="1" t="e">
        <f>IF([1]SCHEDULE!D1452="","",[1]SCHEDULE!D1452)</f>
        <v>#N/A</v>
      </c>
      <c r="E1452" s="1" t="str">
        <f>IF([1]SCHEDULE!E1452="","",[1]SCHEDULE!E1452)</f>
        <v/>
      </c>
      <c r="F1452" s="6" t="str">
        <f>IF([1]SCHEDULE!F1452="","",[1]SCHEDULE!F1452)</f>
        <v/>
      </c>
      <c r="G1452" s="3" t="str">
        <f>IF([1]SCHEDULE!G1452="","",[1]SCHEDULE!G1452)</f>
        <v/>
      </c>
      <c r="H1452" s="3" t="str">
        <f>IF([1]SCHEDULE!H1452="","",[1]SCHEDULE!H1452)</f>
        <v/>
      </c>
      <c r="I1452" s="3" t="str">
        <f>IF([1]SCHEDULE!I1452="","",[1]SCHEDULE!I1452)</f>
        <v/>
      </c>
      <c r="J1452" s="3" t="str">
        <f>IF([1]SCHEDULE!J1452="","",[1]SCHEDULE!J1452)</f>
        <v/>
      </c>
    </row>
    <row r="1453" spans="2:10" x14ac:dyDescent="0.25">
      <c r="B1453" s="3" t="str">
        <f>IF([1]SCHEDULE!B1453="","",[1]SCHEDULE!B1453)</f>
        <v/>
      </c>
      <c r="C1453" s="3">
        <f>IF([1]SCHEDULE!C1453="","",[1]SCHEDULE!C1453)</f>
        <v>23</v>
      </c>
      <c r="D1453" s="1" t="e">
        <f>IF([1]SCHEDULE!D1453="","",[1]SCHEDULE!D1453)</f>
        <v>#N/A</v>
      </c>
      <c r="E1453" s="1" t="str">
        <f>IF([1]SCHEDULE!E1453="","",[1]SCHEDULE!E1453)</f>
        <v/>
      </c>
      <c r="F1453" s="6" t="str">
        <f>IF([1]SCHEDULE!F1453="","",[1]SCHEDULE!F1453)</f>
        <v/>
      </c>
      <c r="G1453" s="3" t="str">
        <f>IF([1]SCHEDULE!G1453="","",[1]SCHEDULE!G1453)</f>
        <v/>
      </c>
      <c r="H1453" s="3" t="str">
        <f>IF([1]SCHEDULE!H1453="","",[1]SCHEDULE!H1453)</f>
        <v/>
      </c>
      <c r="I1453" s="3" t="str">
        <f>IF([1]SCHEDULE!I1453="","",[1]SCHEDULE!I1453)</f>
        <v/>
      </c>
      <c r="J1453" s="3" t="str">
        <f>IF([1]SCHEDULE!J1453="","",[1]SCHEDULE!J1453)</f>
        <v/>
      </c>
    </row>
    <row r="1454" spans="2:10" x14ac:dyDescent="0.25">
      <c r="B1454" s="3" t="str">
        <f>IF([1]SCHEDULE!B1454="","",[1]SCHEDULE!B1454)</f>
        <v/>
      </c>
      <c r="C1454" s="3">
        <f>IF([1]SCHEDULE!C1454="","",[1]SCHEDULE!C1454)</f>
        <v>24</v>
      </c>
      <c r="D1454" s="1" t="e">
        <f>IF([1]SCHEDULE!D1454="","",[1]SCHEDULE!D1454)</f>
        <v>#N/A</v>
      </c>
      <c r="E1454" s="1" t="str">
        <f>IF([1]SCHEDULE!E1454="","",[1]SCHEDULE!E1454)</f>
        <v/>
      </c>
      <c r="F1454" s="6" t="str">
        <f>IF([1]SCHEDULE!F1454="","",[1]SCHEDULE!F1454)</f>
        <v/>
      </c>
      <c r="G1454" s="3" t="str">
        <f>IF([1]SCHEDULE!G1454="","",[1]SCHEDULE!G1454)</f>
        <v/>
      </c>
      <c r="H1454" s="3" t="str">
        <f>IF([1]SCHEDULE!H1454="","",[1]SCHEDULE!H1454)</f>
        <v/>
      </c>
      <c r="I1454" s="3" t="str">
        <f>IF([1]SCHEDULE!I1454="","",[1]SCHEDULE!I1454)</f>
        <v/>
      </c>
      <c r="J1454" s="3" t="str">
        <f>IF([1]SCHEDULE!J1454="","",[1]SCHEDULE!J1454)</f>
        <v/>
      </c>
    </row>
    <row r="1455" spans="2:10" x14ac:dyDescent="0.25">
      <c r="B1455" s="3" t="str">
        <f>IF([1]SCHEDULE!B1455="","",[1]SCHEDULE!B1455)</f>
        <v/>
      </c>
      <c r="C1455" s="3">
        <f>IF([1]SCHEDULE!C1455="","",[1]SCHEDULE!C1455)</f>
        <v>25</v>
      </c>
      <c r="D1455" s="1" t="e">
        <f>IF([1]SCHEDULE!D1455="","",[1]SCHEDULE!D1455)</f>
        <v>#N/A</v>
      </c>
      <c r="E1455" s="1" t="str">
        <f>IF([1]SCHEDULE!E1455="","",[1]SCHEDULE!E1455)</f>
        <v/>
      </c>
      <c r="F1455" s="6" t="str">
        <f>IF([1]SCHEDULE!F1455="","",[1]SCHEDULE!F1455)</f>
        <v/>
      </c>
      <c r="G1455" s="3" t="str">
        <f>IF([1]SCHEDULE!G1455="","",[1]SCHEDULE!G1455)</f>
        <v/>
      </c>
      <c r="H1455" s="3" t="str">
        <f>IF([1]SCHEDULE!H1455="","",[1]SCHEDULE!H1455)</f>
        <v/>
      </c>
      <c r="I1455" s="3" t="str">
        <f>IF([1]SCHEDULE!I1455="","",[1]SCHEDULE!I1455)</f>
        <v/>
      </c>
      <c r="J1455" s="3" t="str">
        <f>IF([1]SCHEDULE!J1455="","",[1]SCHEDULE!J1455)</f>
        <v/>
      </c>
    </row>
    <row r="1456" spans="2:10" x14ac:dyDescent="0.25">
      <c r="B1456" s="3" t="str">
        <f>IF([1]SCHEDULE!B1456="","",[1]SCHEDULE!B1456)</f>
        <v/>
      </c>
      <c r="C1456" s="3">
        <f>IF([1]SCHEDULE!C1456="","",[1]SCHEDULE!C1456)</f>
        <v>26</v>
      </c>
      <c r="D1456" s="1" t="e">
        <f>IF([1]SCHEDULE!D1456="","",[1]SCHEDULE!D1456)</f>
        <v>#N/A</v>
      </c>
      <c r="E1456" s="1" t="str">
        <f>IF([1]SCHEDULE!E1456="","",[1]SCHEDULE!E1456)</f>
        <v/>
      </c>
      <c r="F1456" s="6" t="str">
        <f>IF([1]SCHEDULE!F1456="","",[1]SCHEDULE!F1456)</f>
        <v/>
      </c>
      <c r="G1456" s="3" t="str">
        <f>IF([1]SCHEDULE!G1456="","",[1]SCHEDULE!G1456)</f>
        <v/>
      </c>
      <c r="H1456" s="3" t="str">
        <f>IF([1]SCHEDULE!H1456="","",[1]SCHEDULE!H1456)</f>
        <v/>
      </c>
      <c r="I1456" s="3" t="str">
        <f>IF([1]SCHEDULE!I1456="","",[1]SCHEDULE!I1456)</f>
        <v/>
      </c>
      <c r="J1456" s="3" t="str">
        <f>IF([1]SCHEDULE!J1456="","",[1]SCHEDULE!J1456)</f>
        <v/>
      </c>
    </row>
    <row r="1457" spans="2:10" x14ac:dyDescent="0.25">
      <c r="B1457" s="3" t="str">
        <f>IF([1]SCHEDULE!B1457="","",[1]SCHEDULE!B1457)</f>
        <v/>
      </c>
      <c r="C1457" s="3">
        <f>IF([1]SCHEDULE!C1457="","",[1]SCHEDULE!C1457)</f>
        <v>27</v>
      </c>
      <c r="D1457" s="1" t="e">
        <f>IF([1]SCHEDULE!D1457="","",[1]SCHEDULE!D1457)</f>
        <v>#N/A</v>
      </c>
      <c r="E1457" s="1" t="str">
        <f>IF([1]SCHEDULE!E1457="","",[1]SCHEDULE!E1457)</f>
        <v/>
      </c>
      <c r="F1457" s="6" t="str">
        <f>IF([1]SCHEDULE!F1457="","",[1]SCHEDULE!F1457)</f>
        <v/>
      </c>
      <c r="G1457" s="3" t="str">
        <f>IF([1]SCHEDULE!G1457="","",[1]SCHEDULE!G1457)</f>
        <v/>
      </c>
      <c r="H1457" s="3" t="str">
        <f>IF([1]SCHEDULE!H1457="","",[1]SCHEDULE!H1457)</f>
        <v/>
      </c>
      <c r="I1457" s="3" t="str">
        <f>IF([1]SCHEDULE!I1457="","",[1]SCHEDULE!I1457)</f>
        <v/>
      </c>
      <c r="J1457" s="3" t="str">
        <f>IF([1]SCHEDULE!J1457="","",[1]SCHEDULE!J1457)</f>
        <v/>
      </c>
    </row>
    <row r="1458" spans="2:10" x14ac:dyDescent="0.25">
      <c r="B1458" s="3" t="str">
        <f>IF([1]SCHEDULE!B1458="","",[1]SCHEDULE!B1458)</f>
        <v/>
      </c>
      <c r="C1458" s="3">
        <f>IF([1]SCHEDULE!C1458="","",[1]SCHEDULE!C1458)</f>
        <v>28</v>
      </c>
      <c r="D1458" s="1" t="e">
        <f>IF([1]SCHEDULE!D1458="","",[1]SCHEDULE!D1458)</f>
        <v>#N/A</v>
      </c>
      <c r="E1458" s="1" t="str">
        <f>IF([1]SCHEDULE!E1458="","",[1]SCHEDULE!E1458)</f>
        <v/>
      </c>
      <c r="F1458" s="6" t="str">
        <f>IF([1]SCHEDULE!F1458="","",[1]SCHEDULE!F1458)</f>
        <v/>
      </c>
      <c r="G1458" s="3" t="str">
        <f>IF([1]SCHEDULE!G1458="","",[1]SCHEDULE!G1458)</f>
        <v/>
      </c>
      <c r="H1458" s="3" t="str">
        <f>IF([1]SCHEDULE!H1458="","",[1]SCHEDULE!H1458)</f>
        <v/>
      </c>
      <c r="I1458" s="3" t="str">
        <f>IF([1]SCHEDULE!I1458="","",[1]SCHEDULE!I1458)</f>
        <v/>
      </c>
      <c r="J1458" s="3" t="str">
        <f>IF([1]SCHEDULE!J1458="","",[1]SCHEDULE!J1458)</f>
        <v/>
      </c>
    </row>
    <row r="1459" spans="2:10" x14ac:dyDescent="0.25">
      <c r="B1459" s="3" t="str">
        <f>IF([1]SCHEDULE!B1459="","",[1]SCHEDULE!B1459)</f>
        <v/>
      </c>
      <c r="C1459" s="3">
        <f>IF([1]SCHEDULE!C1459="","",[1]SCHEDULE!C1459)</f>
        <v>29</v>
      </c>
      <c r="D1459" s="1" t="e">
        <f>IF([1]SCHEDULE!D1459="","",[1]SCHEDULE!D1459)</f>
        <v>#N/A</v>
      </c>
      <c r="E1459" s="1" t="str">
        <f>IF([1]SCHEDULE!E1459="","",[1]SCHEDULE!E1459)</f>
        <v/>
      </c>
      <c r="F1459" s="6" t="str">
        <f>IF([1]SCHEDULE!F1459="","",[1]SCHEDULE!F1459)</f>
        <v/>
      </c>
      <c r="G1459" s="3" t="str">
        <f>IF([1]SCHEDULE!G1459="","",[1]SCHEDULE!G1459)</f>
        <v/>
      </c>
      <c r="H1459" s="3" t="str">
        <f>IF([1]SCHEDULE!H1459="","",[1]SCHEDULE!H1459)</f>
        <v/>
      </c>
      <c r="I1459" s="3" t="str">
        <f>IF([1]SCHEDULE!I1459="","",[1]SCHEDULE!I1459)</f>
        <v/>
      </c>
      <c r="J1459" s="3" t="str">
        <f>IF([1]SCHEDULE!J1459="","",[1]SCHEDULE!J1459)</f>
        <v/>
      </c>
    </row>
    <row r="1460" spans="2:10" x14ac:dyDescent="0.25">
      <c r="B1460" s="3" t="str">
        <f>IF([1]SCHEDULE!B1460="","",[1]SCHEDULE!B1460)</f>
        <v/>
      </c>
      <c r="C1460" s="3">
        <f>IF([1]SCHEDULE!C1460="","",[1]SCHEDULE!C1460)</f>
        <v>30</v>
      </c>
      <c r="D1460" s="1" t="e">
        <f>IF([1]SCHEDULE!D1460="","",[1]SCHEDULE!D1460)</f>
        <v>#N/A</v>
      </c>
      <c r="E1460" s="1" t="str">
        <f>IF([1]SCHEDULE!E1460="","",[1]SCHEDULE!E1460)</f>
        <v/>
      </c>
      <c r="F1460" s="6" t="str">
        <f>IF([1]SCHEDULE!F1460="","",[1]SCHEDULE!F1460)</f>
        <v/>
      </c>
      <c r="G1460" s="3" t="str">
        <f>IF([1]SCHEDULE!G1460="","",[1]SCHEDULE!G1460)</f>
        <v/>
      </c>
      <c r="H1460" s="3" t="str">
        <f>IF([1]SCHEDULE!H1460="","",[1]SCHEDULE!H1460)</f>
        <v/>
      </c>
      <c r="I1460" s="3" t="str">
        <f>IF([1]SCHEDULE!I1460="","",[1]SCHEDULE!I1460)</f>
        <v/>
      </c>
      <c r="J1460" s="3" t="str">
        <f>IF([1]SCHEDULE!J1460="","",[1]SCHEDULE!J1460)</f>
        <v/>
      </c>
    </row>
    <row r="1461" spans="2:10" x14ac:dyDescent="0.25">
      <c r="B1461" s="3" t="str">
        <f>IF([1]SCHEDULE!B1461="","",[1]SCHEDULE!B1461)</f>
        <v/>
      </c>
      <c r="C1461" s="3">
        <f>IF([1]SCHEDULE!C1461="","",[1]SCHEDULE!C1461)</f>
        <v>31</v>
      </c>
      <c r="D1461" s="1" t="e">
        <f>IF([1]SCHEDULE!D1461="","",[1]SCHEDULE!D1461)</f>
        <v>#N/A</v>
      </c>
      <c r="E1461" s="1" t="str">
        <f>IF([1]SCHEDULE!E1461="","",[1]SCHEDULE!E1461)</f>
        <v/>
      </c>
      <c r="F1461" s="6" t="str">
        <f>IF([1]SCHEDULE!F1461="","",[1]SCHEDULE!F1461)</f>
        <v/>
      </c>
      <c r="G1461" s="3" t="str">
        <f>IF([1]SCHEDULE!G1461="","",[1]SCHEDULE!G1461)</f>
        <v/>
      </c>
      <c r="H1461" s="3" t="str">
        <f>IF([1]SCHEDULE!H1461="","",[1]SCHEDULE!H1461)</f>
        <v/>
      </c>
      <c r="I1461" s="3" t="str">
        <f>IF([1]SCHEDULE!I1461="","",[1]SCHEDULE!I1461)</f>
        <v/>
      </c>
      <c r="J1461" s="3" t="str">
        <f>IF([1]SCHEDULE!J1461="","",[1]SCHEDULE!J1461)</f>
        <v/>
      </c>
    </row>
    <row r="1462" spans="2:10" x14ac:dyDescent="0.25">
      <c r="B1462" s="3" t="str">
        <f>IF([1]SCHEDULE!B1462="","",[1]SCHEDULE!B1462)</f>
        <v/>
      </c>
      <c r="C1462" s="3">
        <f>IF([1]SCHEDULE!C1462="","",[1]SCHEDULE!C1462)</f>
        <v>32</v>
      </c>
      <c r="D1462" s="1" t="e">
        <f>IF([1]SCHEDULE!D1462="","",[1]SCHEDULE!D1462)</f>
        <v>#N/A</v>
      </c>
      <c r="E1462" s="1" t="str">
        <f>IF([1]SCHEDULE!E1462="","",[1]SCHEDULE!E1462)</f>
        <v/>
      </c>
      <c r="F1462" s="6" t="str">
        <f>IF([1]SCHEDULE!F1462="","",[1]SCHEDULE!F1462)</f>
        <v/>
      </c>
      <c r="G1462" s="3" t="str">
        <f>IF([1]SCHEDULE!G1462="","",[1]SCHEDULE!G1462)</f>
        <v/>
      </c>
      <c r="H1462" s="3" t="str">
        <f>IF([1]SCHEDULE!H1462="","",[1]SCHEDULE!H1462)</f>
        <v/>
      </c>
      <c r="I1462" s="3" t="str">
        <f>IF([1]SCHEDULE!I1462="","",[1]SCHEDULE!I1462)</f>
        <v/>
      </c>
      <c r="J1462" s="3" t="str">
        <f>IF([1]SCHEDULE!J1462="","",[1]SCHEDULE!J1462)</f>
        <v/>
      </c>
    </row>
    <row r="1463" spans="2:10" x14ac:dyDescent="0.25">
      <c r="B1463" s="3" t="str">
        <f>IF([1]SCHEDULE!B1463="","",[1]SCHEDULE!B1463)</f>
        <v/>
      </c>
      <c r="C1463" s="3">
        <f>IF([1]SCHEDULE!C1463="","",[1]SCHEDULE!C1463)</f>
        <v>33</v>
      </c>
      <c r="D1463" s="1" t="e">
        <f>IF([1]SCHEDULE!D1463="","",[1]SCHEDULE!D1463)</f>
        <v>#N/A</v>
      </c>
      <c r="E1463" s="1" t="str">
        <f>IF([1]SCHEDULE!E1463="","",[1]SCHEDULE!E1463)</f>
        <v/>
      </c>
      <c r="F1463" s="6" t="str">
        <f>IF([1]SCHEDULE!F1463="","",[1]SCHEDULE!F1463)</f>
        <v/>
      </c>
      <c r="G1463" s="3" t="str">
        <f>IF([1]SCHEDULE!G1463="","",[1]SCHEDULE!G1463)</f>
        <v/>
      </c>
      <c r="H1463" s="3" t="str">
        <f>IF([1]SCHEDULE!H1463="","",[1]SCHEDULE!H1463)</f>
        <v/>
      </c>
      <c r="I1463" s="3" t="str">
        <f>IF([1]SCHEDULE!I1463="","",[1]SCHEDULE!I1463)</f>
        <v/>
      </c>
      <c r="J1463" s="3" t="str">
        <f>IF([1]SCHEDULE!J1463="","",[1]SCHEDULE!J1463)</f>
        <v/>
      </c>
    </row>
    <row r="1464" spans="2:10" x14ac:dyDescent="0.25">
      <c r="B1464" s="3" t="str">
        <f>IF([1]SCHEDULE!B1464="","",[1]SCHEDULE!B1464)</f>
        <v/>
      </c>
      <c r="C1464" s="3">
        <f>IF([1]SCHEDULE!C1464="","",[1]SCHEDULE!C1464)</f>
        <v>34</v>
      </c>
      <c r="D1464" s="1" t="e">
        <f>IF([1]SCHEDULE!D1464="","",[1]SCHEDULE!D1464)</f>
        <v>#N/A</v>
      </c>
      <c r="E1464" s="1" t="str">
        <f>IF([1]SCHEDULE!E1464="","",[1]SCHEDULE!E1464)</f>
        <v/>
      </c>
      <c r="F1464" s="6" t="str">
        <f>IF([1]SCHEDULE!F1464="","",[1]SCHEDULE!F1464)</f>
        <v/>
      </c>
      <c r="G1464" s="3" t="str">
        <f>IF([1]SCHEDULE!G1464="","",[1]SCHEDULE!G1464)</f>
        <v/>
      </c>
      <c r="H1464" s="3" t="str">
        <f>IF([1]SCHEDULE!H1464="","",[1]SCHEDULE!H1464)</f>
        <v/>
      </c>
      <c r="I1464" s="3" t="str">
        <f>IF([1]SCHEDULE!I1464="","",[1]SCHEDULE!I1464)</f>
        <v/>
      </c>
      <c r="J1464" s="3" t="str">
        <f>IF([1]SCHEDULE!J1464="","",[1]SCHEDULE!J1464)</f>
        <v/>
      </c>
    </row>
    <row r="1465" spans="2:10" x14ac:dyDescent="0.25">
      <c r="B1465" s="3" t="str">
        <f>IF([1]SCHEDULE!B1465="","",[1]SCHEDULE!B1465)</f>
        <v/>
      </c>
      <c r="C1465" s="3">
        <f>IF([1]SCHEDULE!C1465="","",[1]SCHEDULE!C1465)</f>
        <v>35</v>
      </c>
      <c r="D1465" s="1" t="e">
        <f>IF([1]SCHEDULE!D1465="","",[1]SCHEDULE!D1465)</f>
        <v>#N/A</v>
      </c>
      <c r="E1465" s="1" t="str">
        <f>IF([1]SCHEDULE!E1465="","",[1]SCHEDULE!E1465)</f>
        <v/>
      </c>
      <c r="F1465" s="6" t="str">
        <f>IF([1]SCHEDULE!F1465="","",[1]SCHEDULE!F1465)</f>
        <v/>
      </c>
      <c r="G1465" s="3" t="str">
        <f>IF([1]SCHEDULE!G1465="","",[1]SCHEDULE!G1465)</f>
        <v/>
      </c>
      <c r="H1465" s="3" t="str">
        <f>IF([1]SCHEDULE!H1465="","",[1]SCHEDULE!H1465)</f>
        <v/>
      </c>
      <c r="I1465" s="3" t="str">
        <f>IF([1]SCHEDULE!I1465="","",[1]SCHEDULE!I1465)</f>
        <v/>
      </c>
      <c r="J1465" s="3" t="str">
        <f>IF([1]SCHEDULE!J1465="","",[1]SCHEDULE!J1465)</f>
        <v/>
      </c>
    </row>
    <row r="1466" spans="2:10" x14ac:dyDescent="0.25">
      <c r="B1466" s="3" t="str">
        <f>IF([1]SCHEDULE!B1466="","",[1]SCHEDULE!B1466)</f>
        <v/>
      </c>
      <c r="C1466" s="3">
        <f>IF([1]SCHEDULE!C1466="","",[1]SCHEDULE!C1466)</f>
        <v>36</v>
      </c>
      <c r="D1466" s="1" t="e">
        <f>IF([1]SCHEDULE!D1466="","",[1]SCHEDULE!D1466)</f>
        <v>#N/A</v>
      </c>
      <c r="E1466" s="1" t="str">
        <f>IF([1]SCHEDULE!E1466="","",[1]SCHEDULE!E1466)</f>
        <v/>
      </c>
      <c r="F1466" s="6" t="str">
        <f>IF([1]SCHEDULE!F1466="","",[1]SCHEDULE!F1466)</f>
        <v/>
      </c>
      <c r="G1466" s="3" t="str">
        <f>IF([1]SCHEDULE!G1466="","",[1]SCHEDULE!G1466)</f>
        <v/>
      </c>
      <c r="H1466" s="3" t="str">
        <f>IF([1]SCHEDULE!H1466="","",[1]SCHEDULE!H1466)</f>
        <v/>
      </c>
      <c r="I1466" s="3" t="str">
        <f>IF([1]SCHEDULE!I1466="","",[1]SCHEDULE!I1466)</f>
        <v/>
      </c>
      <c r="J1466" s="3" t="str">
        <f>IF([1]SCHEDULE!J1466="","",[1]SCHEDULE!J1466)</f>
        <v/>
      </c>
    </row>
    <row r="1467" spans="2:10" x14ac:dyDescent="0.25">
      <c r="B1467" s="3" t="str">
        <f>IF([1]SCHEDULE!B1467="","",[1]SCHEDULE!B1467)</f>
        <v/>
      </c>
      <c r="C1467" s="3">
        <f>IF([1]SCHEDULE!C1467="","",[1]SCHEDULE!C1467)</f>
        <v>37</v>
      </c>
      <c r="D1467" s="1" t="e">
        <f>IF([1]SCHEDULE!D1467="","",[1]SCHEDULE!D1467)</f>
        <v>#N/A</v>
      </c>
      <c r="E1467" s="1" t="str">
        <f>IF([1]SCHEDULE!E1467="","",[1]SCHEDULE!E1467)</f>
        <v/>
      </c>
      <c r="F1467" s="6" t="str">
        <f>IF([1]SCHEDULE!F1467="","",[1]SCHEDULE!F1467)</f>
        <v/>
      </c>
      <c r="G1467" s="3" t="str">
        <f>IF([1]SCHEDULE!G1467="","",[1]SCHEDULE!G1467)</f>
        <v/>
      </c>
      <c r="H1467" s="3" t="str">
        <f>IF([1]SCHEDULE!H1467="","",[1]SCHEDULE!H1467)</f>
        <v/>
      </c>
      <c r="I1467" s="3" t="str">
        <f>IF([1]SCHEDULE!I1467="","",[1]SCHEDULE!I1467)</f>
        <v/>
      </c>
      <c r="J1467" s="3" t="str">
        <f>IF([1]SCHEDULE!J1467="","",[1]SCHEDULE!J1467)</f>
        <v/>
      </c>
    </row>
    <row r="1468" spans="2:10" x14ac:dyDescent="0.25">
      <c r="B1468" s="3" t="str">
        <f>IF([1]SCHEDULE!B1468="","",[1]SCHEDULE!B1468)</f>
        <v/>
      </c>
      <c r="C1468" s="3">
        <f>IF([1]SCHEDULE!C1468="","",[1]SCHEDULE!C1468)</f>
        <v>38</v>
      </c>
      <c r="D1468" s="1" t="e">
        <f>IF([1]SCHEDULE!D1468="","",[1]SCHEDULE!D1468)</f>
        <v>#N/A</v>
      </c>
      <c r="E1468" s="1" t="str">
        <f>IF([1]SCHEDULE!E1468="","",[1]SCHEDULE!E1468)</f>
        <v/>
      </c>
      <c r="F1468" s="6" t="str">
        <f>IF([1]SCHEDULE!F1468="","",[1]SCHEDULE!F1468)</f>
        <v/>
      </c>
      <c r="G1468" s="3" t="str">
        <f>IF([1]SCHEDULE!G1468="","",[1]SCHEDULE!G1468)</f>
        <v/>
      </c>
      <c r="H1468" s="3" t="str">
        <f>IF([1]SCHEDULE!H1468="","",[1]SCHEDULE!H1468)</f>
        <v/>
      </c>
      <c r="I1468" s="3" t="str">
        <f>IF([1]SCHEDULE!I1468="","",[1]SCHEDULE!I1468)</f>
        <v/>
      </c>
      <c r="J1468" s="3" t="str">
        <f>IF([1]SCHEDULE!J1468="","",[1]SCHEDULE!J1468)</f>
        <v/>
      </c>
    </row>
    <row r="1469" spans="2:10" x14ac:dyDescent="0.25">
      <c r="B1469" s="3" t="str">
        <f>IF([1]SCHEDULE!B1469="","",[1]SCHEDULE!B1469)</f>
        <v/>
      </c>
      <c r="C1469" s="3">
        <f>IF([1]SCHEDULE!C1469="","",[1]SCHEDULE!C1469)</f>
        <v>39</v>
      </c>
      <c r="D1469" s="1" t="e">
        <f>IF([1]SCHEDULE!D1469="","",[1]SCHEDULE!D1469)</f>
        <v>#N/A</v>
      </c>
      <c r="E1469" s="1" t="str">
        <f>IF([1]SCHEDULE!E1469="","",[1]SCHEDULE!E1469)</f>
        <v/>
      </c>
      <c r="F1469" s="6" t="str">
        <f>IF([1]SCHEDULE!F1469="","",[1]SCHEDULE!F1469)</f>
        <v/>
      </c>
      <c r="G1469" s="3" t="str">
        <f>IF([1]SCHEDULE!G1469="","",[1]SCHEDULE!G1469)</f>
        <v/>
      </c>
      <c r="H1469" s="3" t="str">
        <f>IF([1]SCHEDULE!H1469="","",[1]SCHEDULE!H1469)</f>
        <v/>
      </c>
      <c r="I1469" s="3" t="str">
        <f>IF([1]SCHEDULE!I1469="","",[1]SCHEDULE!I1469)</f>
        <v/>
      </c>
      <c r="J1469" s="3" t="str">
        <f>IF([1]SCHEDULE!J1469="","",[1]SCHEDULE!J1469)</f>
        <v/>
      </c>
    </row>
    <row r="1470" spans="2:10" x14ac:dyDescent="0.25">
      <c r="B1470" s="3" t="str">
        <f>IF([1]SCHEDULE!B1470="","",[1]SCHEDULE!B1470)</f>
        <v/>
      </c>
      <c r="C1470" s="3">
        <f>IF([1]SCHEDULE!C1470="","",[1]SCHEDULE!C1470)</f>
        <v>40</v>
      </c>
      <c r="D1470" s="1" t="e">
        <f>IF([1]SCHEDULE!D1470="","",[1]SCHEDULE!D1470)</f>
        <v>#N/A</v>
      </c>
      <c r="E1470" s="1" t="str">
        <f>IF([1]SCHEDULE!E1470="","",[1]SCHEDULE!E1470)</f>
        <v/>
      </c>
      <c r="F1470" s="6" t="str">
        <f>IF([1]SCHEDULE!F1470="","",[1]SCHEDULE!F1470)</f>
        <v/>
      </c>
      <c r="G1470" s="3" t="str">
        <f>IF([1]SCHEDULE!G1470="","",[1]SCHEDULE!G1470)</f>
        <v/>
      </c>
      <c r="H1470" s="3" t="str">
        <f>IF([1]SCHEDULE!H1470="","",[1]SCHEDULE!H1470)</f>
        <v/>
      </c>
      <c r="I1470" s="3" t="str">
        <f>IF([1]SCHEDULE!I1470="","",[1]SCHEDULE!I1470)</f>
        <v/>
      </c>
      <c r="J1470" s="3" t="str">
        <f>IF([1]SCHEDULE!J1470="","",[1]SCHEDULE!J1470)</f>
        <v/>
      </c>
    </row>
    <row r="1471" spans="2:10" x14ac:dyDescent="0.25">
      <c r="B1471" s="3" t="str">
        <f>IF([1]SCHEDULE!B1471="","",[1]SCHEDULE!B1471)</f>
        <v/>
      </c>
      <c r="C1471" s="3">
        <f>IF([1]SCHEDULE!C1471="","",[1]SCHEDULE!C1471)</f>
        <v>41</v>
      </c>
      <c r="D1471" s="1" t="e">
        <f>IF([1]SCHEDULE!D1471="","",[1]SCHEDULE!D1471)</f>
        <v>#N/A</v>
      </c>
      <c r="E1471" s="1" t="str">
        <f>IF([1]SCHEDULE!E1471="","",[1]SCHEDULE!E1471)</f>
        <v/>
      </c>
      <c r="F1471" s="6" t="str">
        <f>IF([1]SCHEDULE!F1471="","",[1]SCHEDULE!F1471)</f>
        <v/>
      </c>
      <c r="G1471" s="3" t="str">
        <f>IF([1]SCHEDULE!G1471="","",[1]SCHEDULE!G1471)</f>
        <v/>
      </c>
      <c r="H1471" s="3" t="str">
        <f>IF([1]SCHEDULE!H1471="","",[1]SCHEDULE!H1471)</f>
        <v/>
      </c>
      <c r="I1471" s="3" t="str">
        <f>IF([1]SCHEDULE!I1471="","",[1]SCHEDULE!I1471)</f>
        <v/>
      </c>
      <c r="J1471" s="3" t="str">
        <f>IF([1]SCHEDULE!J1471="","",[1]SCHEDULE!J1471)</f>
        <v/>
      </c>
    </row>
    <row r="1472" spans="2:10" x14ac:dyDescent="0.25">
      <c r="B1472" s="3" t="str">
        <f>IF([1]SCHEDULE!B1472="","",[1]SCHEDULE!B1472)</f>
        <v/>
      </c>
      <c r="C1472" s="3">
        <f>IF([1]SCHEDULE!C1472="","",[1]SCHEDULE!C1472)</f>
        <v>42</v>
      </c>
      <c r="D1472" s="1" t="e">
        <f>IF([1]SCHEDULE!D1472="","",[1]SCHEDULE!D1472)</f>
        <v>#N/A</v>
      </c>
      <c r="E1472" s="1" t="str">
        <f>IF([1]SCHEDULE!E1472="","",[1]SCHEDULE!E1472)</f>
        <v/>
      </c>
      <c r="F1472" s="6" t="str">
        <f>IF([1]SCHEDULE!F1472="","",[1]SCHEDULE!F1472)</f>
        <v/>
      </c>
      <c r="G1472" s="3" t="str">
        <f>IF([1]SCHEDULE!G1472="","",[1]SCHEDULE!G1472)</f>
        <v/>
      </c>
      <c r="H1472" s="3" t="str">
        <f>IF([1]SCHEDULE!H1472="","",[1]SCHEDULE!H1472)</f>
        <v/>
      </c>
      <c r="I1472" s="3" t="str">
        <f>IF([1]SCHEDULE!I1472="","",[1]SCHEDULE!I1472)</f>
        <v/>
      </c>
      <c r="J1472" s="3" t="str">
        <f>IF([1]SCHEDULE!J1472="","",[1]SCHEDULE!J1472)</f>
        <v/>
      </c>
    </row>
    <row r="1473" spans="2:10" x14ac:dyDescent="0.25">
      <c r="B1473" s="3" t="str">
        <f>IF([1]SCHEDULE!B1473="","",[1]SCHEDULE!B1473)</f>
        <v/>
      </c>
      <c r="C1473" s="3">
        <f>IF([1]SCHEDULE!C1473="","",[1]SCHEDULE!C1473)</f>
        <v>43</v>
      </c>
      <c r="D1473" s="1" t="e">
        <f>IF([1]SCHEDULE!D1473="","",[1]SCHEDULE!D1473)</f>
        <v>#N/A</v>
      </c>
      <c r="E1473" s="1" t="str">
        <f>IF([1]SCHEDULE!E1473="","",[1]SCHEDULE!E1473)</f>
        <v/>
      </c>
      <c r="F1473" s="6" t="str">
        <f>IF([1]SCHEDULE!F1473="","",[1]SCHEDULE!F1473)</f>
        <v/>
      </c>
      <c r="G1473" s="3" t="str">
        <f>IF([1]SCHEDULE!G1473="","",[1]SCHEDULE!G1473)</f>
        <v/>
      </c>
      <c r="H1473" s="3" t="str">
        <f>IF([1]SCHEDULE!H1473="","",[1]SCHEDULE!H1473)</f>
        <v/>
      </c>
      <c r="I1473" s="3" t="str">
        <f>IF([1]SCHEDULE!I1473="","",[1]SCHEDULE!I1473)</f>
        <v/>
      </c>
      <c r="J1473" s="3" t="str">
        <f>IF([1]SCHEDULE!J1473="","",[1]SCHEDULE!J1473)</f>
        <v/>
      </c>
    </row>
    <row r="1474" spans="2:10" x14ac:dyDescent="0.25">
      <c r="B1474" s="3" t="str">
        <f>IF([1]SCHEDULE!B1474="","",[1]SCHEDULE!B1474)</f>
        <v/>
      </c>
      <c r="C1474" s="3">
        <f>IF([1]SCHEDULE!C1474="","",[1]SCHEDULE!C1474)</f>
        <v>44</v>
      </c>
      <c r="D1474" s="1" t="e">
        <f>IF([1]SCHEDULE!D1474="","",[1]SCHEDULE!D1474)</f>
        <v>#N/A</v>
      </c>
      <c r="E1474" s="1" t="str">
        <f>IF([1]SCHEDULE!E1474="","",[1]SCHEDULE!E1474)</f>
        <v/>
      </c>
      <c r="F1474" s="6" t="str">
        <f>IF([1]SCHEDULE!F1474="","",[1]SCHEDULE!F1474)</f>
        <v/>
      </c>
      <c r="G1474" s="3" t="str">
        <f>IF([1]SCHEDULE!G1474="","",[1]SCHEDULE!G1474)</f>
        <v/>
      </c>
      <c r="H1474" s="3" t="str">
        <f>IF([1]SCHEDULE!H1474="","",[1]SCHEDULE!H1474)</f>
        <v/>
      </c>
      <c r="I1474" s="3" t="str">
        <f>IF([1]SCHEDULE!I1474="","",[1]SCHEDULE!I1474)</f>
        <v/>
      </c>
      <c r="J1474" s="3" t="str">
        <f>IF([1]SCHEDULE!J1474="","",[1]SCHEDULE!J1474)</f>
        <v/>
      </c>
    </row>
    <row r="1475" spans="2:10" x14ac:dyDescent="0.25">
      <c r="B1475" s="3" t="str">
        <f>IF([1]SCHEDULE!B1475="","",[1]SCHEDULE!B1475)</f>
        <v/>
      </c>
      <c r="C1475" s="3">
        <f>IF([1]SCHEDULE!C1475="","",[1]SCHEDULE!C1475)</f>
        <v>45</v>
      </c>
      <c r="D1475" s="1" t="e">
        <f>IF([1]SCHEDULE!D1475="","",[1]SCHEDULE!D1475)</f>
        <v>#N/A</v>
      </c>
      <c r="E1475" s="1" t="str">
        <f>IF([1]SCHEDULE!E1475="","",[1]SCHEDULE!E1475)</f>
        <v/>
      </c>
      <c r="F1475" s="6" t="str">
        <f>IF([1]SCHEDULE!F1475="","",[1]SCHEDULE!F1475)</f>
        <v/>
      </c>
      <c r="G1475" s="3" t="str">
        <f>IF([1]SCHEDULE!G1475="","",[1]SCHEDULE!G1475)</f>
        <v/>
      </c>
      <c r="H1475" s="3" t="str">
        <f>IF([1]SCHEDULE!H1475="","",[1]SCHEDULE!H1475)</f>
        <v/>
      </c>
      <c r="I1475" s="3" t="str">
        <f>IF([1]SCHEDULE!I1475="","",[1]SCHEDULE!I1475)</f>
        <v/>
      </c>
      <c r="J1475" s="3" t="str">
        <f>IF([1]SCHEDULE!J1475="","",[1]SCHEDULE!J1475)</f>
        <v/>
      </c>
    </row>
    <row r="1476" spans="2:10" x14ac:dyDescent="0.25">
      <c r="B1476" s="3" t="str">
        <f>IF([1]SCHEDULE!B1476="","",[1]SCHEDULE!B1476)</f>
        <v/>
      </c>
      <c r="C1476" s="3">
        <f>IF([1]SCHEDULE!C1476="","",[1]SCHEDULE!C1476)</f>
        <v>46</v>
      </c>
      <c r="D1476" s="1" t="e">
        <f>IF([1]SCHEDULE!D1476="","",[1]SCHEDULE!D1476)</f>
        <v>#N/A</v>
      </c>
      <c r="E1476" s="1" t="str">
        <f>IF([1]SCHEDULE!E1476="","",[1]SCHEDULE!E1476)</f>
        <v/>
      </c>
      <c r="F1476" s="6" t="str">
        <f>IF([1]SCHEDULE!F1476="","",[1]SCHEDULE!F1476)</f>
        <v/>
      </c>
      <c r="G1476" s="3" t="str">
        <f>IF([1]SCHEDULE!G1476="","",[1]SCHEDULE!G1476)</f>
        <v/>
      </c>
      <c r="H1476" s="3" t="str">
        <f>IF([1]SCHEDULE!H1476="","",[1]SCHEDULE!H1476)</f>
        <v/>
      </c>
      <c r="I1476" s="3" t="str">
        <f>IF([1]SCHEDULE!I1476="","",[1]SCHEDULE!I1476)</f>
        <v/>
      </c>
      <c r="J1476" s="3" t="str">
        <f>IF([1]SCHEDULE!J1476="","",[1]SCHEDULE!J1476)</f>
        <v/>
      </c>
    </row>
    <row r="1477" spans="2:10" x14ac:dyDescent="0.25">
      <c r="B1477" s="3" t="str">
        <f>IF([1]SCHEDULE!B1477="","",[1]SCHEDULE!B1477)</f>
        <v/>
      </c>
      <c r="C1477" s="3">
        <f>IF([1]SCHEDULE!C1477="","",[1]SCHEDULE!C1477)</f>
        <v>47</v>
      </c>
      <c r="D1477" s="1" t="e">
        <f>IF([1]SCHEDULE!D1477="","",[1]SCHEDULE!D1477)</f>
        <v>#N/A</v>
      </c>
      <c r="E1477" s="1" t="str">
        <f>IF([1]SCHEDULE!E1477="","",[1]SCHEDULE!E1477)</f>
        <v/>
      </c>
      <c r="F1477" s="6" t="str">
        <f>IF([1]SCHEDULE!F1477="","",[1]SCHEDULE!F1477)</f>
        <v/>
      </c>
      <c r="G1477" s="3" t="str">
        <f>IF([1]SCHEDULE!G1477="","",[1]SCHEDULE!G1477)</f>
        <v/>
      </c>
      <c r="H1477" s="3" t="str">
        <f>IF([1]SCHEDULE!H1477="","",[1]SCHEDULE!H1477)</f>
        <v/>
      </c>
      <c r="I1477" s="3" t="str">
        <f>IF([1]SCHEDULE!I1477="","",[1]SCHEDULE!I1477)</f>
        <v/>
      </c>
      <c r="J1477" s="3" t="str">
        <f>IF([1]SCHEDULE!J1477="","",[1]SCHEDULE!J1477)</f>
        <v/>
      </c>
    </row>
    <row r="1478" spans="2:10" x14ac:dyDescent="0.25">
      <c r="B1478" s="3" t="str">
        <f>IF([1]SCHEDULE!B1478="","",[1]SCHEDULE!B1478)</f>
        <v/>
      </c>
      <c r="C1478" s="3">
        <f>IF([1]SCHEDULE!C1478="","",[1]SCHEDULE!C1478)</f>
        <v>48</v>
      </c>
      <c r="D1478" s="1" t="e">
        <f>IF([1]SCHEDULE!D1478="","",[1]SCHEDULE!D1478)</f>
        <v>#N/A</v>
      </c>
      <c r="E1478" s="1" t="str">
        <f>IF([1]SCHEDULE!E1478="","",[1]SCHEDULE!E1478)</f>
        <v/>
      </c>
      <c r="F1478" s="6" t="str">
        <f>IF([1]SCHEDULE!F1478="","",[1]SCHEDULE!F1478)</f>
        <v/>
      </c>
      <c r="G1478" s="3" t="str">
        <f>IF([1]SCHEDULE!G1478="","",[1]SCHEDULE!G1478)</f>
        <v/>
      </c>
      <c r="H1478" s="3" t="str">
        <f>IF([1]SCHEDULE!H1478="","",[1]SCHEDULE!H1478)</f>
        <v/>
      </c>
      <c r="I1478" s="3" t="str">
        <f>IF([1]SCHEDULE!I1478="","",[1]SCHEDULE!I1478)</f>
        <v/>
      </c>
      <c r="J1478" s="3" t="str">
        <f>IF([1]SCHEDULE!J1478="","",[1]SCHEDULE!J1478)</f>
        <v/>
      </c>
    </row>
    <row r="1479" spans="2:10" x14ac:dyDescent="0.25">
      <c r="B1479" s="3" t="str">
        <f>IF([1]SCHEDULE!B1479="","",[1]SCHEDULE!B1479)</f>
        <v/>
      </c>
      <c r="C1479" s="3">
        <f>IF([1]SCHEDULE!C1479="","",[1]SCHEDULE!C1479)</f>
        <v>49</v>
      </c>
      <c r="D1479" s="1" t="e">
        <f>IF([1]SCHEDULE!D1479="","",[1]SCHEDULE!D1479)</f>
        <v>#N/A</v>
      </c>
      <c r="E1479" s="1" t="str">
        <f>IF([1]SCHEDULE!E1479="","",[1]SCHEDULE!E1479)</f>
        <v/>
      </c>
      <c r="F1479" s="6" t="str">
        <f>IF([1]SCHEDULE!F1479="","",[1]SCHEDULE!F1479)</f>
        <v/>
      </c>
      <c r="G1479" s="3" t="str">
        <f>IF([1]SCHEDULE!G1479="","",[1]SCHEDULE!G1479)</f>
        <v/>
      </c>
      <c r="H1479" s="3" t="str">
        <f>IF([1]SCHEDULE!H1479="","",[1]SCHEDULE!H1479)</f>
        <v/>
      </c>
      <c r="I1479" s="3" t="str">
        <f>IF([1]SCHEDULE!I1479="","",[1]SCHEDULE!I1479)</f>
        <v/>
      </c>
      <c r="J1479" s="3" t="str">
        <f>IF([1]SCHEDULE!J1479="","",[1]SCHEDULE!J1479)</f>
        <v/>
      </c>
    </row>
    <row r="1480" spans="2:10" x14ac:dyDescent="0.25">
      <c r="B1480" s="3" t="str">
        <f>IF([1]SCHEDULE!B1480="","",[1]SCHEDULE!B1480)</f>
        <v/>
      </c>
      <c r="C1480" s="3">
        <f>IF([1]SCHEDULE!C1480="","",[1]SCHEDULE!C1480)</f>
        <v>50</v>
      </c>
      <c r="D1480" s="1" t="e">
        <f>IF([1]SCHEDULE!D1480="","",[1]SCHEDULE!D1480)</f>
        <v>#N/A</v>
      </c>
      <c r="E1480" s="1" t="str">
        <f>IF([1]SCHEDULE!E1480="","",[1]SCHEDULE!E1480)</f>
        <v/>
      </c>
      <c r="F1480" s="6" t="str">
        <f>IF([1]SCHEDULE!F1480="","",[1]SCHEDULE!F1480)</f>
        <v/>
      </c>
      <c r="G1480" s="3" t="str">
        <f>IF([1]SCHEDULE!G1480="","",[1]SCHEDULE!G1480)</f>
        <v/>
      </c>
      <c r="H1480" s="3" t="str">
        <f>IF([1]SCHEDULE!H1480="","",[1]SCHEDULE!H1480)</f>
        <v/>
      </c>
      <c r="I1480" s="3" t="str">
        <f>IF([1]SCHEDULE!I1480="","",[1]SCHEDULE!I1480)</f>
        <v/>
      </c>
      <c r="J1480" s="3" t="str">
        <f>IF([1]SCHEDULE!J1480="","",[1]SCHEDULE!J1480)</f>
        <v/>
      </c>
    </row>
    <row r="1481" spans="2:10" x14ac:dyDescent="0.25">
      <c r="B1481" s="3" t="str">
        <f>IF([1]SCHEDULE!B1481="","",[1]SCHEDULE!B1481)</f>
        <v/>
      </c>
      <c r="C1481" s="3">
        <f>IF([1]SCHEDULE!C1481="","",[1]SCHEDULE!C1481)</f>
        <v>51</v>
      </c>
      <c r="D1481" s="1" t="e">
        <f>IF([1]SCHEDULE!D1481="","",[1]SCHEDULE!D1481)</f>
        <v>#N/A</v>
      </c>
      <c r="E1481" s="1" t="str">
        <f>IF([1]SCHEDULE!E1481="","",[1]SCHEDULE!E1481)</f>
        <v/>
      </c>
      <c r="F1481" s="6" t="str">
        <f>IF([1]SCHEDULE!F1481="","",[1]SCHEDULE!F1481)</f>
        <v/>
      </c>
      <c r="G1481" s="3" t="str">
        <f>IF([1]SCHEDULE!G1481="","",[1]SCHEDULE!G1481)</f>
        <v/>
      </c>
      <c r="H1481" s="3" t="str">
        <f>IF([1]SCHEDULE!H1481="","",[1]SCHEDULE!H1481)</f>
        <v/>
      </c>
      <c r="I1481" s="3" t="str">
        <f>IF([1]SCHEDULE!I1481="","",[1]SCHEDULE!I1481)</f>
        <v/>
      </c>
      <c r="J1481" s="3" t="str">
        <f>IF([1]SCHEDULE!J1481="","",[1]SCHEDULE!J1481)</f>
        <v/>
      </c>
    </row>
    <row r="1482" spans="2:10" x14ac:dyDescent="0.25">
      <c r="B1482" s="3" t="str">
        <f>IF([1]SCHEDULE!B1482="","",[1]SCHEDULE!B1482)</f>
        <v/>
      </c>
      <c r="C1482" s="3">
        <f>IF([1]SCHEDULE!C1482="","",[1]SCHEDULE!C1482)</f>
        <v>1</v>
      </c>
      <c r="D1482" s="1" t="e">
        <f>IF([1]SCHEDULE!D1482="","",[1]SCHEDULE!D1482)</f>
        <v>#N/A</v>
      </c>
      <c r="E1482" s="1" t="str">
        <f>IF([1]SCHEDULE!E1482="","",[1]SCHEDULE!E1482)</f>
        <v/>
      </c>
      <c r="F1482" s="6" t="str">
        <f>IF([1]SCHEDULE!F1482="","",[1]SCHEDULE!F1482)</f>
        <v/>
      </c>
      <c r="G1482" s="3" t="str">
        <f>IF([1]SCHEDULE!G1482="","",[1]SCHEDULE!G1482)</f>
        <v/>
      </c>
      <c r="H1482" s="3" t="str">
        <f>IF([1]SCHEDULE!H1482="","",[1]SCHEDULE!H1482)</f>
        <v/>
      </c>
      <c r="I1482" s="3" t="str">
        <f>IF([1]SCHEDULE!I1482="","",[1]SCHEDULE!I1482)</f>
        <v/>
      </c>
      <c r="J1482" s="3" t="str">
        <f>IF([1]SCHEDULE!J1482="","",[1]SCHEDULE!J1482)</f>
        <v/>
      </c>
    </row>
    <row r="1483" spans="2:10" x14ac:dyDescent="0.25">
      <c r="B1483" s="3" t="str">
        <f>IF([1]SCHEDULE!B1483="","",[1]SCHEDULE!B1483)</f>
        <v/>
      </c>
      <c r="C1483" s="3">
        <f>IF([1]SCHEDULE!C1483="","",[1]SCHEDULE!C1483)</f>
        <v>2</v>
      </c>
      <c r="D1483" s="1" t="e">
        <f>IF([1]SCHEDULE!D1483="","",[1]SCHEDULE!D1483)</f>
        <v>#N/A</v>
      </c>
      <c r="E1483" s="1" t="str">
        <f>IF([1]SCHEDULE!E1483="","",[1]SCHEDULE!E1483)</f>
        <v/>
      </c>
      <c r="F1483" s="6" t="str">
        <f>IF([1]SCHEDULE!F1483="","",[1]SCHEDULE!F1483)</f>
        <v/>
      </c>
      <c r="G1483" s="3" t="str">
        <f>IF([1]SCHEDULE!G1483="","",[1]SCHEDULE!G1483)</f>
        <v/>
      </c>
      <c r="H1483" s="3" t="str">
        <f>IF([1]SCHEDULE!H1483="","",[1]SCHEDULE!H1483)</f>
        <v/>
      </c>
      <c r="I1483" s="3" t="str">
        <f>IF([1]SCHEDULE!I1483="","",[1]SCHEDULE!I1483)</f>
        <v/>
      </c>
      <c r="J1483" s="3" t="str">
        <f>IF([1]SCHEDULE!J1483="","",[1]SCHEDULE!J1483)</f>
        <v/>
      </c>
    </row>
    <row r="1484" spans="2:10" x14ac:dyDescent="0.25">
      <c r="B1484" s="3" t="str">
        <f>IF([1]SCHEDULE!B1484="","",[1]SCHEDULE!B1484)</f>
        <v/>
      </c>
      <c r="C1484" s="3">
        <f>IF([1]SCHEDULE!C1484="","",[1]SCHEDULE!C1484)</f>
        <v>3</v>
      </c>
      <c r="D1484" s="1" t="e">
        <f>IF([1]SCHEDULE!D1484="","",[1]SCHEDULE!D1484)</f>
        <v>#N/A</v>
      </c>
      <c r="E1484" s="1" t="str">
        <f>IF([1]SCHEDULE!E1484="","",[1]SCHEDULE!E1484)</f>
        <v/>
      </c>
      <c r="F1484" s="6" t="str">
        <f>IF([1]SCHEDULE!F1484="","",[1]SCHEDULE!F1484)</f>
        <v/>
      </c>
      <c r="G1484" s="3" t="str">
        <f>IF([1]SCHEDULE!G1484="","",[1]SCHEDULE!G1484)</f>
        <v/>
      </c>
      <c r="H1484" s="3" t="str">
        <f>IF([1]SCHEDULE!H1484="","",[1]SCHEDULE!H1484)</f>
        <v/>
      </c>
      <c r="I1484" s="3" t="str">
        <f>IF([1]SCHEDULE!I1484="","",[1]SCHEDULE!I1484)</f>
        <v/>
      </c>
      <c r="J1484" s="3" t="str">
        <f>IF([1]SCHEDULE!J1484="","",[1]SCHEDULE!J1484)</f>
        <v/>
      </c>
    </row>
    <row r="1485" spans="2:10" x14ac:dyDescent="0.25">
      <c r="B1485" s="3" t="str">
        <f>IF([1]SCHEDULE!B1485="","",[1]SCHEDULE!B1485)</f>
        <v/>
      </c>
      <c r="C1485" s="3">
        <f>IF([1]SCHEDULE!C1485="","",[1]SCHEDULE!C1485)</f>
        <v>4</v>
      </c>
      <c r="D1485" s="1" t="e">
        <f>IF([1]SCHEDULE!D1485="","",[1]SCHEDULE!D1485)</f>
        <v>#N/A</v>
      </c>
      <c r="E1485" s="1" t="str">
        <f>IF([1]SCHEDULE!E1485="","",[1]SCHEDULE!E1485)</f>
        <v/>
      </c>
      <c r="F1485" s="6" t="str">
        <f>IF([1]SCHEDULE!F1485="","",[1]SCHEDULE!F1485)</f>
        <v/>
      </c>
      <c r="G1485" s="3" t="str">
        <f>IF([1]SCHEDULE!G1485="","",[1]SCHEDULE!G1485)</f>
        <v/>
      </c>
      <c r="H1485" s="3" t="str">
        <f>IF([1]SCHEDULE!H1485="","",[1]SCHEDULE!H1485)</f>
        <v/>
      </c>
      <c r="I1485" s="3" t="str">
        <f>IF([1]SCHEDULE!I1485="","",[1]SCHEDULE!I1485)</f>
        <v/>
      </c>
      <c r="J1485" s="3" t="str">
        <f>IF([1]SCHEDULE!J1485="","",[1]SCHEDULE!J1485)</f>
        <v/>
      </c>
    </row>
    <row r="1486" spans="2:10" x14ac:dyDescent="0.25">
      <c r="B1486" s="3" t="str">
        <f>IF([1]SCHEDULE!B1486="","",[1]SCHEDULE!B1486)</f>
        <v/>
      </c>
      <c r="C1486" s="3">
        <f>IF([1]SCHEDULE!C1486="","",[1]SCHEDULE!C1486)</f>
        <v>5</v>
      </c>
      <c r="D1486" s="1" t="e">
        <f>IF([1]SCHEDULE!D1486="","",[1]SCHEDULE!D1486)</f>
        <v>#N/A</v>
      </c>
      <c r="E1486" s="1" t="str">
        <f>IF([1]SCHEDULE!E1486="","",[1]SCHEDULE!E1486)</f>
        <v/>
      </c>
      <c r="F1486" s="6" t="str">
        <f>IF([1]SCHEDULE!F1486="","",[1]SCHEDULE!F1486)</f>
        <v/>
      </c>
      <c r="G1486" s="3" t="str">
        <f>IF([1]SCHEDULE!G1486="","",[1]SCHEDULE!G1486)</f>
        <v/>
      </c>
      <c r="H1486" s="3" t="str">
        <f>IF([1]SCHEDULE!H1486="","",[1]SCHEDULE!H1486)</f>
        <v/>
      </c>
      <c r="I1486" s="3" t="str">
        <f>IF([1]SCHEDULE!I1486="","",[1]SCHEDULE!I1486)</f>
        <v/>
      </c>
      <c r="J1486" s="3" t="str">
        <f>IF([1]SCHEDULE!J1486="","",[1]SCHEDULE!J1486)</f>
        <v/>
      </c>
    </row>
    <row r="1487" spans="2:10" x14ac:dyDescent="0.25">
      <c r="B1487" s="3" t="str">
        <f>IF([1]SCHEDULE!B1487="","",[1]SCHEDULE!B1487)</f>
        <v/>
      </c>
      <c r="C1487" s="3">
        <f>IF([1]SCHEDULE!C1487="","",[1]SCHEDULE!C1487)</f>
        <v>6</v>
      </c>
      <c r="D1487" s="1" t="e">
        <f>IF([1]SCHEDULE!D1487="","",[1]SCHEDULE!D1487)</f>
        <v>#N/A</v>
      </c>
      <c r="E1487" s="1" t="str">
        <f>IF([1]SCHEDULE!E1487="","",[1]SCHEDULE!E1487)</f>
        <v/>
      </c>
      <c r="F1487" s="6" t="str">
        <f>IF([1]SCHEDULE!F1487="","",[1]SCHEDULE!F1487)</f>
        <v/>
      </c>
      <c r="G1487" s="3" t="str">
        <f>IF([1]SCHEDULE!G1487="","",[1]SCHEDULE!G1487)</f>
        <v/>
      </c>
      <c r="H1487" s="3" t="str">
        <f>IF([1]SCHEDULE!H1487="","",[1]SCHEDULE!H1487)</f>
        <v/>
      </c>
      <c r="I1487" s="3" t="str">
        <f>IF([1]SCHEDULE!I1487="","",[1]SCHEDULE!I1487)</f>
        <v/>
      </c>
      <c r="J1487" s="3" t="str">
        <f>IF([1]SCHEDULE!J1487="","",[1]SCHEDULE!J1487)</f>
        <v/>
      </c>
    </row>
    <row r="1488" spans="2:10" x14ac:dyDescent="0.25">
      <c r="B1488" s="3" t="str">
        <f>IF([1]SCHEDULE!B1488="","",[1]SCHEDULE!B1488)</f>
        <v/>
      </c>
      <c r="C1488" s="3">
        <f>IF([1]SCHEDULE!C1488="","",[1]SCHEDULE!C1488)</f>
        <v>7</v>
      </c>
      <c r="D1488" s="1" t="e">
        <f>IF([1]SCHEDULE!D1488="","",[1]SCHEDULE!D1488)</f>
        <v>#N/A</v>
      </c>
      <c r="E1488" s="1" t="str">
        <f>IF([1]SCHEDULE!E1488="","",[1]SCHEDULE!E1488)</f>
        <v/>
      </c>
      <c r="F1488" s="6" t="str">
        <f>IF([1]SCHEDULE!F1488="","",[1]SCHEDULE!F1488)</f>
        <v/>
      </c>
      <c r="G1488" s="3" t="str">
        <f>IF([1]SCHEDULE!G1488="","",[1]SCHEDULE!G1488)</f>
        <v/>
      </c>
      <c r="H1488" s="3" t="str">
        <f>IF([1]SCHEDULE!H1488="","",[1]SCHEDULE!H1488)</f>
        <v/>
      </c>
      <c r="I1488" s="3" t="str">
        <f>IF([1]SCHEDULE!I1488="","",[1]SCHEDULE!I1488)</f>
        <v/>
      </c>
      <c r="J1488" s="3" t="str">
        <f>IF([1]SCHEDULE!J1488="","",[1]SCHEDULE!J1488)</f>
        <v/>
      </c>
    </row>
    <row r="1489" spans="2:10" x14ac:dyDescent="0.25">
      <c r="B1489" s="3" t="str">
        <f>IF([1]SCHEDULE!B1489="","",[1]SCHEDULE!B1489)</f>
        <v/>
      </c>
      <c r="C1489" s="3">
        <f>IF([1]SCHEDULE!C1489="","",[1]SCHEDULE!C1489)</f>
        <v>8</v>
      </c>
      <c r="D1489" s="1" t="e">
        <f>IF([1]SCHEDULE!D1489="","",[1]SCHEDULE!D1489)</f>
        <v>#N/A</v>
      </c>
      <c r="E1489" s="1" t="str">
        <f>IF([1]SCHEDULE!E1489="","",[1]SCHEDULE!E1489)</f>
        <v/>
      </c>
      <c r="F1489" s="6" t="str">
        <f>IF([1]SCHEDULE!F1489="","",[1]SCHEDULE!F1489)</f>
        <v/>
      </c>
      <c r="G1489" s="3" t="str">
        <f>IF([1]SCHEDULE!G1489="","",[1]SCHEDULE!G1489)</f>
        <v/>
      </c>
      <c r="H1489" s="3" t="str">
        <f>IF([1]SCHEDULE!H1489="","",[1]SCHEDULE!H1489)</f>
        <v/>
      </c>
      <c r="I1489" s="3" t="str">
        <f>IF([1]SCHEDULE!I1489="","",[1]SCHEDULE!I1489)</f>
        <v/>
      </c>
      <c r="J1489" s="3" t="str">
        <f>IF([1]SCHEDULE!J1489="","",[1]SCHEDULE!J1489)</f>
        <v/>
      </c>
    </row>
    <row r="1490" spans="2:10" x14ac:dyDescent="0.25">
      <c r="B1490" s="3" t="str">
        <f>IF([1]SCHEDULE!B1490="","",[1]SCHEDULE!B1490)</f>
        <v/>
      </c>
      <c r="C1490" s="3">
        <f>IF([1]SCHEDULE!C1490="","",[1]SCHEDULE!C1490)</f>
        <v>9</v>
      </c>
      <c r="D1490" s="1" t="e">
        <f>IF([1]SCHEDULE!D1490="","",[1]SCHEDULE!D1490)</f>
        <v>#N/A</v>
      </c>
      <c r="E1490" s="1" t="str">
        <f>IF([1]SCHEDULE!E1490="","",[1]SCHEDULE!E1490)</f>
        <v/>
      </c>
      <c r="F1490" s="6" t="str">
        <f>IF([1]SCHEDULE!F1490="","",[1]SCHEDULE!F1490)</f>
        <v/>
      </c>
      <c r="G1490" s="3" t="str">
        <f>IF([1]SCHEDULE!G1490="","",[1]SCHEDULE!G1490)</f>
        <v/>
      </c>
      <c r="H1490" s="3" t="str">
        <f>IF([1]SCHEDULE!H1490="","",[1]SCHEDULE!H1490)</f>
        <v/>
      </c>
      <c r="I1490" s="3" t="str">
        <f>IF([1]SCHEDULE!I1490="","",[1]SCHEDULE!I1490)</f>
        <v/>
      </c>
      <c r="J1490" s="3" t="str">
        <f>IF([1]SCHEDULE!J1490="","",[1]SCHEDULE!J1490)</f>
        <v/>
      </c>
    </row>
    <row r="1491" spans="2:10" x14ac:dyDescent="0.25">
      <c r="B1491" s="3" t="str">
        <f>IF([1]SCHEDULE!B1491="","",[1]SCHEDULE!B1491)</f>
        <v/>
      </c>
      <c r="C1491" s="3">
        <f>IF([1]SCHEDULE!C1491="","",[1]SCHEDULE!C1491)</f>
        <v>10</v>
      </c>
      <c r="D1491" s="1" t="e">
        <f>IF([1]SCHEDULE!D1491="","",[1]SCHEDULE!D1491)</f>
        <v>#N/A</v>
      </c>
      <c r="E1491" s="1" t="str">
        <f>IF([1]SCHEDULE!E1491="","",[1]SCHEDULE!E1491)</f>
        <v/>
      </c>
      <c r="F1491" s="6" t="str">
        <f>IF([1]SCHEDULE!F1491="","",[1]SCHEDULE!F1491)</f>
        <v/>
      </c>
      <c r="G1491" s="3" t="str">
        <f>IF([1]SCHEDULE!G1491="","",[1]SCHEDULE!G1491)</f>
        <v/>
      </c>
      <c r="H1491" s="3" t="str">
        <f>IF([1]SCHEDULE!H1491="","",[1]SCHEDULE!H1491)</f>
        <v/>
      </c>
      <c r="I1491" s="3" t="str">
        <f>IF([1]SCHEDULE!I1491="","",[1]SCHEDULE!I1491)</f>
        <v/>
      </c>
      <c r="J1491" s="3" t="str">
        <f>IF([1]SCHEDULE!J1491="","",[1]SCHEDULE!J1491)</f>
        <v/>
      </c>
    </row>
    <row r="1492" spans="2:10" x14ac:dyDescent="0.25">
      <c r="B1492" s="3" t="str">
        <f>IF([1]SCHEDULE!B1492="","",[1]SCHEDULE!B1492)</f>
        <v/>
      </c>
      <c r="C1492" s="3">
        <f>IF([1]SCHEDULE!C1492="","",[1]SCHEDULE!C1492)</f>
        <v>11</v>
      </c>
      <c r="D1492" s="1" t="e">
        <f>IF([1]SCHEDULE!D1492="","",[1]SCHEDULE!D1492)</f>
        <v>#N/A</v>
      </c>
      <c r="E1492" s="1" t="str">
        <f>IF([1]SCHEDULE!E1492="","",[1]SCHEDULE!E1492)</f>
        <v/>
      </c>
      <c r="F1492" s="6" t="str">
        <f>IF([1]SCHEDULE!F1492="","",[1]SCHEDULE!F1492)</f>
        <v/>
      </c>
      <c r="G1492" s="3" t="str">
        <f>IF([1]SCHEDULE!G1492="","",[1]SCHEDULE!G1492)</f>
        <v/>
      </c>
      <c r="H1492" s="3" t="str">
        <f>IF([1]SCHEDULE!H1492="","",[1]SCHEDULE!H1492)</f>
        <v/>
      </c>
      <c r="I1492" s="3" t="str">
        <f>IF([1]SCHEDULE!I1492="","",[1]SCHEDULE!I1492)</f>
        <v/>
      </c>
      <c r="J1492" s="3" t="str">
        <f>IF([1]SCHEDULE!J1492="","",[1]SCHEDULE!J1492)</f>
        <v/>
      </c>
    </row>
    <row r="1493" spans="2:10" x14ac:dyDescent="0.25">
      <c r="B1493" s="3" t="str">
        <f>IF([1]SCHEDULE!B1493="","",[1]SCHEDULE!B1493)</f>
        <v/>
      </c>
      <c r="C1493" s="3">
        <f>IF([1]SCHEDULE!C1493="","",[1]SCHEDULE!C1493)</f>
        <v>12</v>
      </c>
      <c r="D1493" s="1" t="e">
        <f>IF([1]SCHEDULE!D1493="","",[1]SCHEDULE!D1493)</f>
        <v>#N/A</v>
      </c>
      <c r="E1493" s="1" t="str">
        <f>IF([1]SCHEDULE!E1493="","",[1]SCHEDULE!E1493)</f>
        <v/>
      </c>
      <c r="F1493" s="6" t="str">
        <f>IF([1]SCHEDULE!F1493="","",[1]SCHEDULE!F1493)</f>
        <v/>
      </c>
      <c r="G1493" s="3" t="str">
        <f>IF([1]SCHEDULE!G1493="","",[1]SCHEDULE!G1493)</f>
        <v/>
      </c>
      <c r="H1493" s="3" t="str">
        <f>IF([1]SCHEDULE!H1493="","",[1]SCHEDULE!H1493)</f>
        <v/>
      </c>
      <c r="I1493" s="3" t="str">
        <f>IF([1]SCHEDULE!I1493="","",[1]SCHEDULE!I1493)</f>
        <v/>
      </c>
      <c r="J1493" s="3" t="str">
        <f>IF([1]SCHEDULE!J1493="","",[1]SCHEDULE!J1493)</f>
        <v/>
      </c>
    </row>
    <row r="1494" spans="2:10" x14ac:dyDescent="0.25">
      <c r="B1494" s="3" t="str">
        <f>IF([1]SCHEDULE!B1494="","",[1]SCHEDULE!B1494)</f>
        <v/>
      </c>
      <c r="C1494" s="3">
        <f>IF([1]SCHEDULE!C1494="","",[1]SCHEDULE!C1494)</f>
        <v>13</v>
      </c>
      <c r="D1494" s="1" t="e">
        <f>IF([1]SCHEDULE!D1494="","",[1]SCHEDULE!D1494)</f>
        <v>#N/A</v>
      </c>
      <c r="E1494" s="1" t="str">
        <f>IF([1]SCHEDULE!E1494="","",[1]SCHEDULE!E1494)</f>
        <v/>
      </c>
      <c r="F1494" s="6" t="str">
        <f>IF([1]SCHEDULE!F1494="","",[1]SCHEDULE!F1494)</f>
        <v/>
      </c>
      <c r="G1494" s="3" t="str">
        <f>IF([1]SCHEDULE!G1494="","",[1]SCHEDULE!G1494)</f>
        <v/>
      </c>
      <c r="H1494" s="3" t="str">
        <f>IF([1]SCHEDULE!H1494="","",[1]SCHEDULE!H1494)</f>
        <v/>
      </c>
      <c r="I1494" s="3" t="str">
        <f>IF([1]SCHEDULE!I1494="","",[1]SCHEDULE!I1494)</f>
        <v/>
      </c>
      <c r="J1494" s="3" t="str">
        <f>IF([1]SCHEDULE!J1494="","",[1]SCHEDULE!J1494)</f>
        <v/>
      </c>
    </row>
    <row r="1495" spans="2:10" x14ac:dyDescent="0.25">
      <c r="B1495" s="3" t="str">
        <f>IF([1]SCHEDULE!B1495="","",[1]SCHEDULE!B1495)</f>
        <v/>
      </c>
      <c r="C1495" s="3">
        <f>IF([1]SCHEDULE!C1495="","",[1]SCHEDULE!C1495)</f>
        <v>14</v>
      </c>
      <c r="D1495" s="1" t="e">
        <f>IF([1]SCHEDULE!D1495="","",[1]SCHEDULE!D1495)</f>
        <v>#N/A</v>
      </c>
      <c r="E1495" s="1" t="str">
        <f>IF([1]SCHEDULE!E1495="","",[1]SCHEDULE!E1495)</f>
        <v/>
      </c>
      <c r="F1495" s="6" t="str">
        <f>IF([1]SCHEDULE!F1495="","",[1]SCHEDULE!F1495)</f>
        <v/>
      </c>
      <c r="G1495" s="3" t="str">
        <f>IF([1]SCHEDULE!G1495="","",[1]SCHEDULE!G1495)</f>
        <v/>
      </c>
      <c r="H1495" s="3" t="str">
        <f>IF([1]SCHEDULE!H1495="","",[1]SCHEDULE!H1495)</f>
        <v/>
      </c>
      <c r="I1495" s="3" t="str">
        <f>IF([1]SCHEDULE!I1495="","",[1]SCHEDULE!I1495)</f>
        <v/>
      </c>
      <c r="J1495" s="3" t="str">
        <f>IF([1]SCHEDULE!J1495="","",[1]SCHEDULE!J1495)</f>
        <v/>
      </c>
    </row>
    <row r="1496" spans="2:10" x14ac:dyDescent="0.25">
      <c r="B1496" s="3" t="str">
        <f>IF([1]SCHEDULE!B1496="","",[1]SCHEDULE!B1496)</f>
        <v/>
      </c>
      <c r="C1496" s="3">
        <f>IF([1]SCHEDULE!C1496="","",[1]SCHEDULE!C1496)</f>
        <v>15</v>
      </c>
      <c r="D1496" s="1" t="e">
        <f>IF([1]SCHEDULE!D1496="","",[1]SCHEDULE!D1496)</f>
        <v>#N/A</v>
      </c>
      <c r="E1496" s="1" t="str">
        <f>IF([1]SCHEDULE!E1496="","",[1]SCHEDULE!E1496)</f>
        <v/>
      </c>
      <c r="F1496" s="6" t="str">
        <f>IF([1]SCHEDULE!F1496="","",[1]SCHEDULE!F1496)</f>
        <v/>
      </c>
      <c r="G1496" s="3" t="str">
        <f>IF([1]SCHEDULE!G1496="","",[1]SCHEDULE!G1496)</f>
        <v/>
      </c>
      <c r="H1496" s="3" t="str">
        <f>IF([1]SCHEDULE!H1496="","",[1]SCHEDULE!H1496)</f>
        <v/>
      </c>
      <c r="I1496" s="3" t="str">
        <f>IF([1]SCHEDULE!I1496="","",[1]SCHEDULE!I1496)</f>
        <v/>
      </c>
      <c r="J1496" s="3" t="str">
        <f>IF([1]SCHEDULE!J1496="","",[1]SCHEDULE!J1496)</f>
        <v/>
      </c>
    </row>
    <row r="1497" spans="2:10" x14ac:dyDescent="0.25">
      <c r="B1497" s="3" t="str">
        <f>IF([1]SCHEDULE!B1497="","",[1]SCHEDULE!B1497)</f>
        <v/>
      </c>
      <c r="C1497" s="3">
        <f>IF([1]SCHEDULE!C1497="","",[1]SCHEDULE!C1497)</f>
        <v>16</v>
      </c>
      <c r="D1497" s="1" t="e">
        <f>IF([1]SCHEDULE!D1497="","",[1]SCHEDULE!D1497)</f>
        <v>#N/A</v>
      </c>
      <c r="E1497" s="1" t="str">
        <f>IF([1]SCHEDULE!E1497="","",[1]SCHEDULE!E1497)</f>
        <v/>
      </c>
      <c r="F1497" s="6" t="str">
        <f>IF([1]SCHEDULE!F1497="","",[1]SCHEDULE!F1497)</f>
        <v/>
      </c>
      <c r="G1497" s="3" t="str">
        <f>IF([1]SCHEDULE!G1497="","",[1]SCHEDULE!G1497)</f>
        <v/>
      </c>
      <c r="H1497" s="3" t="str">
        <f>IF([1]SCHEDULE!H1497="","",[1]SCHEDULE!H1497)</f>
        <v/>
      </c>
      <c r="I1497" s="3" t="str">
        <f>IF([1]SCHEDULE!I1497="","",[1]SCHEDULE!I1497)</f>
        <v/>
      </c>
      <c r="J1497" s="3" t="str">
        <f>IF([1]SCHEDULE!J1497="","",[1]SCHEDULE!J1497)</f>
        <v/>
      </c>
    </row>
    <row r="1498" spans="2:10" x14ac:dyDescent="0.25">
      <c r="B1498" s="3" t="str">
        <f>IF([1]SCHEDULE!B1498="","",[1]SCHEDULE!B1498)</f>
        <v/>
      </c>
      <c r="C1498" s="3">
        <f>IF([1]SCHEDULE!C1498="","",[1]SCHEDULE!C1498)</f>
        <v>17</v>
      </c>
      <c r="D1498" s="1" t="e">
        <f>IF([1]SCHEDULE!D1498="","",[1]SCHEDULE!D1498)</f>
        <v>#N/A</v>
      </c>
      <c r="E1498" s="1" t="str">
        <f>IF([1]SCHEDULE!E1498="","",[1]SCHEDULE!E1498)</f>
        <v/>
      </c>
      <c r="F1498" s="6" t="str">
        <f>IF([1]SCHEDULE!F1498="","",[1]SCHEDULE!F1498)</f>
        <v/>
      </c>
      <c r="G1498" s="3" t="str">
        <f>IF([1]SCHEDULE!G1498="","",[1]SCHEDULE!G1498)</f>
        <v/>
      </c>
      <c r="H1498" s="3" t="str">
        <f>IF([1]SCHEDULE!H1498="","",[1]SCHEDULE!H1498)</f>
        <v/>
      </c>
      <c r="I1498" s="3" t="str">
        <f>IF([1]SCHEDULE!I1498="","",[1]SCHEDULE!I1498)</f>
        <v/>
      </c>
      <c r="J1498" s="3" t="str">
        <f>IF([1]SCHEDULE!J1498="","",[1]SCHEDULE!J1498)</f>
        <v/>
      </c>
    </row>
    <row r="1499" spans="2:10" x14ac:dyDescent="0.25">
      <c r="B1499" s="3" t="str">
        <f>IF([1]SCHEDULE!B1499="","",[1]SCHEDULE!B1499)</f>
        <v/>
      </c>
      <c r="C1499" s="3">
        <f>IF([1]SCHEDULE!C1499="","",[1]SCHEDULE!C1499)</f>
        <v>18</v>
      </c>
      <c r="D1499" s="1" t="e">
        <f>IF([1]SCHEDULE!D1499="","",[1]SCHEDULE!D1499)</f>
        <v>#N/A</v>
      </c>
      <c r="E1499" s="1" t="str">
        <f>IF([1]SCHEDULE!E1499="","",[1]SCHEDULE!E1499)</f>
        <v/>
      </c>
      <c r="F1499" s="6" t="str">
        <f>IF([1]SCHEDULE!F1499="","",[1]SCHEDULE!F1499)</f>
        <v/>
      </c>
      <c r="G1499" s="3" t="str">
        <f>IF([1]SCHEDULE!G1499="","",[1]SCHEDULE!G1499)</f>
        <v/>
      </c>
      <c r="H1499" s="3" t="str">
        <f>IF([1]SCHEDULE!H1499="","",[1]SCHEDULE!H1499)</f>
        <v/>
      </c>
      <c r="I1499" s="3" t="str">
        <f>IF([1]SCHEDULE!I1499="","",[1]SCHEDULE!I1499)</f>
        <v/>
      </c>
      <c r="J1499" s="3" t="str">
        <f>IF([1]SCHEDULE!J1499="","",[1]SCHEDULE!J1499)</f>
        <v/>
      </c>
    </row>
    <row r="1500" spans="2:10" x14ac:dyDescent="0.25">
      <c r="B1500" s="3" t="str">
        <f>IF([1]SCHEDULE!B1500="","",[1]SCHEDULE!B1500)</f>
        <v/>
      </c>
      <c r="C1500" s="3">
        <f>IF([1]SCHEDULE!C1500="","",[1]SCHEDULE!C1500)</f>
        <v>19</v>
      </c>
      <c r="D1500" s="1" t="e">
        <f>IF([1]SCHEDULE!D1500="","",[1]SCHEDULE!D1500)</f>
        <v>#N/A</v>
      </c>
      <c r="E1500" s="1" t="str">
        <f>IF([1]SCHEDULE!E1500="","",[1]SCHEDULE!E1500)</f>
        <v/>
      </c>
      <c r="F1500" s="6" t="str">
        <f>IF([1]SCHEDULE!F1500="","",[1]SCHEDULE!F1500)</f>
        <v/>
      </c>
      <c r="G1500" s="3" t="str">
        <f>IF([1]SCHEDULE!G1500="","",[1]SCHEDULE!G1500)</f>
        <v/>
      </c>
      <c r="H1500" s="3" t="str">
        <f>IF([1]SCHEDULE!H1500="","",[1]SCHEDULE!H1500)</f>
        <v/>
      </c>
      <c r="I1500" s="3" t="str">
        <f>IF([1]SCHEDULE!I1500="","",[1]SCHEDULE!I1500)</f>
        <v/>
      </c>
      <c r="J1500" s="3" t="str">
        <f>IF([1]SCHEDULE!J1500="","",[1]SCHEDULE!J1500)</f>
        <v/>
      </c>
    </row>
    <row r="1501" spans="2:10" x14ac:dyDescent="0.25">
      <c r="B1501" s="3" t="str">
        <f>IF([1]SCHEDULE!B1501="","",[1]SCHEDULE!B1501)</f>
        <v/>
      </c>
      <c r="C1501" s="3">
        <f>IF([1]SCHEDULE!C1501="","",[1]SCHEDULE!C1501)</f>
        <v>20</v>
      </c>
      <c r="D1501" s="1" t="e">
        <f>IF([1]SCHEDULE!D1501="","",[1]SCHEDULE!D1501)</f>
        <v>#N/A</v>
      </c>
      <c r="E1501" s="1" t="str">
        <f>IF([1]SCHEDULE!E1501="","",[1]SCHEDULE!E1501)</f>
        <v/>
      </c>
      <c r="F1501" s="6" t="str">
        <f>IF([1]SCHEDULE!F1501="","",[1]SCHEDULE!F1501)</f>
        <v/>
      </c>
      <c r="G1501" s="3" t="str">
        <f>IF([1]SCHEDULE!G1501="","",[1]SCHEDULE!G1501)</f>
        <v/>
      </c>
      <c r="H1501" s="3" t="str">
        <f>IF([1]SCHEDULE!H1501="","",[1]SCHEDULE!H1501)</f>
        <v/>
      </c>
      <c r="I1501" s="3" t="str">
        <f>IF([1]SCHEDULE!I1501="","",[1]SCHEDULE!I1501)</f>
        <v/>
      </c>
      <c r="J1501" s="3" t="str">
        <f>IF([1]SCHEDULE!J1501="","",[1]SCHEDULE!J1501)</f>
        <v/>
      </c>
    </row>
    <row r="1502" spans="2:10" x14ac:dyDescent="0.25">
      <c r="B1502" s="3" t="str">
        <f>IF([1]SCHEDULE!B1502="","",[1]SCHEDULE!B1502)</f>
        <v/>
      </c>
      <c r="C1502" s="3">
        <f>IF([1]SCHEDULE!C1502="","",[1]SCHEDULE!C1502)</f>
        <v>21</v>
      </c>
      <c r="D1502" s="1" t="e">
        <f>IF([1]SCHEDULE!D1502="","",[1]SCHEDULE!D1502)</f>
        <v>#N/A</v>
      </c>
      <c r="E1502" s="1" t="str">
        <f>IF([1]SCHEDULE!E1502="","",[1]SCHEDULE!E1502)</f>
        <v/>
      </c>
      <c r="F1502" s="6" t="str">
        <f>IF([1]SCHEDULE!F1502="","",[1]SCHEDULE!F1502)</f>
        <v/>
      </c>
      <c r="G1502" s="3" t="str">
        <f>IF([1]SCHEDULE!G1502="","",[1]SCHEDULE!G1502)</f>
        <v/>
      </c>
      <c r="H1502" s="3" t="str">
        <f>IF([1]SCHEDULE!H1502="","",[1]SCHEDULE!H1502)</f>
        <v/>
      </c>
      <c r="I1502" s="3" t="str">
        <f>IF([1]SCHEDULE!I1502="","",[1]SCHEDULE!I1502)</f>
        <v/>
      </c>
      <c r="J1502" s="3" t="str">
        <f>IF([1]SCHEDULE!J1502="","",[1]SCHEDULE!J1502)</f>
        <v/>
      </c>
    </row>
    <row r="1503" spans="2:10" x14ac:dyDescent="0.25">
      <c r="B1503" s="3" t="str">
        <f>IF([1]SCHEDULE!B1503="","",[1]SCHEDULE!B1503)</f>
        <v/>
      </c>
      <c r="C1503" s="3">
        <f>IF([1]SCHEDULE!C1503="","",[1]SCHEDULE!C1503)</f>
        <v>22</v>
      </c>
      <c r="D1503" s="1" t="e">
        <f>IF([1]SCHEDULE!D1503="","",[1]SCHEDULE!D1503)</f>
        <v>#N/A</v>
      </c>
      <c r="E1503" s="1" t="str">
        <f>IF([1]SCHEDULE!E1503="","",[1]SCHEDULE!E1503)</f>
        <v/>
      </c>
      <c r="F1503" s="6" t="str">
        <f>IF([1]SCHEDULE!F1503="","",[1]SCHEDULE!F1503)</f>
        <v/>
      </c>
      <c r="G1503" s="3" t="str">
        <f>IF([1]SCHEDULE!G1503="","",[1]SCHEDULE!G1503)</f>
        <v/>
      </c>
      <c r="H1503" s="3" t="str">
        <f>IF([1]SCHEDULE!H1503="","",[1]SCHEDULE!H1503)</f>
        <v/>
      </c>
      <c r="I1503" s="3" t="str">
        <f>IF([1]SCHEDULE!I1503="","",[1]SCHEDULE!I1503)</f>
        <v/>
      </c>
      <c r="J1503" s="3" t="str">
        <f>IF([1]SCHEDULE!J1503="","",[1]SCHEDULE!J1503)</f>
        <v/>
      </c>
    </row>
    <row r="1504" spans="2:10" x14ac:dyDescent="0.25">
      <c r="B1504" s="3" t="str">
        <f>IF([1]SCHEDULE!B1504="","",[1]SCHEDULE!B1504)</f>
        <v/>
      </c>
      <c r="C1504" s="3">
        <f>IF([1]SCHEDULE!C1504="","",[1]SCHEDULE!C1504)</f>
        <v>23</v>
      </c>
      <c r="D1504" s="1" t="e">
        <f>IF([1]SCHEDULE!D1504="","",[1]SCHEDULE!D1504)</f>
        <v>#N/A</v>
      </c>
      <c r="E1504" s="1" t="str">
        <f>IF([1]SCHEDULE!E1504="","",[1]SCHEDULE!E1504)</f>
        <v/>
      </c>
      <c r="F1504" s="6" t="str">
        <f>IF([1]SCHEDULE!F1504="","",[1]SCHEDULE!F1504)</f>
        <v/>
      </c>
      <c r="G1504" s="3" t="str">
        <f>IF([1]SCHEDULE!G1504="","",[1]SCHEDULE!G1504)</f>
        <v/>
      </c>
      <c r="H1504" s="3" t="str">
        <f>IF([1]SCHEDULE!H1504="","",[1]SCHEDULE!H1504)</f>
        <v/>
      </c>
      <c r="I1504" s="3" t="str">
        <f>IF([1]SCHEDULE!I1504="","",[1]SCHEDULE!I1504)</f>
        <v/>
      </c>
      <c r="J1504" s="3" t="str">
        <f>IF([1]SCHEDULE!J1504="","",[1]SCHEDULE!J1504)</f>
        <v/>
      </c>
    </row>
    <row r="1505" spans="2:10" x14ac:dyDescent="0.25">
      <c r="B1505" s="3" t="str">
        <f>IF([1]SCHEDULE!B1505="","",[1]SCHEDULE!B1505)</f>
        <v/>
      </c>
      <c r="C1505" s="3">
        <f>IF([1]SCHEDULE!C1505="","",[1]SCHEDULE!C1505)</f>
        <v>24</v>
      </c>
      <c r="D1505" s="1" t="e">
        <f>IF([1]SCHEDULE!D1505="","",[1]SCHEDULE!D1505)</f>
        <v>#N/A</v>
      </c>
      <c r="E1505" s="1" t="str">
        <f>IF([1]SCHEDULE!E1505="","",[1]SCHEDULE!E1505)</f>
        <v/>
      </c>
      <c r="F1505" s="6" t="str">
        <f>IF([1]SCHEDULE!F1505="","",[1]SCHEDULE!F1505)</f>
        <v/>
      </c>
      <c r="G1505" s="3" t="str">
        <f>IF([1]SCHEDULE!G1505="","",[1]SCHEDULE!G1505)</f>
        <v/>
      </c>
      <c r="H1505" s="3" t="str">
        <f>IF([1]SCHEDULE!H1505="","",[1]SCHEDULE!H1505)</f>
        <v/>
      </c>
      <c r="I1505" s="3" t="str">
        <f>IF([1]SCHEDULE!I1505="","",[1]SCHEDULE!I1505)</f>
        <v/>
      </c>
      <c r="J1505" s="3" t="str">
        <f>IF([1]SCHEDULE!J1505="","",[1]SCHEDULE!J1505)</f>
        <v/>
      </c>
    </row>
    <row r="1506" spans="2:10" x14ac:dyDescent="0.25">
      <c r="B1506" s="3" t="str">
        <f>IF([1]SCHEDULE!B1506="","",[1]SCHEDULE!B1506)</f>
        <v/>
      </c>
      <c r="C1506" s="3">
        <f>IF([1]SCHEDULE!C1506="","",[1]SCHEDULE!C1506)</f>
        <v>25</v>
      </c>
      <c r="D1506" s="1" t="e">
        <f>IF([1]SCHEDULE!D1506="","",[1]SCHEDULE!D1506)</f>
        <v>#N/A</v>
      </c>
      <c r="E1506" s="1" t="str">
        <f>IF([1]SCHEDULE!E1506="","",[1]SCHEDULE!E1506)</f>
        <v/>
      </c>
      <c r="F1506" s="6" t="str">
        <f>IF([1]SCHEDULE!F1506="","",[1]SCHEDULE!F1506)</f>
        <v/>
      </c>
      <c r="G1506" s="3" t="str">
        <f>IF([1]SCHEDULE!G1506="","",[1]SCHEDULE!G1506)</f>
        <v/>
      </c>
      <c r="H1506" s="3" t="str">
        <f>IF([1]SCHEDULE!H1506="","",[1]SCHEDULE!H1506)</f>
        <v/>
      </c>
      <c r="I1506" s="3" t="str">
        <f>IF([1]SCHEDULE!I1506="","",[1]SCHEDULE!I1506)</f>
        <v/>
      </c>
      <c r="J1506" s="3" t="str">
        <f>IF([1]SCHEDULE!J1506="","",[1]SCHEDULE!J1506)</f>
        <v/>
      </c>
    </row>
    <row r="1507" spans="2:10" x14ac:dyDescent="0.25">
      <c r="B1507" s="3" t="str">
        <f>IF([1]SCHEDULE!B1507="","",[1]SCHEDULE!B1507)</f>
        <v/>
      </c>
      <c r="C1507" s="3">
        <f>IF([1]SCHEDULE!C1507="","",[1]SCHEDULE!C1507)</f>
        <v>26</v>
      </c>
      <c r="D1507" s="1" t="e">
        <f>IF([1]SCHEDULE!D1507="","",[1]SCHEDULE!D1507)</f>
        <v>#N/A</v>
      </c>
      <c r="E1507" s="1" t="str">
        <f>IF([1]SCHEDULE!E1507="","",[1]SCHEDULE!E1507)</f>
        <v/>
      </c>
      <c r="F1507" s="6" t="str">
        <f>IF([1]SCHEDULE!F1507="","",[1]SCHEDULE!F1507)</f>
        <v/>
      </c>
      <c r="G1507" s="3" t="str">
        <f>IF([1]SCHEDULE!G1507="","",[1]SCHEDULE!G1507)</f>
        <v/>
      </c>
      <c r="H1507" s="3" t="str">
        <f>IF([1]SCHEDULE!H1507="","",[1]SCHEDULE!H1507)</f>
        <v/>
      </c>
      <c r="I1507" s="3" t="str">
        <f>IF([1]SCHEDULE!I1507="","",[1]SCHEDULE!I1507)</f>
        <v/>
      </c>
      <c r="J1507" s="3" t="str">
        <f>IF([1]SCHEDULE!J1507="","",[1]SCHEDULE!J1507)</f>
        <v/>
      </c>
    </row>
    <row r="1508" spans="2:10" x14ac:dyDescent="0.25">
      <c r="B1508" s="3" t="str">
        <f>IF([1]SCHEDULE!B1508="","",[1]SCHEDULE!B1508)</f>
        <v/>
      </c>
      <c r="C1508" s="3">
        <f>IF([1]SCHEDULE!C1508="","",[1]SCHEDULE!C1508)</f>
        <v>27</v>
      </c>
      <c r="D1508" s="1" t="e">
        <f>IF([1]SCHEDULE!D1508="","",[1]SCHEDULE!D1508)</f>
        <v>#N/A</v>
      </c>
      <c r="E1508" s="1" t="str">
        <f>IF([1]SCHEDULE!E1508="","",[1]SCHEDULE!E1508)</f>
        <v/>
      </c>
      <c r="F1508" s="6" t="str">
        <f>IF([1]SCHEDULE!F1508="","",[1]SCHEDULE!F1508)</f>
        <v/>
      </c>
      <c r="G1508" s="3" t="str">
        <f>IF([1]SCHEDULE!G1508="","",[1]SCHEDULE!G1508)</f>
        <v/>
      </c>
      <c r="H1508" s="3" t="str">
        <f>IF([1]SCHEDULE!H1508="","",[1]SCHEDULE!H1508)</f>
        <v/>
      </c>
      <c r="I1508" s="3" t="str">
        <f>IF([1]SCHEDULE!I1508="","",[1]SCHEDULE!I1508)</f>
        <v/>
      </c>
      <c r="J1508" s="3" t="str">
        <f>IF([1]SCHEDULE!J1508="","",[1]SCHEDULE!J1508)</f>
        <v/>
      </c>
    </row>
    <row r="1509" spans="2:10" x14ac:dyDescent="0.25">
      <c r="B1509" s="3" t="str">
        <f>IF([1]SCHEDULE!B1509="","",[1]SCHEDULE!B1509)</f>
        <v/>
      </c>
      <c r="C1509" s="3">
        <f>IF([1]SCHEDULE!C1509="","",[1]SCHEDULE!C1509)</f>
        <v>28</v>
      </c>
      <c r="D1509" s="1" t="e">
        <f>IF([1]SCHEDULE!D1509="","",[1]SCHEDULE!D1509)</f>
        <v>#N/A</v>
      </c>
      <c r="E1509" s="1" t="str">
        <f>IF([1]SCHEDULE!E1509="","",[1]SCHEDULE!E1509)</f>
        <v/>
      </c>
      <c r="F1509" s="6" t="str">
        <f>IF([1]SCHEDULE!F1509="","",[1]SCHEDULE!F1509)</f>
        <v/>
      </c>
      <c r="G1509" s="3" t="str">
        <f>IF([1]SCHEDULE!G1509="","",[1]SCHEDULE!G1509)</f>
        <v/>
      </c>
      <c r="H1509" s="3" t="str">
        <f>IF([1]SCHEDULE!H1509="","",[1]SCHEDULE!H1509)</f>
        <v/>
      </c>
      <c r="I1509" s="3" t="str">
        <f>IF([1]SCHEDULE!I1509="","",[1]SCHEDULE!I1509)</f>
        <v/>
      </c>
      <c r="J1509" s="3" t="str">
        <f>IF([1]SCHEDULE!J1509="","",[1]SCHEDULE!J1509)</f>
        <v/>
      </c>
    </row>
    <row r="1510" spans="2:10" x14ac:dyDescent="0.25">
      <c r="B1510" s="3" t="str">
        <f>IF([1]SCHEDULE!B1510="","",[1]SCHEDULE!B1510)</f>
        <v/>
      </c>
      <c r="C1510" s="3">
        <f>IF([1]SCHEDULE!C1510="","",[1]SCHEDULE!C1510)</f>
        <v>29</v>
      </c>
      <c r="D1510" s="1" t="e">
        <f>IF([1]SCHEDULE!D1510="","",[1]SCHEDULE!D1510)</f>
        <v>#N/A</v>
      </c>
      <c r="E1510" s="1" t="str">
        <f>IF([1]SCHEDULE!E1510="","",[1]SCHEDULE!E1510)</f>
        <v/>
      </c>
      <c r="F1510" s="6" t="str">
        <f>IF([1]SCHEDULE!F1510="","",[1]SCHEDULE!F1510)</f>
        <v/>
      </c>
      <c r="G1510" s="3" t="str">
        <f>IF([1]SCHEDULE!G1510="","",[1]SCHEDULE!G1510)</f>
        <v/>
      </c>
      <c r="H1510" s="3" t="str">
        <f>IF([1]SCHEDULE!H1510="","",[1]SCHEDULE!H1510)</f>
        <v/>
      </c>
      <c r="I1510" s="3" t="str">
        <f>IF([1]SCHEDULE!I1510="","",[1]SCHEDULE!I1510)</f>
        <v/>
      </c>
      <c r="J1510" s="3" t="str">
        <f>IF([1]SCHEDULE!J1510="","",[1]SCHEDULE!J1510)</f>
        <v/>
      </c>
    </row>
    <row r="1511" spans="2:10" x14ac:dyDescent="0.25">
      <c r="B1511" s="3" t="str">
        <f>IF([1]SCHEDULE!B1511="","",[1]SCHEDULE!B1511)</f>
        <v/>
      </c>
      <c r="C1511" s="3">
        <f>IF([1]SCHEDULE!C1511="","",[1]SCHEDULE!C1511)</f>
        <v>30</v>
      </c>
      <c r="D1511" s="1" t="e">
        <f>IF([1]SCHEDULE!D1511="","",[1]SCHEDULE!D1511)</f>
        <v>#N/A</v>
      </c>
      <c r="E1511" s="1" t="str">
        <f>IF([1]SCHEDULE!E1511="","",[1]SCHEDULE!E1511)</f>
        <v/>
      </c>
      <c r="F1511" s="6" t="str">
        <f>IF([1]SCHEDULE!F1511="","",[1]SCHEDULE!F1511)</f>
        <v/>
      </c>
      <c r="G1511" s="3" t="str">
        <f>IF([1]SCHEDULE!G1511="","",[1]SCHEDULE!G1511)</f>
        <v/>
      </c>
      <c r="H1511" s="3" t="str">
        <f>IF([1]SCHEDULE!H1511="","",[1]SCHEDULE!H1511)</f>
        <v/>
      </c>
      <c r="I1511" s="3" t="str">
        <f>IF([1]SCHEDULE!I1511="","",[1]SCHEDULE!I1511)</f>
        <v/>
      </c>
      <c r="J1511" s="3" t="str">
        <f>IF([1]SCHEDULE!J1511="","",[1]SCHEDULE!J1511)</f>
        <v/>
      </c>
    </row>
    <row r="1512" spans="2:10" x14ac:dyDescent="0.25">
      <c r="B1512" s="3" t="str">
        <f>IF([1]SCHEDULE!B1512="","",[1]SCHEDULE!B1512)</f>
        <v/>
      </c>
      <c r="C1512" s="3">
        <f>IF([1]SCHEDULE!C1512="","",[1]SCHEDULE!C1512)</f>
        <v>31</v>
      </c>
      <c r="D1512" s="1" t="e">
        <f>IF([1]SCHEDULE!D1512="","",[1]SCHEDULE!D1512)</f>
        <v>#N/A</v>
      </c>
      <c r="E1512" s="1" t="str">
        <f>IF([1]SCHEDULE!E1512="","",[1]SCHEDULE!E1512)</f>
        <v/>
      </c>
      <c r="F1512" s="6" t="str">
        <f>IF([1]SCHEDULE!F1512="","",[1]SCHEDULE!F1512)</f>
        <v/>
      </c>
      <c r="G1512" s="3" t="str">
        <f>IF([1]SCHEDULE!G1512="","",[1]SCHEDULE!G1512)</f>
        <v/>
      </c>
      <c r="H1512" s="3" t="str">
        <f>IF([1]SCHEDULE!H1512="","",[1]SCHEDULE!H1512)</f>
        <v/>
      </c>
      <c r="I1512" s="3" t="str">
        <f>IF([1]SCHEDULE!I1512="","",[1]SCHEDULE!I1512)</f>
        <v/>
      </c>
      <c r="J1512" s="3" t="str">
        <f>IF([1]SCHEDULE!J1512="","",[1]SCHEDULE!J1512)</f>
        <v/>
      </c>
    </row>
    <row r="1513" spans="2:10" x14ac:dyDescent="0.25">
      <c r="B1513" s="3" t="str">
        <f>IF([1]SCHEDULE!B1513="","",[1]SCHEDULE!B1513)</f>
        <v/>
      </c>
      <c r="C1513" s="3">
        <f>IF([1]SCHEDULE!C1513="","",[1]SCHEDULE!C1513)</f>
        <v>32</v>
      </c>
      <c r="D1513" s="1" t="e">
        <f>IF([1]SCHEDULE!D1513="","",[1]SCHEDULE!D1513)</f>
        <v>#N/A</v>
      </c>
      <c r="E1513" s="1" t="str">
        <f>IF([1]SCHEDULE!E1513="","",[1]SCHEDULE!E1513)</f>
        <v/>
      </c>
      <c r="F1513" s="6" t="str">
        <f>IF([1]SCHEDULE!F1513="","",[1]SCHEDULE!F1513)</f>
        <v/>
      </c>
      <c r="G1513" s="3" t="str">
        <f>IF([1]SCHEDULE!G1513="","",[1]SCHEDULE!G1513)</f>
        <v/>
      </c>
      <c r="H1513" s="3" t="str">
        <f>IF([1]SCHEDULE!H1513="","",[1]SCHEDULE!H1513)</f>
        <v/>
      </c>
      <c r="I1513" s="3" t="str">
        <f>IF([1]SCHEDULE!I1513="","",[1]SCHEDULE!I1513)</f>
        <v/>
      </c>
      <c r="J1513" s="3" t="str">
        <f>IF([1]SCHEDULE!J1513="","",[1]SCHEDULE!J1513)</f>
        <v/>
      </c>
    </row>
    <row r="1514" spans="2:10" x14ac:dyDescent="0.25">
      <c r="B1514" s="3" t="str">
        <f>IF([1]SCHEDULE!B1514="","",[1]SCHEDULE!B1514)</f>
        <v/>
      </c>
      <c r="C1514" s="3">
        <f>IF([1]SCHEDULE!C1514="","",[1]SCHEDULE!C1514)</f>
        <v>33</v>
      </c>
      <c r="D1514" s="1" t="e">
        <f>IF([1]SCHEDULE!D1514="","",[1]SCHEDULE!D1514)</f>
        <v>#N/A</v>
      </c>
      <c r="E1514" s="1" t="str">
        <f>IF([1]SCHEDULE!E1514="","",[1]SCHEDULE!E1514)</f>
        <v/>
      </c>
      <c r="F1514" s="6" t="str">
        <f>IF([1]SCHEDULE!F1514="","",[1]SCHEDULE!F1514)</f>
        <v/>
      </c>
      <c r="G1514" s="3" t="str">
        <f>IF([1]SCHEDULE!G1514="","",[1]SCHEDULE!G1514)</f>
        <v/>
      </c>
      <c r="H1514" s="3" t="str">
        <f>IF([1]SCHEDULE!H1514="","",[1]SCHEDULE!H1514)</f>
        <v/>
      </c>
      <c r="I1514" s="3" t="str">
        <f>IF([1]SCHEDULE!I1514="","",[1]SCHEDULE!I1514)</f>
        <v/>
      </c>
      <c r="J1514" s="3" t="str">
        <f>IF([1]SCHEDULE!J1514="","",[1]SCHEDULE!J1514)</f>
        <v/>
      </c>
    </row>
    <row r="1515" spans="2:10" x14ac:dyDescent="0.25">
      <c r="B1515" s="3" t="str">
        <f>IF([1]SCHEDULE!B1515="","",[1]SCHEDULE!B1515)</f>
        <v/>
      </c>
      <c r="C1515" s="3">
        <f>IF([1]SCHEDULE!C1515="","",[1]SCHEDULE!C1515)</f>
        <v>34</v>
      </c>
      <c r="D1515" s="1" t="e">
        <f>IF([1]SCHEDULE!D1515="","",[1]SCHEDULE!D1515)</f>
        <v>#N/A</v>
      </c>
      <c r="E1515" s="1" t="str">
        <f>IF([1]SCHEDULE!E1515="","",[1]SCHEDULE!E1515)</f>
        <v/>
      </c>
      <c r="F1515" s="6" t="str">
        <f>IF([1]SCHEDULE!F1515="","",[1]SCHEDULE!F1515)</f>
        <v/>
      </c>
      <c r="G1515" s="3" t="str">
        <f>IF([1]SCHEDULE!G1515="","",[1]SCHEDULE!G1515)</f>
        <v/>
      </c>
      <c r="H1515" s="3" t="str">
        <f>IF([1]SCHEDULE!H1515="","",[1]SCHEDULE!H1515)</f>
        <v/>
      </c>
      <c r="I1515" s="3" t="str">
        <f>IF([1]SCHEDULE!I1515="","",[1]SCHEDULE!I1515)</f>
        <v/>
      </c>
      <c r="J1515" s="3" t="str">
        <f>IF([1]SCHEDULE!J1515="","",[1]SCHEDULE!J1515)</f>
        <v/>
      </c>
    </row>
    <row r="1516" spans="2:10" x14ac:dyDescent="0.25">
      <c r="B1516" s="3" t="str">
        <f>IF([1]SCHEDULE!B1516="","",[1]SCHEDULE!B1516)</f>
        <v/>
      </c>
      <c r="C1516" s="3">
        <f>IF([1]SCHEDULE!C1516="","",[1]SCHEDULE!C1516)</f>
        <v>35</v>
      </c>
      <c r="D1516" s="1" t="e">
        <f>IF([1]SCHEDULE!D1516="","",[1]SCHEDULE!D1516)</f>
        <v>#N/A</v>
      </c>
      <c r="E1516" s="1" t="str">
        <f>IF([1]SCHEDULE!E1516="","",[1]SCHEDULE!E1516)</f>
        <v/>
      </c>
      <c r="F1516" s="6" t="str">
        <f>IF([1]SCHEDULE!F1516="","",[1]SCHEDULE!F1516)</f>
        <v/>
      </c>
      <c r="G1516" s="3" t="str">
        <f>IF([1]SCHEDULE!G1516="","",[1]SCHEDULE!G1516)</f>
        <v/>
      </c>
      <c r="H1516" s="3" t="str">
        <f>IF([1]SCHEDULE!H1516="","",[1]SCHEDULE!H1516)</f>
        <v/>
      </c>
      <c r="I1516" s="3" t="str">
        <f>IF([1]SCHEDULE!I1516="","",[1]SCHEDULE!I1516)</f>
        <v/>
      </c>
      <c r="J1516" s="3" t="str">
        <f>IF([1]SCHEDULE!J1516="","",[1]SCHEDULE!J1516)</f>
        <v/>
      </c>
    </row>
    <row r="1517" spans="2:10" x14ac:dyDescent="0.25">
      <c r="B1517" s="3" t="str">
        <f>IF([1]SCHEDULE!B1517="","",[1]SCHEDULE!B1517)</f>
        <v/>
      </c>
      <c r="C1517" s="3">
        <f>IF([1]SCHEDULE!C1517="","",[1]SCHEDULE!C1517)</f>
        <v>36</v>
      </c>
      <c r="D1517" s="1" t="e">
        <f>IF([1]SCHEDULE!D1517="","",[1]SCHEDULE!D1517)</f>
        <v>#N/A</v>
      </c>
      <c r="E1517" s="1" t="str">
        <f>IF([1]SCHEDULE!E1517="","",[1]SCHEDULE!E1517)</f>
        <v/>
      </c>
      <c r="F1517" s="6" t="str">
        <f>IF([1]SCHEDULE!F1517="","",[1]SCHEDULE!F1517)</f>
        <v/>
      </c>
      <c r="G1517" s="3" t="str">
        <f>IF([1]SCHEDULE!G1517="","",[1]SCHEDULE!G1517)</f>
        <v/>
      </c>
      <c r="H1517" s="3" t="str">
        <f>IF([1]SCHEDULE!H1517="","",[1]SCHEDULE!H1517)</f>
        <v/>
      </c>
      <c r="I1517" s="3" t="str">
        <f>IF([1]SCHEDULE!I1517="","",[1]SCHEDULE!I1517)</f>
        <v/>
      </c>
      <c r="J1517" s="3" t="str">
        <f>IF([1]SCHEDULE!J1517="","",[1]SCHEDULE!J1517)</f>
        <v/>
      </c>
    </row>
    <row r="1518" spans="2:10" x14ac:dyDescent="0.25">
      <c r="B1518" s="3" t="str">
        <f>IF([1]SCHEDULE!B1518="","",[1]SCHEDULE!B1518)</f>
        <v/>
      </c>
      <c r="C1518" s="3">
        <f>IF([1]SCHEDULE!C1518="","",[1]SCHEDULE!C1518)</f>
        <v>37</v>
      </c>
      <c r="D1518" s="1" t="e">
        <f>IF([1]SCHEDULE!D1518="","",[1]SCHEDULE!D1518)</f>
        <v>#N/A</v>
      </c>
      <c r="E1518" s="1" t="str">
        <f>IF([1]SCHEDULE!E1518="","",[1]SCHEDULE!E1518)</f>
        <v/>
      </c>
      <c r="F1518" s="6" t="str">
        <f>IF([1]SCHEDULE!F1518="","",[1]SCHEDULE!F1518)</f>
        <v/>
      </c>
      <c r="G1518" s="3" t="str">
        <f>IF([1]SCHEDULE!G1518="","",[1]SCHEDULE!G1518)</f>
        <v/>
      </c>
      <c r="H1518" s="3" t="str">
        <f>IF([1]SCHEDULE!H1518="","",[1]SCHEDULE!H1518)</f>
        <v/>
      </c>
      <c r="I1518" s="3" t="str">
        <f>IF([1]SCHEDULE!I1518="","",[1]SCHEDULE!I1518)</f>
        <v/>
      </c>
      <c r="J1518" s="3" t="str">
        <f>IF([1]SCHEDULE!J1518="","",[1]SCHEDULE!J1518)</f>
        <v/>
      </c>
    </row>
    <row r="1519" spans="2:10" x14ac:dyDescent="0.25">
      <c r="B1519" s="3" t="str">
        <f>IF([1]SCHEDULE!B1519="","",[1]SCHEDULE!B1519)</f>
        <v/>
      </c>
      <c r="C1519" s="3">
        <f>IF([1]SCHEDULE!C1519="","",[1]SCHEDULE!C1519)</f>
        <v>38</v>
      </c>
      <c r="D1519" s="1" t="e">
        <f>IF([1]SCHEDULE!D1519="","",[1]SCHEDULE!D1519)</f>
        <v>#N/A</v>
      </c>
      <c r="E1519" s="1" t="str">
        <f>IF([1]SCHEDULE!E1519="","",[1]SCHEDULE!E1519)</f>
        <v/>
      </c>
      <c r="F1519" s="6" t="str">
        <f>IF([1]SCHEDULE!F1519="","",[1]SCHEDULE!F1519)</f>
        <v/>
      </c>
      <c r="G1519" s="3" t="str">
        <f>IF([1]SCHEDULE!G1519="","",[1]SCHEDULE!G1519)</f>
        <v/>
      </c>
      <c r="H1519" s="3" t="str">
        <f>IF([1]SCHEDULE!H1519="","",[1]SCHEDULE!H1519)</f>
        <v/>
      </c>
      <c r="I1519" s="3" t="str">
        <f>IF([1]SCHEDULE!I1519="","",[1]SCHEDULE!I1519)</f>
        <v/>
      </c>
      <c r="J1519" s="3" t="str">
        <f>IF([1]SCHEDULE!J1519="","",[1]SCHEDULE!J1519)</f>
        <v/>
      </c>
    </row>
    <row r="1520" spans="2:10" x14ac:dyDescent="0.25">
      <c r="B1520" s="3" t="str">
        <f>IF([1]SCHEDULE!B1520="","",[1]SCHEDULE!B1520)</f>
        <v/>
      </c>
      <c r="C1520" s="3">
        <f>IF([1]SCHEDULE!C1520="","",[1]SCHEDULE!C1520)</f>
        <v>39</v>
      </c>
      <c r="D1520" s="1" t="e">
        <f>IF([1]SCHEDULE!D1520="","",[1]SCHEDULE!D1520)</f>
        <v>#N/A</v>
      </c>
      <c r="E1520" s="1" t="str">
        <f>IF([1]SCHEDULE!E1520="","",[1]SCHEDULE!E1520)</f>
        <v/>
      </c>
      <c r="F1520" s="6" t="str">
        <f>IF([1]SCHEDULE!F1520="","",[1]SCHEDULE!F1520)</f>
        <v/>
      </c>
      <c r="G1520" s="3" t="str">
        <f>IF([1]SCHEDULE!G1520="","",[1]SCHEDULE!G1520)</f>
        <v/>
      </c>
      <c r="H1520" s="3" t="str">
        <f>IF([1]SCHEDULE!H1520="","",[1]SCHEDULE!H1520)</f>
        <v/>
      </c>
      <c r="I1520" s="3" t="str">
        <f>IF([1]SCHEDULE!I1520="","",[1]SCHEDULE!I1520)</f>
        <v/>
      </c>
      <c r="J1520" s="3" t="str">
        <f>IF([1]SCHEDULE!J1520="","",[1]SCHEDULE!J1520)</f>
        <v/>
      </c>
    </row>
    <row r="1521" spans="2:10" x14ac:dyDescent="0.25">
      <c r="B1521" s="3" t="str">
        <f>IF([1]SCHEDULE!B1521="","",[1]SCHEDULE!B1521)</f>
        <v/>
      </c>
      <c r="C1521" s="3">
        <f>IF([1]SCHEDULE!C1521="","",[1]SCHEDULE!C1521)</f>
        <v>40</v>
      </c>
      <c r="D1521" s="1" t="e">
        <f>IF([1]SCHEDULE!D1521="","",[1]SCHEDULE!D1521)</f>
        <v>#N/A</v>
      </c>
      <c r="E1521" s="1" t="str">
        <f>IF([1]SCHEDULE!E1521="","",[1]SCHEDULE!E1521)</f>
        <v/>
      </c>
      <c r="F1521" s="6" t="str">
        <f>IF([1]SCHEDULE!F1521="","",[1]SCHEDULE!F1521)</f>
        <v/>
      </c>
      <c r="G1521" s="3" t="str">
        <f>IF([1]SCHEDULE!G1521="","",[1]SCHEDULE!G1521)</f>
        <v/>
      </c>
      <c r="H1521" s="3" t="str">
        <f>IF([1]SCHEDULE!H1521="","",[1]SCHEDULE!H1521)</f>
        <v/>
      </c>
      <c r="I1521" s="3" t="str">
        <f>IF([1]SCHEDULE!I1521="","",[1]SCHEDULE!I1521)</f>
        <v/>
      </c>
      <c r="J1521" s="3" t="str">
        <f>IF([1]SCHEDULE!J1521="","",[1]SCHEDULE!J1521)</f>
        <v/>
      </c>
    </row>
    <row r="1522" spans="2:10" x14ac:dyDescent="0.25">
      <c r="B1522" s="3" t="str">
        <f>IF([1]SCHEDULE!B1522="","",[1]SCHEDULE!B1522)</f>
        <v/>
      </c>
      <c r="C1522" s="3">
        <f>IF([1]SCHEDULE!C1522="","",[1]SCHEDULE!C1522)</f>
        <v>41</v>
      </c>
      <c r="D1522" s="1" t="e">
        <f>IF([1]SCHEDULE!D1522="","",[1]SCHEDULE!D1522)</f>
        <v>#N/A</v>
      </c>
      <c r="E1522" s="1" t="str">
        <f>IF([1]SCHEDULE!E1522="","",[1]SCHEDULE!E1522)</f>
        <v/>
      </c>
      <c r="F1522" s="6" t="str">
        <f>IF([1]SCHEDULE!F1522="","",[1]SCHEDULE!F1522)</f>
        <v/>
      </c>
      <c r="G1522" s="3" t="str">
        <f>IF([1]SCHEDULE!G1522="","",[1]SCHEDULE!G1522)</f>
        <v/>
      </c>
      <c r="H1522" s="3" t="str">
        <f>IF([1]SCHEDULE!H1522="","",[1]SCHEDULE!H1522)</f>
        <v/>
      </c>
      <c r="I1522" s="3" t="str">
        <f>IF([1]SCHEDULE!I1522="","",[1]SCHEDULE!I1522)</f>
        <v/>
      </c>
      <c r="J1522" s="3" t="str">
        <f>IF([1]SCHEDULE!J1522="","",[1]SCHEDULE!J1522)</f>
        <v/>
      </c>
    </row>
    <row r="1523" spans="2:10" x14ac:dyDescent="0.25">
      <c r="B1523" s="3" t="str">
        <f>IF([1]SCHEDULE!B1523="","",[1]SCHEDULE!B1523)</f>
        <v/>
      </c>
      <c r="C1523" s="3">
        <f>IF([1]SCHEDULE!C1523="","",[1]SCHEDULE!C1523)</f>
        <v>42</v>
      </c>
      <c r="D1523" s="1" t="e">
        <f>IF([1]SCHEDULE!D1523="","",[1]SCHEDULE!D1523)</f>
        <v>#N/A</v>
      </c>
      <c r="E1523" s="1" t="str">
        <f>IF([1]SCHEDULE!E1523="","",[1]SCHEDULE!E1523)</f>
        <v/>
      </c>
      <c r="F1523" s="6" t="str">
        <f>IF([1]SCHEDULE!F1523="","",[1]SCHEDULE!F1523)</f>
        <v/>
      </c>
      <c r="G1523" s="3" t="str">
        <f>IF([1]SCHEDULE!G1523="","",[1]SCHEDULE!G1523)</f>
        <v/>
      </c>
      <c r="H1523" s="3" t="str">
        <f>IF([1]SCHEDULE!H1523="","",[1]SCHEDULE!H1523)</f>
        <v/>
      </c>
      <c r="I1523" s="3" t="str">
        <f>IF([1]SCHEDULE!I1523="","",[1]SCHEDULE!I1523)</f>
        <v/>
      </c>
      <c r="J1523" s="3" t="str">
        <f>IF([1]SCHEDULE!J1523="","",[1]SCHEDULE!J1523)</f>
        <v/>
      </c>
    </row>
    <row r="1524" spans="2:10" x14ac:dyDescent="0.25">
      <c r="B1524" s="3" t="str">
        <f>IF([1]SCHEDULE!B1524="","",[1]SCHEDULE!B1524)</f>
        <v/>
      </c>
      <c r="C1524" s="3">
        <f>IF([1]SCHEDULE!C1524="","",[1]SCHEDULE!C1524)</f>
        <v>43</v>
      </c>
      <c r="D1524" s="1" t="e">
        <f>IF([1]SCHEDULE!D1524="","",[1]SCHEDULE!D1524)</f>
        <v>#N/A</v>
      </c>
      <c r="E1524" s="1" t="str">
        <f>IF([1]SCHEDULE!E1524="","",[1]SCHEDULE!E1524)</f>
        <v/>
      </c>
      <c r="F1524" s="6" t="str">
        <f>IF([1]SCHEDULE!F1524="","",[1]SCHEDULE!F1524)</f>
        <v/>
      </c>
      <c r="G1524" s="3" t="str">
        <f>IF([1]SCHEDULE!G1524="","",[1]SCHEDULE!G1524)</f>
        <v/>
      </c>
      <c r="H1524" s="3" t="str">
        <f>IF([1]SCHEDULE!H1524="","",[1]SCHEDULE!H1524)</f>
        <v/>
      </c>
      <c r="I1524" s="3" t="str">
        <f>IF([1]SCHEDULE!I1524="","",[1]SCHEDULE!I1524)</f>
        <v/>
      </c>
      <c r="J1524" s="3" t="str">
        <f>IF([1]SCHEDULE!J1524="","",[1]SCHEDULE!J1524)</f>
        <v/>
      </c>
    </row>
    <row r="1525" spans="2:10" x14ac:dyDescent="0.25">
      <c r="B1525" s="3" t="str">
        <f>IF([1]SCHEDULE!B1525="","",[1]SCHEDULE!B1525)</f>
        <v/>
      </c>
      <c r="C1525" s="3">
        <f>IF([1]SCHEDULE!C1525="","",[1]SCHEDULE!C1525)</f>
        <v>44</v>
      </c>
      <c r="D1525" s="1" t="e">
        <f>IF([1]SCHEDULE!D1525="","",[1]SCHEDULE!D1525)</f>
        <v>#N/A</v>
      </c>
      <c r="E1525" s="1" t="str">
        <f>IF([1]SCHEDULE!E1525="","",[1]SCHEDULE!E1525)</f>
        <v/>
      </c>
      <c r="F1525" s="6" t="str">
        <f>IF([1]SCHEDULE!F1525="","",[1]SCHEDULE!F1525)</f>
        <v/>
      </c>
      <c r="G1525" s="3" t="str">
        <f>IF([1]SCHEDULE!G1525="","",[1]SCHEDULE!G1525)</f>
        <v/>
      </c>
      <c r="H1525" s="3" t="str">
        <f>IF([1]SCHEDULE!H1525="","",[1]SCHEDULE!H1525)</f>
        <v/>
      </c>
      <c r="I1525" s="3" t="str">
        <f>IF([1]SCHEDULE!I1525="","",[1]SCHEDULE!I1525)</f>
        <v/>
      </c>
      <c r="J1525" s="3" t="str">
        <f>IF([1]SCHEDULE!J1525="","",[1]SCHEDULE!J1525)</f>
        <v/>
      </c>
    </row>
    <row r="1526" spans="2:10" x14ac:dyDescent="0.25">
      <c r="B1526" s="3" t="str">
        <f>IF([1]SCHEDULE!B1526="","",[1]SCHEDULE!B1526)</f>
        <v/>
      </c>
      <c r="C1526" s="3">
        <f>IF([1]SCHEDULE!C1526="","",[1]SCHEDULE!C1526)</f>
        <v>45</v>
      </c>
      <c r="D1526" s="1" t="e">
        <f>IF([1]SCHEDULE!D1526="","",[1]SCHEDULE!D1526)</f>
        <v>#N/A</v>
      </c>
      <c r="E1526" s="1" t="str">
        <f>IF([1]SCHEDULE!E1526="","",[1]SCHEDULE!E1526)</f>
        <v/>
      </c>
      <c r="F1526" s="6" t="str">
        <f>IF([1]SCHEDULE!F1526="","",[1]SCHEDULE!F1526)</f>
        <v/>
      </c>
      <c r="G1526" s="3" t="str">
        <f>IF([1]SCHEDULE!G1526="","",[1]SCHEDULE!G1526)</f>
        <v/>
      </c>
      <c r="H1526" s="3" t="str">
        <f>IF([1]SCHEDULE!H1526="","",[1]SCHEDULE!H1526)</f>
        <v/>
      </c>
      <c r="I1526" s="3" t="str">
        <f>IF([1]SCHEDULE!I1526="","",[1]SCHEDULE!I1526)</f>
        <v/>
      </c>
      <c r="J1526" s="3" t="str">
        <f>IF([1]SCHEDULE!J1526="","",[1]SCHEDULE!J1526)</f>
        <v/>
      </c>
    </row>
    <row r="1527" spans="2:10" x14ac:dyDescent="0.25">
      <c r="B1527" s="3" t="str">
        <f>IF([1]SCHEDULE!B1527="","",[1]SCHEDULE!B1527)</f>
        <v/>
      </c>
      <c r="C1527" s="3">
        <f>IF([1]SCHEDULE!C1527="","",[1]SCHEDULE!C1527)</f>
        <v>46</v>
      </c>
      <c r="D1527" s="1" t="e">
        <f>IF([1]SCHEDULE!D1527="","",[1]SCHEDULE!D1527)</f>
        <v>#N/A</v>
      </c>
      <c r="E1527" s="1" t="str">
        <f>IF([1]SCHEDULE!E1527="","",[1]SCHEDULE!E1527)</f>
        <v/>
      </c>
      <c r="F1527" s="6" t="str">
        <f>IF([1]SCHEDULE!F1527="","",[1]SCHEDULE!F1527)</f>
        <v/>
      </c>
      <c r="G1527" s="3" t="str">
        <f>IF([1]SCHEDULE!G1527="","",[1]SCHEDULE!G1527)</f>
        <v/>
      </c>
      <c r="H1527" s="3" t="str">
        <f>IF([1]SCHEDULE!H1527="","",[1]SCHEDULE!H1527)</f>
        <v/>
      </c>
      <c r="I1527" s="3" t="str">
        <f>IF([1]SCHEDULE!I1527="","",[1]SCHEDULE!I1527)</f>
        <v/>
      </c>
      <c r="J1527" s="3" t="str">
        <f>IF([1]SCHEDULE!J1527="","",[1]SCHEDULE!J1527)</f>
        <v/>
      </c>
    </row>
    <row r="1528" spans="2:10" x14ac:dyDescent="0.25">
      <c r="B1528" s="3" t="str">
        <f>IF([1]SCHEDULE!B1528="","",[1]SCHEDULE!B1528)</f>
        <v/>
      </c>
      <c r="C1528" s="3">
        <f>IF([1]SCHEDULE!C1528="","",[1]SCHEDULE!C1528)</f>
        <v>47</v>
      </c>
      <c r="D1528" s="1" t="e">
        <f>IF([1]SCHEDULE!D1528="","",[1]SCHEDULE!D1528)</f>
        <v>#N/A</v>
      </c>
      <c r="E1528" s="1" t="str">
        <f>IF([1]SCHEDULE!E1528="","",[1]SCHEDULE!E1528)</f>
        <v/>
      </c>
      <c r="F1528" s="6" t="str">
        <f>IF([1]SCHEDULE!F1528="","",[1]SCHEDULE!F1528)</f>
        <v/>
      </c>
      <c r="G1528" s="3" t="str">
        <f>IF([1]SCHEDULE!G1528="","",[1]SCHEDULE!G1528)</f>
        <v/>
      </c>
      <c r="H1528" s="3" t="str">
        <f>IF([1]SCHEDULE!H1528="","",[1]SCHEDULE!H1528)</f>
        <v/>
      </c>
      <c r="I1528" s="3" t="str">
        <f>IF([1]SCHEDULE!I1528="","",[1]SCHEDULE!I1528)</f>
        <v/>
      </c>
      <c r="J1528" s="3" t="str">
        <f>IF([1]SCHEDULE!J1528="","",[1]SCHEDULE!J1528)</f>
        <v/>
      </c>
    </row>
    <row r="1529" spans="2:10" x14ac:dyDescent="0.25">
      <c r="B1529" s="3" t="str">
        <f>IF([1]SCHEDULE!B1529="","",[1]SCHEDULE!B1529)</f>
        <v/>
      </c>
      <c r="C1529" s="3">
        <f>IF([1]SCHEDULE!C1529="","",[1]SCHEDULE!C1529)</f>
        <v>48</v>
      </c>
      <c r="D1529" s="1" t="e">
        <f>IF([1]SCHEDULE!D1529="","",[1]SCHEDULE!D1529)</f>
        <v>#N/A</v>
      </c>
      <c r="E1529" s="1" t="str">
        <f>IF([1]SCHEDULE!E1529="","",[1]SCHEDULE!E1529)</f>
        <v/>
      </c>
      <c r="F1529" s="6" t="str">
        <f>IF([1]SCHEDULE!F1529="","",[1]SCHEDULE!F1529)</f>
        <v/>
      </c>
      <c r="G1529" s="3" t="str">
        <f>IF([1]SCHEDULE!G1529="","",[1]SCHEDULE!G1529)</f>
        <v/>
      </c>
      <c r="H1529" s="3" t="str">
        <f>IF([1]SCHEDULE!H1529="","",[1]SCHEDULE!H1529)</f>
        <v/>
      </c>
      <c r="I1529" s="3" t="str">
        <f>IF([1]SCHEDULE!I1529="","",[1]SCHEDULE!I1529)</f>
        <v/>
      </c>
      <c r="J1529" s="3" t="str">
        <f>IF([1]SCHEDULE!J1529="","",[1]SCHEDULE!J1529)</f>
        <v/>
      </c>
    </row>
    <row r="1530" spans="2:10" x14ac:dyDescent="0.25">
      <c r="B1530" s="3" t="str">
        <f>IF([1]SCHEDULE!B1530="","",[1]SCHEDULE!B1530)</f>
        <v/>
      </c>
      <c r="C1530" s="3">
        <f>IF([1]SCHEDULE!C1530="","",[1]SCHEDULE!C1530)</f>
        <v>49</v>
      </c>
      <c r="D1530" s="1" t="e">
        <f>IF([1]SCHEDULE!D1530="","",[1]SCHEDULE!D1530)</f>
        <v>#N/A</v>
      </c>
      <c r="E1530" s="1" t="str">
        <f>IF([1]SCHEDULE!E1530="","",[1]SCHEDULE!E1530)</f>
        <v/>
      </c>
      <c r="F1530" s="6" t="str">
        <f>IF([1]SCHEDULE!F1530="","",[1]SCHEDULE!F1530)</f>
        <v/>
      </c>
      <c r="G1530" s="3" t="str">
        <f>IF([1]SCHEDULE!G1530="","",[1]SCHEDULE!G1530)</f>
        <v/>
      </c>
      <c r="H1530" s="3" t="str">
        <f>IF([1]SCHEDULE!H1530="","",[1]SCHEDULE!H1530)</f>
        <v/>
      </c>
      <c r="I1530" s="3" t="str">
        <f>IF([1]SCHEDULE!I1530="","",[1]SCHEDULE!I1530)</f>
        <v/>
      </c>
      <c r="J1530" s="3" t="str">
        <f>IF([1]SCHEDULE!J1530="","",[1]SCHEDULE!J1530)</f>
        <v/>
      </c>
    </row>
    <row r="1531" spans="2:10" x14ac:dyDescent="0.25">
      <c r="B1531" s="3" t="str">
        <f>IF([1]SCHEDULE!B1531="","",[1]SCHEDULE!B1531)</f>
        <v/>
      </c>
      <c r="C1531" s="3">
        <f>IF([1]SCHEDULE!C1531="","",[1]SCHEDULE!C1531)</f>
        <v>50</v>
      </c>
      <c r="D1531" s="1" t="e">
        <f>IF([1]SCHEDULE!D1531="","",[1]SCHEDULE!D1531)</f>
        <v>#N/A</v>
      </c>
      <c r="E1531" s="1" t="str">
        <f>IF([1]SCHEDULE!E1531="","",[1]SCHEDULE!E1531)</f>
        <v/>
      </c>
      <c r="F1531" s="6" t="str">
        <f>IF([1]SCHEDULE!F1531="","",[1]SCHEDULE!F1531)</f>
        <v/>
      </c>
      <c r="G1531" s="3" t="str">
        <f>IF([1]SCHEDULE!G1531="","",[1]SCHEDULE!G1531)</f>
        <v/>
      </c>
      <c r="H1531" s="3" t="str">
        <f>IF([1]SCHEDULE!H1531="","",[1]SCHEDULE!H1531)</f>
        <v/>
      </c>
      <c r="I1531" s="3" t="str">
        <f>IF([1]SCHEDULE!I1531="","",[1]SCHEDULE!I1531)</f>
        <v/>
      </c>
      <c r="J1531" s="3" t="str">
        <f>IF([1]SCHEDULE!J1531="","",[1]SCHEDULE!J1531)</f>
        <v/>
      </c>
    </row>
    <row r="1532" spans="2:10" x14ac:dyDescent="0.25">
      <c r="B1532" s="3" t="str">
        <f>IF([1]SCHEDULE!B1532="","",[1]SCHEDULE!B1532)</f>
        <v/>
      </c>
      <c r="C1532" s="3">
        <f>IF([1]SCHEDULE!C1532="","",[1]SCHEDULE!C1532)</f>
        <v>51</v>
      </c>
      <c r="D1532" s="1" t="e">
        <f>IF([1]SCHEDULE!D1532="","",[1]SCHEDULE!D1532)</f>
        <v>#N/A</v>
      </c>
      <c r="E1532" s="1" t="str">
        <f>IF([1]SCHEDULE!E1532="","",[1]SCHEDULE!E1532)</f>
        <v/>
      </c>
      <c r="F1532" s="6" t="str">
        <f>IF([1]SCHEDULE!F1532="","",[1]SCHEDULE!F1532)</f>
        <v/>
      </c>
      <c r="G1532" s="3" t="str">
        <f>IF([1]SCHEDULE!G1532="","",[1]SCHEDULE!G1532)</f>
        <v/>
      </c>
      <c r="H1532" s="3" t="str">
        <f>IF([1]SCHEDULE!H1532="","",[1]SCHEDULE!H1532)</f>
        <v/>
      </c>
      <c r="I1532" s="3" t="str">
        <f>IF([1]SCHEDULE!I1532="","",[1]SCHEDULE!I1532)</f>
        <v/>
      </c>
      <c r="J1532" s="3" t="str">
        <f>IF([1]SCHEDULE!J1532="","",[1]SCHEDULE!J1532)</f>
        <v/>
      </c>
    </row>
    <row r="1533" spans="2:10" x14ac:dyDescent="0.25">
      <c r="B1533" s="3" t="str">
        <f>IF([1]SCHEDULE!B1533="","",[1]SCHEDULE!B1533)</f>
        <v/>
      </c>
      <c r="C1533" s="3">
        <f>IF([1]SCHEDULE!C1533="","",[1]SCHEDULE!C1533)</f>
        <v>1</v>
      </c>
      <c r="D1533" s="1" t="e">
        <f>IF([1]SCHEDULE!D1533="","",[1]SCHEDULE!D1533)</f>
        <v>#N/A</v>
      </c>
      <c r="E1533" s="1" t="str">
        <f>IF([1]SCHEDULE!E1533="","",[1]SCHEDULE!E1533)</f>
        <v/>
      </c>
      <c r="F1533" s="6" t="str">
        <f>IF([1]SCHEDULE!F1533="","",[1]SCHEDULE!F1533)</f>
        <v/>
      </c>
      <c r="G1533" s="3" t="str">
        <f>IF([1]SCHEDULE!G1533="","",[1]SCHEDULE!G1533)</f>
        <v/>
      </c>
      <c r="H1533" s="3" t="str">
        <f>IF([1]SCHEDULE!H1533="","",[1]SCHEDULE!H1533)</f>
        <v/>
      </c>
      <c r="I1533" s="3" t="str">
        <f>IF([1]SCHEDULE!I1533="","",[1]SCHEDULE!I1533)</f>
        <v/>
      </c>
      <c r="J1533" s="3" t="str">
        <f>IF([1]SCHEDULE!J1533="","",[1]SCHEDULE!J1533)</f>
        <v/>
      </c>
    </row>
    <row r="1534" spans="2:10" x14ac:dyDescent="0.25">
      <c r="B1534" s="3" t="str">
        <f>IF([1]SCHEDULE!B1534="","",[1]SCHEDULE!B1534)</f>
        <v/>
      </c>
      <c r="C1534" s="3">
        <f>IF([1]SCHEDULE!C1534="","",[1]SCHEDULE!C1534)</f>
        <v>2</v>
      </c>
      <c r="D1534" s="1" t="e">
        <f>IF([1]SCHEDULE!D1534="","",[1]SCHEDULE!D1534)</f>
        <v>#N/A</v>
      </c>
      <c r="E1534" s="1" t="str">
        <f>IF([1]SCHEDULE!E1534="","",[1]SCHEDULE!E1534)</f>
        <v/>
      </c>
      <c r="F1534" s="6" t="str">
        <f>IF([1]SCHEDULE!F1534="","",[1]SCHEDULE!F1534)</f>
        <v/>
      </c>
      <c r="G1534" s="3" t="str">
        <f>IF([1]SCHEDULE!G1534="","",[1]SCHEDULE!G1534)</f>
        <v/>
      </c>
      <c r="H1534" s="3" t="str">
        <f>IF([1]SCHEDULE!H1534="","",[1]SCHEDULE!H1534)</f>
        <v/>
      </c>
      <c r="I1534" s="3" t="str">
        <f>IF([1]SCHEDULE!I1534="","",[1]SCHEDULE!I1534)</f>
        <v/>
      </c>
      <c r="J1534" s="3" t="str">
        <f>IF([1]SCHEDULE!J1534="","",[1]SCHEDULE!J1534)</f>
        <v/>
      </c>
    </row>
    <row r="1535" spans="2:10" x14ac:dyDescent="0.25">
      <c r="B1535" s="3" t="str">
        <f>IF([1]SCHEDULE!B1535="","",[1]SCHEDULE!B1535)</f>
        <v/>
      </c>
      <c r="C1535" s="3">
        <f>IF([1]SCHEDULE!C1535="","",[1]SCHEDULE!C1535)</f>
        <v>3</v>
      </c>
      <c r="D1535" s="1" t="e">
        <f>IF([1]SCHEDULE!D1535="","",[1]SCHEDULE!D1535)</f>
        <v>#N/A</v>
      </c>
      <c r="E1535" s="1" t="str">
        <f>IF([1]SCHEDULE!E1535="","",[1]SCHEDULE!E1535)</f>
        <v/>
      </c>
      <c r="F1535" s="6" t="str">
        <f>IF([1]SCHEDULE!F1535="","",[1]SCHEDULE!F1535)</f>
        <v/>
      </c>
      <c r="G1535" s="3" t="str">
        <f>IF([1]SCHEDULE!G1535="","",[1]SCHEDULE!G1535)</f>
        <v/>
      </c>
      <c r="H1535" s="3" t="str">
        <f>IF([1]SCHEDULE!H1535="","",[1]SCHEDULE!H1535)</f>
        <v/>
      </c>
      <c r="I1535" s="3" t="str">
        <f>IF([1]SCHEDULE!I1535="","",[1]SCHEDULE!I1535)</f>
        <v/>
      </c>
      <c r="J1535" s="3" t="str">
        <f>IF([1]SCHEDULE!J1535="","",[1]SCHEDULE!J1535)</f>
        <v/>
      </c>
    </row>
    <row r="1536" spans="2:10" x14ac:dyDescent="0.25">
      <c r="B1536" s="3" t="str">
        <f>IF([1]SCHEDULE!B1536="","",[1]SCHEDULE!B1536)</f>
        <v/>
      </c>
      <c r="C1536" s="3">
        <f>IF([1]SCHEDULE!C1536="","",[1]SCHEDULE!C1536)</f>
        <v>4</v>
      </c>
      <c r="D1536" s="1" t="e">
        <f>IF([1]SCHEDULE!D1536="","",[1]SCHEDULE!D1536)</f>
        <v>#N/A</v>
      </c>
      <c r="E1536" s="1" t="str">
        <f>IF([1]SCHEDULE!E1536="","",[1]SCHEDULE!E1536)</f>
        <v/>
      </c>
      <c r="F1536" s="6" t="str">
        <f>IF([1]SCHEDULE!F1536="","",[1]SCHEDULE!F1536)</f>
        <v/>
      </c>
      <c r="G1536" s="3" t="str">
        <f>IF([1]SCHEDULE!G1536="","",[1]SCHEDULE!G1536)</f>
        <v/>
      </c>
      <c r="H1536" s="3" t="str">
        <f>IF([1]SCHEDULE!H1536="","",[1]SCHEDULE!H1536)</f>
        <v/>
      </c>
      <c r="I1536" s="3" t="str">
        <f>IF([1]SCHEDULE!I1536="","",[1]SCHEDULE!I1536)</f>
        <v/>
      </c>
      <c r="J1536" s="3" t="str">
        <f>IF([1]SCHEDULE!J1536="","",[1]SCHEDULE!J1536)</f>
        <v/>
      </c>
    </row>
    <row r="1537" spans="2:10" x14ac:dyDescent="0.25">
      <c r="B1537" s="3" t="str">
        <f>IF([1]SCHEDULE!B1537="","",[1]SCHEDULE!B1537)</f>
        <v/>
      </c>
      <c r="C1537" s="3">
        <f>IF([1]SCHEDULE!C1537="","",[1]SCHEDULE!C1537)</f>
        <v>5</v>
      </c>
      <c r="D1537" s="1" t="e">
        <f>IF([1]SCHEDULE!D1537="","",[1]SCHEDULE!D1537)</f>
        <v>#N/A</v>
      </c>
      <c r="E1537" s="1" t="str">
        <f>IF([1]SCHEDULE!E1537="","",[1]SCHEDULE!E1537)</f>
        <v/>
      </c>
      <c r="F1537" s="6" t="str">
        <f>IF([1]SCHEDULE!F1537="","",[1]SCHEDULE!F1537)</f>
        <v/>
      </c>
      <c r="G1537" s="3" t="str">
        <f>IF([1]SCHEDULE!G1537="","",[1]SCHEDULE!G1537)</f>
        <v/>
      </c>
      <c r="H1537" s="3" t="str">
        <f>IF([1]SCHEDULE!H1537="","",[1]SCHEDULE!H1537)</f>
        <v/>
      </c>
      <c r="I1537" s="3" t="str">
        <f>IF([1]SCHEDULE!I1537="","",[1]SCHEDULE!I1537)</f>
        <v/>
      </c>
      <c r="J1537" s="3" t="str">
        <f>IF([1]SCHEDULE!J1537="","",[1]SCHEDULE!J1537)</f>
        <v/>
      </c>
    </row>
    <row r="1538" spans="2:10" x14ac:dyDescent="0.25">
      <c r="B1538" s="3" t="str">
        <f>IF([1]SCHEDULE!B1538="","",[1]SCHEDULE!B1538)</f>
        <v/>
      </c>
      <c r="C1538" s="3">
        <f>IF([1]SCHEDULE!C1538="","",[1]SCHEDULE!C1538)</f>
        <v>6</v>
      </c>
      <c r="D1538" s="1" t="e">
        <f>IF([1]SCHEDULE!D1538="","",[1]SCHEDULE!D1538)</f>
        <v>#N/A</v>
      </c>
      <c r="E1538" s="1" t="str">
        <f>IF([1]SCHEDULE!E1538="","",[1]SCHEDULE!E1538)</f>
        <v/>
      </c>
      <c r="F1538" s="6" t="str">
        <f>IF([1]SCHEDULE!F1538="","",[1]SCHEDULE!F1538)</f>
        <v/>
      </c>
      <c r="G1538" s="3" t="str">
        <f>IF([1]SCHEDULE!G1538="","",[1]SCHEDULE!G1538)</f>
        <v/>
      </c>
      <c r="H1538" s="3" t="str">
        <f>IF([1]SCHEDULE!H1538="","",[1]SCHEDULE!H1538)</f>
        <v/>
      </c>
      <c r="I1538" s="3" t="str">
        <f>IF([1]SCHEDULE!I1538="","",[1]SCHEDULE!I1538)</f>
        <v/>
      </c>
      <c r="J1538" s="3" t="str">
        <f>IF([1]SCHEDULE!J1538="","",[1]SCHEDULE!J1538)</f>
        <v/>
      </c>
    </row>
    <row r="1539" spans="2:10" x14ac:dyDescent="0.25">
      <c r="B1539" s="3" t="str">
        <f>IF([1]SCHEDULE!B1539="","",[1]SCHEDULE!B1539)</f>
        <v/>
      </c>
      <c r="C1539" s="3">
        <f>IF([1]SCHEDULE!C1539="","",[1]SCHEDULE!C1539)</f>
        <v>7</v>
      </c>
      <c r="D1539" s="1" t="e">
        <f>IF([1]SCHEDULE!D1539="","",[1]SCHEDULE!D1539)</f>
        <v>#N/A</v>
      </c>
      <c r="E1539" s="1" t="str">
        <f>IF([1]SCHEDULE!E1539="","",[1]SCHEDULE!E1539)</f>
        <v/>
      </c>
      <c r="F1539" s="6" t="str">
        <f>IF([1]SCHEDULE!F1539="","",[1]SCHEDULE!F1539)</f>
        <v/>
      </c>
      <c r="G1539" s="3" t="str">
        <f>IF([1]SCHEDULE!G1539="","",[1]SCHEDULE!G1539)</f>
        <v/>
      </c>
      <c r="H1539" s="3" t="str">
        <f>IF([1]SCHEDULE!H1539="","",[1]SCHEDULE!H1539)</f>
        <v/>
      </c>
      <c r="I1539" s="3" t="str">
        <f>IF([1]SCHEDULE!I1539="","",[1]SCHEDULE!I1539)</f>
        <v/>
      </c>
      <c r="J1539" s="3" t="str">
        <f>IF([1]SCHEDULE!J1539="","",[1]SCHEDULE!J1539)</f>
        <v/>
      </c>
    </row>
    <row r="1540" spans="2:10" x14ac:dyDescent="0.25">
      <c r="B1540" s="3" t="str">
        <f>IF([1]SCHEDULE!B1540="","",[1]SCHEDULE!B1540)</f>
        <v/>
      </c>
      <c r="C1540" s="3">
        <f>IF([1]SCHEDULE!C1540="","",[1]SCHEDULE!C1540)</f>
        <v>8</v>
      </c>
      <c r="D1540" s="1" t="e">
        <f>IF([1]SCHEDULE!D1540="","",[1]SCHEDULE!D1540)</f>
        <v>#N/A</v>
      </c>
      <c r="E1540" s="1" t="str">
        <f>IF([1]SCHEDULE!E1540="","",[1]SCHEDULE!E1540)</f>
        <v/>
      </c>
      <c r="F1540" s="6" t="str">
        <f>IF([1]SCHEDULE!F1540="","",[1]SCHEDULE!F1540)</f>
        <v/>
      </c>
      <c r="G1540" s="3" t="str">
        <f>IF([1]SCHEDULE!G1540="","",[1]SCHEDULE!G1540)</f>
        <v/>
      </c>
      <c r="H1540" s="3" t="str">
        <f>IF([1]SCHEDULE!H1540="","",[1]SCHEDULE!H1540)</f>
        <v/>
      </c>
      <c r="I1540" s="3" t="str">
        <f>IF([1]SCHEDULE!I1540="","",[1]SCHEDULE!I1540)</f>
        <v/>
      </c>
      <c r="J1540" s="3" t="str">
        <f>IF([1]SCHEDULE!J1540="","",[1]SCHEDULE!J1540)</f>
        <v/>
      </c>
    </row>
    <row r="1541" spans="2:10" x14ac:dyDescent="0.25">
      <c r="B1541" s="3" t="str">
        <f>IF([1]SCHEDULE!B1541="","",[1]SCHEDULE!B1541)</f>
        <v/>
      </c>
      <c r="C1541" s="3">
        <f>IF([1]SCHEDULE!C1541="","",[1]SCHEDULE!C1541)</f>
        <v>9</v>
      </c>
      <c r="D1541" s="1" t="e">
        <f>IF([1]SCHEDULE!D1541="","",[1]SCHEDULE!D1541)</f>
        <v>#N/A</v>
      </c>
      <c r="E1541" s="1" t="str">
        <f>IF([1]SCHEDULE!E1541="","",[1]SCHEDULE!E1541)</f>
        <v/>
      </c>
      <c r="F1541" s="6" t="str">
        <f>IF([1]SCHEDULE!F1541="","",[1]SCHEDULE!F1541)</f>
        <v/>
      </c>
      <c r="G1541" s="3" t="str">
        <f>IF([1]SCHEDULE!G1541="","",[1]SCHEDULE!G1541)</f>
        <v/>
      </c>
      <c r="H1541" s="3" t="str">
        <f>IF([1]SCHEDULE!H1541="","",[1]SCHEDULE!H1541)</f>
        <v/>
      </c>
      <c r="I1541" s="3" t="str">
        <f>IF([1]SCHEDULE!I1541="","",[1]SCHEDULE!I1541)</f>
        <v/>
      </c>
      <c r="J1541" s="3" t="str">
        <f>IF([1]SCHEDULE!J1541="","",[1]SCHEDULE!J1541)</f>
        <v/>
      </c>
    </row>
    <row r="1542" spans="2:10" x14ac:dyDescent="0.25">
      <c r="B1542" s="3" t="str">
        <f>IF([1]SCHEDULE!B1542="","",[1]SCHEDULE!B1542)</f>
        <v/>
      </c>
      <c r="C1542" s="3">
        <f>IF([1]SCHEDULE!C1542="","",[1]SCHEDULE!C1542)</f>
        <v>10</v>
      </c>
      <c r="D1542" s="1" t="e">
        <f>IF([1]SCHEDULE!D1542="","",[1]SCHEDULE!D1542)</f>
        <v>#N/A</v>
      </c>
      <c r="E1542" s="1" t="str">
        <f>IF([1]SCHEDULE!E1542="","",[1]SCHEDULE!E1542)</f>
        <v/>
      </c>
      <c r="F1542" s="6" t="str">
        <f>IF([1]SCHEDULE!F1542="","",[1]SCHEDULE!F1542)</f>
        <v/>
      </c>
      <c r="G1542" s="3" t="str">
        <f>IF([1]SCHEDULE!G1542="","",[1]SCHEDULE!G1542)</f>
        <v/>
      </c>
      <c r="H1542" s="3" t="str">
        <f>IF([1]SCHEDULE!H1542="","",[1]SCHEDULE!H1542)</f>
        <v/>
      </c>
      <c r="I1542" s="3" t="str">
        <f>IF([1]SCHEDULE!I1542="","",[1]SCHEDULE!I1542)</f>
        <v/>
      </c>
      <c r="J1542" s="3" t="str">
        <f>IF([1]SCHEDULE!J1542="","",[1]SCHEDULE!J1542)</f>
        <v/>
      </c>
    </row>
    <row r="1543" spans="2:10" x14ac:dyDescent="0.25">
      <c r="B1543" s="3" t="str">
        <f>IF([1]SCHEDULE!B1543="","",[1]SCHEDULE!B1543)</f>
        <v/>
      </c>
      <c r="C1543" s="3">
        <f>IF([1]SCHEDULE!C1543="","",[1]SCHEDULE!C1543)</f>
        <v>11</v>
      </c>
      <c r="D1543" s="1" t="e">
        <f>IF([1]SCHEDULE!D1543="","",[1]SCHEDULE!D1543)</f>
        <v>#N/A</v>
      </c>
      <c r="E1543" s="1" t="str">
        <f>IF([1]SCHEDULE!E1543="","",[1]SCHEDULE!E1543)</f>
        <v/>
      </c>
      <c r="F1543" s="6" t="str">
        <f>IF([1]SCHEDULE!F1543="","",[1]SCHEDULE!F1543)</f>
        <v/>
      </c>
      <c r="G1543" s="3" t="str">
        <f>IF([1]SCHEDULE!G1543="","",[1]SCHEDULE!G1543)</f>
        <v/>
      </c>
      <c r="H1543" s="3" t="str">
        <f>IF([1]SCHEDULE!H1543="","",[1]SCHEDULE!H1543)</f>
        <v/>
      </c>
      <c r="I1543" s="3" t="str">
        <f>IF([1]SCHEDULE!I1543="","",[1]SCHEDULE!I1543)</f>
        <v/>
      </c>
      <c r="J1543" s="3" t="str">
        <f>IF([1]SCHEDULE!J1543="","",[1]SCHEDULE!J1543)</f>
        <v/>
      </c>
    </row>
    <row r="1544" spans="2:10" x14ac:dyDescent="0.25">
      <c r="B1544" s="3" t="str">
        <f>IF([1]SCHEDULE!B1544="","",[1]SCHEDULE!B1544)</f>
        <v/>
      </c>
      <c r="C1544" s="3">
        <f>IF([1]SCHEDULE!C1544="","",[1]SCHEDULE!C1544)</f>
        <v>12</v>
      </c>
      <c r="D1544" s="1" t="e">
        <f>IF([1]SCHEDULE!D1544="","",[1]SCHEDULE!D1544)</f>
        <v>#N/A</v>
      </c>
      <c r="E1544" s="1" t="str">
        <f>IF([1]SCHEDULE!E1544="","",[1]SCHEDULE!E1544)</f>
        <v/>
      </c>
      <c r="F1544" s="6" t="str">
        <f>IF([1]SCHEDULE!F1544="","",[1]SCHEDULE!F1544)</f>
        <v/>
      </c>
      <c r="G1544" s="3" t="str">
        <f>IF([1]SCHEDULE!G1544="","",[1]SCHEDULE!G1544)</f>
        <v/>
      </c>
      <c r="H1544" s="3" t="str">
        <f>IF([1]SCHEDULE!H1544="","",[1]SCHEDULE!H1544)</f>
        <v/>
      </c>
      <c r="I1544" s="3" t="str">
        <f>IF([1]SCHEDULE!I1544="","",[1]SCHEDULE!I1544)</f>
        <v/>
      </c>
      <c r="J1544" s="3" t="str">
        <f>IF([1]SCHEDULE!J1544="","",[1]SCHEDULE!J1544)</f>
        <v/>
      </c>
    </row>
    <row r="1545" spans="2:10" x14ac:dyDescent="0.25">
      <c r="B1545" s="3" t="str">
        <f>IF([1]SCHEDULE!B1545="","",[1]SCHEDULE!B1545)</f>
        <v/>
      </c>
      <c r="C1545" s="3">
        <f>IF([1]SCHEDULE!C1545="","",[1]SCHEDULE!C1545)</f>
        <v>13</v>
      </c>
      <c r="D1545" s="1" t="e">
        <f>IF([1]SCHEDULE!D1545="","",[1]SCHEDULE!D1545)</f>
        <v>#N/A</v>
      </c>
      <c r="E1545" s="1" t="str">
        <f>IF([1]SCHEDULE!E1545="","",[1]SCHEDULE!E1545)</f>
        <v/>
      </c>
      <c r="F1545" s="6" t="str">
        <f>IF([1]SCHEDULE!F1545="","",[1]SCHEDULE!F1545)</f>
        <v/>
      </c>
      <c r="G1545" s="3" t="str">
        <f>IF([1]SCHEDULE!G1545="","",[1]SCHEDULE!G1545)</f>
        <v/>
      </c>
      <c r="H1545" s="3" t="str">
        <f>IF([1]SCHEDULE!H1545="","",[1]SCHEDULE!H1545)</f>
        <v/>
      </c>
      <c r="I1545" s="3" t="str">
        <f>IF([1]SCHEDULE!I1545="","",[1]SCHEDULE!I1545)</f>
        <v/>
      </c>
      <c r="J1545" s="3" t="str">
        <f>IF([1]SCHEDULE!J1545="","",[1]SCHEDULE!J1545)</f>
        <v/>
      </c>
    </row>
    <row r="1546" spans="2:10" x14ac:dyDescent="0.25">
      <c r="B1546" s="3" t="str">
        <f>IF([1]SCHEDULE!B1546="","",[1]SCHEDULE!B1546)</f>
        <v/>
      </c>
      <c r="C1546" s="3">
        <f>IF([1]SCHEDULE!C1546="","",[1]SCHEDULE!C1546)</f>
        <v>14</v>
      </c>
      <c r="D1546" s="1" t="e">
        <f>IF([1]SCHEDULE!D1546="","",[1]SCHEDULE!D1546)</f>
        <v>#N/A</v>
      </c>
      <c r="E1546" s="1" t="str">
        <f>IF([1]SCHEDULE!E1546="","",[1]SCHEDULE!E1546)</f>
        <v/>
      </c>
      <c r="F1546" s="6" t="str">
        <f>IF([1]SCHEDULE!F1546="","",[1]SCHEDULE!F1546)</f>
        <v/>
      </c>
      <c r="G1546" s="3" t="str">
        <f>IF([1]SCHEDULE!G1546="","",[1]SCHEDULE!G1546)</f>
        <v/>
      </c>
      <c r="H1546" s="3" t="str">
        <f>IF([1]SCHEDULE!H1546="","",[1]SCHEDULE!H1546)</f>
        <v/>
      </c>
      <c r="I1546" s="3" t="str">
        <f>IF([1]SCHEDULE!I1546="","",[1]SCHEDULE!I1546)</f>
        <v/>
      </c>
      <c r="J1546" s="3" t="str">
        <f>IF([1]SCHEDULE!J1546="","",[1]SCHEDULE!J1546)</f>
        <v/>
      </c>
    </row>
    <row r="1547" spans="2:10" x14ac:dyDescent="0.25">
      <c r="B1547" s="3" t="str">
        <f>IF([1]SCHEDULE!B1547="","",[1]SCHEDULE!B1547)</f>
        <v/>
      </c>
      <c r="C1547" s="3">
        <f>IF([1]SCHEDULE!C1547="","",[1]SCHEDULE!C1547)</f>
        <v>15</v>
      </c>
      <c r="D1547" s="1" t="e">
        <f>IF([1]SCHEDULE!D1547="","",[1]SCHEDULE!D1547)</f>
        <v>#N/A</v>
      </c>
      <c r="E1547" s="1" t="str">
        <f>IF([1]SCHEDULE!E1547="","",[1]SCHEDULE!E1547)</f>
        <v/>
      </c>
      <c r="F1547" s="6" t="str">
        <f>IF([1]SCHEDULE!F1547="","",[1]SCHEDULE!F1547)</f>
        <v/>
      </c>
      <c r="G1547" s="3" t="str">
        <f>IF([1]SCHEDULE!G1547="","",[1]SCHEDULE!G1547)</f>
        <v/>
      </c>
      <c r="H1547" s="3" t="str">
        <f>IF([1]SCHEDULE!H1547="","",[1]SCHEDULE!H1547)</f>
        <v/>
      </c>
      <c r="I1547" s="3" t="str">
        <f>IF([1]SCHEDULE!I1547="","",[1]SCHEDULE!I1547)</f>
        <v/>
      </c>
      <c r="J1547" s="3" t="str">
        <f>IF([1]SCHEDULE!J1547="","",[1]SCHEDULE!J1547)</f>
        <v/>
      </c>
    </row>
    <row r="1548" spans="2:10" x14ac:dyDescent="0.25">
      <c r="B1548" s="3" t="str">
        <f>IF([1]SCHEDULE!B1548="","",[1]SCHEDULE!B1548)</f>
        <v/>
      </c>
      <c r="C1548" s="3">
        <f>IF([1]SCHEDULE!C1548="","",[1]SCHEDULE!C1548)</f>
        <v>16</v>
      </c>
      <c r="D1548" s="1" t="e">
        <f>IF([1]SCHEDULE!D1548="","",[1]SCHEDULE!D1548)</f>
        <v>#N/A</v>
      </c>
      <c r="E1548" s="1" t="str">
        <f>IF([1]SCHEDULE!E1548="","",[1]SCHEDULE!E1548)</f>
        <v/>
      </c>
      <c r="F1548" s="6" t="str">
        <f>IF([1]SCHEDULE!F1548="","",[1]SCHEDULE!F1548)</f>
        <v/>
      </c>
      <c r="G1548" s="3" t="str">
        <f>IF([1]SCHEDULE!G1548="","",[1]SCHEDULE!G1548)</f>
        <v/>
      </c>
      <c r="H1548" s="3" t="str">
        <f>IF([1]SCHEDULE!H1548="","",[1]SCHEDULE!H1548)</f>
        <v/>
      </c>
      <c r="I1548" s="3" t="str">
        <f>IF([1]SCHEDULE!I1548="","",[1]SCHEDULE!I1548)</f>
        <v/>
      </c>
      <c r="J1548" s="3" t="str">
        <f>IF([1]SCHEDULE!J1548="","",[1]SCHEDULE!J1548)</f>
        <v/>
      </c>
    </row>
    <row r="1549" spans="2:10" x14ac:dyDescent="0.25">
      <c r="B1549" s="3" t="str">
        <f>IF([1]SCHEDULE!B1549="","",[1]SCHEDULE!B1549)</f>
        <v/>
      </c>
      <c r="C1549" s="3">
        <f>IF([1]SCHEDULE!C1549="","",[1]SCHEDULE!C1549)</f>
        <v>17</v>
      </c>
      <c r="D1549" s="1" t="e">
        <f>IF([1]SCHEDULE!D1549="","",[1]SCHEDULE!D1549)</f>
        <v>#N/A</v>
      </c>
      <c r="E1549" s="1" t="str">
        <f>IF([1]SCHEDULE!E1549="","",[1]SCHEDULE!E1549)</f>
        <v/>
      </c>
      <c r="F1549" s="6" t="str">
        <f>IF([1]SCHEDULE!F1549="","",[1]SCHEDULE!F1549)</f>
        <v/>
      </c>
      <c r="G1549" s="3" t="str">
        <f>IF([1]SCHEDULE!G1549="","",[1]SCHEDULE!G1549)</f>
        <v/>
      </c>
      <c r="H1549" s="3" t="str">
        <f>IF([1]SCHEDULE!H1549="","",[1]SCHEDULE!H1549)</f>
        <v/>
      </c>
      <c r="I1549" s="3" t="str">
        <f>IF([1]SCHEDULE!I1549="","",[1]SCHEDULE!I1549)</f>
        <v/>
      </c>
      <c r="J1549" s="3" t="str">
        <f>IF([1]SCHEDULE!J1549="","",[1]SCHEDULE!J1549)</f>
        <v/>
      </c>
    </row>
    <row r="1550" spans="2:10" x14ac:dyDescent="0.25">
      <c r="B1550" s="3" t="str">
        <f>IF([1]SCHEDULE!B1550="","",[1]SCHEDULE!B1550)</f>
        <v/>
      </c>
      <c r="C1550" s="3">
        <f>IF([1]SCHEDULE!C1550="","",[1]SCHEDULE!C1550)</f>
        <v>18</v>
      </c>
      <c r="D1550" s="1" t="e">
        <f>IF([1]SCHEDULE!D1550="","",[1]SCHEDULE!D1550)</f>
        <v>#N/A</v>
      </c>
      <c r="E1550" s="1" t="str">
        <f>IF([1]SCHEDULE!E1550="","",[1]SCHEDULE!E1550)</f>
        <v/>
      </c>
      <c r="F1550" s="6" t="str">
        <f>IF([1]SCHEDULE!F1550="","",[1]SCHEDULE!F1550)</f>
        <v/>
      </c>
      <c r="G1550" s="3" t="str">
        <f>IF([1]SCHEDULE!G1550="","",[1]SCHEDULE!G1550)</f>
        <v/>
      </c>
      <c r="H1550" s="3" t="str">
        <f>IF([1]SCHEDULE!H1550="","",[1]SCHEDULE!H1550)</f>
        <v/>
      </c>
      <c r="I1550" s="3" t="str">
        <f>IF([1]SCHEDULE!I1550="","",[1]SCHEDULE!I1550)</f>
        <v/>
      </c>
      <c r="J1550" s="3" t="str">
        <f>IF([1]SCHEDULE!J1550="","",[1]SCHEDULE!J1550)</f>
        <v/>
      </c>
    </row>
    <row r="1551" spans="2:10" x14ac:dyDescent="0.25">
      <c r="B1551" s="3" t="str">
        <f>IF([1]SCHEDULE!B1551="","",[1]SCHEDULE!B1551)</f>
        <v/>
      </c>
      <c r="C1551" s="3">
        <f>IF([1]SCHEDULE!C1551="","",[1]SCHEDULE!C1551)</f>
        <v>19</v>
      </c>
      <c r="D1551" s="1" t="e">
        <f>IF([1]SCHEDULE!D1551="","",[1]SCHEDULE!D1551)</f>
        <v>#N/A</v>
      </c>
      <c r="E1551" s="1" t="str">
        <f>IF([1]SCHEDULE!E1551="","",[1]SCHEDULE!E1551)</f>
        <v/>
      </c>
      <c r="F1551" s="6" t="str">
        <f>IF([1]SCHEDULE!F1551="","",[1]SCHEDULE!F1551)</f>
        <v/>
      </c>
      <c r="G1551" s="3" t="str">
        <f>IF([1]SCHEDULE!G1551="","",[1]SCHEDULE!G1551)</f>
        <v/>
      </c>
      <c r="H1551" s="3" t="str">
        <f>IF([1]SCHEDULE!H1551="","",[1]SCHEDULE!H1551)</f>
        <v/>
      </c>
      <c r="I1551" s="3" t="str">
        <f>IF([1]SCHEDULE!I1551="","",[1]SCHEDULE!I1551)</f>
        <v/>
      </c>
      <c r="J1551" s="3" t="str">
        <f>IF([1]SCHEDULE!J1551="","",[1]SCHEDULE!J1551)</f>
        <v/>
      </c>
    </row>
    <row r="1552" spans="2:10" x14ac:dyDescent="0.25">
      <c r="B1552" s="3" t="str">
        <f>IF([1]SCHEDULE!B1552="","",[1]SCHEDULE!B1552)</f>
        <v/>
      </c>
      <c r="C1552" s="3">
        <f>IF([1]SCHEDULE!C1552="","",[1]SCHEDULE!C1552)</f>
        <v>20</v>
      </c>
      <c r="D1552" s="1" t="e">
        <f>IF([1]SCHEDULE!D1552="","",[1]SCHEDULE!D1552)</f>
        <v>#N/A</v>
      </c>
      <c r="E1552" s="1" t="str">
        <f>IF([1]SCHEDULE!E1552="","",[1]SCHEDULE!E1552)</f>
        <v/>
      </c>
      <c r="F1552" s="6" t="str">
        <f>IF([1]SCHEDULE!F1552="","",[1]SCHEDULE!F1552)</f>
        <v/>
      </c>
      <c r="G1552" s="3" t="str">
        <f>IF([1]SCHEDULE!G1552="","",[1]SCHEDULE!G1552)</f>
        <v/>
      </c>
      <c r="H1552" s="3" t="str">
        <f>IF([1]SCHEDULE!H1552="","",[1]SCHEDULE!H1552)</f>
        <v/>
      </c>
      <c r="I1552" s="3" t="str">
        <f>IF([1]SCHEDULE!I1552="","",[1]SCHEDULE!I1552)</f>
        <v/>
      </c>
      <c r="J1552" s="3" t="str">
        <f>IF([1]SCHEDULE!J1552="","",[1]SCHEDULE!J1552)</f>
        <v/>
      </c>
    </row>
    <row r="1553" spans="2:10" x14ac:dyDescent="0.25">
      <c r="B1553" s="3" t="str">
        <f>IF([1]SCHEDULE!B1553="","",[1]SCHEDULE!B1553)</f>
        <v/>
      </c>
      <c r="C1553" s="3">
        <f>IF([1]SCHEDULE!C1553="","",[1]SCHEDULE!C1553)</f>
        <v>21</v>
      </c>
      <c r="D1553" s="1" t="e">
        <f>IF([1]SCHEDULE!D1553="","",[1]SCHEDULE!D1553)</f>
        <v>#N/A</v>
      </c>
      <c r="E1553" s="1" t="str">
        <f>IF([1]SCHEDULE!E1553="","",[1]SCHEDULE!E1553)</f>
        <v/>
      </c>
      <c r="F1553" s="6" t="str">
        <f>IF([1]SCHEDULE!F1553="","",[1]SCHEDULE!F1553)</f>
        <v/>
      </c>
      <c r="G1553" s="3" t="str">
        <f>IF([1]SCHEDULE!G1553="","",[1]SCHEDULE!G1553)</f>
        <v/>
      </c>
      <c r="H1553" s="3" t="str">
        <f>IF([1]SCHEDULE!H1553="","",[1]SCHEDULE!H1553)</f>
        <v/>
      </c>
      <c r="I1553" s="3" t="str">
        <f>IF([1]SCHEDULE!I1553="","",[1]SCHEDULE!I1553)</f>
        <v/>
      </c>
      <c r="J1553" s="3" t="str">
        <f>IF([1]SCHEDULE!J1553="","",[1]SCHEDULE!J1553)</f>
        <v/>
      </c>
    </row>
    <row r="1554" spans="2:10" x14ac:dyDescent="0.25">
      <c r="B1554" s="3" t="str">
        <f>IF([1]SCHEDULE!B1554="","",[1]SCHEDULE!B1554)</f>
        <v/>
      </c>
      <c r="C1554" s="3">
        <f>IF([1]SCHEDULE!C1554="","",[1]SCHEDULE!C1554)</f>
        <v>22</v>
      </c>
      <c r="D1554" s="1" t="e">
        <f>IF([1]SCHEDULE!D1554="","",[1]SCHEDULE!D1554)</f>
        <v>#N/A</v>
      </c>
      <c r="E1554" s="1" t="str">
        <f>IF([1]SCHEDULE!E1554="","",[1]SCHEDULE!E1554)</f>
        <v/>
      </c>
      <c r="F1554" s="6" t="str">
        <f>IF([1]SCHEDULE!F1554="","",[1]SCHEDULE!F1554)</f>
        <v/>
      </c>
      <c r="G1554" s="3" t="str">
        <f>IF([1]SCHEDULE!G1554="","",[1]SCHEDULE!G1554)</f>
        <v/>
      </c>
      <c r="H1554" s="3" t="str">
        <f>IF([1]SCHEDULE!H1554="","",[1]SCHEDULE!H1554)</f>
        <v/>
      </c>
      <c r="I1554" s="3" t="str">
        <f>IF([1]SCHEDULE!I1554="","",[1]SCHEDULE!I1554)</f>
        <v/>
      </c>
      <c r="J1554" s="3" t="str">
        <f>IF([1]SCHEDULE!J1554="","",[1]SCHEDULE!J1554)</f>
        <v/>
      </c>
    </row>
    <row r="1555" spans="2:10" x14ac:dyDescent="0.25">
      <c r="B1555" s="3" t="str">
        <f>IF([1]SCHEDULE!B1555="","",[1]SCHEDULE!B1555)</f>
        <v/>
      </c>
      <c r="C1555" s="3">
        <f>IF([1]SCHEDULE!C1555="","",[1]SCHEDULE!C1555)</f>
        <v>23</v>
      </c>
      <c r="D1555" s="1" t="e">
        <f>IF([1]SCHEDULE!D1555="","",[1]SCHEDULE!D1555)</f>
        <v>#N/A</v>
      </c>
      <c r="E1555" s="1" t="str">
        <f>IF([1]SCHEDULE!E1555="","",[1]SCHEDULE!E1555)</f>
        <v/>
      </c>
      <c r="F1555" s="6" t="str">
        <f>IF([1]SCHEDULE!F1555="","",[1]SCHEDULE!F1555)</f>
        <v/>
      </c>
      <c r="G1555" s="3" t="str">
        <f>IF([1]SCHEDULE!G1555="","",[1]SCHEDULE!G1555)</f>
        <v/>
      </c>
      <c r="H1555" s="3" t="str">
        <f>IF([1]SCHEDULE!H1555="","",[1]SCHEDULE!H1555)</f>
        <v/>
      </c>
      <c r="I1555" s="3" t="str">
        <f>IF([1]SCHEDULE!I1555="","",[1]SCHEDULE!I1555)</f>
        <v/>
      </c>
      <c r="J1555" s="3" t="str">
        <f>IF([1]SCHEDULE!J1555="","",[1]SCHEDULE!J1555)</f>
        <v/>
      </c>
    </row>
    <row r="1556" spans="2:10" x14ac:dyDescent="0.25">
      <c r="B1556" s="3" t="str">
        <f>IF([1]SCHEDULE!B1556="","",[1]SCHEDULE!B1556)</f>
        <v/>
      </c>
      <c r="C1556" s="3">
        <f>IF([1]SCHEDULE!C1556="","",[1]SCHEDULE!C1556)</f>
        <v>24</v>
      </c>
      <c r="D1556" s="1" t="e">
        <f>IF([1]SCHEDULE!D1556="","",[1]SCHEDULE!D1556)</f>
        <v>#N/A</v>
      </c>
      <c r="E1556" s="1" t="str">
        <f>IF([1]SCHEDULE!E1556="","",[1]SCHEDULE!E1556)</f>
        <v/>
      </c>
      <c r="F1556" s="6" t="str">
        <f>IF([1]SCHEDULE!F1556="","",[1]SCHEDULE!F1556)</f>
        <v/>
      </c>
      <c r="G1556" s="3" t="str">
        <f>IF([1]SCHEDULE!G1556="","",[1]SCHEDULE!G1556)</f>
        <v/>
      </c>
      <c r="H1556" s="3" t="str">
        <f>IF([1]SCHEDULE!H1556="","",[1]SCHEDULE!H1556)</f>
        <v/>
      </c>
      <c r="I1556" s="3" t="str">
        <f>IF([1]SCHEDULE!I1556="","",[1]SCHEDULE!I1556)</f>
        <v/>
      </c>
      <c r="J1556" s="3" t="str">
        <f>IF([1]SCHEDULE!J1556="","",[1]SCHEDULE!J1556)</f>
        <v/>
      </c>
    </row>
    <row r="1557" spans="2:10" x14ac:dyDescent="0.25">
      <c r="B1557" s="3" t="str">
        <f>IF([1]SCHEDULE!B1557="","",[1]SCHEDULE!B1557)</f>
        <v/>
      </c>
      <c r="C1557" s="3">
        <f>IF([1]SCHEDULE!C1557="","",[1]SCHEDULE!C1557)</f>
        <v>25</v>
      </c>
      <c r="D1557" s="1" t="e">
        <f>IF([1]SCHEDULE!D1557="","",[1]SCHEDULE!D1557)</f>
        <v>#N/A</v>
      </c>
      <c r="E1557" s="1" t="str">
        <f>IF([1]SCHEDULE!E1557="","",[1]SCHEDULE!E1557)</f>
        <v/>
      </c>
      <c r="F1557" s="6" t="str">
        <f>IF([1]SCHEDULE!F1557="","",[1]SCHEDULE!F1557)</f>
        <v/>
      </c>
      <c r="G1557" s="3" t="str">
        <f>IF([1]SCHEDULE!G1557="","",[1]SCHEDULE!G1557)</f>
        <v/>
      </c>
      <c r="H1557" s="3" t="str">
        <f>IF([1]SCHEDULE!H1557="","",[1]SCHEDULE!H1557)</f>
        <v/>
      </c>
      <c r="I1557" s="3" t="str">
        <f>IF([1]SCHEDULE!I1557="","",[1]SCHEDULE!I1557)</f>
        <v/>
      </c>
      <c r="J1557" s="3" t="str">
        <f>IF([1]SCHEDULE!J1557="","",[1]SCHEDULE!J1557)</f>
        <v/>
      </c>
    </row>
    <row r="1558" spans="2:10" x14ac:dyDescent="0.25">
      <c r="B1558" s="3" t="str">
        <f>IF([1]SCHEDULE!B1558="","",[1]SCHEDULE!B1558)</f>
        <v/>
      </c>
      <c r="C1558" s="3">
        <f>IF([1]SCHEDULE!C1558="","",[1]SCHEDULE!C1558)</f>
        <v>26</v>
      </c>
      <c r="D1558" s="1" t="e">
        <f>IF([1]SCHEDULE!D1558="","",[1]SCHEDULE!D1558)</f>
        <v>#N/A</v>
      </c>
      <c r="E1558" s="1" t="str">
        <f>IF([1]SCHEDULE!E1558="","",[1]SCHEDULE!E1558)</f>
        <v/>
      </c>
      <c r="F1558" s="6" t="str">
        <f>IF([1]SCHEDULE!F1558="","",[1]SCHEDULE!F1558)</f>
        <v/>
      </c>
      <c r="G1558" s="3" t="str">
        <f>IF([1]SCHEDULE!G1558="","",[1]SCHEDULE!G1558)</f>
        <v/>
      </c>
      <c r="H1558" s="3" t="str">
        <f>IF([1]SCHEDULE!H1558="","",[1]SCHEDULE!H1558)</f>
        <v/>
      </c>
      <c r="I1558" s="3" t="str">
        <f>IF([1]SCHEDULE!I1558="","",[1]SCHEDULE!I1558)</f>
        <v/>
      </c>
      <c r="J1558" s="3" t="str">
        <f>IF([1]SCHEDULE!J1558="","",[1]SCHEDULE!J1558)</f>
        <v/>
      </c>
    </row>
    <row r="1559" spans="2:10" x14ac:dyDescent="0.25">
      <c r="B1559" s="3" t="str">
        <f>IF([1]SCHEDULE!B1559="","",[1]SCHEDULE!B1559)</f>
        <v/>
      </c>
      <c r="C1559" s="3">
        <f>IF([1]SCHEDULE!C1559="","",[1]SCHEDULE!C1559)</f>
        <v>27</v>
      </c>
      <c r="D1559" s="1" t="e">
        <f>IF([1]SCHEDULE!D1559="","",[1]SCHEDULE!D1559)</f>
        <v>#N/A</v>
      </c>
      <c r="E1559" s="1" t="str">
        <f>IF([1]SCHEDULE!E1559="","",[1]SCHEDULE!E1559)</f>
        <v/>
      </c>
      <c r="F1559" s="6" t="str">
        <f>IF([1]SCHEDULE!F1559="","",[1]SCHEDULE!F1559)</f>
        <v/>
      </c>
      <c r="G1559" s="3" t="str">
        <f>IF([1]SCHEDULE!G1559="","",[1]SCHEDULE!G1559)</f>
        <v/>
      </c>
      <c r="H1559" s="3" t="str">
        <f>IF([1]SCHEDULE!H1559="","",[1]SCHEDULE!H1559)</f>
        <v/>
      </c>
      <c r="I1559" s="3" t="str">
        <f>IF([1]SCHEDULE!I1559="","",[1]SCHEDULE!I1559)</f>
        <v/>
      </c>
      <c r="J1559" s="3" t="str">
        <f>IF([1]SCHEDULE!J1559="","",[1]SCHEDULE!J1559)</f>
        <v/>
      </c>
    </row>
    <row r="1560" spans="2:10" x14ac:dyDescent="0.25">
      <c r="B1560" s="3" t="str">
        <f>IF([1]SCHEDULE!B1560="","",[1]SCHEDULE!B1560)</f>
        <v/>
      </c>
      <c r="C1560" s="3">
        <f>IF([1]SCHEDULE!C1560="","",[1]SCHEDULE!C1560)</f>
        <v>28</v>
      </c>
      <c r="D1560" s="1" t="e">
        <f>IF([1]SCHEDULE!D1560="","",[1]SCHEDULE!D1560)</f>
        <v>#N/A</v>
      </c>
      <c r="E1560" s="1" t="str">
        <f>IF([1]SCHEDULE!E1560="","",[1]SCHEDULE!E1560)</f>
        <v/>
      </c>
      <c r="F1560" s="6" t="str">
        <f>IF([1]SCHEDULE!F1560="","",[1]SCHEDULE!F1560)</f>
        <v/>
      </c>
      <c r="G1560" s="3" t="str">
        <f>IF([1]SCHEDULE!G1560="","",[1]SCHEDULE!G1560)</f>
        <v/>
      </c>
      <c r="H1560" s="3" t="str">
        <f>IF([1]SCHEDULE!H1560="","",[1]SCHEDULE!H1560)</f>
        <v/>
      </c>
      <c r="I1560" s="3" t="str">
        <f>IF([1]SCHEDULE!I1560="","",[1]SCHEDULE!I1560)</f>
        <v/>
      </c>
      <c r="J1560" s="3" t="str">
        <f>IF([1]SCHEDULE!J1560="","",[1]SCHEDULE!J1560)</f>
        <v/>
      </c>
    </row>
    <row r="1561" spans="2:10" x14ac:dyDescent="0.25">
      <c r="B1561" s="3" t="str">
        <f>IF([1]SCHEDULE!B1561="","",[1]SCHEDULE!B1561)</f>
        <v/>
      </c>
      <c r="C1561" s="3">
        <f>IF([1]SCHEDULE!C1561="","",[1]SCHEDULE!C1561)</f>
        <v>29</v>
      </c>
      <c r="D1561" s="1" t="e">
        <f>IF([1]SCHEDULE!D1561="","",[1]SCHEDULE!D1561)</f>
        <v>#N/A</v>
      </c>
      <c r="E1561" s="1" t="str">
        <f>IF([1]SCHEDULE!E1561="","",[1]SCHEDULE!E1561)</f>
        <v/>
      </c>
      <c r="F1561" s="6" t="str">
        <f>IF([1]SCHEDULE!F1561="","",[1]SCHEDULE!F1561)</f>
        <v/>
      </c>
      <c r="G1561" s="3" t="str">
        <f>IF([1]SCHEDULE!G1561="","",[1]SCHEDULE!G1561)</f>
        <v/>
      </c>
      <c r="H1561" s="3" t="str">
        <f>IF([1]SCHEDULE!H1561="","",[1]SCHEDULE!H1561)</f>
        <v/>
      </c>
      <c r="I1561" s="3" t="str">
        <f>IF([1]SCHEDULE!I1561="","",[1]SCHEDULE!I1561)</f>
        <v/>
      </c>
      <c r="J1561" s="3" t="str">
        <f>IF([1]SCHEDULE!J1561="","",[1]SCHEDULE!J1561)</f>
        <v/>
      </c>
    </row>
    <row r="1562" spans="2:10" x14ac:dyDescent="0.25">
      <c r="B1562" s="3" t="str">
        <f>IF([1]SCHEDULE!B1562="","",[1]SCHEDULE!B1562)</f>
        <v/>
      </c>
      <c r="C1562" s="3">
        <f>IF([1]SCHEDULE!C1562="","",[1]SCHEDULE!C1562)</f>
        <v>30</v>
      </c>
      <c r="D1562" s="1" t="e">
        <f>IF([1]SCHEDULE!D1562="","",[1]SCHEDULE!D1562)</f>
        <v>#N/A</v>
      </c>
      <c r="E1562" s="1" t="str">
        <f>IF([1]SCHEDULE!E1562="","",[1]SCHEDULE!E1562)</f>
        <v/>
      </c>
      <c r="F1562" s="6" t="str">
        <f>IF([1]SCHEDULE!F1562="","",[1]SCHEDULE!F1562)</f>
        <v/>
      </c>
      <c r="G1562" s="3" t="str">
        <f>IF([1]SCHEDULE!G1562="","",[1]SCHEDULE!G1562)</f>
        <v/>
      </c>
      <c r="H1562" s="3" t="str">
        <f>IF([1]SCHEDULE!H1562="","",[1]SCHEDULE!H1562)</f>
        <v/>
      </c>
      <c r="I1562" s="3" t="str">
        <f>IF([1]SCHEDULE!I1562="","",[1]SCHEDULE!I1562)</f>
        <v/>
      </c>
      <c r="J1562" s="3" t="str">
        <f>IF([1]SCHEDULE!J1562="","",[1]SCHEDULE!J1562)</f>
        <v/>
      </c>
    </row>
    <row r="1563" spans="2:10" x14ac:dyDescent="0.25">
      <c r="B1563" s="3" t="str">
        <f>IF([1]SCHEDULE!B1563="","",[1]SCHEDULE!B1563)</f>
        <v/>
      </c>
      <c r="C1563" s="3">
        <f>IF([1]SCHEDULE!C1563="","",[1]SCHEDULE!C1563)</f>
        <v>31</v>
      </c>
      <c r="D1563" s="1" t="e">
        <f>IF([1]SCHEDULE!D1563="","",[1]SCHEDULE!D1563)</f>
        <v>#N/A</v>
      </c>
      <c r="E1563" s="1" t="str">
        <f>IF([1]SCHEDULE!E1563="","",[1]SCHEDULE!E1563)</f>
        <v/>
      </c>
      <c r="F1563" s="6" t="str">
        <f>IF([1]SCHEDULE!F1563="","",[1]SCHEDULE!F1563)</f>
        <v/>
      </c>
      <c r="G1563" s="3" t="str">
        <f>IF([1]SCHEDULE!G1563="","",[1]SCHEDULE!G1563)</f>
        <v/>
      </c>
      <c r="H1563" s="3" t="str">
        <f>IF([1]SCHEDULE!H1563="","",[1]SCHEDULE!H1563)</f>
        <v/>
      </c>
      <c r="I1563" s="3" t="str">
        <f>IF([1]SCHEDULE!I1563="","",[1]SCHEDULE!I1563)</f>
        <v/>
      </c>
      <c r="J1563" s="3" t="str">
        <f>IF([1]SCHEDULE!J1563="","",[1]SCHEDULE!J1563)</f>
        <v/>
      </c>
    </row>
    <row r="1564" spans="2:10" x14ac:dyDescent="0.25">
      <c r="B1564" s="3" t="str">
        <f>IF([1]SCHEDULE!B1564="","",[1]SCHEDULE!B1564)</f>
        <v/>
      </c>
      <c r="C1564" s="3">
        <f>IF([1]SCHEDULE!C1564="","",[1]SCHEDULE!C1564)</f>
        <v>32</v>
      </c>
      <c r="D1564" s="1" t="e">
        <f>IF([1]SCHEDULE!D1564="","",[1]SCHEDULE!D1564)</f>
        <v>#N/A</v>
      </c>
      <c r="E1564" s="1" t="str">
        <f>IF([1]SCHEDULE!E1564="","",[1]SCHEDULE!E1564)</f>
        <v/>
      </c>
      <c r="F1564" s="6" t="str">
        <f>IF([1]SCHEDULE!F1564="","",[1]SCHEDULE!F1564)</f>
        <v/>
      </c>
      <c r="G1564" s="3" t="str">
        <f>IF([1]SCHEDULE!G1564="","",[1]SCHEDULE!G1564)</f>
        <v/>
      </c>
      <c r="H1564" s="3" t="str">
        <f>IF([1]SCHEDULE!H1564="","",[1]SCHEDULE!H1564)</f>
        <v/>
      </c>
      <c r="I1564" s="3" t="str">
        <f>IF([1]SCHEDULE!I1564="","",[1]SCHEDULE!I1564)</f>
        <v/>
      </c>
      <c r="J1564" s="3" t="str">
        <f>IF([1]SCHEDULE!J1564="","",[1]SCHEDULE!J1564)</f>
        <v/>
      </c>
    </row>
    <row r="1565" spans="2:10" x14ac:dyDescent="0.25">
      <c r="B1565" s="3" t="str">
        <f>IF([1]SCHEDULE!B1565="","",[1]SCHEDULE!B1565)</f>
        <v/>
      </c>
      <c r="C1565" s="3">
        <f>IF([1]SCHEDULE!C1565="","",[1]SCHEDULE!C1565)</f>
        <v>33</v>
      </c>
      <c r="D1565" s="1" t="e">
        <f>IF([1]SCHEDULE!D1565="","",[1]SCHEDULE!D1565)</f>
        <v>#N/A</v>
      </c>
      <c r="E1565" s="1" t="str">
        <f>IF([1]SCHEDULE!E1565="","",[1]SCHEDULE!E1565)</f>
        <v/>
      </c>
      <c r="F1565" s="6" t="str">
        <f>IF([1]SCHEDULE!F1565="","",[1]SCHEDULE!F1565)</f>
        <v/>
      </c>
      <c r="G1565" s="3" t="str">
        <f>IF([1]SCHEDULE!G1565="","",[1]SCHEDULE!G1565)</f>
        <v/>
      </c>
      <c r="H1565" s="3" t="str">
        <f>IF([1]SCHEDULE!H1565="","",[1]SCHEDULE!H1565)</f>
        <v/>
      </c>
      <c r="I1565" s="3" t="str">
        <f>IF([1]SCHEDULE!I1565="","",[1]SCHEDULE!I1565)</f>
        <v/>
      </c>
      <c r="J1565" s="3" t="str">
        <f>IF([1]SCHEDULE!J1565="","",[1]SCHEDULE!J1565)</f>
        <v/>
      </c>
    </row>
    <row r="1566" spans="2:10" x14ac:dyDescent="0.25">
      <c r="B1566" s="3" t="str">
        <f>IF([1]SCHEDULE!B1566="","",[1]SCHEDULE!B1566)</f>
        <v/>
      </c>
      <c r="C1566" s="3">
        <f>IF([1]SCHEDULE!C1566="","",[1]SCHEDULE!C1566)</f>
        <v>34</v>
      </c>
      <c r="D1566" s="1" t="e">
        <f>IF([1]SCHEDULE!D1566="","",[1]SCHEDULE!D1566)</f>
        <v>#N/A</v>
      </c>
      <c r="E1566" s="1" t="str">
        <f>IF([1]SCHEDULE!E1566="","",[1]SCHEDULE!E1566)</f>
        <v/>
      </c>
      <c r="F1566" s="6" t="str">
        <f>IF([1]SCHEDULE!F1566="","",[1]SCHEDULE!F1566)</f>
        <v/>
      </c>
      <c r="G1566" s="3" t="str">
        <f>IF([1]SCHEDULE!G1566="","",[1]SCHEDULE!G1566)</f>
        <v/>
      </c>
      <c r="H1566" s="3" t="str">
        <f>IF([1]SCHEDULE!H1566="","",[1]SCHEDULE!H1566)</f>
        <v/>
      </c>
      <c r="I1566" s="3" t="str">
        <f>IF([1]SCHEDULE!I1566="","",[1]SCHEDULE!I1566)</f>
        <v/>
      </c>
      <c r="J1566" s="3" t="str">
        <f>IF([1]SCHEDULE!J1566="","",[1]SCHEDULE!J1566)</f>
        <v/>
      </c>
    </row>
    <row r="1567" spans="2:10" x14ac:dyDescent="0.25">
      <c r="B1567" s="3" t="str">
        <f>IF([1]SCHEDULE!B1567="","",[1]SCHEDULE!B1567)</f>
        <v/>
      </c>
      <c r="C1567" s="3">
        <f>IF([1]SCHEDULE!C1567="","",[1]SCHEDULE!C1567)</f>
        <v>35</v>
      </c>
      <c r="D1567" s="1" t="e">
        <f>IF([1]SCHEDULE!D1567="","",[1]SCHEDULE!D1567)</f>
        <v>#N/A</v>
      </c>
      <c r="E1567" s="1" t="str">
        <f>IF([1]SCHEDULE!E1567="","",[1]SCHEDULE!E1567)</f>
        <v/>
      </c>
      <c r="F1567" s="6" t="str">
        <f>IF([1]SCHEDULE!F1567="","",[1]SCHEDULE!F1567)</f>
        <v/>
      </c>
      <c r="G1567" s="3" t="str">
        <f>IF([1]SCHEDULE!G1567="","",[1]SCHEDULE!G1567)</f>
        <v/>
      </c>
      <c r="H1567" s="3" t="str">
        <f>IF([1]SCHEDULE!H1567="","",[1]SCHEDULE!H1567)</f>
        <v/>
      </c>
      <c r="I1567" s="3" t="str">
        <f>IF([1]SCHEDULE!I1567="","",[1]SCHEDULE!I1567)</f>
        <v/>
      </c>
      <c r="J1567" s="3" t="str">
        <f>IF([1]SCHEDULE!J1567="","",[1]SCHEDULE!J1567)</f>
        <v/>
      </c>
    </row>
    <row r="1568" spans="2:10" x14ac:dyDescent="0.25">
      <c r="B1568" s="3" t="str">
        <f>IF([1]SCHEDULE!B1568="","",[1]SCHEDULE!B1568)</f>
        <v/>
      </c>
      <c r="C1568" s="3">
        <f>IF([1]SCHEDULE!C1568="","",[1]SCHEDULE!C1568)</f>
        <v>36</v>
      </c>
      <c r="D1568" s="1" t="e">
        <f>IF([1]SCHEDULE!D1568="","",[1]SCHEDULE!D1568)</f>
        <v>#N/A</v>
      </c>
      <c r="E1568" s="1" t="str">
        <f>IF([1]SCHEDULE!E1568="","",[1]SCHEDULE!E1568)</f>
        <v/>
      </c>
      <c r="F1568" s="6" t="str">
        <f>IF([1]SCHEDULE!F1568="","",[1]SCHEDULE!F1568)</f>
        <v/>
      </c>
      <c r="G1568" s="3" t="str">
        <f>IF([1]SCHEDULE!G1568="","",[1]SCHEDULE!G1568)</f>
        <v/>
      </c>
      <c r="H1568" s="3" t="str">
        <f>IF([1]SCHEDULE!H1568="","",[1]SCHEDULE!H1568)</f>
        <v/>
      </c>
      <c r="I1568" s="3" t="str">
        <f>IF([1]SCHEDULE!I1568="","",[1]SCHEDULE!I1568)</f>
        <v/>
      </c>
      <c r="J1568" s="3" t="str">
        <f>IF([1]SCHEDULE!J1568="","",[1]SCHEDULE!J1568)</f>
        <v/>
      </c>
    </row>
    <row r="1569" spans="2:10" x14ac:dyDescent="0.25">
      <c r="B1569" s="3" t="str">
        <f>IF([1]SCHEDULE!B1569="","",[1]SCHEDULE!B1569)</f>
        <v/>
      </c>
      <c r="C1569" s="3">
        <f>IF([1]SCHEDULE!C1569="","",[1]SCHEDULE!C1569)</f>
        <v>37</v>
      </c>
      <c r="D1569" s="1" t="e">
        <f>IF([1]SCHEDULE!D1569="","",[1]SCHEDULE!D1569)</f>
        <v>#N/A</v>
      </c>
      <c r="E1569" s="1" t="str">
        <f>IF([1]SCHEDULE!E1569="","",[1]SCHEDULE!E1569)</f>
        <v/>
      </c>
      <c r="F1569" s="6" t="str">
        <f>IF([1]SCHEDULE!F1569="","",[1]SCHEDULE!F1569)</f>
        <v/>
      </c>
      <c r="G1569" s="3" t="str">
        <f>IF([1]SCHEDULE!G1569="","",[1]SCHEDULE!G1569)</f>
        <v/>
      </c>
      <c r="H1569" s="3" t="str">
        <f>IF([1]SCHEDULE!H1569="","",[1]SCHEDULE!H1569)</f>
        <v/>
      </c>
      <c r="I1569" s="3" t="str">
        <f>IF([1]SCHEDULE!I1569="","",[1]SCHEDULE!I1569)</f>
        <v/>
      </c>
      <c r="J1569" s="3" t="str">
        <f>IF([1]SCHEDULE!J1569="","",[1]SCHEDULE!J1569)</f>
        <v/>
      </c>
    </row>
    <row r="1570" spans="2:10" x14ac:dyDescent="0.25">
      <c r="B1570" s="3" t="str">
        <f>IF([1]SCHEDULE!B1570="","",[1]SCHEDULE!B1570)</f>
        <v/>
      </c>
      <c r="C1570" s="3">
        <f>IF([1]SCHEDULE!C1570="","",[1]SCHEDULE!C1570)</f>
        <v>38</v>
      </c>
      <c r="D1570" s="1" t="e">
        <f>IF([1]SCHEDULE!D1570="","",[1]SCHEDULE!D1570)</f>
        <v>#N/A</v>
      </c>
      <c r="E1570" s="1" t="str">
        <f>IF([1]SCHEDULE!E1570="","",[1]SCHEDULE!E1570)</f>
        <v/>
      </c>
      <c r="F1570" s="6" t="str">
        <f>IF([1]SCHEDULE!F1570="","",[1]SCHEDULE!F1570)</f>
        <v/>
      </c>
      <c r="G1570" s="3" t="str">
        <f>IF([1]SCHEDULE!G1570="","",[1]SCHEDULE!G1570)</f>
        <v/>
      </c>
      <c r="H1570" s="3" t="str">
        <f>IF([1]SCHEDULE!H1570="","",[1]SCHEDULE!H1570)</f>
        <v/>
      </c>
      <c r="I1570" s="3" t="str">
        <f>IF([1]SCHEDULE!I1570="","",[1]SCHEDULE!I1570)</f>
        <v/>
      </c>
      <c r="J1570" s="3" t="str">
        <f>IF([1]SCHEDULE!J1570="","",[1]SCHEDULE!J1570)</f>
        <v/>
      </c>
    </row>
    <row r="1571" spans="2:10" x14ac:dyDescent="0.25">
      <c r="B1571" s="3" t="str">
        <f>IF([1]SCHEDULE!B1571="","",[1]SCHEDULE!B1571)</f>
        <v/>
      </c>
      <c r="C1571" s="3">
        <f>IF([1]SCHEDULE!C1571="","",[1]SCHEDULE!C1571)</f>
        <v>39</v>
      </c>
      <c r="D1571" s="1" t="e">
        <f>IF([1]SCHEDULE!D1571="","",[1]SCHEDULE!D1571)</f>
        <v>#N/A</v>
      </c>
      <c r="E1571" s="1" t="str">
        <f>IF([1]SCHEDULE!E1571="","",[1]SCHEDULE!E1571)</f>
        <v/>
      </c>
      <c r="F1571" s="6" t="str">
        <f>IF([1]SCHEDULE!F1571="","",[1]SCHEDULE!F1571)</f>
        <v/>
      </c>
      <c r="G1571" s="3" t="str">
        <f>IF([1]SCHEDULE!G1571="","",[1]SCHEDULE!G1571)</f>
        <v/>
      </c>
      <c r="H1571" s="3" t="str">
        <f>IF([1]SCHEDULE!H1571="","",[1]SCHEDULE!H1571)</f>
        <v/>
      </c>
      <c r="I1571" s="3" t="str">
        <f>IF([1]SCHEDULE!I1571="","",[1]SCHEDULE!I1571)</f>
        <v/>
      </c>
      <c r="J1571" s="3" t="str">
        <f>IF([1]SCHEDULE!J1571="","",[1]SCHEDULE!J1571)</f>
        <v/>
      </c>
    </row>
    <row r="1572" spans="2:10" x14ac:dyDescent="0.25">
      <c r="B1572" s="3" t="str">
        <f>IF([1]SCHEDULE!B1572="","",[1]SCHEDULE!B1572)</f>
        <v/>
      </c>
      <c r="C1572" s="3">
        <f>IF([1]SCHEDULE!C1572="","",[1]SCHEDULE!C1572)</f>
        <v>40</v>
      </c>
      <c r="D1572" s="1" t="e">
        <f>IF([1]SCHEDULE!D1572="","",[1]SCHEDULE!D1572)</f>
        <v>#N/A</v>
      </c>
      <c r="E1572" s="1" t="str">
        <f>IF([1]SCHEDULE!E1572="","",[1]SCHEDULE!E1572)</f>
        <v/>
      </c>
      <c r="F1572" s="6" t="str">
        <f>IF([1]SCHEDULE!F1572="","",[1]SCHEDULE!F1572)</f>
        <v/>
      </c>
      <c r="G1572" s="3" t="str">
        <f>IF([1]SCHEDULE!G1572="","",[1]SCHEDULE!G1572)</f>
        <v/>
      </c>
      <c r="H1572" s="3" t="str">
        <f>IF([1]SCHEDULE!H1572="","",[1]SCHEDULE!H1572)</f>
        <v/>
      </c>
      <c r="I1572" s="3" t="str">
        <f>IF([1]SCHEDULE!I1572="","",[1]SCHEDULE!I1572)</f>
        <v/>
      </c>
      <c r="J1572" s="3" t="str">
        <f>IF([1]SCHEDULE!J1572="","",[1]SCHEDULE!J1572)</f>
        <v/>
      </c>
    </row>
    <row r="1573" spans="2:10" x14ac:dyDescent="0.25">
      <c r="B1573" s="3" t="str">
        <f>IF([1]SCHEDULE!B1573="","",[1]SCHEDULE!B1573)</f>
        <v/>
      </c>
      <c r="C1573" s="3">
        <f>IF([1]SCHEDULE!C1573="","",[1]SCHEDULE!C1573)</f>
        <v>41</v>
      </c>
      <c r="D1573" s="1" t="e">
        <f>IF([1]SCHEDULE!D1573="","",[1]SCHEDULE!D1573)</f>
        <v>#N/A</v>
      </c>
      <c r="E1573" s="1" t="str">
        <f>IF([1]SCHEDULE!E1573="","",[1]SCHEDULE!E1573)</f>
        <v/>
      </c>
      <c r="F1573" s="6" t="str">
        <f>IF([1]SCHEDULE!F1573="","",[1]SCHEDULE!F1573)</f>
        <v/>
      </c>
      <c r="G1573" s="3" t="str">
        <f>IF([1]SCHEDULE!G1573="","",[1]SCHEDULE!G1573)</f>
        <v/>
      </c>
      <c r="H1573" s="3" t="str">
        <f>IF([1]SCHEDULE!H1573="","",[1]SCHEDULE!H1573)</f>
        <v/>
      </c>
      <c r="I1573" s="3" t="str">
        <f>IF([1]SCHEDULE!I1573="","",[1]SCHEDULE!I1573)</f>
        <v/>
      </c>
      <c r="J1573" s="3" t="str">
        <f>IF([1]SCHEDULE!J1573="","",[1]SCHEDULE!J1573)</f>
        <v/>
      </c>
    </row>
    <row r="1574" spans="2:10" x14ac:dyDescent="0.25">
      <c r="B1574" s="3" t="str">
        <f>IF([1]SCHEDULE!B1574="","",[1]SCHEDULE!B1574)</f>
        <v/>
      </c>
      <c r="C1574" s="3">
        <f>IF([1]SCHEDULE!C1574="","",[1]SCHEDULE!C1574)</f>
        <v>42</v>
      </c>
      <c r="D1574" s="1" t="e">
        <f>IF([1]SCHEDULE!D1574="","",[1]SCHEDULE!D1574)</f>
        <v>#N/A</v>
      </c>
      <c r="E1574" s="1" t="str">
        <f>IF([1]SCHEDULE!E1574="","",[1]SCHEDULE!E1574)</f>
        <v/>
      </c>
      <c r="F1574" s="6" t="str">
        <f>IF([1]SCHEDULE!F1574="","",[1]SCHEDULE!F1574)</f>
        <v/>
      </c>
      <c r="G1574" s="3" t="str">
        <f>IF([1]SCHEDULE!G1574="","",[1]SCHEDULE!G1574)</f>
        <v/>
      </c>
      <c r="H1574" s="3" t="str">
        <f>IF([1]SCHEDULE!H1574="","",[1]SCHEDULE!H1574)</f>
        <v/>
      </c>
      <c r="I1574" s="3" t="str">
        <f>IF([1]SCHEDULE!I1574="","",[1]SCHEDULE!I1574)</f>
        <v/>
      </c>
      <c r="J1574" s="3" t="str">
        <f>IF([1]SCHEDULE!J1574="","",[1]SCHEDULE!J1574)</f>
        <v/>
      </c>
    </row>
    <row r="1575" spans="2:10" x14ac:dyDescent="0.25">
      <c r="B1575" s="3" t="str">
        <f>IF([1]SCHEDULE!B1575="","",[1]SCHEDULE!B1575)</f>
        <v/>
      </c>
      <c r="C1575" s="3">
        <f>IF([1]SCHEDULE!C1575="","",[1]SCHEDULE!C1575)</f>
        <v>43</v>
      </c>
      <c r="D1575" s="1" t="e">
        <f>IF([1]SCHEDULE!D1575="","",[1]SCHEDULE!D1575)</f>
        <v>#N/A</v>
      </c>
      <c r="E1575" s="1" t="str">
        <f>IF([1]SCHEDULE!E1575="","",[1]SCHEDULE!E1575)</f>
        <v/>
      </c>
      <c r="F1575" s="6" t="str">
        <f>IF([1]SCHEDULE!F1575="","",[1]SCHEDULE!F1575)</f>
        <v/>
      </c>
      <c r="G1575" s="3" t="str">
        <f>IF([1]SCHEDULE!G1575="","",[1]SCHEDULE!G1575)</f>
        <v/>
      </c>
      <c r="H1575" s="3" t="str">
        <f>IF([1]SCHEDULE!H1575="","",[1]SCHEDULE!H1575)</f>
        <v/>
      </c>
      <c r="I1575" s="3" t="str">
        <f>IF([1]SCHEDULE!I1575="","",[1]SCHEDULE!I1575)</f>
        <v/>
      </c>
      <c r="J1575" s="3" t="str">
        <f>IF([1]SCHEDULE!J1575="","",[1]SCHEDULE!J1575)</f>
        <v/>
      </c>
    </row>
    <row r="1576" spans="2:10" x14ac:dyDescent="0.25">
      <c r="B1576" s="3" t="str">
        <f>IF([1]SCHEDULE!B1576="","",[1]SCHEDULE!B1576)</f>
        <v/>
      </c>
      <c r="C1576" s="3">
        <f>IF([1]SCHEDULE!C1576="","",[1]SCHEDULE!C1576)</f>
        <v>44</v>
      </c>
      <c r="D1576" s="1" t="e">
        <f>IF([1]SCHEDULE!D1576="","",[1]SCHEDULE!D1576)</f>
        <v>#N/A</v>
      </c>
      <c r="E1576" s="1" t="str">
        <f>IF([1]SCHEDULE!E1576="","",[1]SCHEDULE!E1576)</f>
        <v/>
      </c>
      <c r="F1576" s="6" t="str">
        <f>IF([1]SCHEDULE!F1576="","",[1]SCHEDULE!F1576)</f>
        <v/>
      </c>
      <c r="G1576" s="3" t="str">
        <f>IF([1]SCHEDULE!G1576="","",[1]SCHEDULE!G1576)</f>
        <v/>
      </c>
      <c r="H1576" s="3" t="str">
        <f>IF([1]SCHEDULE!H1576="","",[1]SCHEDULE!H1576)</f>
        <v/>
      </c>
      <c r="I1576" s="3" t="str">
        <f>IF([1]SCHEDULE!I1576="","",[1]SCHEDULE!I1576)</f>
        <v/>
      </c>
      <c r="J1576" s="3" t="str">
        <f>IF([1]SCHEDULE!J1576="","",[1]SCHEDULE!J1576)</f>
        <v/>
      </c>
    </row>
    <row r="1577" spans="2:10" x14ac:dyDescent="0.25">
      <c r="B1577" s="3" t="str">
        <f>IF([1]SCHEDULE!B1577="","",[1]SCHEDULE!B1577)</f>
        <v/>
      </c>
      <c r="C1577" s="3">
        <f>IF([1]SCHEDULE!C1577="","",[1]SCHEDULE!C1577)</f>
        <v>45</v>
      </c>
      <c r="D1577" s="1" t="e">
        <f>IF([1]SCHEDULE!D1577="","",[1]SCHEDULE!D1577)</f>
        <v>#N/A</v>
      </c>
      <c r="E1577" s="1" t="str">
        <f>IF([1]SCHEDULE!E1577="","",[1]SCHEDULE!E1577)</f>
        <v/>
      </c>
      <c r="F1577" s="6" t="str">
        <f>IF([1]SCHEDULE!F1577="","",[1]SCHEDULE!F1577)</f>
        <v/>
      </c>
      <c r="G1577" s="3" t="str">
        <f>IF([1]SCHEDULE!G1577="","",[1]SCHEDULE!G1577)</f>
        <v/>
      </c>
      <c r="H1577" s="3" t="str">
        <f>IF([1]SCHEDULE!H1577="","",[1]SCHEDULE!H1577)</f>
        <v/>
      </c>
      <c r="I1577" s="3" t="str">
        <f>IF([1]SCHEDULE!I1577="","",[1]SCHEDULE!I1577)</f>
        <v/>
      </c>
      <c r="J1577" s="3" t="str">
        <f>IF([1]SCHEDULE!J1577="","",[1]SCHEDULE!J1577)</f>
        <v/>
      </c>
    </row>
    <row r="1578" spans="2:10" x14ac:dyDescent="0.25">
      <c r="B1578" s="3" t="str">
        <f>IF([1]SCHEDULE!B1578="","",[1]SCHEDULE!B1578)</f>
        <v/>
      </c>
      <c r="C1578" s="3">
        <f>IF([1]SCHEDULE!C1578="","",[1]SCHEDULE!C1578)</f>
        <v>46</v>
      </c>
      <c r="D1578" s="1" t="e">
        <f>IF([1]SCHEDULE!D1578="","",[1]SCHEDULE!D1578)</f>
        <v>#N/A</v>
      </c>
      <c r="E1578" s="1" t="str">
        <f>IF([1]SCHEDULE!E1578="","",[1]SCHEDULE!E1578)</f>
        <v/>
      </c>
      <c r="F1578" s="6" t="str">
        <f>IF([1]SCHEDULE!F1578="","",[1]SCHEDULE!F1578)</f>
        <v/>
      </c>
      <c r="G1578" s="3" t="str">
        <f>IF([1]SCHEDULE!G1578="","",[1]SCHEDULE!G1578)</f>
        <v/>
      </c>
      <c r="H1578" s="3" t="str">
        <f>IF([1]SCHEDULE!H1578="","",[1]SCHEDULE!H1578)</f>
        <v/>
      </c>
      <c r="I1578" s="3" t="str">
        <f>IF([1]SCHEDULE!I1578="","",[1]SCHEDULE!I1578)</f>
        <v/>
      </c>
      <c r="J1578" s="3" t="str">
        <f>IF([1]SCHEDULE!J1578="","",[1]SCHEDULE!J1578)</f>
        <v/>
      </c>
    </row>
    <row r="1579" spans="2:10" x14ac:dyDescent="0.25">
      <c r="B1579" s="3" t="str">
        <f>IF([1]SCHEDULE!B1579="","",[1]SCHEDULE!B1579)</f>
        <v/>
      </c>
      <c r="C1579" s="3">
        <f>IF([1]SCHEDULE!C1579="","",[1]SCHEDULE!C1579)</f>
        <v>47</v>
      </c>
      <c r="D1579" s="1" t="e">
        <f>IF([1]SCHEDULE!D1579="","",[1]SCHEDULE!D1579)</f>
        <v>#N/A</v>
      </c>
      <c r="E1579" s="1" t="str">
        <f>IF([1]SCHEDULE!E1579="","",[1]SCHEDULE!E1579)</f>
        <v/>
      </c>
      <c r="F1579" s="6" t="str">
        <f>IF([1]SCHEDULE!F1579="","",[1]SCHEDULE!F1579)</f>
        <v/>
      </c>
      <c r="G1579" s="3" t="str">
        <f>IF([1]SCHEDULE!G1579="","",[1]SCHEDULE!G1579)</f>
        <v/>
      </c>
      <c r="H1579" s="3" t="str">
        <f>IF([1]SCHEDULE!H1579="","",[1]SCHEDULE!H1579)</f>
        <v/>
      </c>
      <c r="I1579" s="3" t="str">
        <f>IF([1]SCHEDULE!I1579="","",[1]SCHEDULE!I1579)</f>
        <v/>
      </c>
      <c r="J1579" s="3" t="str">
        <f>IF([1]SCHEDULE!J1579="","",[1]SCHEDULE!J1579)</f>
        <v/>
      </c>
    </row>
    <row r="1580" spans="2:10" x14ac:dyDescent="0.25">
      <c r="B1580" s="3" t="str">
        <f>IF([1]SCHEDULE!B1580="","",[1]SCHEDULE!B1580)</f>
        <v/>
      </c>
      <c r="C1580" s="3">
        <f>IF([1]SCHEDULE!C1580="","",[1]SCHEDULE!C1580)</f>
        <v>48</v>
      </c>
      <c r="D1580" s="1" t="e">
        <f>IF([1]SCHEDULE!D1580="","",[1]SCHEDULE!D1580)</f>
        <v>#N/A</v>
      </c>
      <c r="E1580" s="1" t="str">
        <f>IF([1]SCHEDULE!E1580="","",[1]SCHEDULE!E1580)</f>
        <v/>
      </c>
      <c r="F1580" s="6" t="str">
        <f>IF([1]SCHEDULE!F1580="","",[1]SCHEDULE!F1580)</f>
        <v/>
      </c>
      <c r="G1580" s="3" t="str">
        <f>IF([1]SCHEDULE!G1580="","",[1]SCHEDULE!G1580)</f>
        <v/>
      </c>
      <c r="H1580" s="3" t="str">
        <f>IF([1]SCHEDULE!H1580="","",[1]SCHEDULE!H1580)</f>
        <v/>
      </c>
      <c r="I1580" s="3" t="str">
        <f>IF([1]SCHEDULE!I1580="","",[1]SCHEDULE!I1580)</f>
        <v/>
      </c>
      <c r="J1580" s="3" t="str">
        <f>IF([1]SCHEDULE!J1580="","",[1]SCHEDULE!J1580)</f>
        <v/>
      </c>
    </row>
    <row r="1581" spans="2:10" x14ac:dyDescent="0.25">
      <c r="B1581" s="3" t="str">
        <f>IF([1]SCHEDULE!B1581="","",[1]SCHEDULE!B1581)</f>
        <v/>
      </c>
      <c r="C1581" s="3">
        <f>IF([1]SCHEDULE!C1581="","",[1]SCHEDULE!C1581)</f>
        <v>49</v>
      </c>
      <c r="D1581" s="1" t="e">
        <f>IF([1]SCHEDULE!D1581="","",[1]SCHEDULE!D1581)</f>
        <v>#N/A</v>
      </c>
      <c r="E1581" s="1" t="str">
        <f>IF([1]SCHEDULE!E1581="","",[1]SCHEDULE!E1581)</f>
        <v/>
      </c>
      <c r="F1581" s="6" t="str">
        <f>IF([1]SCHEDULE!F1581="","",[1]SCHEDULE!F1581)</f>
        <v/>
      </c>
      <c r="G1581" s="3" t="str">
        <f>IF([1]SCHEDULE!G1581="","",[1]SCHEDULE!G1581)</f>
        <v/>
      </c>
      <c r="H1581" s="3" t="str">
        <f>IF([1]SCHEDULE!H1581="","",[1]SCHEDULE!H1581)</f>
        <v/>
      </c>
      <c r="I1581" s="3" t="str">
        <f>IF([1]SCHEDULE!I1581="","",[1]SCHEDULE!I1581)</f>
        <v/>
      </c>
      <c r="J1581" s="3" t="str">
        <f>IF([1]SCHEDULE!J1581="","",[1]SCHEDULE!J1581)</f>
        <v/>
      </c>
    </row>
    <row r="1582" spans="2:10" x14ac:dyDescent="0.25">
      <c r="B1582" s="3" t="str">
        <f>IF([1]SCHEDULE!B1582="","",[1]SCHEDULE!B1582)</f>
        <v/>
      </c>
      <c r="C1582" s="3">
        <f>IF([1]SCHEDULE!C1582="","",[1]SCHEDULE!C1582)</f>
        <v>50</v>
      </c>
      <c r="D1582" s="1" t="e">
        <f>IF([1]SCHEDULE!D1582="","",[1]SCHEDULE!D1582)</f>
        <v>#N/A</v>
      </c>
      <c r="E1582" s="1" t="str">
        <f>IF([1]SCHEDULE!E1582="","",[1]SCHEDULE!E1582)</f>
        <v/>
      </c>
      <c r="F1582" s="6" t="str">
        <f>IF([1]SCHEDULE!F1582="","",[1]SCHEDULE!F1582)</f>
        <v/>
      </c>
      <c r="G1582" s="3" t="str">
        <f>IF([1]SCHEDULE!G1582="","",[1]SCHEDULE!G1582)</f>
        <v/>
      </c>
      <c r="H1582" s="3" t="str">
        <f>IF([1]SCHEDULE!H1582="","",[1]SCHEDULE!H1582)</f>
        <v/>
      </c>
      <c r="I1582" s="3" t="str">
        <f>IF([1]SCHEDULE!I1582="","",[1]SCHEDULE!I1582)</f>
        <v/>
      </c>
      <c r="J1582" s="3" t="str">
        <f>IF([1]SCHEDULE!J1582="","",[1]SCHEDULE!J1582)</f>
        <v/>
      </c>
    </row>
    <row r="1583" spans="2:10" x14ac:dyDescent="0.25">
      <c r="B1583" s="3" t="str">
        <f>IF([1]SCHEDULE!B1583="","",[1]SCHEDULE!B1583)</f>
        <v/>
      </c>
      <c r="C1583" s="3">
        <f>IF([1]SCHEDULE!C1583="","",[1]SCHEDULE!C1583)</f>
        <v>51</v>
      </c>
      <c r="D1583" s="1" t="e">
        <f>IF([1]SCHEDULE!D1583="","",[1]SCHEDULE!D1583)</f>
        <v>#N/A</v>
      </c>
      <c r="E1583" s="1" t="str">
        <f>IF([1]SCHEDULE!E1583="","",[1]SCHEDULE!E1583)</f>
        <v/>
      </c>
      <c r="F1583" s="6" t="str">
        <f>IF([1]SCHEDULE!F1583="","",[1]SCHEDULE!F1583)</f>
        <v/>
      </c>
      <c r="G1583" s="3" t="str">
        <f>IF([1]SCHEDULE!G1583="","",[1]SCHEDULE!G1583)</f>
        <v/>
      </c>
      <c r="H1583" s="3" t="str">
        <f>IF([1]SCHEDULE!H1583="","",[1]SCHEDULE!H1583)</f>
        <v/>
      </c>
      <c r="I1583" s="3" t="str">
        <f>IF([1]SCHEDULE!I1583="","",[1]SCHEDULE!I1583)</f>
        <v/>
      </c>
      <c r="J1583" s="3" t="str">
        <f>IF([1]SCHEDULE!J1583="","",[1]SCHEDULE!J1583)</f>
        <v/>
      </c>
    </row>
    <row r="1584" spans="2:10" x14ac:dyDescent="0.25">
      <c r="B1584" s="3" t="str">
        <f>IF([1]SCHEDULE!B1584="","",[1]SCHEDULE!B1584)</f>
        <v/>
      </c>
      <c r="C1584" s="3">
        <f>IF([1]SCHEDULE!C1584="","",[1]SCHEDULE!C1584)</f>
        <v>1</v>
      </c>
      <c r="D1584" s="1" t="e">
        <f>IF([1]SCHEDULE!D1584="","",[1]SCHEDULE!D1584)</f>
        <v>#N/A</v>
      </c>
      <c r="E1584" s="1" t="str">
        <f>IF([1]SCHEDULE!E1584="","",[1]SCHEDULE!E1584)</f>
        <v/>
      </c>
      <c r="F1584" s="6" t="str">
        <f>IF([1]SCHEDULE!F1584="","",[1]SCHEDULE!F1584)</f>
        <v/>
      </c>
      <c r="G1584" s="3" t="str">
        <f>IF([1]SCHEDULE!G1584="","",[1]SCHEDULE!G1584)</f>
        <v/>
      </c>
      <c r="H1584" s="3" t="str">
        <f>IF([1]SCHEDULE!H1584="","",[1]SCHEDULE!H1584)</f>
        <v/>
      </c>
      <c r="I1584" s="3" t="str">
        <f>IF([1]SCHEDULE!I1584="","",[1]SCHEDULE!I1584)</f>
        <v/>
      </c>
      <c r="J1584" s="3" t="str">
        <f>IF([1]SCHEDULE!J1584="","",[1]SCHEDULE!J1584)</f>
        <v/>
      </c>
    </row>
    <row r="1585" spans="2:10" x14ac:dyDescent="0.25">
      <c r="B1585" s="3" t="str">
        <f>IF([1]SCHEDULE!B1585="","",[1]SCHEDULE!B1585)</f>
        <v/>
      </c>
      <c r="C1585" s="3">
        <f>IF([1]SCHEDULE!C1585="","",[1]SCHEDULE!C1585)</f>
        <v>2</v>
      </c>
      <c r="D1585" s="1" t="e">
        <f>IF([1]SCHEDULE!D1585="","",[1]SCHEDULE!D1585)</f>
        <v>#N/A</v>
      </c>
      <c r="E1585" s="1" t="str">
        <f>IF([1]SCHEDULE!E1585="","",[1]SCHEDULE!E1585)</f>
        <v/>
      </c>
      <c r="F1585" s="6" t="str">
        <f>IF([1]SCHEDULE!F1585="","",[1]SCHEDULE!F1585)</f>
        <v/>
      </c>
      <c r="G1585" s="3" t="str">
        <f>IF([1]SCHEDULE!G1585="","",[1]SCHEDULE!G1585)</f>
        <v/>
      </c>
      <c r="H1585" s="3" t="str">
        <f>IF([1]SCHEDULE!H1585="","",[1]SCHEDULE!H1585)</f>
        <v/>
      </c>
      <c r="I1585" s="3" t="str">
        <f>IF([1]SCHEDULE!I1585="","",[1]SCHEDULE!I1585)</f>
        <v/>
      </c>
      <c r="J1585" s="3" t="str">
        <f>IF([1]SCHEDULE!J1585="","",[1]SCHEDULE!J1585)</f>
        <v/>
      </c>
    </row>
    <row r="1586" spans="2:10" x14ac:dyDescent="0.25">
      <c r="B1586" s="3" t="str">
        <f>IF([1]SCHEDULE!B1586="","",[1]SCHEDULE!B1586)</f>
        <v/>
      </c>
      <c r="C1586" s="3">
        <f>IF([1]SCHEDULE!C1586="","",[1]SCHEDULE!C1586)</f>
        <v>3</v>
      </c>
      <c r="D1586" s="1" t="e">
        <f>IF([1]SCHEDULE!D1586="","",[1]SCHEDULE!D1586)</f>
        <v>#N/A</v>
      </c>
      <c r="E1586" s="1" t="str">
        <f>IF([1]SCHEDULE!E1586="","",[1]SCHEDULE!E1586)</f>
        <v/>
      </c>
      <c r="F1586" s="6" t="str">
        <f>IF([1]SCHEDULE!F1586="","",[1]SCHEDULE!F1586)</f>
        <v/>
      </c>
      <c r="G1586" s="3" t="str">
        <f>IF([1]SCHEDULE!G1586="","",[1]SCHEDULE!G1586)</f>
        <v/>
      </c>
      <c r="H1586" s="3" t="str">
        <f>IF([1]SCHEDULE!H1586="","",[1]SCHEDULE!H1586)</f>
        <v/>
      </c>
      <c r="I1586" s="3" t="str">
        <f>IF([1]SCHEDULE!I1586="","",[1]SCHEDULE!I1586)</f>
        <v/>
      </c>
      <c r="J1586" s="3" t="str">
        <f>IF([1]SCHEDULE!J1586="","",[1]SCHEDULE!J1586)</f>
        <v/>
      </c>
    </row>
    <row r="1587" spans="2:10" x14ac:dyDescent="0.25">
      <c r="B1587" s="3" t="str">
        <f>IF([1]SCHEDULE!B1587="","",[1]SCHEDULE!B1587)</f>
        <v/>
      </c>
      <c r="C1587" s="3">
        <f>IF([1]SCHEDULE!C1587="","",[1]SCHEDULE!C1587)</f>
        <v>4</v>
      </c>
      <c r="D1587" s="1" t="e">
        <f>IF([1]SCHEDULE!D1587="","",[1]SCHEDULE!D1587)</f>
        <v>#N/A</v>
      </c>
      <c r="E1587" s="1" t="str">
        <f>IF([1]SCHEDULE!E1587="","",[1]SCHEDULE!E1587)</f>
        <v/>
      </c>
      <c r="F1587" s="6" t="str">
        <f>IF([1]SCHEDULE!F1587="","",[1]SCHEDULE!F1587)</f>
        <v/>
      </c>
      <c r="G1587" s="3" t="str">
        <f>IF([1]SCHEDULE!G1587="","",[1]SCHEDULE!G1587)</f>
        <v/>
      </c>
      <c r="H1587" s="3" t="str">
        <f>IF([1]SCHEDULE!H1587="","",[1]SCHEDULE!H1587)</f>
        <v/>
      </c>
      <c r="I1587" s="3" t="str">
        <f>IF([1]SCHEDULE!I1587="","",[1]SCHEDULE!I1587)</f>
        <v/>
      </c>
      <c r="J1587" s="3" t="str">
        <f>IF([1]SCHEDULE!J1587="","",[1]SCHEDULE!J1587)</f>
        <v/>
      </c>
    </row>
    <row r="1588" spans="2:10" x14ac:dyDescent="0.25">
      <c r="B1588" s="3" t="str">
        <f>IF([1]SCHEDULE!B1588="","",[1]SCHEDULE!B1588)</f>
        <v/>
      </c>
      <c r="C1588" s="3">
        <f>IF([1]SCHEDULE!C1588="","",[1]SCHEDULE!C1588)</f>
        <v>5</v>
      </c>
      <c r="D1588" s="1" t="e">
        <f>IF([1]SCHEDULE!D1588="","",[1]SCHEDULE!D1588)</f>
        <v>#N/A</v>
      </c>
      <c r="E1588" s="1" t="str">
        <f>IF([1]SCHEDULE!E1588="","",[1]SCHEDULE!E1588)</f>
        <v/>
      </c>
      <c r="F1588" s="6" t="str">
        <f>IF([1]SCHEDULE!F1588="","",[1]SCHEDULE!F1588)</f>
        <v/>
      </c>
      <c r="G1588" s="3" t="str">
        <f>IF([1]SCHEDULE!G1588="","",[1]SCHEDULE!G1588)</f>
        <v/>
      </c>
      <c r="H1588" s="3" t="str">
        <f>IF([1]SCHEDULE!H1588="","",[1]SCHEDULE!H1588)</f>
        <v/>
      </c>
      <c r="I1588" s="3" t="str">
        <f>IF([1]SCHEDULE!I1588="","",[1]SCHEDULE!I1588)</f>
        <v/>
      </c>
      <c r="J1588" s="3" t="str">
        <f>IF([1]SCHEDULE!J1588="","",[1]SCHEDULE!J1588)</f>
        <v/>
      </c>
    </row>
    <row r="1589" spans="2:10" x14ac:dyDescent="0.25">
      <c r="B1589" s="3" t="str">
        <f>IF([1]SCHEDULE!B1589="","",[1]SCHEDULE!B1589)</f>
        <v/>
      </c>
      <c r="C1589" s="3">
        <f>IF([1]SCHEDULE!C1589="","",[1]SCHEDULE!C1589)</f>
        <v>6</v>
      </c>
      <c r="D1589" s="1" t="e">
        <f>IF([1]SCHEDULE!D1589="","",[1]SCHEDULE!D1589)</f>
        <v>#N/A</v>
      </c>
      <c r="E1589" s="1" t="str">
        <f>IF([1]SCHEDULE!E1589="","",[1]SCHEDULE!E1589)</f>
        <v/>
      </c>
      <c r="F1589" s="6" t="str">
        <f>IF([1]SCHEDULE!F1589="","",[1]SCHEDULE!F1589)</f>
        <v/>
      </c>
      <c r="G1589" s="3" t="str">
        <f>IF([1]SCHEDULE!G1589="","",[1]SCHEDULE!G1589)</f>
        <v/>
      </c>
      <c r="H1589" s="3" t="str">
        <f>IF([1]SCHEDULE!H1589="","",[1]SCHEDULE!H1589)</f>
        <v/>
      </c>
      <c r="I1589" s="3" t="str">
        <f>IF([1]SCHEDULE!I1589="","",[1]SCHEDULE!I1589)</f>
        <v/>
      </c>
      <c r="J1589" s="3" t="str">
        <f>IF([1]SCHEDULE!J1589="","",[1]SCHEDULE!J1589)</f>
        <v/>
      </c>
    </row>
    <row r="1590" spans="2:10" x14ac:dyDescent="0.25">
      <c r="B1590" s="3" t="str">
        <f>IF([1]SCHEDULE!B1590="","",[1]SCHEDULE!B1590)</f>
        <v/>
      </c>
      <c r="C1590" s="3">
        <f>IF([1]SCHEDULE!C1590="","",[1]SCHEDULE!C1590)</f>
        <v>7</v>
      </c>
      <c r="D1590" s="1" t="e">
        <f>IF([1]SCHEDULE!D1590="","",[1]SCHEDULE!D1590)</f>
        <v>#N/A</v>
      </c>
      <c r="E1590" s="1" t="str">
        <f>IF([1]SCHEDULE!E1590="","",[1]SCHEDULE!E1590)</f>
        <v/>
      </c>
      <c r="F1590" s="6" t="str">
        <f>IF([1]SCHEDULE!F1590="","",[1]SCHEDULE!F1590)</f>
        <v/>
      </c>
      <c r="G1590" s="3" t="str">
        <f>IF([1]SCHEDULE!G1590="","",[1]SCHEDULE!G1590)</f>
        <v/>
      </c>
      <c r="H1590" s="3" t="str">
        <f>IF([1]SCHEDULE!H1590="","",[1]SCHEDULE!H1590)</f>
        <v/>
      </c>
      <c r="I1590" s="3" t="str">
        <f>IF([1]SCHEDULE!I1590="","",[1]SCHEDULE!I1590)</f>
        <v/>
      </c>
      <c r="J1590" s="3" t="str">
        <f>IF([1]SCHEDULE!J1590="","",[1]SCHEDULE!J1590)</f>
        <v/>
      </c>
    </row>
    <row r="1591" spans="2:10" x14ac:dyDescent="0.25">
      <c r="B1591" s="3" t="str">
        <f>IF([1]SCHEDULE!B1591="","",[1]SCHEDULE!B1591)</f>
        <v/>
      </c>
      <c r="C1591" s="3">
        <f>IF([1]SCHEDULE!C1591="","",[1]SCHEDULE!C1591)</f>
        <v>8</v>
      </c>
      <c r="D1591" s="1" t="e">
        <f>IF([1]SCHEDULE!D1591="","",[1]SCHEDULE!D1591)</f>
        <v>#N/A</v>
      </c>
      <c r="E1591" s="1" t="str">
        <f>IF([1]SCHEDULE!E1591="","",[1]SCHEDULE!E1591)</f>
        <v/>
      </c>
      <c r="F1591" s="6" t="str">
        <f>IF([1]SCHEDULE!F1591="","",[1]SCHEDULE!F1591)</f>
        <v/>
      </c>
      <c r="G1591" s="3" t="str">
        <f>IF([1]SCHEDULE!G1591="","",[1]SCHEDULE!G1591)</f>
        <v/>
      </c>
      <c r="H1591" s="3" t="str">
        <f>IF([1]SCHEDULE!H1591="","",[1]SCHEDULE!H1591)</f>
        <v/>
      </c>
      <c r="I1591" s="3" t="str">
        <f>IF([1]SCHEDULE!I1591="","",[1]SCHEDULE!I1591)</f>
        <v/>
      </c>
      <c r="J1591" s="3" t="str">
        <f>IF([1]SCHEDULE!J1591="","",[1]SCHEDULE!J1591)</f>
        <v/>
      </c>
    </row>
    <row r="1592" spans="2:10" x14ac:dyDescent="0.25">
      <c r="B1592" s="3" t="str">
        <f>IF([1]SCHEDULE!B1592="","",[1]SCHEDULE!B1592)</f>
        <v/>
      </c>
      <c r="C1592" s="3">
        <f>IF([1]SCHEDULE!C1592="","",[1]SCHEDULE!C1592)</f>
        <v>9</v>
      </c>
      <c r="D1592" s="1" t="e">
        <f>IF([1]SCHEDULE!D1592="","",[1]SCHEDULE!D1592)</f>
        <v>#N/A</v>
      </c>
      <c r="E1592" s="1" t="str">
        <f>IF([1]SCHEDULE!E1592="","",[1]SCHEDULE!E1592)</f>
        <v/>
      </c>
      <c r="F1592" s="6" t="str">
        <f>IF([1]SCHEDULE!F1592="","",[1]SCHEDULE!F1592)</f>
        <v/>
      </c>
      <c r="G1592" s="3" t="str">
        <f>IF([1]SCHEDULE!G1592="","",[1]SCHEDULE!G1592)</f>
        <v/>
      </c>
      <c r="H1592" s="3" t="str">
        <f>IF([1]SCHEDULE!H1592="","",[1]SCHEDULE!H1592)</f>
        <v/>
      </c>
      <c r="I1592" s="3" t="str">
        <f>IF([1]SCHEDULE!I1592="","",[1]SCHEDULE!I1592)</f>
        <v/>
      </c>
      <c r="J1592" s="3" t="str">
        <f>IF([1]SCHEDULE!J1592="","",[1]SCHEDULE!J1592)</f>
        <v/>
      </c>
    </row>
    <row r="1593" spans="2:10" x14ac:dyDescent="0.25">
      <c r="B1593" s="3" t="str">
        <f>IF([1]SCHEDULE!B1593="","",[1]SCHEDULE!B1593)</f>
        <v/>
      </c>
      <c r="C1593" s="3">
        <f>IF([1]SCHEDULE!C1593="","",[1]SCHEDULE!C1593)</f>
        <v>10</v>
      </c>
      <c r="D1593" s="1" t="e">
        <f>IF([1]SCHEDULE!D1593="","",[1]SCHEDULE!D1593)</f>
        <v>#N/A</v>
      </c>
      <c r="E1593" s="1" t="str">
        <f>IF([1]SCHEDULE!E1593="","",[1]SCHEDULE!E1593)</f>
        <v/>
      </c>
      <c r="F1593" s="6" t="str">
        <f>IF([1]SCHEDULE!F1593="","",[1]SCHEDULE!F1593)</f>
        <v/>
      </c>
      <c r="G1593" s="3" t="str">
        <f>IF([1]SCHEDULE!G1593="","",[1]SCHEDULE!G1593)</f>
        <v/>
      </c>
      <c r="H1593" s="3" t="str">
        <f>IF([1]SCHEDULE!H1593="","",[1]SCHEDULE!H1593)</f>
        <v/>
      </c>
      <c r="I1593" s="3" t="str">
        <f>IF([1]SCHEDULE!I1593="","",[1]SCHEDULE!I1593)</f>
        <v/>
      </c>
      <c r="J1593" s="3" t="str">
        <f>IF([1]SCHEDULE!J1593="","",[1]SCHEDULE!J1593)</f>
        <v/>
      </c>
    </row>
    <row r="1594" spans="2:10" x14ac:dyDescent="0.25">
      <c r="B1594" s="3" t="str">
        <f>IF([1]SCHEDULE!B1594="","",[1]SCHEDULE!B1594)</f>
        <v/>
      </c>
      <c r="C1594" s="3">
        <f>IF([1]SCHEDULE!C1594="","",[1]SCHEDULE!C1594)</f>
        <v>11</v>
      </c>
      <c r="D1594" s="1" t="e">
        <f>IF([1]SCHEDULE!D1594="","",[1]SCHEDULE!D1594)</f>
        <v>#N/A</v>
      </c>
      <c r="E1594" s="1" t="str">
        <f>IF([1]SCHEDULE!E1594="","",[1]SCHEDULE!E1594)</f>
        <v/>
      </c>
      <c r="F1594" s="6" t="str">
        <f>IF([1]SCHEDULE!F1594="","",[1]SCHEDULE!F1594)</f>
        <v/>
      </c>
      <c r="G1594" s="3" t="str">
        <f>IF([1]SCHEDULE!G1594="","",[1]SCHEDULE!G1594)</f>
        <v/>
      </c>
      <c r="H1594" s="3" t="str">
        <f>IF([1]SCHEDULE!H1594="","",[1]SCHEDULE!H1594)</f>
        <v/>
      </c>
      <c r="I1594" s="3" t="str">
        <f>IF([1]SCHEDULE!I1594="","",[1]SCHEDULE!I1594)</f>
        <v/>
      </c>
      <c r="J1594" s="3" t="str">
        <f>IF([1]SCHEDULE!J1594="","",[1]SCHEDULE!J1594)</f>
        <v/>
      </c>
    </row>
    <row r="1595" spans="2:10" x14ac:dyDescent="0.25">
      <c r="B1595" s="3" t="str">
        <f>IF([1]SCHEDULE!B1595="","",[1]SCHEDULE!B1595)</f>
        <v/>
      </c>
      <c r="C1595" s="3">
        <f>IF([1]SCHEDULE!C1595="","",[1]SCHEDULE!C1595)</f>
        <v>12</v>
      </c>
      <c r="D1595" s="1" t="e">
        <f>IF([1]SCHEDULE!D1595="","",[1]SCHEDULE!D1595)</f>
        <v>#N/A</v>
      </c>
      <c r="E1595" s="1" t="str">
        <f>IF([1]SCHEDULE!E1595="","",[1]SCHEDULE!E1595)</f>
        <v/>
      </c>
      <c r="F1595" s="6" t="str">
        <f>IF([1]SCHEDULE!F1595="","",[1]SCHEDULE!F1595)</f>
        <v/>
      </c>
      <c r="G1595" s="3" t="str">
        <f>IF([1]SCHEDULE!G1595="","",[1]SCHEDULE!G1595)</f>
        <v/>
      </c>
      <c r="H1595" s="3" t="str">
        <f>IF([1]SCHEDULE!H1595="","",[1]SCHEDULE!H1595)</f>
        <v/>
      </c>
      <c r="I1595" s="3" t="str">
        <f>IF([1]SCHEDULE!I1595="","",[1]SCHEDULE!I1595)</f>
        <v/>
      </c>
      <c r="J1595" s="3" t="str">
        <f>IF([1]SCHEDULE!J1595="","",[1]SCHEDULE!J1595)</f>
        <v/>
      </c>
    </row>
    <row r="1596" spans="2:10" x14ac:dyDescent="0.25">
      <c r="B1596" s="3" t="str">
        <f>IF([1]SCHEDULE!B1596="","",[1]SCHEDULE!B1596)</f>
        <v/>
      </c>
      <c r="C1596" s="3">
        <f>IF([1]SCHEDULE!C1596="","",[1]SCHEDULE!C1596)</f>
        <v>13</v>
      </c>
      <c r="D1596" s="1" t="e">
        <f>IF([1]SCHEDULE!D1596="","",[1]SCHEDULE!D1596)</f>
        <v>#N/A</v>
      </c>
      <c r="E1596" s="1" t="str">
        <f>IF([1]SCHEDULE!E1596="","",[1]SCHEDULE!E1596)</f>
        <v/>
      </c>
      <c r="F1596" s="6" t="str">
        <f>IF([1]SCHEDULE!F1596="","",[1]SCHEDULE!F1596)</f>
        <v/>
      </c>
      <c r="G1596" s="3" t="str">
        <f>IF([1]SCHEDULE!G1596="","",[1]SCHEDULE!G1596)</f>
        <v/>
      </c>
      <c r="H1596" s="3" t="str">
        <f>IF([1]SCHEDULE!H1596="","",[1]SCHEDULE!H1596)</f>
        <v/>
      </c>
      <c r="I1596" s="3" t="str">
        <f>IF([1]SCHEDULE!I1596="","",[1]SCHEDULE!I1596)</f>
        <v/>
      </c>
      <c r="J1596" s="3" t="str">
        <f>IF([1]SCHEDULE!J1596="","",[1]SCHEDULE!J1596)</f>
        <v/>
      </c>
    </row>
    <row r="1597" spans="2:10" x14ac:dyDescent="0.25">
      <c r="B1597" s="3" t="str">
        <f>IF([1]SCHEDULE!B1597="","",[1]SCHEDULE!B1597)</f>
        <v/>
      </c>
      <c r="C1597" s="3">
        <f>IF([1]SCHEDULE!C1597="","",[1]SCHEDULE!C1597)</f>
        <v>14</v>
      </c>
      <c r="D1597" s="1" t="e">
        <f>IF([1]SCHEDULE!D1597="","",[1]SCHEDULE!D1597)</f>
        <v>#N/A</v>
      </c>
      <c r="E1597" s="1" t="str">
        <f>IF([1]SCHEDULE!E1597="","",[1]SCHEDULE!E1597)</f>
        <v/>
      </c>
      <c r="F1597" s="6" t="str">
        <f>IF([1]SCHEDULE!F1597="","",[1]SCHEDULE!F1597)</f>
        <v/>
      </c>
      <c r="G1597" s="3" t="str">
        <f>IF([1]SCHEDULE!G1597="","",[1]SCHEDULE!G1597)</f>
        <v/>
      </c>
      <c r="H1597" s="3" t="str">
        <f>IF([1]SCHEDULE!H1597="","",[1]SCHEDULE!H1597)</f>
        <v/>
      </c>
      <c r="I1597" s="3" t="str">
        <f>IF([1]SCHEDULE!I1597="","",[1]SCHEDULE!I1597)</f>
        <v/>
      </c>
      <c r="J1597" s="3" t="str">
        <f>IF([1]SCHEDULE!J1597="","",[1]SCHEDULE!J1597)</f>
        <v/>
      </c>
    </row>
    <row r="1598" spans="2:10" x14ac:dyDescent="0.25">
      <c r="B1598" s="3" t="str">
        <f>IF([1]SCHEDULE!B1598="","",[1]SCHEDULE!B1598)</f>
        <v/>
      </c>
      <c r="C1598" s="3">
        <f>IF([1]SCHEDULE!C1598="","",[1]SCHEDULE!C1598)</f>
        <v>15</v>
      </c>
      <c r="D1598" s="1" t="e">
        <f>IF([1]SCHEDULE!D1598="","",[1]SCHEDULE!D1598)</f>
        <v>#N/A</v>
      </c>
      <c r="E1598" s="1" t="str">
        <f>IF([1]SCHEDULE!E1598="","",[1]SCHEDULE!E1598)</f>
        <v/>
      </c>
      <c r="F1598" s="6" t="str">
        <f>IF([1]SCHEDULE!F1598="","",[1]SCHEDULE!F1598)</f>
        <v/>
      </c>
      <c r="G1598" s="3" t="str">
        <f>IF([1]SCHEDULE!G1598="","",[1]SCHEDULE!G1598)</f>
        <v/>
      </c>
      <c r="H1598" s="3" t="str">
        <f>IF([1]SCHEDULE!H1598="","",[1]SCHEDULE!H1598)</f>
        <v/>
      </c>
      <c r="I1598" s="3" t="str">
        <f>IF([1]SCHEDULE!I1598="","",[1]SCHEDULE!I1598)</f>
        <v/>
      </c>
      <c r="J1598" s="3" t="str">
        <f>IF([1]SCHEDULE!J1598="","",[1]SCHEDULE!J1598)</f>
        <v/>
      </c>
    </row>
    <row r="1599" spans="2:10" x14ac:dyDescent="0.25">
      <c r="B1599" s="3" t="str">
        <f>IF([1]SCHEDULE!B1599="","",[1]SCHEDULE!B1599)</f>
        <v/>
      </c>
      <c r="C1599" s="3">
        <f>IF([1]SCHEDULE!C1599="","",[1]SCHEDULE!C1599)</f>
        <v>16</v>
      </c>
      <c r="D1599" s="1" t="e">
        <f>IF([1]SCHEDULE!D1599="","",[1]SCHEDULE!D1599)</f>
        <v>#N/A</v>
      </c>
      <c r="E1599" s="1" t="str">
        <f>IF([1]SCHEDULE!E1599="","",[1]SCHEDULE!E1599)</f>
        <v/>
      </c>
      <c r="F1599" s="6" t="str">
        <f>IF([1]SCHEDULE!F1599="","",[1]SCHEDULE!F1599)</f>
        <v/>
      </c>
      <c r="G1599" s="3" t="str">
        <f>IF([1]SCHEDULE!G1599="","",[1]SCHEDULE!G1599)</f>
        <v/>
      </c>
      <c r="H1599" s="3" t="str">
        <f>IF([1]SCHEDULE!H1599="","",[1]SCHEDULE!H1599)</f>
        <v/>
      </c>
      <c r="I1599" s="3" t="str">
        <f>IF([1]SCHEDULE!I1599="","",[1]SCHEDULE!I1599)</f>
        <v/>
      </c>
      <c r="J1599" s="3" t="str">
        <f>IF([1]SCHEDULE!J1599="","",[1]SCHEDULE!J1599)</f>
        <v/>
      </c>
    </row>
    <row r="1600" spans="2:10" x14ac:dyDescent="0.25">
      <c r="B1600" s="3" t="str">
        <f>IF([1]SCHEDULE!B1600="","",[1]SCHEDULE!B1600)</f>
        <v/>
      </c>
      <c r="C1600" s="3">
        <f>IF([1]SCHEDULE!C1600="","",[1]SCHEDULE!C1600)</f>
        <v>17</v>
      </c>
      <c r="D1600" s="1" t="e">
        <f>IF([1]SCHEDULE!D1600="","",[1]SCHEDULE!D1600)</f>
        <v>#N/A</v>
      </c>
      <c r="E1600" s="1" t="str">
        <f>IF([1]SCHEDULE!E1600="","",[1]SCHEDULE!E1600)</f>
        <v/>
      </c>
      <c r="F1600" s="6" t="str">
        <f>IF([1]SCHEDULE!F1600="","",[1]SCHEDULE!F1600)</f>
        <v/>
      </c>
      <c r="G1600" s="3" t="str">
        <f>IF([1]SCHEDULE!G1600="","",[1]SCHEDULE!G1600)</f>
        <v/>
      </c>
      <c r="H1600" s="3" t="str">
        <f>IF([1]SCHEDULE!H1600="","",[1]SCHEDULE!H1600)</f>
        <v/>
      </c>
      <c r="I1600" s="3" t="str">
        <f>IF([1]SCHEDULE!I1600="","",[1]SCHEDULE!I1600)</f>
        <v/>
      </c>
      <c r="J1600" s="3" t="str">
        <f>IF([1]SCHEDULE!J1600="","",[1]SCHEDULE!J1600)</f>
        <v/>
      </c>
    </row>
    <row r="1601" spans="2:10" x14ac:dyDescent="0.25">
      <c r="B1601" s="3" t="str">
        <f>IF([1]SCHEDULE!B1601="","",[1]SCHEDULE!B1601)</f>
        <v/>
      </c>
      <c r="C1601" s="3">
        <f>IF([1]SCHEDULE!C1601="","",[1]SCHEDULE!C1601)</f>
        <v>18</v>
      </c>
      <c r="D1601" s="1" t="e">
        <f>IF([1]SCHEDULE!D1601="","",[1]SCHEDULE!D1601)</f>
        <v>#N/A</v>
      </c>
      <c r="E1601" s="1" t="str">
        <f>IF([1]SCHEDULE!E1601="","",[1]SCHEDULE!E1601)</f>
        <v/>
      </c>
      <c r="F1601" s="6" t="str">
        <f>IF([1]SCHEDULE!F1601="","",[1]SCHEDULE!F1601)</f>
        <v/>
      </c>
      <c r="G1601" s="3" t="str">
        <f>IF([1]SCHEDULE!G1601="","",[1]SCHEDULE!G1601)</f>
        <v/>
      </c>
      <c r="H1601" s="3" t="str">
        <f>IF([1]SCHEDULE!H1601="","",[1]SCHEDULE!H1601)</f>
        <v/>
      </c>
      <c r="I1601" s="3" t="str">
        <f>IF([1]SCHEDULE!I1601="","",[1]SCHEDULE!I1601)</f>
        <v/>
      </c>
      <c r="J1601" s="3" t="str">
        <f>IF([1]SCHEDULE!J1601="","",[1]SCHEDULE!J1601)</f>
        <v/>
      </c>
    </row>
    <row r="1602" spans="2:10" x14ac:dyDescent="0.25">
      <c r="B1602" s="3" t="str">
        <f>IF([1]SCHEDULE!B1602="","",[1]SCHEDULE!B1602)</f>
        <v/>
      </c>
      <c r="C1602" s="3">
        <f>IF([1]SCHEDULE!C1602="","",[1]SCHEDULE!C1602)</f>
        <v>19</v>
      </c>
      <c r="D1602" s="1" t="e">
        <f>IF([1]SCHEDULE!D1602="","",[1]SCHEDULE!D1602)</f>
        <v>#N/A</v>
      </c>
      <c r="E1602" s="1" t="str">
        <f>IF([1]SCHEDULE!E1602="","",[1]SCHEDULE!E1602)</f>
        <v/>
      </c>
      <c r="F1602" s="6" t="str">
        <f>IF([1]SCHEDULE!F1602="","",[1]SCHEDULE!F1602)</f>
        <v/>
      </c>
      <c r="G1602" s="3" t="str">
        <f>IF([1]SCHEDULE!G1602="","",[1]SCHEDULE!G1602)</f>
        <v/>
      </c>
      <c r="H1602" s="3" t="str">
        <f>IF([1]SCHEDULE!H1602="","",[1]SCHEDULE!H1602)</f>
        <v/>
      </c>
      <c r="I1602" s="3" t="str">
        <f>IF([1]SCHEDULE!I1602="","",[1]SCHEDULE!I1602)</f>
        <v/>
      </c>
      <c r="J1602" s="3" t="str">
        <f>IF([1]SCHEDULE!J1602="","",[1]SCHEDULE!J1602)</f>
        <v/>
      </c>
    </row>
    <row r="1603" spans="2:10" x14ac:dyDescent="0.25">
      <c r="B1603" s="3" t="str">
        <f>IF([1]SCHEDULE!B1603="","",[1]SCHEDULE!B1603)</f>
        <v/>
      </c>
      <c r="C1603" s="3">
        <f>IF([1]SCHEDULE!C1603="","",[1]SCHEDULE!C1603)</f>
        <v>20</v>
      </c>
      <c r="D1603" s="1" t="e">
        <f>IF([1]SCHEDULE!D1603="","",[1]SCHEDULE!D1603)</f>
        <v>#N/A</v>
      </c>
      <c r="E1603" s="1" t="str">
        <f>IF([1]SCHEDULE!E1603="","",[1]SCHEDULE!E1603)</f>
        <v/>
      </c>
      <c r="F1603" s="6" t="str">
        <f>IF([1]SCHEDULE!F1603="","",[1]SCHEDULE!F1603)</f>
        <v/>
      </c>
      <c r="G1603" s="3" t="str">
        <f>IF([1]SCHEDULE!G1603="","",[1]SCHEDULE!G1603)</f>
        <v/>
      </c>
      <c r="H1603" s="3" t="str">
        <f>IF([1]SCHEDULE!H1603="","",[1]SCHEDULE!H1603)</f>
        <v/>
      </c>
      <c r="I1603" s="3" t="str">
        <f>IF([1]SCHEDULE!I1603="","",[1]SCHEDULE!I1603)</f>
        <v/>
      </c>
      <c r="J1603" s="3" t="str">
        <f>IF([1]SCHEDULE!J1603="","",[1]SCHEDULE!J1603)</f>
        <v/>
      </c>
    </row>
    <row r="1604" spans="2:10" x14ac:dyDescent="0.25">
      <c r="B1604" s="3" t="str">
        <f>IF([1]SCHEDULE!B1604="","",[1]SCHEDULE!B1604)</f>
        <v/>
      </c>
      <c r="C1604" s="3">
        <f>IF([1]SCHEDULE!C1604="","",[1]SCHEDULE!C1604)</f>
        <v>21</v>
      </c>
      <c r="D1604" s="1" t="e">
        <f>IF([1]SCHEDULE!D1604="","",[1]SCHEDULE!D1604)</f>
        <v>#N/A</v>
      </c>
      <c r="E1604" s="1" t="str">
        <f>IF([1]SCHEDULE!E1604="","",[1]SCHEDULE!E1604)</f>
        <v/>
      </c>
      <c r="F1604" s="6" t="str">
        <f>IF([1]SCHEDULE!F1604="","",[1]SCHEDULE!F1604)</f>
        <v/>
      </c>
      <c r="G1604" s="3" t="str">
        <f>IF([1]SCHEDULE!G1604="","",[1]SCHEDULE!G1604)</f>
        <v/>
      </c>
      <c r="H1604" s="3" t="str">
        <f>IF([1]SCHEDULE!H1604="","",[1]SCHEDULE!H1604)</f>
        <v/>
      </c>
      <c r="I1604" s="3" t="str">
        <f>IF([1]SCHEDULE!I1604="","",[1]SCHEDULE!I1604)</f>
        <v/>
      </c>
      <c r="J1604" s="3" t="str">
        <f>IF([1]SCHEDULE!J1604="","",[1]SCHEDULE!J1604)</f>
        <v/>
      </c>
    </row>
    <row r="1605" spans="2:10" x14ac:dyDescent="0.25">
      <c r="B1605" s="3" t="str">
        <f>IF([1]SCHEDULE!B1605="","",[1]SCHEDULE!B1605)</f>
        <v/>
      </c>
      <c r="C1605" s="3">
        <f>IF([1]SCHEDULE!C1605="","",[1]SCHEDULE!C1605)</f>
        <v>22</v>
      </c>
      <c r="D1605" s="1" t="e">
        <f>IF([1]SCHEDULE!D1605="","",[1]SCHEDULE!D1605)</f>
        <v>#N/A</v>
      </c>
      <c r="E1605" s="1" t="str">
        <f>IF([1]SCHEDULE!E1605="","",[1]SCHEDULE!E1605)</f>
        <v/>
      </c>
      <c r="F1605" s="6" t="str">
        <f>IF([1]SCHEDULE!F1605="","",[1]SCHEDULE!F1605)</f>
        <v/>
      </c>
      <c r="G1605" s="3" t="str">
        <f>IF([1]SCHEDULE!G1605="","",[1]SCHEDULE!G1605)</f>
        <v/>
      </c>
      <c r="H1605" s="3" t="str">
        <f>IF([1]SCHEDULE!H1605="","",[1]SCHEDULE!H1605)</f>
        <v/>
      </c>
      <c r="I1605" s="3" t="str">
        <f>IF([1]SCHEDULE!I1605="","",[1]SCHEDULE!I1605)</f>
        <v/>
      </c>
      <c r="J1605" s="3" t="str">
        <f>IF([1]SCHEDULE!J1605="","",[1]SCHEDULE!J1605)</f>
        <v/>
      </c>
    </row>
    <row r="1606" spans="2:10" x14ac:dyDescent="0.25">
      <c r="B1606" s="3" t="str">
        <f>IF([1]SCHEDULE!B1606="","",[1]SCHEDULE!B1606)</f>
        <v/>
      </c>
      <c r="C1606" s="3">
        <f>IF([1]SCHEDULE!C1606="","",[1]SCHEDULE!C1606)</f>
        <v>23</v>
      </c>
      <c r="D1606" s="1" t="e">
        <f>IF([1]SCHEDULE!D1606="","",[1]SCHEDULE!D1606)</f>
        <v>#N/A</v>
      </c>
      <c r="E1606" s="1" t="str">
        <f>IF([1]SCHEDULE!E1606="","",[1]SCHEDULE!E1606)</f>
        <v/>
      </c>
      <c r="F1606" s="6" t="str">
        <f>IF([1]SCHEDULE!F1606="","",[1]SCHEDULE!F1606)</f>
        <v/>
      </c>
      <c r="G1606" s="3" t="str">
        <f>IF([1]SCHEDULE!G1606="","",[1]SCHEDULE!G1606)</f>
        <v/>
      </c>
      <c r="H1606" s="3" t="str">
        <f>IF([1]SCHEDULE!H1606="","",[1]SCHEDULE!H1606)</f>
        <v/>
      </c>
      <c r="I1606" s="3" t="str">
        <f>IF([1]SCHEDULE!I1606="","",[1]SCHEDULE!I1606)</f>
        <v/>
      </c>
      <c r="J1606" s="3" t="str">
        <f>IF([1]SCHEDULE!J1606="","",[1]SCHEDULE!J1606)</f>
        <v/>
      </c>
    </row>
    <row r="1607" spans="2:10" x14ac:dyDescent="0.25">
      <c r="B1607" s="3" t="str">
        <f>IF([1]SCHEDULE!B1607="","",[1]SCHEDULE!B1607)</f>
        <v/>
      </c>
      <c r="C1607" s="3">
        <f>IF([1]SCHEDULE!C1607="","",[1]SCHEDULE!C1607)</f>
        <v>24</v>
      </c>
      <c r="D1607" s="1" t="e">
        <f>IF([1]SCHEDULE!D1607="","",[1]SCHEDULE!D1607)</f>
        <v>#N/A</v>
      </c>
      <c r="E1607" s="1" t="str">
        <f>IF([1]SCHEDULE!E1607="","",[1]SCHEDULE!E1607)</f>
        <v/>
      </c>
      <c r="F1607" s="6" t="str">
        <f>IF([1]SCHEDULE!F1607="","",[1]SCHEDULE!F1607)</f>
        <v/>
      </c>
      <c r="G1607" s="3" t="str">
        <f>IF([1]SCHEDULE!G1607="","",[1]SCHEDULE!G1607)</f>
        <v/>
      </c>
      <c r="H1607" s="3" t="str">
        <f>IF([1]SCHEDULE!H1607="","",[1]SCHEDULE!H1607)</f>
        <v/>
      </c>
      <c r="I1607" s="3" t="str">
        <f>IF([1]SCHEDULE!I1607="","",[1]SCHEDULE!I1607)</f>
        <v/>
      </c>
      <c r="J1607" s="3" t="str">
        <f>IF([1]SCHEDULE!J1607="","",[1]SCHEDULE!J1607)</f>
        <v/>
      </c>
    </row>
    <row r="1608" spans="2:10" x14ac:dyDescent="0.25">
      <c r="B1608" s="3" t="str">
        <f>IF([1]SCHEDULE!B1608="","",[1]SCHEDULE!B1608)</f>
        <v/>
      </c>
      <c r="C1608" s="3">
        <f>IF([1]SCHEDULE!C1608="","",[1]SCHEDULE!C1608)</f>
        <v>25</v>
      </c>
      <c r="D1608" s="1" t="e">
        <f>IF([1]SCHEDULE!D1608="","",[1]SCHEDULE!D1608)</f>
        <v>#N/A</v>
      </c>
      <c r="E1608" s="1" t="str">
        <f>IF([1]SCHEDULE!E1608="","",[1]SCHEDULE!E1608)</f>
        <v/>
      </c>
      <c r="F1608" s="6" t="str">
        <f>IF([1]SCHEDULE!F1608="","",[1]SCHEDULE!F1608)</f>
        <v/>
      </c>
      <c r="G1608" s="3" t="str">
        <f>IF([1]SCHEDULE!G1608="","",[1]SCHEDULE!G1608)</f>
        <v/>
      </c>
      <c r="H1608" s="3" t="str">
        <f>IF([1]SCHEDULE!H1608="","",[1]SCHEDULE!H1608)</f>
        <v/>
      </c>
      <c r="I1608" s="3" t="str">
        <f>IF([1]SCHEDULE!I1608="","",[1]SCHEDULE!I1608)</f>
        <v/>
      </c>
      <c r="J1608" s="3" t="str">
        <f>IF([1]SCHEDULE!J1608="","",[1]SCHEDULE!J1608)</f>
        <v/>
      </c>
    </row>
    <row r="1609" spans="2:10" x14ac:dyDescent="0.25">
      <c r="B1609" s="3" t="str">
        <f>IF([1]SCHEDULE!B1609="","",[1]SCHEDULE!B1609)</f>
        <v/>
      </c>
      <c r="C1609" s="3">
        <f>IF([1]SCHEDULE!C1609="","",[1]SCHEDULE!C1609)</f>
        <v>26</v>
      </c>
      <c r="D1609" s="1" t="e">
        <f>IF([1]SCHEDULE!D1609="","",[1]SCHEDULE!D1609)</f>
        <v>#N/A</v>
      </c>
      <c r="E1609" s="1" t="str">
        <f>IF([1]SCHEDULE!E1609="","",[1]SCHEDULE!E1609)</f>
        <v/>
      </c>
      <c r="F1609" s="6" t="str">
        <f>IF([1]SCHEDULE!F1609="","",[1]SCHEDULE!F1609)</f>
        <v/>
      </c>
      <c r="G1609" s="3" t="str">
        <f>IF([1]SCHEDULE!G1609="","",[1]SCHEDULE!G1609)</f>
        <v/>
      </c>
      <c r="H1609" s="3" t="str">
        <f>IF([1]SCHEDULE!H1609="","",[1]SCHEDULE!H1609)</f>
        <v/>
      </c>
      <c r="I1609" s="3" t="str">
        <f>IF([1]SCHEDULE!I1609="","",[1]SCHEDULE!I1609)</f>
        <v/>
      </c>
      <c r="J1609" s="3" t="str">
        <f>IF([1]SCHEDULE!J1609="","",[1]SCHEDULE!J1609)</f>
        <v/>
      </c>
    </row>
    <row r="1610" spans="2:10" x14ac:dyDescent="0.25">
      <c r="B1610" s="3" t="str">
        <f>IF([1]SCHEDULE!B1610="","",[1]SCHEDULE!B1610)</f>
        <v/>
      </c>
      <c r="C1610" s="3">
        <f>IF([1]SCHEDULE!C1610="","",[1]SCHEDULE!C1610)</f>
        <v>27</v>
      </c>
      <c r="D1610" s="1" t="e">
        <f>IF([1]SCHEDULE!D1610="","",[1]SCHEDULE!D1610)</f>
        <v>#N/A</v>
      </c>
      <c r="E1610" s="1" t="str">
        <f>IF([1]SCHEDULE!E1610="","",[1]SCHEDULE!E1610)</f>
        <v/>
      </c>
      <c r="F1610" s="6" t="str">
        <f>IF([1]SCHEDULE!F1610="","",[1]SCHEDULE!F1610)</f>
        <v/>
      </c>
      <c r="G1610" s="3" t="str">
        <f>IF([1]SCHEDULE!G1610="","",[1]SCHEDULE!G1610)</f>
        <v/>
      </c>
      <c r="H1610" s="3" t="str">
        <f>IF([1]SCHEDULE!H1610="","",[1]SCHEDULE!H1610)</f>
        <v/>
      </c>
      <c r="I1610" s="3" t="str">
        <f>IF([1]SCHEDULE!I1610="","",[1]SCHEDULE!I1610)</f>
        <v/>
      </c>
      <c r="J1610" s="3" t="str">
        <f>IF([1]SCHEDULE!J1610="","",[1]SCHEDULE!J1610)</f>
        <v/>
      </c>
    </row>
    <row r="1611" spans="2:10" x14ac:dyDescent="0.25">
      <c r="B1611" s="3" t="str">
        <f>IF([1]SCHEDULE!B1611="","",[1]SCHEDULE!B1611)</f>
        <v/>
      </c>
      <c r="C1611" s="3">
        <f>IF([1]SCHEDULE!C1611="","",[1]SCHEDULE!C1611)</f>
        <v>28</v>
      </c>
      <c r="D1611" s="1" t="e">
        <f>IF([1]SCHEDULE!D1611="","",[1]SCHEDULE!D1611)</f>
        <v>#N/A</v>
      </c>
      <c r="E1611" s="1" t="str">
        <f>IF([1]SCHEDULE!E1611="","",[1]SCHEDULE!E1611)</f>
        <v/>
      </c>
      <c r="F1611" s="6" t="str">
        <f>IF([1]SCHEDULE!F1611="","",[1]SCHEDULE!F1611)</f>
        <v/>
      </c>
      <c r="G1611" s="3" t="str">
        <f>IF([1]SCHEDULE!G1611="","",[1]SCHEDULE!G1611)</f>
        <v/>
      </c>
      <c r="H1611" s="3" t="str">
        <f>IF([1]SCHEDULE!H1611="","",[1]SCHEDULE!H1611)</f>
        <v/>
      </c>
      <c r="I1611" s="3" t="str">
        <f>IF([1]SCHEDULE!I1611="","",[1]SCHEDULE!I1611)</f>
        <v/>
      </c>
      <c r="J1611" s="3" t="str">
        <f>IF([1]SCHEDULE!J1611="","",[1]SCHEDULE!J1611)</f>
        <v/>
      </c>
    </row>
    <row r="1612" spans="2:10" x14ac:dyDescent="0.25">
      <c r="B1612" s="3" t="str">
        <f>IF([1]SCHEDULE!B1612="","",[1]SCHEDULE!B1612)</f>
        <v/>
      </c>
      <c r="C1612" s="3">
        <f>IF([1]SCHEDULE!C1612="","",[1]SCHEDULE!C1612)</f>
        <v>29</v>
      </c>
      <c r="D1612" s="1" t="e">
        <f>IF([1]SCHEDULE!D1612="","",[1]SCHEDULE!D1612)</f>
        <v>#N/A</v>
      </c>
      <c r="E1612" s="1" t="str">
        <f>IF([1]SCHEDULE!E1612="","",[1]SCHEDULE!E1612)</f>
        <v/>
      </c>
      <c r="F1612" s="6" t="str">
        <f>IF([1]SCHEDULE!F1612="","",[1]SCHEDULE!F1612)</f>
        <v/>
      </c>
      <c r="G1612" s="3" t="str">
        <f>IF([1]SCHEDULE!G1612="","",[1]SCHEDULE!G1612)</f>
        <v/>
      </c>
      <c r="H1612" s="3" t="str">
        <f>IF([1]SCHEDULE!H1612="","",[1]SCHEDULE!H1612)</f>
        <v/>
      </c>
      <c r="I1612" s="3" t="str">
        <f>IF([1]SCHEDULE!I1612="","",[1]SCHEDULE!I1612)</f>
        <v/>
      </c>
      <c r="J1612" s="3" t="str">
        <f>IF([1]SCHEDULE!J1612="","",[1]SCHEDULE!J1612)</f>
        <v/>
      </c>
    </row>
    <row r="1613" spans="2:10" x14ac:dyDescent="0.25">
      <c r="B1613" s="3" t="str">
        <f>IF([1]SCHEDULE!B1613="","",[1]SCHEDULE!B1613)</f>
        <v/>
      </c>
      <c r="C1613" s="3">
        <f>IF([1]SCHEDULE!C1613="","",[1]SCHEDULE!C1613)</f>
        <v>30</v>
      </c>
      <c r="D1613" s="1" t="e">
        <f>IF([1]SCHEDULE!D1613="","",[1]SCHEDULE!D1613)</f>
        <v>#N/A</v>
      </c>
      <c r="E1613" s="1" t="str">
        <f>IF([1]SCHEDULE!E1613="","",[1]SCHEDULE!E1613)</f>
        <v/>
      </c>
      <c r="F1613" s="6" t="str">
        <f>IF([1]SCHEDULE!F1613="","",[1]SCHEDULE!F1613)</f>
        <v/>
      </c>
      <c r="G1613" s="3" t="str">
        <f>IF([1]SCHEDULE!G1613="","",[1]SCHEDULE!G1613)</f>
        <v/>
      </c>
      <c r="H1613" s="3" t="str">
        <f>IF([1]SCHEDULE!H1613="","",[1]SCHEDULE!H1613)</f>
        <v/>
      </c>
      <c r="I1613" s="3" t="str">
        <f>IF([1]SCHEDULE!I1613="","",[1]SCHEDULE!I1613)</f>
        <v/>
      </c>
      <c r="J1613" s="3" t="str">
        <f>IF([1]SCHEDULE!J1613="","",[1]SCHEDULE!J1613)</f>
        <v/>
      </c>
    </row>
    <row r="1614" spans="2:10" x14ac:dyDescent="0.25">
      <c r="B1614" s="3" t="str">
        <f>IF([1]SCHEDULE!B1614="","",[1]SCHEDULE!B1614)</f>
        <v/>
      </c>
      <c r="C1614" s="3">
        <f>IF([1]SCHEDULE!C1614="","",[1]SCHEDULE!C1614)</f>
        <v>31</v>
      </c>
      <c r="D1614" s="1" t="e">
        <f>IF([1]SCHEDULE!D1614="","",[1]SCHEDULE!D1614)</f>
        <v>#N/A</v>
      </c>
      <c r="E1614" s="1" t="str">
        <f>IF([1]SCHEDULE!E1614="","",[1]SCHEDULE!E1614)</f>
        <v/>
      </c>
      <c r="F1614" s="6" t="str">
        <f>IF([1]SCHEDULE!F1614="","",[1]SCHEDULE!F1614)</f>
        <v/>
      </c>
      <c r="G1614" s="3" t="str">
        <f>IF([1]SCHEDULE!G1614="","",[1]SCHEDULE!G1614)</f>
        <v/>
      </c>
      <c r="H1614" s="3" t="str">
        <f>IF([1]SCHEDULE!H1614="","",[1]SCHEDULE!H1614)</f>
        <v/>
      </c>
      <c r="I1614" s="3" t="str">
        <f>IF([1]SCHEDULE!I1614="","",[1]SCHEDULE!I1614)</f>
        <v/>
      </c>
      <c r="J1614" s="3" t="str">
        <f>IF([1]SCHEDULE!J1614="","",[1]SCHEDULE!J1614)</f>
        <v/>
      </c>
    </row>
    <row r="1615" spans="2:10" x14ac:dyDescent="0.25">
      <c r="B1615" s="3" t="str">
        <f>IF([1]SCHEDULE!B1615="","",[1]SCHEDULE!B1615)</f>
        <v/>
      </c>
      <c r="C1615" s="3">
        <f>IF([1]SCHEDULE!C1615="","",[1]SCHEDULE!C1615)</f>
        <v>32</v>
      </c>
      <c r="D1615" s="1" t="e">
        <f>IF([1]SCHEDULE!D1615="","",[1]SCHEDULE!D1615)</f>
        <v>#N/A</v>
      </c>
      <c r="E1615" s="1" t="str">
        <f>IF([1]SCHEDULE!E1615="","",[1]SCHEDULE!E1615)</f>
        <v/>
      </c>
      <c r="F1615" s="6" t="str">
        <f>IF([1]SCHEDULE!F1615="","",[1]SCHEDULE!F1615)</f>
        <v/>
      </c>
      <c r="G1615" s="3" t="str">
        <f>IF([1]SCHEDULE!G1615="","",[1]SCHEDULE!G1615)</f>
        <v/>
      </c>
      <c r="H1615" s="3" t="str">
        <f>IF([1]SCHEDULE!H1615="","",[1]SCHEDULE!H1615)</f>
        <v/>
      </c>
      <c r="I1615" s="3" t="str">
        <f>IF([1]SCHEDULE!I1615="","",[1]SCHEDULE!I1615)</f>
        <v/>
      </c>
      <c r="J1615" s="3" t="str">
        <f>IF([1]SCHEDULE!J1615="","",[1]SCHEDULE!J1615)</f>
        <v/>
      </c>
    </row>
    <row r="1616" spans="2:10" x14ac:dyDescent="0.25">
      <c r="B1616" s="3" t="str">
        <f>IF([1]SCHEDULE!B1616="","",[1]SCHEDULE!B1616)</f>
        <v/>
      </c>
      <c r="C1616" s="3">
        <f>IF([1]SCHEDULE!C1616="","",[1]SCHEDULE!C1616)</f>
        <v>33</v>
      </c>
      <c r="D1616" s="1" t="e">
        <f>IF([1]SCHEDULE!D1616="","",[1]SCHEDULE!D1616)</f>
        <v>#N/A</v>
      </c>
      <c r="E1616" s="1" t="str">
        <f>IF([1]SCHEDULE!E1616="","",[1]SCHEDULE!E1616)</f>
        <v/>
      </c>
      <c r="F1616" s="6" t="str">
        <f>IF([1]SCHEDULE!F1616="","",[1]SCHEDULE!F1616)</f>
        <v/>
      </c>
      <c r="G1616" s="3" t="str">
        <f>IF([1]SCHEDULE!G1616="","",[1]SCHEDULE!G1616)</f>
        <v/>
      </c>
      <c r="H1616" s="3" t="str">
        <f>IF([1]SCHEDULE!H1616="","",[1]SCHEDULE!H1616)</f>
        <v/>
      </c>
      <c r="I1616" s="3" t="str">
        <f>IF([1]SCHEDULE!I1616="","",[1]SCHEDULE!I1616)</f>
        <v/>
      </c>
      <c r="J1616" s="3" t="str">
        <f>IF([1]SCHEDULE!J1616="","",[1]SCHEDULE!J1616)</f>
        <v/>
      </c>
    </row>
    <row r="1617" spans="2:10" x14ac:dyDescent="0.25">
      <c r="B1617" s="3" t="str">
        <f>IF([1]SCHEDULE!B1617="","",[1]SCHEDULE!B1617)</f>
        <v/>
      </c>
      <c r="C1617" s="3">
        <f>IF([1]SCHEDULE!C1617="","",[1]SCHEDULE!C1617)</f>
        <v>34</v>
      </c>
      <c r="D1617" s="1" t="e">
        <f>IF([1]SCHEDULE!D1617="","",[1]SCHEDULE!D1617)</f>
        <v>#N/A</v>
      </c>
      <c r="E1617" s="1" t="str">
        <f>IF([1]SCHEDULE!E1617="","",[1]SCHEDULE!E1617)</f>
        <v/>
      </c>
      <c r="F1617" s="6" t="str">
        <f>IF([1]SCHEDULE!F1617="","",[1]SCHEDULE!F1617)</f>
        <v/>
      </c>
      <c r="G1617" s="3" t="str">
        <f>IF([1]SCHEDULE!G1617="","",[1]SCHEDULE!G1617)</f>
        <v/>
      </c>
      <c r="H1617" s="3" t="str">
        <f>IF([1]SCHEDULE!H1617="","",[1]SCHEDULE!H1617)</f>
        <v/>
      </c>
      <c r="I1617" s="3" t="str">
        <f>IF([1]SCHEDULE!I1617="","",[1]SCHEDULE!I1617)</f>
        <v/>
      </c>
      <c r="J1617" s="3" t="str">
        <f>IF([1]SCHEDULE!J1617="","",[1]SCHEDULE!J1617)</f>
        <v/>
      </c>
    </row>
    <row r="1618" spans="2:10" x14ac:dyDescent="0.25">
      <c r="B1618" s="3" t="str">
        <f>IF([1]SCHEDULE!B1618="","",[1]SCHEDULE!B1618)</f>
        <v/>
      </c>
      <c r="C1618" s="3">
        <f>IF([1]SCHEDULE!C1618="","",[1]SCHEDULE!C1618)</f>
        <v>35</v>
      </c>
      <c r="D1618" s="1" t="e">
        <f>IF([1]SCHEDULE!D1618="","",[1]SCHEDULE!D1618)</f>
        <v>#N/A</v>
      </c>
      <c r="E1618" s="1" t="str">
        <f>IF([1]SCHEDULE!E1618="","",[1]SCHEDULE!E1618)</f>
        <v/>
      </c>
      <c r="F1618" s="6" t="str">
        <f>IF([1]SCHEDULE!F1618="","",[1]SCHEDULE!F1618)</f>
        <v/>
      </c>
      <c r="G1618" s="3" t="str">
        <f>IF([1]SCHEDULE!G1618="","",[1]SCHEDULE!G1618)</f>
        <v/>
      </c>
      <c r="H1618" s="3" t="str">
        <f>IF([1]SCHEDULE!H1618="","",[1]SCHEDULE!H1618)</f>
        <v/>
      </c>
      <c r="I1618" s="3" t="str">
        <f>IF([1]SCHEDULE!I1618="","",[1]SCHEDULE!I1618)</f>
        <v/>
      </c>
      <c r="J1618" s="3" t="str">
        <f>IF([1]SCHEDULE!J1618="","",[1]SCHEDULE!J1618)</f>
        <v/>
      </c>
    </row>
    <row r="1619" spans="2:10" x14ac:dyDescent="0.25">
      <c r="B1619" s="3" t="str">
        <f>IF([1]SCHEDULE!B1619="","",[1]SCHEDULE!B1619)</f>
        <v/>
      </c>
      <c r="C1619" s="3">
        <f>IF([1]SCHEDULE!C1619="","",[1]SCHEDULE!C1619)</f>
        <v>36</v>
      </c>
      <c r="D1619" s="1" t="e">
        <f>IF([1]SCHEDULE!D1619="","",[1]SCHEDULE!D1619)</f>
        <v>#N/A</v>
      </c>
      <c r="E1619" s="1" t="str">
        <f>IF([1]SCHEDULE!E1619="","",[1]SCHEDULE!E1619)</f>
        <v/>
      </c>
      <c r="F1619" s="6" t="str">
        <f>IF([1]SCHEDULE!F1619="","",[1]SCHEDULE!F1619)</f>
        <v/>
      </c>
      <c r="G1619" s="3" t="str">
        <f>IF([1]SCHEDULE!G1619="","",[1]SCHEDULE!G1619)</f>
        <v/>
      </c>
      <c r="H1619" s="3" t="str">
        <f>IF([1]SCHEDULE!H1619="","",[1]SCHEDULE!H1619)</f>
        <v/>
      </c>
      <c r="I1619" s="3" t="str">
        <f>IF([1]SCHEDULE!I1619="","",[1]SCHEDULE!I1619)</f>
        <v/>
      </c>
      <c r="J1619" s="3" t="str">
        <f>IF([1]SCHEDULE!J1619="","",[1]SCHEDULE!J1619)</f>
        <v/>
      </c>
    </row>
    <row r="1620" spans="2:10" x14ac:dyDescent="0.25">
      <c r="B1620" s="3" t="str">
        <f>IF([1]SCHEDULE!B1620="","",[1]SCHEDULE!B1620)</f>
        <v/>
      </c>
      <c r="C1620" s="3">
        <f>IF([1]SCHEDULE!C1620="","",[1]SCHEDULE!C1620)</f>
        <v>37</v>
      </c>
      <c r="D1620" s="1" t="e">
        <f>IF([1]SCHEDULE!D1620="","",[1]SCHEDULE!D1620)</f>
        <v>#N/A</v>
      </c>
      <c r="E1620" s="1" t="str">
        <f>IF([1]SCHEDULE!E1620="","",[1]SCHEDULE!E1620)</f>
        <v/>
      </c>
      <c r="F1620" s="6" t="str">
        <f>IF([1]SCHEDULE!F1620="","",[1]SCHEDULE!F1620)</f>
        <v/>
      </c>
      <c r="G1620" s="3" t="str">
        <f>IF([1]SCHEDULE!G1620="","",[1]SCHEDULE!G1620)</f>
        <v/>
      </c>
      <c r="H1620" s="3" t="str">
        <f>IF([1]SCHEDULE!H1620="","",[1]SCHEDULE!H1620)</f>
        <v/>
      </c>
      <c r="I1620" s="3" t="str">
        <f>IF([1]SCHEDULE!I1620="","",[1]SCHEDULE!I1620)</f>
        <v/>
      </c>
      <c r="J1620" s="3" t="str">
        <f>IF([1]SCHEDULE!J1620="","",[1]SCHEDULE!J1620)</f>
        <v/>
      </c>
    </row>
    <row r="1621" spans="2:10" x14ac:dyDescent="0.25">
      <c r="B1621" s="3" t="str">
        <f>IF([1]SCHEDULE!B1621="","",[1]SCHEDULE!B1621)</f>
        <v/>
      </c>
      <c r="C1621" s="3">
        <f>IF([1]SCHEDULE!C1621="","",[1]SCHEDULE!C1621)</f>
        <v>38</v>
      </c>
      <c r="D1621" s="1" t="e">
        <f>IF([1]SCHEDULE!D1621="","",[1]SCHEDULE!D1621)</f>
        <v>#N/A</v>
      </c>
      <c r="E1621" s="1" t="str">
        <f>IF([1]SCHEDULE!E1621="","",[1]SCHEDULE!E1621)</f>
        <v/>
      </c>
      <c r="F1621" s="6" t="str">
        <f>IF([1]SCHEDULE!F1621="","",[1]SCHEDULE!F1621)</f>
        <v/>
      </c>
      <c r="G1621" s="3" t="str">
        <f>IF([1]SCHEDULE!G1621="","",[1]SCHEDULE!G1621)</f>
        <v/>
      </c>
      <c r="H1621" s="3" t="str">
        <f>IF([1]SCHEDULE!H1621="","",[1]SCHEDULE!H1621)</f>
        <v/>
      </c>
      <c r="I1621" s="3" t="str">
        <f>IF([1]SCHEDULE!I1621="","",[1]SCHEDULE!I1621)</f>
        <v/>
      </c>
      <c r="J1621" s="3" t="str">
        <f>IF([1]SCHEDULE!J1621="","",[1]SCHEDULE!J1621)</f>
        <v/>
      </c>
    </row>
    <row r="1622" spans="2:10" x14ac:dyDescent="0.25">
      <c r="B1622" s="3" t="str">
        <f>IF([1]SCHEDULE!B1622="","",[1]SCHEDULE!B1622)</f>
        <v/>
      </c>
      <c r="C1622" s="3">
        <f>IF([1]SCHEDULE!C1622="","",[1]SCHEDULE!C1622)</f>
        <v>39</v>
      </c>
      <c r="D1622" s="1" t="e">
        <f>IF([1]SCHEDULE!D1622="","",[1]SCHEDULE!D1622)</f>
        <v>#N/A</v>
      </c>
      <c r="E1622" s="1" t="str">
        <f>IF([1]SCHEDULE!E1622="","",[1]SCHEDULE!E1622)</f>
        <v/>
      </c>
      <c r="F1622" s="6" t="str">
        <f>IF([1]SCHEDULE!F1622="","",[1]SCHEDULE!F1622)</f>
        <v/>
      </c>
      <c r="G1622" s="3" t="str">
        <f>IF([1]SCHEDULE!G1622="","",[1]SCHEDULE!G1622)</f>
        <v/>
      </c>
      <c r="H1622" s="3" t="str">
        <f>IF([1]SCHEDULE!H1622="","",[1]SCHEDULE!H1622)</f>
        <v/>
      </c>
      <c r="I1622" s="3" t="str">
        <f>IF([1]SCHEDULE!I1622="","",[1]SCHEDULE!I1622)</f>
        <v/>
      </c>
      <c r="J1622" s="3" t="str">
        <f>IF([1]SCHEDULE!J1622="","",[1]SCHEDULE!J1622)</f>
        <v/>
      </c>
    </row>
    <row r="1623" spans="2:10" x14ac:dyDescent="0.25">
      <c r="B1623" s="3" t="str">
        <f>IF([1]SCHEDULE!B1623="","",[1]SCHEDULE!B1623)</f>
        <v/>
      </c>
      <c r="C1623" s="3">
        <f>IF([1]SCHEDULE!C1623="","",[1]SCHEDULE!C1623)</f>
        <v>40</v>
      </c>
      <c r="D1623" s="1" t="e">
        <f>IF([1]SCHEDULE!D1623="","",[1]SCHEDULE!D1623)</f>
        <v>#N/A</v>
      </c>
      <c r="E1623" s="1" t="str">
        <f>IF([1]SCHEDULE!E1623="","",[1]SCHEDULE!E1623)</f>
        <v/>
      </c>
      <c r="F1623" s="6" t="str">
        <f>IF([1]SCHEDULE!F1623="","",[1]SCHEDULE!F1623)</f>
        <v/>
      </c>
      <c r="G1623" s="3" t="str">
        <f>IF([1]SCHEDULE!G1623="","",[1]SCHEDULE!G1623)</f>
        <v/>
      </c>
      <c r="H1623" s="3" t="str">
        <f>IF([1]SCHEDULE!H1623="","",[1]SCHEDULE!H1623)</f>
        <v/>
      </c>
      <c r="I1623" s="3" t="str">
        <f>IF([1]SCHEDULE!I1623="","",[1]SCHEDULE!I1623)</f>
        <v/>
      </c>
      <c r="J1623" s="3" t="str">
        <f>IF([1]SCHEDULE!J1623="","",[1]SCHEDULE!J1623)</f>
        <v/>
      </c>
    </row>
    <row r="1624" spans="2:10" x14ac:dyDescent="0.25">
      <c r="B1624" s="3" t="str">
        <f>IF([1]SCHEDULE!B1624="","",[1]SCHEDULE!B1624)</f>
        <v/>
      </c>
      <c r="C1624" s="3">
        <f>IF([1]SCHEDULE!C1624="","",[1]SCHEDULE!C1624)</f>
        <v>41</v>
      </c>
      <c r="D1624" s="1" t="e">
        <f>IF([1]SCHEDULE!D1624="","",[1]SCHEDULE!D1624)</f>
        <v>#N/A</v>
      </c>
      <c r="E1624" s="1" t="str">
        <f>IF([1]SCHEDULE!E1624="","",[1]SCHEDULE!E1624)</f>
        <v/>
      </c>
      <c r="F1624" s="6" t="str">
        <f>IF([1]SCHEDULE!F1624="","",[1]SCHEDULE!F1624)</f>
        <v/>
      </c>
      <c r="G1624" s="3" t="str">
        <f>IF([1]SCHEDULE!G1624="","",[1]SCHEDULE!G1624)</f>
        <v/>
      </c>
      <c r="H1624" s="3" t="str">
        <f>IF([1]SCHEDULE!H1624="","",[1]SCHEDULE!H1624)</f>
        <v/>
      </c>
      <c r="I1624" s="3" t="str">
        <f>IF([1]SCHEDULE!I1624="","",[1]SCHEDULE!I1624)</f>
        <v/>
      </c>
      <c r="J1624" s="3" t="str">
        <f>IF([1]SCHEDULE!J1624="","",[1]SCHEDULE!J1624)</f>
        <v/>
      </c>
    </row>
    <row r="1625" spans="2:10" x14ac:dyDescent="0.25">
      <c r="B1625" s="3" t="str">
        <f>IF([1]SCHEDULE!B1625="","",[1]SCHEDULE!B1625)</f>
        <v/>
      </c>
      <c r="C1625" s="3">
        <f>IF([1]SCHEDULE!C1625="","",[1]SCHEDULE!C1625)</f>
        <v>42</v>
      </c>
      <c r="D1625" s="1" t="e">
        <f>IF([1]SCHEDULE!D1625="","",[1]SCHEDULE!D1625)</f>
        <v>#N/A</v>
      </c>
      <c r="E1625" s="1" t="str">
        <f>IF([1]SCHEDULE!E1625="","",[1]SCHEDULE!E1625)</f>
        <v/>
      </c>
      <c r="F1625" s="6" t="str">
        <f>IF([1]SCHEDULE!F1625="","",[1]SCHEDULE!F1625)</f>
        <v/>
      </c>
      <c r="G1625" s="3" t="str">
        <f>IF([1]SCHEDULE!G1625="","",[1]SCHEDULE!G1625)</f>
        <v/>
      </c>
      <c r="H1625" s="3" t="str">
        <f>IF([1]SCHEDULE!H1625="","",[1]SCHEDULE!H1625)</f>
        <v/>
      </c>
      <c r="I1625" s="3" t="str">
        <f>IF([1]SCHEDULE!I1625="","",[1]SCHEDULE!I1625)</f>
        <v/>
      </c>
      <c r="J1625" s="3" t="str">
        <f>IF([1]SCHEDULE!J1625="","",[1]SCHEDULE!J1625)</f>
        <v/>
      </c>
    </row>
    <row r="1626" spans="2:10" x14ac:dyDescent="0.25">
      <c r="B1626" s="3" t="str">
        <f>IF([1]SCHEDULE!B1626="","",[1]SCHEDULE!B1626)</f>
        <v/>
      </c>
      <c r="C1626" s="3">
        <f>IF([1]SCHEDULE!C1626="","",[1]SCHEDULE!C1626)</f>
        <v>43</v>
      </c>
      <c r="D1626" s="1" t="e">
        <f>IF([1]SCHEDULE!D1626="","",[1]SCHEDULE!D1626)</f>
        <v>#N/A</v>
      </c>
      <c r="E1626" s="1" t="str">
        <f>IF([1]SCHEDULE!E1626="","",[1]SCHEDULE!E1626)</f>
        <v/>
      </c>
      <c r="F1626" s="6" t="str">
        <f>IF([1]SCHEDULE!F1626="","",[1]SCHEDULE!F1626)</f>
        <v/>
      </c>
      <c r="G1626" s="3" t="str">
        <f>IF([1]SCHEDULE!G1626="","",[1]SCHEDULE!G1626)</f>
        <v/>
      </c>
      <c r="H1626" s="3" t="str">
        <f>IF([1]SCHEDULE!H1626="","",[1]SCHEDULE!H1626)</f>
        <v/>
      </c>
      <c r="I1626" s="3" t="str">
        <f>IF([1]SCHEDULE!I1626="","",[1]SCHEDULE!I1626)</f>
        <v/>
      </c>
      <c r="J1626" s="3" t="str">
        <f>IF([1]SCHEDULE!J1626="","",[1]SCHEDULE!J1626)</f>
        <v/>
      </c>
    </row>
    <row r="1627" spans="2:10" x14ac:dyDescent="0.25">
      <c r="B1627" s="3" t="str">
        <f>IF([1]SCHEDULE!B1627="","",[1]SCHEDULE!B1627)</f>
        <v/>
      </c>
      <c r="C1627" s="3">
        <f>IF([1]SCHEDULE!C1627="","",[1]SCHEDULE!C1627)</f>
        <v>44</v>
      </c>
      <c r="D1627" s="1" t="e">
        <f>IF([1]SCHEDULE!D1627="","",[1]SCHEDULE!D1627)</f>
        <v>#N/A</v>
      </c>
      <c r="E1627" s="1" t="str">
        <f>IF([1]SCHEDULE!E1627="","",[1]SCHEDULE!E1627)</f>
        <v/>
      </c>
      <c r="F1627" s="6" t="str">
        <f>IF([1]SCHEDULE!F1627="","",[1]SCHEDULE!F1627)</f>
        <v/>
      </c>
      <c r="G1627" s="3" t="str">
        <f>IF([1]SCHEDULE!G1627="","",[1]SCHEDULE!G1627)</f>
        <v/>
      </c>
      <c r="H1627" s="3" t="str">
        <f>IF([1]SCHEDULE!H1627="","",[1]SCHEDULE!H1627)</f>
        <v/>
      </c>
      <c r="I1627" s="3" t="str">
        <f>IF([1]SCHEDULE!I1627="","",[1]SCHEDULE!I1627)</f>
        <v/>
      </c>
      <c r="J1627" s="3" t="str">
        <f>IF([1]SCHEDULE!J1627="","",[1]SCHEDULE!J1627)</f>
        <v/>
      </c>
    </row>
    <row r="1628" spans="2:10" x14ac:dyDescent="0.25">
      <c r="B1628" s="3" t="str">
        <f>IF([1]SCHEDULE!B1628="","",[1]SCHEDULE!B1628)</f>
        <v/>
      </c>
      <c r="C1628" s="3">
        <f>IF([1]SCHEDULE!C1628="","",[1]SCHEDULE!C1628)</f>
        <v>45</v>
      </c>
      <c r="D1628" s="1" t="e">
        <f>IF([1]SCHEDULE!D1628="","",[1]SCHEDULE!D1628)</f>
        <v>#N/A</v>
      </c>
      <c r="E1628" s="1" t="str">
        <f>IF([1]SCHEDULE!E1628="","",[1]SCHEDULE!E1628)</f>
        <v/>
      </c>
      <c r="F1628" s="6" t="str">
        <f>IF([1]SCHEDULE!F1628="","",[1]SCHEDULE!F1628)</f>
        <v/>
      </c>
      <c r="G1628" s="3" t="str">
        <f>IF([1]SCHEDULE!G1628="","",[1]SCHEDULE!G1628)</f>
        <v/>
      </c>
      <c r="H1628" s="3" t="str">
        <f>IF([1]SCHEDULE!H1628="","",[1]SCHEDULE!H1628)</f>
        <v/>
      </c>
      <c r="I1628" s="3" t="str">
        <f>IF([1]SCHEDULE!I1628="","",[1]SCHEDULE!I1628)</f>
        <v/>
      </c>
      <c r="J1628" s="3" t="str">
        <f>IF([1]SCHEDULE!J1628="","",[1]SCHEDULE!J1628)</f>
        <v/>
      </c>
    </row>
    <row r="1629" spans="2:10" x14ac:dyDescent="0.25">
      <c r="B1629" s="3" t="str">
        <f>IF([1]SCHEDULE!B1629="","",[1]SCHEDULE!B1629)</f>
        <v/>
      </c>
      <c r="C1629" s="3">
        <f>IF([1]SCHEDULE!C1629="","",[1]SCHEDULE!C1629)</f>
        <v>46</v>
      </c>
      <c r="D1629" s="1" t="e">
        <f>IF([1]SCHEDULE!D1629="","",[1]SCHEDULE!D1629)</f>
        <v>#N/A</v>
      </c>
      <c r="E1629" s="1" t="str">
        <f>IF([1]SCHEDULE!E1629="","",[1]SCHEDULE!E1629)</f>
        <v/>
      </c>
      <c r="F1629" s="6" t="str">
        <f>IF([1]SCHEDULE!F1629="","",[1]SCHEDULE!F1629)</f>
        <v/>
      </c>
      <c r="G1629" s="3" t="str">
        <f>IF([1]SCHEDULE!G1629="","",[1]SCHEDULE!G1629)</f>
        <v/>
      </c>
      <c r="H1629" s="3" t="str">
        <f>IF([1]SCHEDULE!H1629="","",[1]SCHEDULE!H1629)</f>
        <v/>
      </c>
      <c r="I1629" s="3" t="str">
        <f>IF([1]SCHEDULE!I1629="","",[1]SCHEDULE!I1629)</f>
        <v/>
      </c>
      <c r="J1629" s="3" t="str">
        <f>IF([1]SCHEDULE!J1629="","",[1]SCHEDULE!J1629)</f>
        <v/>
      </c>
    </row>
    <row r="1630" spans="2:10" x14ac:dyDescent="0.25">
      <c r="B1630" s="3" t="str">
        <f>IF([1]SCHEDULE!B1630="","",[1]SCHEDULE!B1630)</f>
        <v/>
      </c>
      <c r="C1630" s="3">
        <f>IF([1]SCHEDULE!C1630="","",[1]SCHEDULE!C1630)</f>
        <v>47</v>
      </c>
      <c r="D1630" s="1" t="e">
        <f>IF([1]SCHEDULE!D1630="","",[1]SCHEDULE!D1630)</f>
        <v>#N/A</v>
      </c>
      <c r="E1630" s="1" t="str">
        <f>IF([1]SCHEDULE!E1630="","",[1]SCHEDULE!E1630)</f>
        <v/>
      </c>
      <c r="F1630" s="6" t="str">
        <f>IF([1]SCHEDULE!F1630="","",[1]SCHEDULE!F1630)</f>
        <v/>
      </c>
      <c r="G1630" s="3" t="str">
        <f>IF([1]SCHEDULE!G1630="","",[1]SCHEDULE!G1630)</f>
        <v/>
      </c>
      <c r="H1630" s="3" t="str">
        <f>IF([1]SCHEDULE!H1630="","",[1]SCHEDULE!H1630)</f>
        <v/>
      </c>
      <c r="I1630" s="3" t="str">
        <f>IF([1]SCHEDULE!I1630="","",[1]SCHEDULE!I1630)</f>
        <v/>
      </c>
      <c r="J1630" s="3" t="str">
        <f>IF([1]SCHEDULE!J1630="","",[1]SCHEDULE!J1630)</f>
        <v/>
      </c>
    </row>
    <row r="1631" spans="2:10" x14ac:dyDescent="0.25">
      <c r="B1631" s="3" t="str">
        <f>IF([1]SCHEDULE!B1631="","",[1]SCHEDULE!B1631)</f>
        <v/>
      </c>
      <c r="C1631" s="3">
        <f>IF([1]SCHEDULE!C1631="","",[1]SCHEDULE!C1631)</f>
        <v>48</v>
      </c>
      <c r="D1631" s="1" t="e">
        <f>IF([1]SCHEDULE!D1631="","",[1]SCHEDULE!D1631)</f>
        <v>#N/A</v>
      </c>
      <c r="E1631" s="1" t="str">
        <f>IF([1]SCHEDULE!E1631="","",[1]SCHEDULE!E1631)</f>
        <v/>
      </c>
      <c r="F1631" s="6" t="str">
        <f>IF([1]SCHEDULE!F1631="","",[1]SCHEDULE!F1631)</f>
        <v/>
      </c>
      <c r="G1631" s="3" t="str">
        <f>IF([1]SCHEDULE!G1631="","",[1]SCHEDULE!G1631)</f>
        <v/>
      </c>
      <c r="H1631" s="3" t="str">
        <f>IF([1]SCHEDULE!H1631="","",[1]SCHEDULE!H1631)</f>
        <v/>
      </c>
      <c r="I1631" s="3" t="str">
        <f>IF([1]SCHEDULE!I1631="","",[1]SCHEDULE!I1631)</f>
        <v/>
      </c>
      <c r="J1631" s="3" t="str">
        <f>IF([1]SCHEDULE!J1631="","",[1]SCHEDULE!J1631)</f>
        <v/>
      </c>
    </row>
    <row r="1632" spans="2:10" x14ac:dyDescent="0.25">
      <c r="B1632" s="3" t="str">
        <f>IF([1]SCHEDULE!B1632="","",[1]SCHEDULE!B1632)</f>
        <v/>
      </c>
      <c r="C1632" s="3">
        <f>IF([1]SCHEDULE!C1632="","",[1]SCHEDULE!C1632)</f>
        <v>49</v>
      </c>
      <c r="D1632" s="1" t="e">
        <f>IF([1]SCHEDULE!D1632="","",[1]SCHEDULE!D1632)</f>
        <v>#N/A</v>
      </c>
      <c r="E1632" s="1" t="str">
        <f>IF([1]SCHEDULE!E1632="","",[1]SCHEDULE!E1632)</f>
        <v/>
      </c>
      <c r="F1632" s="6" t="str">
        <f>IF([1]SCHEDULE!F1632="","",[1]SCHEDULE!F1632)</f>
        <v/>
      </c>
      <c r="G1632" s="3" t="str">
        <f>IF([1]SCHEDULE!G1632="","",[1]SCHEDULE!G1632)</f>
        <v/>
      </c>
      <c r="H1632" s="3" t="str">
        <f>IF([1]SCHEDULE!H1632="","",[1]SCHEDULE!H1632)</f>
        <v/>
      </c>
      <c r="I1632" s="3" t="str">
        <f>IF([1]SCHEDULE!I1632="","",[1]SCHEDULE!I1632)</f>
        <v/>
      </c>
      <c r="J1632" s="3" t="str">
        <f>IF([1]SCHEDULE!J1632="","",[1]SCHEDULE!J1632)</f>
        <v/>
      </c>
    </row>
    <row r="1633" spans="2:10" x14ac:dyDescent="0.25">
      <c r="B1633" s="3" t="str">
        <f>IF([1]SCHEDULE!B1633="","",[1]SCHEDULE!B1633)</f>
        <v/>
      </c>
      <c r="C1633" s="3">
        <f>IF([1]SCHEDULE!C1633="","",[1]SCHEDULE!C1633)</f>
        <v>50</v>
      </c>
      <c r="D1633" s="1" t="e">
        <f>IF([1]SCHEDULE!D1633="","",[1]SCHEDULE!D1633)</f>
        <v>#N/A</v>
      </c>
      <c r="E1633" s="1" t="str">
        <f>IF([1]SCHEDULE!E1633="","",[1]SCHEDULE!E1633)</f>
        <v/>
      </c>
      <c r="F1633" s="6" t="str">
        <f>IF([1]SCHEDULE!F1633="","",[1]SCHEDULE!F1633)</f>
        <v/>
      </c>
      <c r="G1633" s="3" t="str">
        <f>IF([1]SCHEDULE!G1633="","",[1]SCHEDULE!G1633)</f>
        <v/>
      </c>
      <c r="H1633" s="3" t="str">
        <f>IF([1]SCHEDULE!H1633="","",[1]SCHEDULE!H1633)</f>
        <v/>
      </c>
      <c r="I1633" s="3" t="str">
        <f>IF([1]SCHEDULE!I1633="","",[1]SCHEDULE!I1633)</f>
        <v/>
      </c>
      <c r="J1633" s="3" t="str">
        <f>IF([1]SCHEDULE!J1633="","",[1]SCHEDULE!J1633)</f>
        <v/>
      </c>
    </row>
    <row r="1634" spans="2:10" x14ac:dyDescent="0.25">
      <c r="B1634" s="3" t="str">
        <f>IF([1]SCHEDULE!B1634="","",[1]SCHEDULE!B1634)</f>
        <v/>
      </c>
      <c r="C1634" s="3">
        <f>IF([1]SCHEDULE!C1634="","",[1]SCHEDULE!C1634)</f>
        <v>51</v>
      </c>
      <c r="D1634" s="1" t="e">
        <f>IF([1]SCHEDULE!D1634="","",[1]SCHEDULE!D1634)</f>
        <v>#N/A</v>
      </c>
      <c r="E1634" s="1" t="str">
        <f>IF([1]SCHEDULE!E1634="","",[1]SCHEDULE!E1634)</f>
        <v/>
      </c>
      <c r="F1634" s="6" t="str">
        <f>IF([1]SCHEDULE!F1634="","",[1]SCHEDULE!F1634)</f>
        <v/>
      </c>
      <c r="G1634" s="3" t="str">
        <f>IF([1]SCHEDULE!G1634="","",[1]SCHEDULE!G1634)</f>
        <v/>
      </c>
      <c r="H1634" s="3" t="str">
        <f>IF([1]SCHEDULE!H1634="","",[1]SCHEDULE!H1634)</f>
        <v/>
      </c>
      <c r="I1634" s="3" t="str">
        <f>IF([1]SCHEDULE!I1634="","",[1]SCHEDULE!I1634)</f>
        <v/>
      </c>
      <c r="J1634" s="3" t="str">
        <f>IF([1]SCHEDULE!J1634="","",[1]SCHEDULE!J1634)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4BEF7-8BEF-4390-93D6-D670C28DD7FB}">
  <dimension ref="B2:AI144"/>
  <sheetViews>
    <sheetView workbookViewId="0">
      <selection activeCell="C113" sqref="C113:C144"/>
    </sheetView>
  </sheetViews>
  <sheetFormatPr defaultColWidth="8.85546875" defaultRowHeight="15" x14ac:dyDescent="0.25"/>
  <cols>
    <col min="1" max="1" width="8.85546875" style="1"/>
    <col min="2" max="2" width="17.5703125" style="1" bestFit="1" customWidth="1"/>
    <col min="3" max="5" width="6.7109375" style="1" customWidth="1"/>
    <col min="6" max="6" width="6.7109375" style="6" customWidth="1"/>
    <col min="7" max="10" width="6.7109375" style="3" customWidth="1"/>
    <col min="11" max="34" width="6.7109375" style="1" customWidth="1"/>
    <col min="35" max="16384" width="8.85546875" style="1"/>
  </cols>
  <sheetData>
    <row r="2" spans="2:34" x14ac:dyDescent="0.25">
      <c r="D2"/>
      <c r="E2"/>
      <c r="F2" s="55" t="s">
        <v>58</v>
      </c>
      <c r="G2" s="56"/>
      <c r="H2"/>
      <c r="I2"/>
      <c r="J2"/>
      <c r="K2"/>
    </row>
    <row r="3" spans="2:34" x14ac:dyDescent="0.25">
      <c r="D3"/>
      <c r="E3"/>
      <c r="F3" s="57" t="str">
        <f>IF(TEAMS_STATS!F3="","",TEAMS_STATS!F3)</f>
        <v>ALL GAMES</v>
      </c>
      <c r="G3" s="58"/>
      <c r="H3"/>
      <c r="I3"/>
      <c r="J3"/>
      <c r="K3"/>
    </row>
    <row r="4" spans="2:34" customFormat="1" x14ac:dyDescent="0.25">
      <c r="D4" s="55" t="s">
        <v>59</v>
      </c>
      <c r="E4" s="56"/>
      <c r="F4" s="55" t="s">
        <v>60</v>
      </c>
      <c r="G4" s="56"/>
      <c r="H4" s="55" t="s">
        <v>61</v>
      </c>
      <c r="I4" s="56"/>
      <c r="J4" s="55" t="s">
        <v>62</v>
      </c>
      <c r="K4" s="56"/>
    </row>
    <row r="5" spans="2:34" x14ac:dyDescent="0.25">
      <c r="D5" s="57" t="str">
        <f>IF(TEAMS_STATS!D5="","",TEAMS_STATS!D5)</f>
        <v/>
      </c>
      <c r="E5" s="58"/>
      <c r="F5" s="57" t="str">
        <f>IF(TEAMS_STATS!F5="","",TEAMS_STATS!F5)</f>
        <v/>
      </c>
      <c r="G5" s="58"/>
      <c r="H5" s="57" t="str">
        <f>IF(TEAMS_STATS!H5="","",TEAMS_STATS!H5)</f>
        <v/>
      </c>
      <c r="I5" s="58"/>
      <c r="J5" s="57" t="str">
        <f>IF(TEAMS_STATS!J5="","",TEAMS_STATS!J5)</f>
        <v/>
      </c>
      <c r="K5" s="58"/>
    </row>
    <row r="7" spans="2:34" s="51" customFormat="1" ht="30" customHeight="1" x14ac:dyDescent="0.25">
      <c r="B7" s="51" t="s">
        <v>63</v>
      </c>
      <c r="C7" s="51" t="str">
        <f>BASIS_INFO!F3</f>
        <v>ALBA Berlin</v>
      </c>
      <c r="D7" s="51" t="str">
        <f>BASIS_INFO!F4</f>
        <v>Anadolu Efes Istanbul</v>
      </c>
      <c r="E7" s="51" t="str">
        <f>BASIS_INFO!F5</f>
        <v>AS Monaco</v>
      </c>
      <c r="F7" s="51" t="str">
        <f>BASIS_INFO!F6</f>
        <v>Baskonia Vitoria-Gasteiz</v>
      </c>
      <c r="G7" s="51" t="str">
        <f>BASIS_INFO!F7</f>
        <v>Crvena Zvezda Meridianbet Belgrade</v>
      </c>
      <c r="H7" s="51" t="str">
        <f>BASIS_INFO!F8</f>
        <v>EA7 Emporio Armani Milan</v>
      </c>
      <c r="I7" s="51" t="str">
        <f>BASIS_INFO!F9</f>
        <v>FC Barcelona</v>
      </c>
      <c r="J7" s="51" t="str">
        <f>BASIS_INFO!F10</f>
        <v>FC Bayern Munich</v>
      </c>
      <c r="K7" s="51" t="str">
        <f>BASIS_INFO!F11</f>
        <v>Fenerbahce Beko Istanbul</v>
      </c>
      <c r="L7" s="51" t="str">
        <f>BASIS_INFO!F12</f>
        <v>LDLC ASVEL Villeurbanne</v>
      </c>
      <c r="M7" s="51" t="str">
        <f>BASIS_INFO!F13</f>
        <v>Maccabi Playtika Tel Aviv</v>
      </c>
      <c r="N7" s="51" t="str">
        <f>BASIS_INFO!F14</f>
        <v>Olympiacos Piraeus</v>
      </c>
      <c r="O7" s="51" t="str">
        <f>BASIS_INFO!F15</f>
        <v>Panathinaikos Athens</v>
      </c>
      <c r="P7" s="51" t="str">
        <f>BASIS_INFO!F16</f>
        <v>Partizan Mozzart Bet Belgrade</v>
      </c>
      <c r="Q7" s="51" t="str">
        <f>BASIS_INFO!F17</f>
        <v>Real Madrid</v>
      </c>
      <c r="R7" s="51" t="str">
        <f>BASIS_INFO!F18</f>
        <v>Valencia Basket</v>
      </c>
      <c r="S7" s="51" t="str">
        <f>BASIS_INFO!F19</f>
        <v>Virtus Segafredo Bologna</v>
      </c>
      <c r="T7" s="51" t="str">
        <f>BASIS_INFO!F20</f>
        <v>Zalgiris Kaunas</v>
      </c>
      <c r="U7" s="51" t="str">
        <f>BASIS_INFO!F21</f>
        <v/>
      </c>
      <c r="V7" s="51" t="str">
        <f>BASIS_INFO!F22</f>
        <v/>
      </c>
      <c r="W7" s="51" t="str">
        <f>BASIS_INFO!F23</f>
        <v/>
      </c>
      <c r="X7" s="51" t="str">
        <f>BASIS_INFO!F24</f>
        <v/>
      </c>
      <c r="Y7" s="51" t="str">
        <f>BASIS_INFO!F25</f>
        <v/>
      </c>
      <c r="Z7" s="51" t="str">
        <f>BASIS_INFO!F26</f>
        <v/>
      </c>
      <c r="AA7" s="51" t="str">
        <f>BASIS_INFO!F27</f>
        <v/>
      </c>
      <c r="AB7" s="51" t="str">
        <f>BASIS_INFO!F28</f>
        <v/>
      </c>
      <c r="AC7" s="51" t="str">
        <f>BASIS_INFO!F29</f>
        <v/>
      </c>
      <c r="AD7" s="51" t="str">
        <f>BASIS_INFO!F30</f>
        <v/>
      </c>
      <c r="AE7" s="51" t="str">
        <f>BASIS_INFO!F31</f>
        <v/>
      </c>
      <c r="AF7" s="51" t="str">
        <f>BASIS_INFO!F32</f>
        <v/>
      </c>
      <c r="AG7" s="51" t="str">
        <f>BASIS_INFO!F33</f>
        <v/>
      </c>
      <c r="AH7" s="51" t="str">
        <f>BASIS_INFO!F34</f>
        <v/>
      </c>
    </row>
    <row r="8" spans="2:34" x14ac:dyDescent="0.25">
      <c r="B8" s="1" t="str">
        <f>BASIS_INFO!F3</f>
        <v>ALBA Berlin</v>
      </c>
      <c r="C8" s="3" t="str">
        <f ca="1">IF($B8="","",IF(C$7="","",IF($B8=C$7,"-",COUNTIFS(TEAMS_GbG[[TM NAME]:[TM NAME]],$B8,TEAMS_GbG[[OPP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D8" s="3">
        <f ca="1">IF($B8="","",IF(D$7="","",IF($B8=D$7,"-",COUNTIFS(TEAMS_GbG[[TM NAME]:[TM NAME]],$B8,TEAMS_GbG[[OPP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E8" s="3">
        <f ca="1">IF($B8="","",IF(E$7="","",IF($B8=E$7,"-",COUNTIFS(TEAMS_GbG[[TM NAME]:[TM NAME]],$B8,TEAMS_GbG[[OPP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8" s="3">
        <f ca="1">IF($B8="","",IF(F$7="","",IF($B8=F$7,"-",COUNTIFS(TEAMS_GbG[[TM NAME]:[TM NAME]],$B8,TEAMS_GbG[[OPP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8" s="3">
        <f ca="1">IF($B8="","",IF(G$7="","",IF($B8=G$7,"-",COUNTIFS(TEAMS_GbG[[TM NAME]:[TM NAME]],$B8,TEAMS_GbG[[OPP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H8" s="3">
        <f ca="1">IF($B8="","",IF(H$7="","",IF($B8=H$7,"-",COUNTIFS(TEAMS_GbG[[TM NAME]:[TM NAME]],$B8,TEAMS_GbG[[OPP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8" s="3">
        <f ca="1">IF($B8="","",IF(I$7="","",IF($B8=I$7,"-",COUNTIFS(TEAMS_GbG[[TM NAME]:[TM NAME]],$B8,TEAMS_GbG[[OPP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J8" s="3">
        <f ca="1">IF($B8="","",IF(J$7="","",IF($B8=J$7,"-",COUNTIFS(TEAMS_GbG[[TM NAME]:[TM NAME]],$B8,TEAMS_GbG[[OPP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8" s="3">
        <f ca="1">IF($B8="","",IF(K$7="","",IF($B8=K$7,"-",COUNTIFS(TEAMS_GbG[[TM NAME]:[TM NAME]],$B8,TEAMS_GbG[[OPP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L8" s="3">
        <f ca="1">IF($B8="","",IF(L$7="","",IF($B8=L$7,"-",COUNTIFS(TEAMS_GbG[[TM NAME]:[TM NAME]],$B8,TEAMS_GbG[[OPP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8" s="3">
        <f ca="1">IF($B8="","",IF(M$7="","",IF($B8=M$7,"-",COUNTIFS(TEAMS_GbG[[TM NAME]:[TM NAME]],$B8,TEAMS_GbG[[OPP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8" s="3">
        <f ca="1">IF($B8="","",IF(N$7="","",IF($B8=N$7,"-",COUNTIFS(TEAMS_GbG[[TM NAME]:[TM NAME]],$B8,TEAMS_GbG[[OPP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O8" s="3">
        <f ca="1">IF($B8="","",IF(O$7="","",IF($B8=O$7,"-",COUNTIFS(TEAMS_GbG[[TM NAME]:[TM NAME]],$B8,TEAMS_GbG[[OPP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8" s="3">
        <f ca="1">IF($B8="","",IF(P$7="","",IF($B8=P$7,"-",COUNTIFS(TEAMS_GbG[[TM NAME]:[TM NAME]],$B8,TEAMS_GbG[[OPP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8" s="3">
        <f ca="1">IF($B8="","",IF(Q$7="","",IF($B8=Q$7,"-",COUNTIFS(TEAMS_GbG[[TM NAME]:[TM NAME]],$B8,TEAMS_GbG[[OPP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8" s="3">
        <f ca="1">IF($B8="","",IF(R$7="","",IF($B8=R$7,"-",COUNTIFS(TEAMS_GbG[[TM NAME]:[TM NAME]],$B8,TEAMS_GbG[[OPP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8" s="3">
        <f ca="1">IF($B8="","",IF(S$7="","",IF($B8=S$7,"-",COUNTIFS(TEAMS_GbG[[TM NAME]:[TM NAME]],$B8,TEAMS_GbG[[OPP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8" s="3">
        <f ca="1">IF($B8="","",IF(T$7="","",IF($B8=T$7,"-",COUNTIFS(TEAMS_GbG[[TM NAME]:[TM NAME]],$B8,TEAMS_GbG[[OPP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U8" s="3" t="str">
        <f ca="1">IF($B8="","",IF(U$7="","",IF($B8=U$7,"-",COUNTIFS(TEAMS_GbG[[TM NAME]:[TM NAME]],$B8,TEAMS_GbG[[OPP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8" s="3" t="str">
        <f ca="1">IF($B8="","",IF(V$7="","",IF($B8=V$7,"-",COUNTIFS(TEAMS_GbG[[TM NAME]:[TM NAME]],$B8,TEAMS_GbG[[OPP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8" s="3" t="str">
        <f ca="1">IF($B8="","",IF(W$7="","",IF($B8=W$7,"-",COUNTIFS(TEAMS_GbG[[TM NAME]:[TM NAME]],$B8,TEAMS_GbG[[OPP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8" s="3" t="str">
        <f ca="1">IF($B8="","",IF(X$7="","",IF($B8=X$7,"-",COUNTIFS(TEAMS_GbG[[TM NAME]:[TM NAME]],$B8,TEAMS_GbG[[OPP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8" s="3" t="str">
        <f ca="1">IF($B8="","",IF(Y$7="","",IF($B8=Y$7,"-",COUNTIFS(TEAMS_GbG[[TM NAME]:[TM NAME]],$B8,TEAMS_GbG[[OPP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8" s="3" t="str">
        <f ca="1">IF($B8="","",IF(Z$7="","",IF($B8=Z$7,"-",COUNTIFS(TEAMS_GbG[[TM NAME]:[TM NAME]],$B8,TEAMS_GbG[[OPP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8" s="3" t="str">
        <f ca="1">IF($B8="","",IF(AA$7="","",IF($B8=AA$7,"-",COUNTIFS(TEAMS_GbG[[TM NAME]:[TM NAME]],$B8,TEAMS_GbG[[OPP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8" s="3" t="str">
        <f ca="1">IF($B8="","",IF(AB$7="","",IF($B8=AB$7,"-",COUNTIFS(TEAMS_GbG[[TM NAME]:[TM NAME]],$B8,TEAMS_GbG[[OPP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8" s="3" t="str">
        <f ca="1">IF($B8="","",IF(AC$7="","",IF($B8=AC$7,"-",COUNTIFS(TEAMS_GbG[[TM NAME]:[TM NAME]],$B8,TEAMS_GbG[[OPP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8" s="3" t="str">
        <f ca="1">IF($B8="","",IF(AD$7="","",IF($B8=AD$7,"-",COUNTIFS(TEAMS_GbG[[TM NAME]:[TM NAME]],$B8,TEAMS_GbG[[OPP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8" s="3" t="str">
        <f ca="1">IF($B8="","",IF(AE$7="","",IF($B8=AE$7,"-",COUNTIFS(TEAMS_GbG[[TM NAME]:[TM NAME]],$B8,TEAMS_GbG[[OPP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8" s="3" t="str">
        <f ca="1">IF($B8="","",IF(AF$7="","",IF($B8=AF$7,"-",COUNTIFS(TEAMS_GbG[[TM NAME]:[TM NAME]],$B8,TEAMS_GbG[[OPP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8" s="3" t="str">
        <f ca="1">IF($B8="","",IF(AG$7="","",IF($B8=AG$7,"-",COUNTIFS(TEAMS_GbG[[TM NAME]:[TM NAME]],$B8,TEAMS_GbG[[OPP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8" s="3" t="str">
        <f ca="1">IF($B8="","",IF(AH$7="","",IF($B8=AH$7,"-",COUNTIFS(TEAMS_GbG[[TM NAME]:[TM NAME]],$B8,TEAMS_GbG[[OPP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9" spans="2:34" x14ac:dyDescent="0.25">
      <c r="B9" s="1" t="str">
        <f>BASIS_INFO!F4</f>
        <v>Anadolu Efes Istanbul</v>
      </c>
      <c r="C9" s="3">
        <f ca="1">IF($B9="","",IF(C$7="","",IF($B9=C$7,"-",COUNTIFS(TEAMS_GbG[[TM NAME]:[TM NAME]],$B9,TEAMS_GbG[[OPP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D9" s="3" t="str">
        <f ca="1">IF($B9="","",IF(D$7="","",IF($B9=D$7,"-",COUNTIFS(TEAMS_GbG[[TM NAME]:[TM NAME]],$B9,TEAMS_GbG[[OPP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E9" s="3">
        <f ca="1">IF($B9="","",IF(E$7="","",IF($B9=E$7,"-",COUNTIFS(TEAMS_GbG[[TM NAME]:[TM NAME]],$B9,TEAMS_GbG[[OPP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9" s="3">
        <f ca="1">IF($B9="","",IF(F$7="","",IF($B9=F$7,"-",COUNTIFS(TEAMS_GbG[[TM NAME]:[TM NAME]],$B9,TEAMS_GbG[[OPP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G9" s="3">
        <f ca="1">IF($B9="","",IF(G$7="","",IF($B9=G$7,"-",COUNTIFS(TEAMS_GbG[[TM NAME]:[TM NAME]],$B9,TEAMS_GbG[[OPP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H9" s="3">
        <f ca="1">IF($B9="","",IF(H$7="","",IF($B9=H$7,"-",COUNTIFS(TEAMS_GbG[[TM NAME]:[TM NAME]],$B9,TEAMS_GbG[[OPP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9" s="3">
        <f ca="1">IF($B9="","",IF(I$7="","",IF($B9=I$7,"-",COUNTIFS(TEAMS_GbG[[TM NAME]:[TM NAME]],$B9,TEAMS_GbG[[OPP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9" s="3">
        <f ca="1">IF($B9="","",IF(J$7="","",IF($B9=J$7,"-",COUNTIFS(TEAMS_GbG[[TM NAME]:[TM NAME]],$B9,TEAMS_GbG[[OPP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K9" s="3">
        <f ca="1">IF($B9="","",IF(K$7="","",IF($B9=K$7,"-",COUNTIFS(TEAMS_GbG[[TM NAME]:[TM NAME]],$B9,TEAMS_GbG[[OPP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L9" s="3">
        <f ca="1">IF($B9="","",IF(L$7="","",IF($B9=L$7,"-",COUNTIFS(TEAMS_GbG[[TM NAME]:[TM NAME]],$B9,TEAMS_GbG[[OPP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9" s="3">
        <f ca="1">IF($B9="","",IF(M$7="","",IF($B9=M$7,"-",COUNTIFS(TEAMS_GbG[[TM NAME]:[TM NAME]],$B9,TEAMS_GbG[[OPP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9" s="3">
        <f ca="1">IF($B9="","",IF(N$7="","",IF($B9=N$7,"-",COUNTIFS(TEAMS_GbG[[TM NAME]:[TM NAME]],$B9,TEAMS_GbG[[OPP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9" s="3">
        <f ca="1">IF($B9="","",IF(O$7="","",IF($B9=O$7,"-",COUNTIFS(TEAMS_GbG[[TM NAME]:[TM NAME]],$B9,TEAMS_GbG[[OPP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P9" s="3">
        <f ca="1">IF($B9="","",IF(P$7="","",IF($B9=P$7,"-",COUNTIFS(TEAMS_GbG[[TM NAME]:[TM NAME]],$B9,TEAMS_GbG[[OPP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Q9" s="3">
        <f ca="1">IF($B9="","",IF(Q$7="","",IF($B9=Q$7,"-",COUNTIFS(TEAMS_GbG[[TM NAME]:[TM NAME]],$B9,TEAMS_GbG[[OPP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R9" s="3">
        <f ca="1">IF($B9="","",IF(R$7="","",IF($B9=R$7,"-",COUNTIFS(TEAMS_GbG[[TM NAME]:[TM NAME]],$B9,TEAMS_GbG[[OPP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9" s="3">
        <f ca="1">IF($B9="","",IF(S$7="","",IF($B9=S$7,"-",COUNTIFS(TEAMS_GbG[[TM NAME]:[TM NAME]],$B9,TEAMS_GbG[[OPP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9" s="3">
        <f ca="1">IF($B9="","",IF(T$7="","",IF($B9=T$7,"-",COUNTIFS(TEAMS_GbG[[TM NAME]:[TM NAME]],$B9,TEAMS_GbG[[OPP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9" s="3" t="str">
        <f ca="1">IF($B9="","",IF(U$7="","",IF($B9=U$7,"-",COUNTIFS(TEAMS_GbG[[TM NAME]:[TM NAME]],$B9,TEAMS_GbG[[OPP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9" s="3" t="str">
        <f ca="1">IF($B9="","",IF(V$7="","",IF($B9=V$7,"-",COUNTIFS(TEAMS_GbG[[TM NAME]:[TM NAME]],$B9,TEAMS_GbG[[OPP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9" s="3" t="str">
        <f ca="1">IF($B9="","",IF(W$7="","",IF($B9=W$7,"-",COUNTIFS(TEAMS_GbG[[TM NAME]:[TM NAME]],$B9,TEAMS_GbG[[OPP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9" s="3" t="str">
        <f ca="1">IF($B9="","",IF(X$7="","",IF($B9=X$7,"-",COUNTIFS(TEAMS_GbG[[TM NAME]:[TM NAME]],$B9,TEAMS_GbG[[OPP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9" s="3" t="str">
        <f ca="1">IF($B9="","",IF(Y$7="","",IF($B9=Y$7,"-",COUNTIFS(TEAMS_GbG[[TM NAME]:[TM NAME]],$B9,TEAMS_GbG[[OPP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9" s="3" t="str">
        <f ca="1">IF($B9="","",IF(Z$7="","",IF($B9=Z$7,"-",COUNTIFS(TEAMS_GbG[[TM NAME]:[TM NAME]],$B9,TEAMS_GbG[[OPP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9" s="3" t="str">
        <f ca="1">IF($B9="","",IF(AA$7="","",IF($B9=AA$7,"-",COUNTIFS(TEAMS_GbG[[TM NAME]:[TM NAME]],$B9,TEAMS_GbG[[OPP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9" s="3" t="str">
        <f ca="1">IF($B9="","",IF(AB$7="","",IF($B9=AB$7,"-",COUNTIFS(TEAMS_GbG[[TM NAME]:[TM NAME]],$B9,TEAMS_GbG[[OPP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9" s="3" t="str">
        <f ca="1">IF($B9="","",IF(AC$7="","",IF($B9=AC$7,"-",COUNTIFS(TEAMS_GbG[[TM NAME]:[TM NAME]],$B9,TEAMS_GbG[[OPP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9" s="3" t="str">
        <f ca="1">IF($B9="","",IF(AD$7="","",IF($B9=AD$7,"-",COUNTIFS(TEAMS_GbG[[TM NAME]:[TM NAME]],$B9,TEAMS_GbG[[OPP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9" s="3" t="str">
        <f ca="1">IF($B9="","",IF(AE$7="","",IF($B9=AE$7,"-",COUNTIFS(TEAMS_GbG[[TM NAME]:[TM NAME]],$B9,TEAMS_GbG[[OPP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9" s="3" t="str">
        <f ca="1">IF($B9="","",IF(AF$7="","",IF($B9=AF$7,"-",COUNTIFS(TEAMS_GbG[[TM NAME]:[TM NAME]],$B9,TEAMS_GbG[[OPP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9" s="3" t="str">
        <f ca="1">IF($B9="","",IF(AG$7="","",IF($B9=AG$7,"-",COUNTIFS(TEAMS_GbG[[TM NAME]:[TM NAME]],$B9,TEAMS_GbG[[OPP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9" s="3" t="str">
        <f ca="1">IF($B9="","",IF(AH$7="","",IF($B9=AH$7,"-",COUNTIFS(TEAMS_GbG[[TM NAME]:[TM NAME]],$B9,TEAMS_GbG[[OPP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0" spans="2:34" x14ac:dyDescent="0.25">
      <c r="B10" s="1" t="str">
        <f>BASIS_INFO!F5</f>
        <v>AS Monaco</v>
      </c>
      <c r="C10" s="3">
        <f ca="1">IF($B10="","",IF(C$7="","",IF($B10=C$7,"-",COUNTIFS(TEAMS_GbG[[TM NAME]:[TM NAME]],$B10,TEAMS_GbG[[OPP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10" s="3">
        <f ca="1">IF($B10="","",IF(D$7="","",IF($B10=D$7,"-",COUNTIFS(TEAMS_GbG[[TM NAME]:[TM NAME]],$B10,TEAMS_GbG[[OPP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10" s="3" t="str">
        <f ca="1">IF($B10="","",IF(E$7="","",IF($B10=E$7,"-",COUNTIFS(TEAMS_GbG[[TM NAME]:[TM NAME]],$B10,TEAMS_GbG[[OPP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F10" s="3">
        <f ca="1">IF($B10="","",IF(F$7="","",IF($B10=F$7,"-",COUNTIFS(TEAMS_GbG[[TM NAME]:[TM NAME]],$B10,TEAMS_GbG[[OPP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G10" s="3">
        <f ca="1">IF($B10="","",IF(G$7="","",IF($B10=G$7,"-",COUNTIFS(TEAMS_GbG[[TM NAME]:[TM NAME]],$B10,TEAMS_GbG[[OPP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10" s="3">
        <f ca="1">IF($B10="","",IF(H$7="","",IF($B10=H$7,"-",COUNTIFS(TEAMS_GbG[[TM NAME]:[TM NAME]],$B10,TEAMS_GbG[[OPP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10" s="3">
        <f ca="1">IF($B10="","",IF(I$7="","",IF($B10=I$7,"-",COUNTIFS(TEAMS_GbG[[TM NAME]:[TM NAME]],$B10,TEAMS_GbG[[OPP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J10" s="3">
        <f ca="1">IF($B10="","",IF(J$7="","",IF($B10=J$7,"-",COUNTIFS(TEAMS_GbG[[TM NAME]:[TM NAME]],$B10,TEAMS_GbG[[OPP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K10" s="3">
        <f ca="1">IF($B10="","",IF(K$7="","",IF($B10=K$7,"-",COUNTIFS(TEAMS_GbG[[TM NAME]:[TM NAME]],$B10,TEAMS_GbG[[OPP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L10" s="3">
        <f ca="1">IF($B10="","",IF(L$7="","",IF($B10=L$7,"-",COUNTIFS(TEAMS_GbG[[TM NAME]:[TM NAME]],$B10,TEAMS_GbG[[OPP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10" s="3">
        <f ca="1">IF($B10="","",IF(M$7="","",IF($B10=M$7,"-",COUNTIFS(TEAMS_GbG[[TM NAME]:[TM NAME]],$B10,TEAMS_GbG[[OPP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N10" s="3">
        <f ca="1">IF($B10="","",IF(N$7="","",IF($B10=N$7,"-",COUNTIFS(TEAMS_GbG[[TM NAME]:[TM NAME]],$B10,TEAMS_GbG[[OPP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O10" s="3">
        <f ca="1">IF($B10="","",IF(O$7="","",IF($B10=O$7,"-",COUNTIFS(TEAMS_GbG[[TM NAME]:[TM NAME]],$B10,TEAMS_GbG[[OPP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P10" s="3">
        <f ca="1">IF($B10="","",IF(P$7="","",IF($B10=P$7,"-",COUNTIFS(TEAMS_GbG[[TM NAME]:[TM NAME]],$B10,TEAMS_GbG[[OPP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Q10" s="3">
        <f ca="1">IF($B10="","",IF(Q$7="","",IF($B10=Q$7,"-",COUNTIFS(TEAMS_GbG[[TM NAME]:[TM NAME]],$B10,TEAMS_GbG[[OPP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R10" s="3">
        <f ca="1">IF($B10="","",IF(R$7="","",IF($B10=R$7,"-",COUNTIFS(TEAMS_GbG[[TM NAME]:[TM NAME]],$B10,TEAMS_GbG[[OPP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10" s="3">
        <f ca="1">IF($B10="","",IF(S$7="","",IF($B10=S$7,"-",COUNTIFS(TEAMS_GbG[[TM NAME]:[TM NAME]],$B10,TEAMS_GbG[[OPP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10" s="3">
        <f ca="1">IF($B10="","",IF(T$7="","",IF($B10=T$7,"-",COUNTIFS(TEAMS_GbG[[TM NAME]:[TM NAME]],$B10,TEAMS_GbG[[OPP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U10" s="3" t="str">
        <f ca="1">IF($B10="","",IF(U$7="","",IF($B10=U$7,"-",COUNTIFS(TEAMS_GbG[[TM NAME]:[TM NAME]],$B10,TEAMS_GbG[[OPP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0" s="3" t="str">
        <f ca="1">IF($B10="","",IF(V$7="","",IF($B10=V$7,"-",COUNTIFS(TEAMS_GbG[[TM NAME]:[TM NAME]],$B10,TEAMS_GbG[[OPP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0" s="3" t="str">
        <f ca="1">IF($B10="","",IF(W$7="","",IF($B10=W$7,"-",COUNTIFS(TEAMS_GbG[[TM NAME]:[TM NAME]],$B10,TEAMS_GbG[[OPP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0" s="3" t="str">
        <f ca="1">IF($B10="","",IF(X$7="","",IF($B10=X$7,"-",COUNTIFS(TEAMS_GbG[[TM NAME]:[TM NAME]],$B10,TEAMS_GbG[[OPP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0" s="3" t="str">
        <f ca="1">IF($B10="","",IF(Y$7="","",IF($B10=Y$7,"-",COUNTIFS(TEAMS_GbG[[TM NAME]:[TM NAME]],$B10,TEAMS_GbG[[OPP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0" s="3" t="str">
        <f ca="1">IF($B10="","",IF(Z$7="","",IF($B10=Z$7,"-",COUNTIFS(TEAMS_GbG[[TM NAME]:[TM NAME]],$B10,TEAMS_GbG[[OPP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0" s="3" t="str">
        <f ca="1">IF($B10="","",IF(AA$7="","",IF($B10=AA$7,"-",COUNTIFS(TEAMS_GbG[[TM NAME]:[TM NAME]],$B10,TEAMS_GbG[[OPP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0" s="3" t="str">
        <f ca="1">IF($B10="","",IF(AB$7="","",IF($B10=AB$7,"-",COUNTIFS(TEAMS_GbG[[TM NAME]:[TM NAME]],$B10,TEAMS_GbG[[OPP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0" s="3" t="str">
        <f ca="1">IF($B10="","",IF(AC$7="","",IF($B10=AC$7,"-",COUNTIFS(TEAMS_GbG[[TM NAME]:[TM NAME]],$B10,TEAMS_GbG[[OPP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0" s="3" t="str">
        <f ca="1">IF($B10="","",IF(AD$7="","",IF($B10=AD$7,"-",COUNTIFS(TEAMS_GbG[[TM NAME]:[TM NAME]],$B10,TEAMS_GbG[[OPP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0" s="3" t="str">
        <f ca="1">IF($B10="","",IF(AE$7="","",IF($B10=AE$7,"-",COUNTIFS(TEAMS_GbG[[TM NAME]:[TM NAME]],$B10,TEAMS_GbG[[OPP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0" s="3" t="str">
        <f ca="1">IF($B10="","",IF(AF$7="","",IF($B10=AF$7,"-",COUNTIFS(TEAMS_GbG[[TM NAME]:[TM NAME]],$B10,TEAMS_GbG[[OPP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0" s="3" t="str">
        <f ca="1">IF($B10="","",IF(AG$7="","",IF($B10=AG$7,"-",COUNTIFS(TEAMS_GbG[[TM NAME]:[TM NAME]],$B10,TEAMS_GbG[[OPP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0" s="3" t="str">
        <f ca="1">IF($B10="","",IF(AH$7="","",IF($B10=AH$7,"-",COUNTIFS(TEAMS_GbG[[TM NAME]:[TM NAME]],$B10,TEAMS_GbG[[OPP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1" spans="2:34" x14ac:dyDescent="0.25">
      <c r="B11" s="1" t="str">
        <f>BASIS_INFO!F6</f>
        <v>Baskonia Vitoria-Gasteiz</v>
      </c>
      <c r="C11" s="3">
        <f ca="1">IF($B11="","",IF(C$7="","",IF($B11=C$7,"-",COUNTIFS(TEAMS_GbG[[TM NAME]:[TM NAME]],$B11,TEAMS_GbG[[OPP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11" s="3">
        <f ca="1">IF($B11="","",IF(D$7="","",IF($B11=D$7,"-",COUNTIFS(TEAMS_GbG[[TM NAME]:[TM NAME]],$B11,TEAMS_GbG[[OPP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E11" s="3">
        <f ca="1">IF($B11="","",IF(E$7="","",IF($B11=E$7,"-",COUNTIFS(TEAMS_GbG[[TM NAME]:[TM NAME]],$B11,TEAMS_GbG[[OPP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F11" s="3" t="str">
        <f ca="1">IF($B11="","",IF(F$7="","",IF($B11=F$7,"-",COUNTIFS(TEAMS_GbG[[TM NAME]:[TM NAME]],$B11,TEAMS_GbG[[OPP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G11" s="3">
        <f ca="1">IF($B11="","",IF(G$7="","",IF($B11=G$7,"-",COUNTIFS(TEAMS_GbG[[TM NAME]:[TM NAME]],$B11,TEAMS_GbG[[OPP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H11" s="3">
        <f ca="1">IF($B11="","",IF(H$7="","",IF($B11=H$7,"-",COUNTIFS(TEAMS_GbG[[TM NAME]:[TM NAME]],$B11,TEAMS_GbG[[OPP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I11" s="3">
        <f ca="1">IF($B11="","",IF(I$7="","",IF($B11=I$7,"-",COUNTIFS(TEAMS_GbG[[TM NAME]:[TM NAME]],$B11,TEAMS_GbG[[OPP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11" s="3">
        <f ca="1">IF($B11="","",IF(J$7="","",IF($B11=J$7,"-",COUNTIFS(TEAMS_GbG[[TM NAME]:[TM NAME]],$B11,TEAMS_GbG[[OPP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11" s="3">
        <f ca="1">IF($B11="","",IF(K$7="","",IF($B11=K$7,"-",COUNTIFS(TEAMS_GbG[[TM NAME]:[TM NAME]],$B11,TEAMS_GbG[[OPP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L11" s="3">
        <f ca="1">IF($B11="","",IF(L$7="","",IF($B11=L$7,"-",COUNTIFS(TEAMS_GbG[[TM NAME]:[TM NAME]],$B11,TEAMS_GbG[[OPP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11" s="3">
        <f ca="1">IF($B11="","",IF(M$7="","",IF($B11=M$7,"-",COUNTIFS(TEAMS_GbG[[TM NAME]:[TM NAME]],$B11,TEAMS_GbG[[OPP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11" s="3">
        <f ca="1">IF($B11="","",IF(N$7="","",IF($B11=N$7,"-",COUNTIFS(TEAMS_GbG[[TM NAME]:[TM NAME]],$B11,TEAMS_GbG[[OPP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11" s="3">
        <f ca="1">IF($B11="","",IF(O$7="","",IF($B11=O$7,"-",COUNTIFS(TEAMS_GbG[[TM NAME]:[TM NAME]],$B11,TEAMS_GbG[[OPP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11" s="3">
        <f ca="1">IF($B11="","",IF(P$7="","",IF($B11=P$7,"-",COUNTIFS(TEAMS_GbG[[TM NAME]:[TM NAME]],$B11,TEAMS_GbG[[OPP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11" s="3">
        <f ca="1">IF($B11="","",IF(Q$7="","",IF($B11=Q$7,"-",COUNTIFS(TEAMS_GbG[[TM NAME]:[TM NAME]],$B11,TEAMS_GbG[[OPP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R11" s="3">
        <f ca="1">IF($B11="","",IF(R$7="","",IF($B11=R$7,"-",COUNTIFS(TEAMS_GbG[[TM NAME]:[TM NAME]],$B11,TEAMS_GbG[[OPP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S11" s="3">
        <f ca="1">IF($B11="","",IF(S$7="","",IF($B11=S$7,"-",COUNTIFS(TEAMS_GbG[[TM NAME]:[TM NAME]],$B11,TEAMS_GbG[[OPP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T11" s="3">
        <f ca="1">IF($B11="","",IF(T$7="","",IF($B11=T$7,"-",COUNTIFS(TEAMS_GbG[[TM NAME]:[TM NAME]],$B11,TEAMS_GbG[[OPP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11" s="3" t="str">
        <f ca="1">IF($B11="","",IF(U$7="","",IF($B11=U$7,"-",COUNTIFS(TEAMS_GbG[[TM NAME]:[TM NAME]],$B11,TEAMS_GbG[[OPP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1" s="3" t="str">
        <f ca="1">IF($B11="","",IF(V$7="","",IF($B11=V$7,"-",COUNTIFS(TEAMS_GbG[[TM NAME]:[TM NAME]],$B11,TEAMS_GbG[[OPP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1" s="3" t="str">
        <f ca="1">IF($B11="","",IF(W$7="","",IF($B11=W$7,"-",COUNTIFS(TEAMS_GbG[[TM NAME]:[TM NAME]],$B11,TEAMS_GbG[[OPP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1" s="3" t="str">
        <f ca="1">IF($B11="","",IF(X$7="","",IF($B11=X$7,"-",COUNTIFS(TEAMS_GbG[[TM NAME]:[TM NAME]],$B11,TEAMS_GbG[[OPP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1" s="3" t="str">
        <f ca="1">IF($B11="","",IF(Y$7="","",IF($B11=Y$7,"-",COUNTIFS(TEAMS_GbG[[TM NAME]:[TM NAME]],$B11,TEAMS_GbG[[OPP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1" s="3" t="str">
        <f ca="1">IF($B11="","",IF(Z$7="","",IF($B11=Z$7,"-",COUNTIFS(TEAMS_GbG[[TM NAME]:[TM NAME]],$B11,TEAMS_GbG[[OPP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1" s="3" t="str">
        <f ca="1">IF($B11="","",IF(AA$7="","",IF($B11=AA$7,"-",COUNTIFS(TEAMS_GbG[[TM NAME]:[TM NAME]],$B11,TEAMS_GbG[[OPP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1" s="3" t="str">
        <f ca="1">IF($B11="","",IF(AB$7="","",IF($B11=AB$7,"-",COUNTIFS(TEAMS_GbG[[TM NAME]:[TM NAME]],$B11,TEAMS_GbG[[OPP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1" s="3" t="str">
        <f ca="1">IF($B11="","",IF(AC$7="","",IF($B11=AC$7,"-",COUNTIFS(TEAMS_GbG[[TM NAME]:[TM NAME]],$B11,TEAMS_GbG[[OPP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1" s="3" t="str">
        <f ca="1">IF($B11="","",IF(AD$7="","",IF($B11=AD$7,"-",COUNTIFS(TEAMS_GbG[[TM NAME]:[TM NAME]],$B11,TEAMS_GbG[[OPP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1" s="3" t="str">
        <f ca="1">IF($B11="","",IF(AE$7="","",IF($B11=AE$7,"-",COUNTIFS(TEAMS_GbG[[TM NAME]:[TM NAME]],$B11,TEAMS_GbG[[OPP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1" s="3" t="str">
        <f ca="1">IF($B11="","",IF(AF$7="","",IF($B11=AF$7,"-",COUNTIFS(TEAMS_GbG[[TM NAME]:[TM NAME]],$B11,TEAMS_GbG[[OPP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1" s="3" t="str">
        <f ca="1">IF($B11="","",IF(AG$7="","",IF($B11=AG$7,"-",COUNTIFS(TEAMS_GbG[[TM NAME]:[TM NAME]],$B11,TEAMS_GbG[[OPP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1" s="3" t="str">
        <f ca="1">IF($B11="","",IF(AH$7="","",IF($B11=AH$7,"-",COUNTIFS(TEAMS_GbG[[TM NAME]:[TM NAME]],$B11,TEAMS_GbG[[OPP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2" spans="2:34" x14ac:dyDescent="0.25">
      <c r="B12" s="1" t="str">
        <f>BASIS_INFO!F7</f>
        <v>Crvena Zvezda Meridianbet Belgrade</v>
      </c>
      <c r="C12" s="3">
        <f ca="1">IF($B12="","",IF(C$7="","",IF($B12=C$7,"-",COUNTIFS(TEAMS_GbG[[TM NAME]:[TM NAME]],$B12,TEAMS_GbG[[OPP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D12" s="3">
        <f ca="1">IF($B12="","",IF(D$7="","",IF($B12=D$7,"-",COUNTIFS(TEAMS_GbG[[TM NAME]:[TM NAME]],$B12,TEAMS_GbG[[OPP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E12" s="3">
        <f ca="1">IF($B12="","",IF(E$7="","",IF($B12=E$7,"-",COUNTIFS(TEAMS_GbG[[TM NAME]:[TM NAME]],$B12,TEAMS_GbG[[OPP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12" s="3">
        <f ca="1">IF($B12="","",IF(F$7="","",IF($B12=F$7,"-",COUNTIFS(TEAMS_GbG[[TM NAME]:[TM NAME]],$B12,TEAMS_GbG[[OPP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G12" s="3" t="str">
        <f ca="1">IF($B12="","",IF(G$7="","",IF($B12=G$7,"-",COUNTIFS(TEAMS_GbG[[TM NAME]:[TM NAME]],$B12,TEAMS_GbG[[OPP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H12" s="3">
        <f ca="1">IF($B12="","",IF(H$7="","",IF($B12=H$7,"-",COUNTIFS(TEAMS_GbG[[TM NAME]:[TM NAME]],$B12,TEAMS_GbG[[OPP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I12" s="3">
        <f ca="1">IF($B12="","",IF(I$7="","",IF($B12=I$7,"-",COUNTIFS(TEAMS_GbG[[TM NAME]:[TM NAME]],$B12,TEAMS_GbG[[OPP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12" s="3">
        <f ca="1">IF($B12="","",IF(J$7="","",IF($B12=J$7,"-",COUNTIFS(TEAMS_GbG[[TM NAME]:[TM NAME]],$B12,TEAMS_GbG[[OPP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12" s="3">
        <f ca="1">IF($B12="","",IF(K$7="","",IF($B12=K$7,"-",COUNTIFS(TEAMS_GbG[[TM NAME]:[TM NAME]],$B12,TEAMS_GbG[[OPP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12" s="3">
        <f ca="1">IF($B12="","",IF(L$7="","",IF($B12=L$7,"-",COUNTIFS(TEAMS_GbG[[TM NAME]:[TM NAME]],$B12,TEAMS_GbG[[OPP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12" s="3">
        <f ca="1">IF($B12="","",IF(M$7="","",IF($B12=M$7,"-",COUNTIFS(TEAMS_GbG[[TM NAME]:[TM NAME]],$B12,TEAMS_GbG[[OPP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12" s="3">
        <f ca="1">IF($B12="","",IF(N$7="","",IF($B12=N$7,"-",COUNTIFS(TEAMS_GbG[[TM NAME]:[TM NAME]],$B12,TEAMS_GbG[[OPP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12" s="3">
        <f ca="1">IF($B12="","",IF(O$7="","",IF($B12=O$7,"-",COUNTIFS(TEAMS_GbG[[TM NAME]:[TM NAME]],$B12,TEAMS_GbG[[OPP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P12" s="3">
        <f ca="1">IF($B12="","",IF(P$7="","",IF($B12=P$7,"-",COUNTIFS(TEAMS_GbG[[TM NAME]:[TM NAME]],$B12,TEAMS_GbG[[OPP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12" s="3">
        <f ca="1">IF($B12="","",IF(Q$7="","",IF($B12=Q$7,"-",COUNTIFS(TEAMS_GbG[[TM NAME]:[TM NAME]],$B12,TEAMS_GbG[[OPP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12" s="3">
        <f ca="1">IF($B12="","",IF(R$7="","",IF($B12=R$7,"-",COUNTIFS(TEAMS_GbG[[TM NAME]:[TM NAME]],$B12,TEAMS_GbG[[OPP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S12" s="3">
        <f ca="1">IF($B12="","",IF(S$7="","",IF($B12=S$7,"-",COUNTIFS(TEAMS_GbG[[TM NAME]:[TM NAME]],$B12,TEAMS_GbG[[OPP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12" s="3">
        <f ca="1">IF($B12="","",IF(T$7="","",IF($B12=T$7,"-",COUNTIFS(TEAMS_GbG[[TM NAME]:[TM NAME]],$B12,TEAMS_GbG[[OPP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12" s="3" t="str">
        <f ca="1">IF($B12="","",IF(U$7="","",IF($B12=U$7,"-",COUNTIFS(TEAMS_GbG[[TM NAME]:[TM NAME]],$B12,TEAMS_GbG[[OPP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2" s="3" t="str">
        <f ca="1">IF($B12="","",IF(V$7="","",IF($B12=V$7,"-",COUNTIFS(TEAMS_GbG[[TM NAME]:[TM NAME]],$B12,TEAMS_GbG[[OPP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2" s="3" t="str">
        <f ca="1">IF($B12="","",IF(W$7="","",IF($B12=W$7,"-",COUNTIFS(TEAMS_GbG[[TM NAME]:[TM NAME]],$B12,TEAMS_GbG[[OPP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2" s="3" t="str">
        <f ca="1">IF($B12="","",IF(X$7="","",IF($B12=X$7,"-",COUNTIFS(TEAMS_GbG[[TM NAME]:[TM NAME]],$B12,TEAMS_GbG[[OPP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2" s="3" t="str">
        <f ca="1">IF($B12="","",IF(Y$7="","",IF($B12=Y$7,"-",COUNTIFS(TEAMS_GbG[[TM NAME]:[TM NAME]],$B12,TEAMS_GbG[[OPP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2" s="3" t="str">
        <f ca="1">IF($B12="","",IF(Z$7="","",IF($B12=Z$7,"-",COUNTIFS(TEAMS_GbG[[TM NAME]:[TM NAME]],$B12,TEAMS_GbG[[OPP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2" s="3" t="str">
        <f ca="1">IF($B12="","",IF(AA$7="","",IF($B12=AA$7,"-",COUNTIFS(TEAMS_GbG[[TM NAME]:[TM NAME]],$B12,TEAMS_GbG[[OPP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2" s="3" t="str">
        <f ca="1">IF($B12="","",IF(AB$7="","",IF($B12=AB$7,"-",COUNTIFS(TEAMS_GbG[[TM NAME]:[TM NAME]],$B12,TEAMS_GbG[[OPP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2" s="3" t="str">
        <f ca="1">IF($B12="","",IF(AC$7="","",IF($B12=AC$7,"-",COUNTIFS(TEAMS_GbG[[TM NAME]:[TM NAME]],$B12,TEAMS_GbG[[OPP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2" s="3" t="str">
        <f ca="1">IF($B12="","",IF(AD$7="","",IF($B12=AD$7,"-",COUNTIFS(TEAMS_GbG[[TM NAME]:[TM NAME]],$B12,TEAMS_GbG[[OPP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2" s="3" t="str">
        <f ca="1">IF($B12="","",IF(AE$7="","",IF($B12=AE$7,"-",COUNTIFS(TEAMS_GbG[[TM NAME]:[TM NAME]],$B12,TEAMS_GbG[[OPP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2" s="3" t="str">
        <f ca="1">IF($B12="","",IF(AF$7="","",IF($B12=AF$7,"-",COUNTIFS(TEAMS_GbG[[TM NAME]:[TM NAME]],$B12,TEAMS_GbG[[OPP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2" s="3" t="str">
        <f ca="1">IF($B12="","",IF(AG$7="","",IF($B12=AG$7,"-",COUNTIFS(TEAMS_GbG[[TM NAME]:[TM NAME]],$B12,TEAMS_GbG[[OPP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2" s="3" t="str">
        <f ca="1">IF($B12="","",IF(AH$7="","",IF($B12=AH$7,"-",COUNTIFS(TEAMS_GbG[[TM NAME]:[TM NAME]],$B12,TEAMS_GbG[[OPP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3" spans="2:34" x14ac:dyDescent="0.25">
      <c r="B13" s="1" t="str">
        <f>BASIS_INFO!F8</f>
        <v>EA7 Emporio Armani Milan</v>
      </c>
      <c r="C13" s="3">
        <f ca="1">IF($B13="","",IF(C$7="","",IF($B13=C$7,"-",COUNTIFS(TEAMS_GbG[[TM NAME]:[TM NAME]],$B13,TEAMS_GbG[[OPP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13" s="3">
        <f ca="1">IF($B13="","",IF(D$7="","",IF($B13=D$7,"-",COUNTIFS(TEAMS_GbG[[TM NAME]:[TM NAME]],$B13,TEAMS_GbG[[OPP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13" s="3">
        <f ca="1">IF($B13="","",IF(E$7="","",IF($B13=E$7,"-",COUNTIFS(TEAMS_GbG[[TM NAME]:[TM NAME]],$B13,TEAMS_GbG[[OPP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13" s="3">
        <f ca="1">IF($B13="","",IF(F$7="","",IF($B13=F$7,"-",COUNTIFS(TEAMS_GbG[[TM NAME]:[TM NAME]],$B13,TEAMS_GbG[[OPP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G13" s="3">
        <f ca="1">IF($B13="","",IF(G$7="","",IF($B13=G$7,"-",COUNTIFS(TEAMS_GbG[[TM NAME]:[TM NAME]],$B13,TEAMS_GbG[[OPP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H13" s="3" t="str">
        <f ca="1">IF($B13="","",IF(H$7="","",IF($B13=H$7,"-",COUNTIFS(TEAMS_GbG[[TM NAME]:[TM NAME]],$B13,TEAMS_GbG[[OPP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I13" s="3">
        <f ca="1">IF($B13="","",IF(I$7="","",IF($B13=I$7,"-",COUNTIFS(TEAMS_GbG[[TM NAME]:[TM NAME]],$B13,TEAMS_GbG[[OPP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J13" s="3">
        <f ca="1">IF($B13="","",IF(J$7="","",IF($B13=J$7,"-",COUNTIFS(TEAMS_GbG[[TM NAME]:[TM NAME]],$B13,TEAMS_GbG[[OPP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K13" s="3">
        <f ca="1">IF($B13="","",IF(K$7="","",IF($B13=K$7,"-",COUNTIFS(TEAMS_GbG[[TM NAME]:[TM NAME]],$B13,TEAMS_GbG[[OPP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13" s="3">
        <f ca="1">IF($B13="","",IF(L$7="","",IF($B13=L$7,"-",COUNTIFS(TEAMS_GbG[[TM NAME]:[TM NAME]],$B13,TEAMS_GbG[[OPP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M13" s="3">
        <f ca="1">IF($B13="","",IF(M$7="","",IF($B13=M$7,"-",COUNTIFS(TEAMS_GbG[[TM NAME]:[TM NAME]],$B13,TEAMS_GbG[[OPP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N13" s="3">
        <f ca="1">IF($B13="","",IF(N$7="","",IF($B13=N$7,"-",COUNTIFS(TEAMS_GbG[[TM NAME]:[TM NAME]],$B13,TEAMS_GbG[[OPP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13" s="3">
        <f ca="1">IF($B13="","",IF(O$7="","",IF($B13=O$7,"-",COUNTIFS(TEAMS_GbG[[TM NAME]:[TM NAME]],$B13,TEAMS_GbG[[OPP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P13" s="3">
        <f ca="1">IF($B13="","",IF(P$7="","",IF($B13=P$7,"-",COUNTIFS(TEAMS_GbG[[TM NAME]:[TM NAME]],$B13,TEAMS_GbG[[OPP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Q13" s="3">
        <f ca="1">IF($B13="","",IF(Q$7="","",IF($B13=Q$7,"-",COUNTIFS(TEAMS_GbG[[TM NAME]:[TM NAME]],$B13,TEAMS_GbG[[OPP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R13" s="3">
        <f ca="1">IF($B13="","",IF(R$7="","",IF($B13=R$7,"-",COUNTIFS(TEAMS_GbG[[TM NAME]:[TM NAME]],$B13,TEAMS_GbG[[OPP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13" s="3">
        <f ca="1">IF($B13="","",IF(S$7="","",IF($B13=S$7,"-",COUNTIFS(TEAMS_GbG[[TM NAME]:[TM NAME]],$B13,TEAMS_GbG[[OPP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13" s="3">
        <f ca="1">IF($B13="","",IF(T$7="","",IF($B13=T$7,"-",COUNTIFS(TEAMS_GbG[[TM NAME]:[TM NAME]],$B13,TEAMS_GbG[[OPP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U13" s="3" t="str">
        <f ca="1">IF($B13="","",IF(U$7="","",IF($B13=U$7,"-",COUNTIFS(TEAMS_GbG[[TM NAME]:[TM NAME]],$B13,TEAMS_GbG[[OPP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3" s="3" t="str">
        <f ca="1">IF($B13="","",IF(V$7="","",IF($B13=V$7,"-",COUNTIFS(TEAMS_GbG[[TM NAME]:[TM NAME]],$B13,TEAMS_GbG[[OPP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3" s="3" t="str">
        <f ca="1">IF($B13="","",IF(W$7="","",IF($B13=W$7,"-",COUNTIFS(TEAMS_GbG[[TM NAME]:[TM NAME]],$B13,TEAMS_GbG[[OPP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3" s="3" t="str">
        <f ca="1">IF($B13="","",IF(X$7="","",IF($B13=X$7,"-",COUNTIFS(TEAMS_GbG[[TM NAME]:[TM NAME]],$B13,TEAMS_GbG[[OPP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3" s="3" t="str">
        <f ca="1">IF($B13="","",IF(Y$7="","",IF($B13=Y$7,"-",COUNTIFS(TEAMS_GbG[[TM NAME]:[TM NAME]],$B13,TEAMS_GbG[[OPP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3" s="3" t="str">
        <f ca="1">IF($B13="","",IF(Z$7="","",IF($B13=Z$7,"-",COUNTIFS(TEAMS_GbG[[TM NAME]:[TM NAME]],$B13,TEAMS_GbG[[OPP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3" s="3" t="str">
        <f ca="1">IF($B13="","",IF(AA$7="","",IF($B13=AA$7,"-",COUNTIFS(TEAMS_GbG[[TM NAME]:[TM NAME]],$B13,TEAMS_GbG[[OPP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3" s="3" t="str">
        <f ca="1">IF($B13="","",IF(AB$7="","",IF($B13=AB$7,"-",COUNTIFS(TEAMS_GbG[[TM NAME]:[TM NAME]],$B13,TEAMS_GbG[[OPP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3" s="3" t="str">
        <f ca="1">IF($B13="","",IF(AC$7="","",IF($B13=AC$7,"-",COUNTIFS(TEAMS_GbG[[TM NAME]:[TM NAME]],$B13,TEAMS_GbG[[OPP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3" s="3" t="str">
        <f ca="1">IF($B13="","",IF(AD$7="","",IF($B13=AD$7,"-",COUNTIFS(TEAMS_GbG[[TM NAME]:[TM NAME]],$B13,TEAMS_GbG[[OPP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3" s="3" t="str">
        <f ca="1">IF($B13="","",IF(AE$7="","",IF($B13=AE$7,"-",COUNTIFS(TEAMS_GbG[[TM NAME]:[TM NAME]],$B13,TEAMS_GbG[[OPP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3" s="3" t="str">
        <f ca="1">IF($B13="","",IF(AF$7="","",IF($B13=AF$7,"-",COUNTIFS(TEAMS_GbG[[TM NAME]:[TM NAME]],$B13,TEAMS_GbG[[OPP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3" s="3" t="str">
        <f ca="1">IF($B13="","",IF(AG$7="","",IF($B13=AG$7,"-",COUNTIFS(TEAMS_GbG[[TM NAME]:[TM NAME]],$B13,TEAMS_GbG[[OPP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3" s="3" t="str">
        <f ca="1">IF($B13="","",IF(AH$7="","",IF($B13=AH$7,"-",COUNTIFS(TEAMS_GbG[[TM NAME]:[TM NAME]],$B13,TEAMS_GbG[[OPP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4" spans="2:34" x14ac:dyDescent="0.25">
      <c r="B14" s="1" t="str">
        <f>BASIS_INFO!F9</f>
        <v>FC Barcelona</v>
      </c>
      <c r="C14" s="3">
        <f ca="1">IF($B14="","",IF(C$7="","",IF($B14=C$7,"-",COUNTIFS(TEAMS_GbG[[TM NAME]:[TM NAME]],$B14,TEAMS_GbG[[OPP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D14" s="3">
        <f ca="1">IF($B14="","",IF(D$7="","",IF($B14=D$7,"-",COUNTIFS(TEAMS_GbG[[TM NAME]:[TM NAME]],$B14,TEAMS_GbG[[OPP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14" s="3">
        <f ca="1">IF($B14="","",IF(E$7="","",IF($B14=E$7,"-",COUNTIFS(TEAMS_GbG[[TM NAME]:[TM NAME]],$B14,TEAMS_GbG[[OPP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F14" s="3">
        <f ca="1">IF($B14="","",IF(F$7="","",IF($B14=F$7,"-",COUNTIFS(TEAMS_GbG[[TM NAME]:[TM NAME]],$B14,TEAMS_GbG[[OPP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14" s="3">
        <f ca="1">IF($B14="","",IF(G$7="","",IF($B14=G$7,"-",COUNTIFS(TEAMS_GbG[[TM NAME]:[TM NAME]],$B14,TEAMS_GbG[[OPP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14" s="3">
        <f ca="1">IF($B14="","",IF(H$7="","",IF($B14=H$7,"-",COUNTIFS(TEAMS_GbG[[TM NAME]:[TM NAME]],$B14,TEAMS_GbG[[OPP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I14" s="3" t="str">
        <f ca="1">IF($B14="","",IF(I$7="","",IF($B14=I$7,"-",COUNTIFS(TEAMS_GbG[[TM NAME]:[TM NAME]],$B14,TEAMS_GbG[[OPP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J14" s="3">
        <f ca="1">IF($B14="","",IF(J$7="","",IF($B14=J$7,"-",COUNTIFS(TEAMS_GbG[[TM NAME]:[TM NAME]],$B14,TEAMS_GbG[[OPP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14" s="3">
        <f ca="1">IF($B14="","",IF(K$7="","",IF($B14=K$7,"-",COUNTIFS(TEAMS_GbG[[TM NAME]:[TM NAME]],$B14,TEAMS_GbG[[OPP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L14" s="3">
        <f ca="1">IF($B14="","",IF(L$7="","",IF($B14=L$7,"-",COUNTIFS(TEAMS_GbG[[TM NAME]:[TM NAME]],$B14,TEAMS_GbG[[OPP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M14" s="3">
        <f ca="1">IF($B14="","",IF(M$7="","",IF($B14=M$7,"-",COUNTIFS(TEAMS_GbG[[TM NAME]:[TM NAME]],$B14,TEAMS_GbG[[OPP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14" s="3">
        <f ca="1">IF($B14="","",IF(N$7="","",IF($B14=N$7,"-",COUNTIFS(TEAMS_GbG[[TM NAME]:[TM NAME]],$B14,TEAMS_GbG[[OPP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14" s="3">
        <f ca="1">IF($B14="","",IF(O$7="","",IF($B14=O$7,"-",COUNTIFS(TEAMS_GbG[[TM NAME]:[TM NAME]],$B14,TEAMS_GbG[[OPP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14" s="3">
        <f ca="1">IF($B14="","",IF(P$7="","",IF($B14=P$7,"-",COUNTIFS(TEAMS_GbG[[TM NAME]:[TM NAME]],$B14,TEAMS_GbG[[OPP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14" s="3">
        <f ca="1">IF($B14="","",IF(Q$7="","",IF($B14=Q$7,"-",COUNTIFS(TEAMS_GbG[[TM NAME]:[TM NAME]],$B14,TEAMS_GbG[[OPP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R14" s="3">
        <f ca="1">IF($B14="","",IF(R$7="","",IF($B14=R$7,"-",COUNTIFS(TEAMS_GbG[[TM NAME]:[TM NAME]],$B14,TEAMS_GbG[[OPP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14" s="3">
        <f ca="1">IF($B14="","",IF(S$7="","",IF($B14=S$7,"-",COUNTIFS(TEAMS_GbG[[TM NAME]:[TM NAME]],$B14,TEAMS_GbG[[OPP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T14" s="3">
        <f ca="1">IF($B14="","",IF(T$7="","",IF($B14=T$7,"-",COUNTIFS(TEAMS_GbG[[TM NAME]:[TM NAME]],$B14,TEAMS_GbG[[OPP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U14" s="3" t="str">
        <f ca="1">IF($B14="","",IF(U$7="","",IF($B14=U$7,"-",COUNTIFS(TEAMS_GbG[[TM NAME]:[TM NAME]],$B14,TEAMS_GbG[[OPP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4" s="3" t="str">
        <f ca="1">IF($B14="","",IF(V$7="","",IF($B14=V$7,"-",COUNTIFS(TEAMS_GbG[[TM NAME]:[TM NAME]],$B14,TEAMS_GbG[[OPP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4" s="3" t="str">
        <f ca="1">IF($B14="","",IF(W$7="","",IF($B14=W$7,"-",COUNTIFS(TEAMS_GbG[[TM NAME]:[TM NAME]],$B14,TEAMS_GbG[[OPP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4" s="3" t="str">
        <f ca="1">IF($B14="","",IF(X$7="","",IF($B14=X$7,"-",COUNTIFS(TEAMS_GbG[[TM NAME]:[TM NAME]],$B14,TEAMS_GbG[[OPP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4" s="3" t="str">
        <f ca="1">IF($B14="","",IF(Y$7="","",IF($B14=Y$7,"-",COUNTIFS(TEAMS_GbG[[TM NAME]:[TM NAME]],$B14,TEAMS_GbG[[OPP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4" s="3" t="str">
        <f ca="1">IF($B14="","",IF(Z$7="","",IF($B14=Z$7,"-",COUNTIFS(TEAMS_GbG[[TM NAME]:[TM NAME]],$B14,TEAMS_GbG[[OPP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4" s="3" t="str">
        <f ca="1">IF($B14="","",IF(AA$7="","",IF($B14=AA$7,"-",COUNTIFS(TEAMS_GbG[[TM NAME]:[TM NAME]],$B14,TEAMS_GbG[[OPP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4" s="3" t="str">
        <f ca="1">IF($B14="","",IF(AB$7="","",IF($B14=AB$7,"-",COUNTIFS(TEAMS_GbG[[TM NAME]:[TM NAME]],$B14,TEAMS_GbG[[OPP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4" s="3" t="str">
        <f ca="1">IF($B14="","",IF(AC$7="","",IF($B14=AC$7,"-",COUNTIFS(TEAMS_GbG[[TM NAME]:[TM NAME]],$B14,TEAMS_GbG[[OPP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4" s="3" t="str">
        <f ca="1">IF($B14="","",IF(AD$7="","",IF($B14=AD$7,"-",COUNTIFS(TEAMS_GbG[[TM NAME]:[TM NAME]],$B14,TEAMS_GbG[[OPP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4" s="3" t="str">
        <f ca="1">IF($B14="","",IF(AE$7="","",IF($B14=AE$7,"-",COUNTIFS(TEAMS_GbG[[TM NAME]:[TM NAME]],$B14,TEAMS_GbG[[OPP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4" s="3" t="str">
        <f ca="1">IF($B14="","",IF(AF$7="","",IF($B14=AF$7,"-",COUNTIFS(TEAMS_GbG[[TM NAME]:[TM NAME]],$B14,TEAMS_GbG[[OPP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4" s="3" t="str">
        <f ca="1">IF($B14="","",IF(AG$7="","",IF($B14=AG$7,"-",COUNTIFS(TEAMS_GbG[[TM NAME]:[TM NAME]],$B14,TEAMS_GbG[[OPP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4" s="3" t="str">
        <f ca="1">IF($B14="","",IF(AH$7="","",IF($B14=AH$7,"-",COUNTIFS(TEAMS_GbG[[TM NAME]:[TM NAME]],$B14,TEAMS_GbG[[OPP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5" spans="2:34" x14ac:dyDescent="0.25">
      <c r="B15" s="1" t="str">
        <f>BASIS_INFO!F10</f>
        <v>FC Bayern Munich</v>
      </c>
      <c r="C15" s="3">
        <f ca="1">IF($B15="","",IF(C$7="","",IF($B15=C$7,"-",COUNTIFS(TEAMS_GbG[[TM NAME]:[TM NAME]],$B15,TEAMS_GbG[[OPP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15" s="3">
        <f ca="1">IF($B15="","",IF(D$7="","",IF($B15=D$7,"-",COUNTIFS(TEAMS_GbG[[TM NAME]:[TM NAME]],$B15,TEAMS_GbG[[OPP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E15" s="3">
        <f ca="1">IF($B15="","",IF(E$7="","",IF($B15=E$7,"-",COUNTIFS(TEAMS_GbG[[TM NAME]:[TM NAME]],$B15,TEAMS_GbG[[OPP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F15" s="3">
        <f ca="1">IF($B15="","",IF(F$7="","",IF($B15=F$7,"-",COUNTIFS(TEAMS_GbG[[TM NAME]:[TM NAME]],$B15,TEAMS_GbG[[OPP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15" s="3">
        <f ca="1">IF($B15="","",IF(G$7="","",IF($B15=G$7,"-",COUNTIFS(TEAMS_GbG[[TM NAME]:[TM NAME]],$B15,TEAMS_GbG[[OPP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15" s="3">
        <f ca="1">IF($B15="","",IF(H$7="","",IF($B15=H$7,"-",COUNTIFS(TEAMS_GbG[[TM NAME]:[TM NAME]],$B15,TEAMS_GbG[[OPP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I15" s="3">
        <f ca="1">IF($B15="","",IF(I$7="","",IF($B15=I$7,"-",COUNTIFS(TEAMS_GbG[[TM NAME]:[TM NAME]],$B15,TEAMS_GbG[[OPP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15" s="3" t="str">
        <f ca="1">IF($B15="","",IF(J$7="","",IF($B15=J$7,"-",COUNTIFS(TEAMS_GbG[[TM NAME]:[TM NAME]],$B15,TEAMS_GbG[[OPP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K15" s="3">
        <f ca="1">IF($B15="","",IF(K$7="","",IF($B15=K$7,"-",COUNTIFS(TEAMS_GbG[[TM NAME]:[TM NAME]],$B15,TEAMS_GbG[[OPP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15" s="3">
        <f ca="1">IF($B15="","",IF(L$7="","",IF($B15=L$7,"-",COUNTIFS(TEAMS_GbG[[TM NAME]:[TM NAME]],$B15,TEAMS_GbG[[OPP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M15" s="3">
        <f ca="1">IF($B15="","",IF(M$7="","",IF($B15=M$7,"-",COUNTIFS(TEAMS_GbG[[TM NAME]:[TM NAME]],$B15,TEAMS_GbG[[OPP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N15" s="3">
        <f ca="1">IF($B15="","",IF(N$7="","",IF($B15=N$7,"-",COUNTIFS(TEAMS_GbG[[TM NAME]:[TM NAME]],$B15,TEAMS_GbG[[OPP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O15" s="3">
        <f ca="1">IF($B15="","",IF(O$7="","",IF($B15=O$7,"-",COUNTIFS(TEAMS_GbG[[TM NAME]:[TM NAME]],$B15,TEAMS_GbG[[OPP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15" s="3">
        <f ca="1">IF($B15="","",IF(P$7="","",IF($B15=P$7,"-",COUNTIFS(TEAMS_GbG[[TM NAME]:[TM NAME]],$B15,TEAMS_GbG[[OPP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15" s="3">
        <f ca="1">IF($B15="","",IF(Q$7="","",IF($B15=Q$7,"-",COUNTIFS(TEAMS_GbG[[TM NAME]:[TM NAME]],$B15,TEAMS_GbG[[OPP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15" s="3">
        <f ca="1">IF($B15="","",IF(R$7="","",IF($B15=R$7,"-",COUNTIFS(TEAMS_GbG[[TM NAME]:[TM NAME]],$B15,TEAMS_GbG[[OPP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S15" s="3">
        <f ca="1">IF($B15="","",IF(S$7="","",IF($B15=S$7,"-",COUNTIFS(TEAMS_GbG[[TM NAME]:[TM NAME]],$B15,TEAMS_GbG[[OPP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T15" s="3">
        <f ca="1">IF($B15="","",IF(T$7="","",IF($B15=T$7,"-",COUNTIFS(TEAMS_GbG[[TM NAME]:[TM NAME]],$B15,TEAMS_GbG[[OPP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15" s="3" t="str">
        <f ca="1">IF($B15="","",IF(U$7="","",IF($B15=U$7,"-",COUNTIFS(TEAMS_GbG[[TM NAME]:[TM NAME]],$B15,TEAMS_GbG[[OPP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5" s="3" t="str">
        <f ca="1">IF($B15="","",IF(V$7="","",IF($B15=V$7,"-",COUNTIFS(TEAMS_GbG[[TM NAME]:[TM NAME]],$B15,TEAMS_GbG[[OPP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5" s="3" t="str">
        <f ca="1">IF($B15="","",IF(W$7="","",IF($B15=W$7,"-",COUNTIFS(TEAMS_GbG[[TM NAME]:[TM NAME]],$B15,TEAMS_GbG[[OPP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5" s="3" t="str">
        <f ca="1">IF($B15="","",IF(X$7="","",IF($B15=X$7,"-",COUNTIFS(TEAMS_GbG[[TM NAME]:[TM NAME]],$B15,TEAMS_GbG[[OPP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5" s="3" t="str">
        <f ca="1">IF($B15="","",IF(Y$7="","",IF($B15=Y$7,"-",COUNTIFS(TEAMS_GbG[[TM NAME]:[TM NAME]],$B15,TEAMS_GbG[[OPP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5" s="3" t="str">
        <f ca="1">IF($B15="","",IF(Z$7="","",IF($B15=Z$7,"-",COUNTIFS(TEAMS_GbG[[TM NAME]:[TM NAME]],$B15,TEAMS_GbG[[OPP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5" s="3" t="str">
        <f ca="1">IF($B15="","",IF(AA$7="","",IF($B15=AA$7,"-",COUNTIFS(TEAMS_GbG[[TM NAME]:[TM NAME]],$B15,TEAMS_GbG[[OPP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5" s="3" t="str">
        <f ca="1">IF($B15="","",IF(AB$7="","",IF($B15=AB$7,"-",COUNTIFS(TEAMS_GbG[[TM NAME]:[TM NAME]],$B15,TEAMS_GbG[[OPP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5" s="3" t="str">
        <f ca="1">IF($B15="","",IF(AC$7="","",IF($B15=AC$7,"-",COUNTIFS(TEAMS_GbG[[TM NAME]:[TM NAME]],$B15,TEAMS_GbG[[OPP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5" s="3" t="str">
        <f ca="1">IF($B15="","",IF(AD$7="","",IF($B15=AD$7,"-",COUNTIFS(TEAMS_GbG[[TM NAME]:[TM NAME]],$B15,TEAMS_GbG[[OPP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5" s="3" t="str">
        <f ca="1">IF($B15="","",IF(AE$7="","",IF($B15=AE$7,"-",COUNTIFS(TEAMS_GbG[[TM NAME]:[TM NAME]],$B15,TEAMS_GbG[[OPP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5" s="3" t="str">
        <f ca="1">IF($B15="","",IF(AF$7="","",IF($B15=AF$7,"-",COUNTIFS(TEAMS_GbG[[TM NAME]:[TM NAME]],$B15,TEAMS_GbG[[OPP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5" s="3" t="str">
        <f ca="1">IF($B15="","",IF(AG$7="","",IF($B15=AG$7,"-",COUNTIFS(TEAMS_GbG[[TM NAME]:[TM NAME]],$B15,TEAMS_GbG[[OPP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5" s="3" t="str">
        <f ca="1">IF($B15="","",IF(AH$7="","",IF($B15=AH$7,"-",COUNTIFS(TEAMS_GbG[[TM NAME]:[TM NAME]],$B15,TEAMS_GbG[[OPP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6" spans="2:34" x14ac:dyDescent="0.25">
      <c r="B16" s="1" t="str">
        <f>BASIS_INFO!F11</f>
        <v>Fenerbahce Beko Istanbul</v>
      </c>
      <c r="C16" s="3">
        <f ca="1">IF($B16="","",IF(C$7="","",IF($B16=C$7,"-",COUNTIFS(TEAMS_GbG[[TM NAME]:[TM NAME]],$B16,TEAMS_GbG[[OPP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D16" s="3">
        <f ca="1">IF($B16="","",IF(D$7="","",IF($B16=D$7,"-",COUNTIFS(TEAMS_GbG[[TM NAME]:[TM NAME]],$B16,TEAMS_GbG[[OPP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E16" s="3">
        <f ca="1">IF($B16="","",IF(E$7="","",IF($B16=E$7,"-",COUNTIFS(TEAMS_GbG[[TM NAME]:[TM NAME]],$B16,TEAMS_GbG[[OPP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F16" s="3">
        <f ca="1">IF($B16="","",IF(F$7="","",IF($B16=F$7,"-",COUNTIFS(TEAMS_GbG[[TM NAME]:[TM NAME]],$B16,TEAMS_GbG[[OPP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G16" s="3">
        <f ca="1">IF($B16="","",IF(G$7="","",IF($B16=G$7,"-",COUNTIFS(TEAMS_GbG[[TM NAME]:[TM NAME]],$B16,TEAMS_GbG[[OPP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16" s="3">
        <f ca="1">IF($B16="","",IF(H$7="","",IF($B16=H$7,"-",COUNTIFS(TEAMS_GbG[[TM NAME]:[TM NAME]],$B16,TEAMS_GbG[[OPP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16" s="3">
        <f ca="1">IF($B16="","",IF(I$7="","",IF($B16=I$7,"-",COUNTIFS(TEAMS_GbG[[TM NAME]:[TM NAME]],$B16,TEAMS_GbG[[OPP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J16" s="3">
        <f ca="1">IF($B16="","",IF(J$7="","",IF($B16=J$7,"-",COUNTIFS(TEAMS_GbG[[TM NAME]:[TM NAME]],$B16,TEAMS_GbG[[OPP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16" s="3" t="str">
        <f ca="1">IF($B16="","",IF(K$7="","",IF($B16=K$7,"-",COUNTIFS(TEAMS_GbG[[TM NAME]:[TM NAME]],$B16,TEAMS_GbG[[OPP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L16" s="3">
        <f ca="1">IF($B16="","",IF(L$7="","",IF($B16=L$7,"-",COUNTIFS(TEAMS_GbG[[TM NAME]:[TM NAME]],$B16,TEAMS_GbG[[OPP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16" s="3">
        <f ca="1">IF($B16="","",IF(M$7="","",IF($B16=M$7,"-",COUNTIFS(TEAMS_GbG[[TM NAME]:[TM NAME]],$B16,TEAMS_GbG[[OPP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N16" s="3">
        <f ca="1">IF($B16="","",IF(N$7="","",IF($B16=N$7,"-",COUNTIFS(TEAMS_GbG[[TM NAME]:[TM NAME]],$B16,TEAMS_GbG[[OPP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16" s="3">
        <f ca="1">IF($B16="","",IF(O$7="","",IF($B16=O$7,"-",COUNTIFS(TEAMS_GbG[[TM NAME]:[TM NAME]],$B16,TEAMS_GbG[[OPP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16" s="3">
        <f ca="1">IF($B16="","",IF(P$7="","",IF($B16=P$7,"-",COUNTIFS(TEAMS_GbG[[TM NAME]:[TM NAME]],$B16,TEAMS_GbG[[OPP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16" s="3">
        <f ca="1">IF($B16="","",IF(Q$7="","",IF($B16=Q$7,"-",COUNTIFS(TEAMS_GbG[[TM NAME]:[TM NAME]],$B16,TEAMS_GbG[[OPP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16" s="3">
        <f ca="1">IF($B16="","",IF(R$7="","",IF($B16=R$7,"-",COUNTIFS(TEAMS_GbG[[TM NAME]:[TM NAME]],$B16,TEAMS_GbG[[OPP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16" s="3">
        <f ca="1">IF($B16="","",IF(S$7="","",IF($B16=S$7,"-",COUNTIFS(TEAMS_GbG[[TM NAME]:[TM NAME]],$B16,TEAMS_GbG[[OPP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T16" s="3">
        <f ca="1">IF($B16="","",IF(T$7="","",IF($B16=T$7,"-",COUNTIFS(TEAMS_GbG[[TM NAME]:[TM NAME]],$B16,TEAMS_GbG[[OPP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U16" s="3" t="str">
        <f ca="1">IF($B16="","",IF(U$7="","",IF($B16=U$7,"-",COUNTIFS(TEAMS_GbG[[TM NAME]:[TM NAME]],$B16,TEAMS_GbG[[OPP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6" s="3" t="str">
        <f ca="1">IF($B16="","",IF(V$7="","",IF($B16=V$7,"-",COUNTIFS(TEAMS_GbG[[TM NAME]:[TM NAME]],$B16,TEAMS_GbG[[OPP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6" s="3" t="str">
        <f ca="1">IF($B16="","",IF(W$7="","",IF($B16=W$7,"-",COUNTIFS(TEAMS_GbG[[TM NAME]:[TM NAME]],$B16,TEAMS_GbG[[OPP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6" s="3" t="str">
        <f ca="1">IF($B16="","",IF(X$7="","",IF($B16=X$7,"-",COUNTIFS(TEAMS_GbG[[TM NAME]:[TM NAME]],$B16,TEAMS_GbG[[OPP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6" s="3" t="str">
        <f ca="1">IF($B16="","",IF(Y$7="","",IF($B16=Y$7,"-",COUNTIFS(TEAMS_GbG[[TM NAME]:[TM NAME]],$B16,TEAMS_GbG[[OPP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6" s="3" t="str">
        <f ca="1">IF($B16="","",IF(Z$7="","",IF($B16=Z$7,"-",COUNTIFS(TEAMS_GbG[[TM NAME]:[TM NAME]],$B16,TEAMS_GbG[[OPP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6" s="3" t="str">
        <f ca="1">IF($B16="","",IF(AA$7="","",IF($B16=AA$7,"-",COUNTIFS(TEAMS_GbG[[TM NAME]:[TM NAME]],$B16,TEAMS_GbG[[OPP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6" s="3" t="str">
        <f ca="1">IF($B16="","",IF(AB$7="","",IF($B16=AB$7,"-",COUNTIFS(TEAMS_GbG[[TM NAME]:[TM NAME]],$B16,TEAMS_GbG[[OPP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6" s="3" t="str">
        <f ca="1">IF($B16="","",IF(AC$7="","",IF($B16=AC$7,"-",COUNTIFS(TEAMS_GbG[[TM NAME]:[TM NAME]],$B16,TEAMS_GbG[[OPP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6" s="3" t="str">
        <f ca="1">IF($B16="","",IF(AD$7="","",IF($B16=AD$7,"-",COUNTIFS(TEAMS_GbG[[TM NAME]:[TM NAME]],$B16,TEAMS_GbG[[OPP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6" s="3" t="str">
        <f ca="1">IF($B16="","",IF(AE$7="","",IF($B16=AE$7,"-",COUNTIFS(TEAMS_GbG[[TM NAME]:[TM NAME]],$B16,TEAMS_GbG[[OPP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6" s="3" t="str">
        <f ca="1">IF($B16="","",IF(AF$7="","",IF($B16=AF$7,"-",COUNTIFS(TEAMS_GbG[[TM NAME]:[TM NAME]],$B16,TEAMS_GbG[[OPP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6" s="3" t="str">
        <f ca="1">IF($B16="","",IF(AG$7="","",IF($B16=AG$7,"-",COUNTIFS(TEAMS_GbG[[TM NAME]:[TM NAME]],$B16,TEAMS_GbG[[OPP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6" s="3" t="str">
        <f ca="1">IF($B16="","",IF(AH$7="","",IF($B16=AH$7,"-",COUNTIFS(TEAMS_GbG[[TM NAME]:[TM NAME]],$B16,TEAMS_GbG[[OPP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7" spans="2:34" x14ac:dyDescent="0.25">
      <c r="B17" s="1" t="str">
        <f>BASIS_INFO!F12</f>
        <v>LDLC ASVEL Villeurbanne</v>
      </c>
      <c r="C17" s="3">
        <f ca="1">IF($B17="","",IF(C$7="","",IF($B17=C$7,"-",COUNTIFS(TEAMS_GbG[[TM NAME]:[TM NAME]],$B17,TEAMS_GbG[[OPP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17" s="3">
        <f ca="1">IF($B17="","",IF(D$7="","",IF($B17=D$7,"-",COUNTIFS(TEAMS_GbG[[TM NAME]:[TM NAME]],$B17,TEAMS_GbG[[OPP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17" s="3">
        <f ca="1">IF($B17="","",IF(E$7="","",IF($B17=E$7,"-",COUNTIFS(TEAMS_GbG[[TM NAME]:[TM NAME]],$B17,TEAMS_GbG[[OPP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17" s="3">
        <f ca="1">IF($B17="","",IF(F$7="","",IF($B17=F$7,"-",COUNTIFS(TEAMS_GbG[[TM NAME]:[TM NAME]],$B17,TEAMS_GbG[[OPP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17" s="3">
        <f ca="1">IF($B17="","",IF(G$7="","",IF($B17=G$7,"-",COUNTIFS(TEAMS_GbG[[TM NAME]:[TM NAME]],$B17,TEAMS_GbG[[OPP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17" s="3">
        <f ca="1">IF($B17="","",IF(H$7="","",IF($B17=H$7,"-",COUNTIFS(TEAMS_GbG[[TM NAME]:[TM NAME]],$B17,TEAMS_GbG[[OPP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I17" s="3">
        <f ca="1">IF($B17="","",IF(I$7="","",IF($B17=I$7,"-",COUNTIFS(TEAMS_GbG[[TM NAME]:[TM NAME]],$B17,TEAMS_GbG[[OPP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J17" s="3">
        <f ca="1">IF($B17="","",IF(J$7="","",IF($B17=J$7,"-",COUNTIFS(TEAMS_GbG[[TM NAME]:[TM NAME]],$B17,TEAMS_GbG[[OPP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K17" s="3">
        <f ca="1">IF($B17="","",IF(K$7="","",IF($B17=K$7,"-",COUNTIFS(TEAMS_GbG[[TM NAME]:[TM NAME]],$B17,TEAMS_GbG[[OPP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17" s="3" t="str">
        <f ca="1">IF($B17="","",IF(L$7="","",IF($B17=L$7,"-",COUNTIFS(TEAMS_GbG[[TM NAME]:[TM NAME]],$B17,TEAMS_GbG[[OPP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M17" s="3">
        <f ca="1">IF($B17="","",IF(M$7="","",IF($B17=M$7,"-",COUNTIFS(TEAMS_GbG[[TM NAME]:[TM NAME]],$B17,TEAMS_GbG[[OPP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17" s="3">
        <f ca="1">IF($B17="","",IF(N$7="","",IF($B17=N$7,"-",COUNTIFS(TEAMS_GbG[[TM NAME]:[TM NAME]],$B17,TEAMS_GbG[[OPP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O17" s="3">
        <f ca="1">IF($B17="","",IF(O$7="","",IF($B17=O$7,"-",COUNTIFS(TEAMS_GbG[[TM NAME]:[TM NAME]],$B17,TEAMS_GbG[[OPP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P17" s="3">
        <f ca="1">IF($B17="","",IF(P$7="","",IF($B17=P$7,"-",COUNTIFS(TEAMS_GbG[[TM NAME]:[TM NAME]],$B17,TEAMS_GbG[[OPP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17" s="3">
        <f ca="1">IF($B17="","",IF(Q$7="","",IF($B17=Q$7,"-",COUNTIFS(TEAMS_GbG[[TM NAME]:[TM NAME]],$B17,TEAMS_GbG[[OPP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17" s="3">
        <f ca="1">IF($B17="","",IF(R$7="","",IF($B17=R$7,"-",COUNTIFS(TEAMS_GbG[[TM NAME]:[TM NAME]],$B17,TEAMS_GbG[[OPP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S17" s="3">
        <f ca="1">IF($B17="","",IF(S$7="","",IF($B17=S$7,"-",COUNTIFS(TEAMS_GbG[[TM NAME]:[TM NAME]],$B17,TEAMS_GbG[[OPP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17" s="3">
        <f ca="1">IF($B17="","",IF(T$7="","",IF($B17=T$7,"-",COUNTIFS(TEAMS_GbG[[TM NAME]:[TM NAME]],$B17,TEAMS_GbG[[OPP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17" s="3" t="str">
        <f ca="1">IF($B17="","",IF(U$7="","",IF($B17=U$7,"-",COUNTIFS(TEAMS_GbG[[TM NAME]:[TM NAME]],$B17,TEAMS_GbG[[OPP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7" s="3" t="str">
        <f ca="1">IF($B17="","",IF(V$7="","",IF($B17=V$7,"-",COUNTIFS(TEAMS_GbG[[TM NAME]:[TM NAME]],$B17,TEAMS_GbG[[OPP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7" s="3" t="str">
        <f ca="1">IF($B17="","",IF(W$7="","",IF($B17=W$7,"-",COUNTIFS(TEAMS_GbG[[TM NAME]:[TM NAME]],$B17,TEAMS_GbG[[OPP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7" s="3" t="str">
        <f ca="1">IF($B17="","",IF(X$7="","",IF($B17=X$7,"-",COUNTIFS(TEAMS_GbG[[TM NAME]:[TM NAME]],$B17,TEAMS_GbG[[OPP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7" s="3" t="str">
        <f ca="1">IF($B17="","",IF(Y$7="","",IF($B17=Y$7,"-",COUNTIFS(TEAMS_GbG[[TM NAME]:[TM NAME]],$B17,TEAMS_GbG[[OPP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7" s="3" t="str">
        <f ca="1">IF($B17="","",IF(Z$7="","",IF($B17=Z$7,"-",COUNTIFS(TEAMS_GbG[[TM NAME]:[TM NAME]],$B17,TEAMS_GbG[[OPP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7" s="3" t="str">
        <f ca="1">IF($B17="","",IF(AA$7="","",IF($B17=AA$7,"-",COUNTIFS(TEAMS_GbG[[TM NAME]:[TM NAME]],$B17,TEAMS_GbG[[OPP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7" s="3" t="str">
        <f ca="1">IF($B17="","",IF(AB$7="","",IF($B17=AB$7,"-",COUNTIFS(TEAMS_GbG[[TM NAME]:[TM NAME]],$B17,TEAMS_GbG[[OPP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7" s="3" t="str">
        <f ca="1">IF($B17="","",IF(AC$7="","",IF($B17=AC$7,"-",COUNTIFS(TEAMS_GbG[[TM NAME]:[TM NAME]],$B17,TEAMS_GbG[[OPP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7" s="3" t="str">
        <f ca="1">IF($B17="","",IF(AD$7="","",IF($B17=AD$7,"-",COUNTIFS(TEAMS_GbG[[TM NAME]:[TM NAME]],$B17,TEAMS_GbG[[OPP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7" s="3" t="str">
        <f ca="1">IF($B17="","",IF(AE$7="","",IF($B17=AE$7,"-",COUNTIFS(TEAMS_GbG[[TM NAME]:[TM NAME]],$B17,TEAMS_GbG[[OPP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7" s="3" t="str">
        <f ca="1">IF($B17="","",IF(AF$7="","",IF($B17=AF$7,"-",COUNTIFS(TEAMS_GbG[[TM NAME]:[TM NAME]],$B17,TEAMS_GbG[[OPP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7" s="3" t="str">
        <f ca="1">IF($B17="","",IF(AG$7="","",IF($B17=AG$7,"-",COUNTIFS(TEAMS_GbG[[TM NAME]:[TM NAME]],$B17,TEAMS_GbG[[OPP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7" s="3" t="str">
        <f ca="1">IF($B17="","",IF(AH$7="","",IF($B17=AH$7,"-",COUNTIFS(TEAMS_GbG[[TM NAME]:[TM NAME]],$B17,TEAMS_GbG[[OPP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8" spans="2:34" x14ac:dyDescent="0.25">
      <c r="B18" s="1" t="str">
        <f>BASIS_INFO!F13</f>
        <v>Maccabi Playtika Tel Aviv</v>
      </c>
      <c r="C18" s="3">
        <f ca="1">IF($B18="","",IF(C$7="","",IF($B18=C$7,"-",COUNTIFS(TEAMS_GbG[[TM NAME]:[TM NAME]],$B18,TEAMS_GbG[[OPP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D18" s="3">
        <f ca="1">IF($B18="","",IF(D$7="","",IF($B18=D$7,"-",COUNTIFS(TEAMS_GbG[[TM NAME]:[TM NAME]],$B18,TEAMS_GbG[[OPP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E18" s="3">
        <f ca="1">IF($B18="","",IF(E$7="","",IF($B18=E$7,"-",COUNTIFS(TEAMS_GbG[[TM NAME]:[TM NAME]],$B18,TEAMS_GbG[[OPP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18" s="3">
        <f ca="1">IF($B18="","",IF(F$7="","",IF($B18=F$7,"-",COUNTIFS(TEAMS_GbG[[TM NAME]:[TM NAME]],$B18,TEAMS_GbG[[OPP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G18" s="3">
        <f ca="1">IF($B18="","",IF(G$7="","",IF($B18=G$7,"-",COUNTIFS(TEAMS_GbG[[TM NAME]:[TM NAME]],$B18,TEAMS_GbG[[OPP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H18" s="3">
        <f ca="1">IF($B18="","",IF(H$7="","",IF($B18=H$7,"-",COUNTIFS(TEAMS_GbG[[TM NAME]:[TM NAME]],$B18,TEAMS_GbG[[OPP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18" s="3">
        <f ca="1">IF($B18="","",IF(I$7="","",IF($B18=I$7,"-",COUNTIFS(TEAMS_GbG[[TM NAME]:[TM NAME]],$B18,TEAMS_GbG[[OPP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J18" s="3">
        <f ca="1">IF($B18="","",IF(J$7="","",IF($B18=J$7,"-",COUNTIFS(TEAMS_GbG[[TM NAME]:[TM NAME]],$B18,TEAMS_GbG[[OPP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18" s="3">
        <f ca="1">IF($B18="","",IF(K$7="","",IF($B18=K$7,"-",COUNTIFS(TEAMS_GbG[[TM NAME]:[TM NAME]],$B18,TEAMS_GbG[[OPP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18" s="3">
        <f ca="1">IF($B18="","",IF(L$7="","",IF($B18=L$7,"-",COUNTIFS(TEAMS_GbG[[TM NAME]:[TM NAME]],$B18,TEAMS_GbG[[OPP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M18" s="3" t="str">
        <f ca="1">IF($B18="","",IF(M$7="","",IF($B18=M$7,"-",COUNTIFS(TEAMS_GbG[[TM NAME]:[TM NAME]],$B18,TEAMS_GbG[[OPP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N18" s="3">
        <f ca="1">IF($B18="","",IF(N$7="","",IF($B18=N$7,"-",COUNTIFS(TEAMS_GbG[[TM NAME]:[TM NAME]],$B18,TEAMS_GbG[[OPP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18" s="3">
        <f ca="1">IF($B18="","",IF(O$7="","",IF($B18=O$7,"-",COUNTIFS(TEAMS_GbG[[TM NAME]:[TM NAME]],$B18,TEAMS_GbG[[OPP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18" s="3">
        <f ca="1">IF($B18="","",IF(P$7="","",IF($B18=P$7,"-",COUNTIFS(TEAMS_GbG[[TM NAME]:[TM NAME]],$B18,TEAMS_GbG[[OPP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18" s="3">
        <f ca="1">IF($B18="","",IF(Q$7="","",IF($B18=Q$7,"-",COUNTIFS(TEAMS_GbG[[TM NAME]:[TM NAME]],$B18,TEAMS_GbG[[OPP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18" s="3">
        <f ca="1">IF($B18="","",IF(R$7="","",IF($B18=R$7,"-",COUNTIFS(TEAMS_GbG[[TM NAME]:[TM NAME]],$B18,TEAMS_GbG[[OPP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18" s="3">
        <f ca="1">IF($B18="","",IF(S$7="","",IF($B18=S$7,"-",COUNTIFS(TEAMS_GbG[[TM NAME]:[TM NAME]],$B18,TEAMS_GbG[[OPP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T18" s="3">
        <f ca="1">IF($B18="","",IF(T$7="","",IF($B18=T$7,"-",COUNTIFS(TEAMS_GbG[[TM NAME]:[TM NAME]],$B18,TEAMS_GbG[[OPP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U18" s="3" t="str">
        <f ca="1">IF($B18="","",IF(U$7="","",IF($B18=U$7,"-",COUNTIFS(TEAMS_GbG[[TM NAME]:[TM NAME]],$B18,TEAMS_GbG[[OPP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8" s="3" t="str">
        <f ca="1">IF($B18="","",IF(V$7="","",IF($B18=V$7,"-",COUNTIFS(TEAMS_GbG[[TM NAME]:[TM NAME]],$B18,TEAMS_GbG[[OPP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8" s="3" t="str">
        <f ca="1">IF($B18="","",IF(W$7="","",IF($B18=W$7,"-",COUNTIFS(TEAMS_GbG[[TM NAME]:[TM NAME]],$B18,TEAMS_GbG[[OPP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8" s="3" t="str">
        <f ca="1">IF($B18="","",IF(X$7="","",IF($B18=X$7,"-",COUNTIFS(TEAMS_GbG[[TM NAME]:[TM NAME]],$B18,TEAMS_GbG[[OPP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8" s="3" t="str">
        <f ca="1">IF($B18="","",IF(Y$7="","",IF($B18=Y$7,"-",COUNTIFS(TEAMS_GbG[[TM NAME]:[TM NAME]],$B18,TEAMS_GbG[[OPP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8" s="3" t="str">
        <f ca="1">IF($B18="","",IF(Z$7="","",IF($B18=Z$7,"-",COUNTIFS(TEAMS_GbG[[TM NAME]:[TM NAME]],$B18,TEAMS_GbG[[OPP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8" s="3" t="str">
        <f ca="1">IF($B18="","",IF(AA$7="","",IF($B18=AA$7,"-",COUNTIFS(TEAMS_GbG[[TM NAME]:[TM NAME]],$B18,TEAMS_GbG[[OPP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8" s="3" t="str">
        <f ca="1">IF($B18="","",IF(AB$7="","",IF($B18=AB$7,"-",COUNTIFS(TEAMS_GbG[[TM NAME]:[TM NAME]],$B18,TEAMS_GbG[[OPP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8" s="3" t="str">
        <f ca="1">IF($B18="","",IF(AC$7="","",IF($B18=AC$7,"-",COUNTIFS(TEAMS_GbG[[TM NAME]:[TM NAME]],$B18,TEAMS_GbG[[OPP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8" s="3" t="str">
        <f ca="1">IF($B18="","",IF(AD$7="","",IF($B18=AD$7,"-",COUNTIFS(TEAMS_GbG[[TM NAME]:[TM NAME]],$B18,TEAMS_GbG[[OPP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8" s="3" t="str">
        <f ca="1">IF($B18="","",IF(AE$7="","",IF($B18=AE$7,"-",COUNTIFS(TEAMS_GbG[[TM NAME]:[TM NAME]],$B18,TEAMS_GbG[[OPP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8" s="3" t="str">
        <f ca="1">IF($B18="","",IF(AF$7="","",IF($B18=AF$7,"-",COUNTIFS(TEAMS_GbG[[TM NAME]:[TM NAME]],$B18,TEAMS_GbG[[OPP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8" s="3" t="str">
        <f ca="1">IF($B18="","",IF(AG$7="","",IF($B18=AG$7,"-",COUNTIFS(TEAMS_GbG[[TM NAME]:[TM NAME]],$B18,TEAMS_GbG[[OPP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8" s="3" t="str">
        <f ca="1">IF($B18="","",IF(AH$7="","",IF($B18=AH$7,"-",COUNTIFS(TEAMS_GbG[[TM NAME]:[TM NAME]],$B18,TEAMS_GbG[[OPP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19" spans="2:34" x14ac:dyDescent="0.25">
      <c r="B19" s="1" t="str">
        <f>BASIS_INFO!F14</f>
        <v>Olympiacos Piraeus</v>
      </c>
      <c r="C19" s="3">
        <f ca="1">IF($B19="","",IF(C$7="","",IF($B19=C$7,"-",COUNTIFS(TEAMS_GbG[[TM NAME]:[TM NAME]],$B19,TEAMS_GbG[[OPP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D19" s="3">
        <f ca="1">IF($B19="","",IF(D$7="","",IF($B19=D$7,"-",COUNTIFS(TEAMS_GbG[[TM NAME]:[TM NAME]],$B19,TEAMS_GbG[[OPP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19" s="3">
        <f ca="1">IF($B19="","",IF(E$7="","",IF($B19=E$7,"-",COUNTIFS(TEAMS_GbG[[TM NAME]:[TM NAME]],$B19,TEAMS_GbG[[OPP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F19" s="3">
        <f ca="1">IF($B19="","",IF(F$7="","",IF($B19=F$7,"-",COUNTIFS(TEAMS_GbG[[TM NAME]:[TM NAME]],$B19,TEAMS_GbG[[OPP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19" s="3">
        <f ca="1">IF($B19="","",IF(G$7="","",IF($B19=G$7,"-",COUNTIFS(TEAMS_GbG[[TM NAME]:[TM NAME]],$B19,TEAMS_GbG[[OPP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19" s="3">
        <f ca="1">IF($B19="","",IF(H$7="","",IF($B19=H$7,"-",COUNTIFS(TEAMS_GbG[[TM NAME]:[TM NAME]],$B19,TEAMS_GbG[[OPP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19" s="3">
        <f ca="1">IF($B19="","",IF(I$7="","",IF($B19=I$7,"-",COUNTIFS(TEAMS_GbG[[TM NAME]:[TM NAME]],$B19,TEAMS_GbG[[OPP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19" s="3">
        <f ca="1">IF($B19="","",IF(J$7="","",IF($B19=J$7,"-",COUNTIFS(TEAMS_GbG[[TM NAME]:[TM NAME]],$B19,TEAMS_GbG[[OPP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K19" s="3">
        <f ca="1">IF($B19="","",IF(K$7="","",IF($B19=K$7,"-",COUNTIFS(TEAMS_GbG[[TM NAME]:[TM NAME]],$B19,TEAMS_GbG[[OPP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19" s="3">
        <f ca="1">IF($B19="","",IF(L$7="","",IF($B19=L$7,"-",COUNTIFS(TEAMS_GbG[[TM NAME]:[TM NAME]],$B19,TEAMS_GbG[[OPP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M19" s="3">
        <f ca="1">IF($B19="","",IF(M$7="","",IF($B19=M$7,"-",COUNTIFS(TEAMS_GbG[[TM NAME]:[TM NAME]],$B19,TEAMS_GbG[[OPP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N19" s="3" t="str">
        <f ca="1">IF($B19="","",IF(N$7="","",IF($B19=N$7,"-",COUNTIFS(TEAMS_GbG[[TM NAME]:[TM NAME]],$B19,TEAMS_GbG[[OPP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O19" s="3">
        <f ca="1">IF($B19="","",IF(O$7="","",IF($B19=O$7,"-",COUNTIFS(TEAMS_GbG[[TM NAME]:[TM NAME]],$B19,TEAMS_GbG[[OPP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19" s="3">
        <f ca="1">IF($B19="","",IF(P$7="","",IF($B19=P$7,"-",COUNTIFS(TEAMS_GbG[[TM NAME]:[TM NAME]],$B19,TEAMS_GbG[[OPP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Q19" s="3">
        <f ca="1">IF($B19="","",IF(Q$7="","",IF($B19=Q$7,"-",COUNTIFS(TEAMS_GbG[[TM NAME]:[TM NAME]],$B19,TEAMS_GbG[[OPP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19" s="3">
        <f ca="1">IF($B19="","",IF(R$7="","",IF($B19=R$7,"-",COUNTIFS(TEAMS_GbG[[TM NAME]:[TM NAME]],$B19,TEAMS_GbG[[OPP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S19" s="3">
        <f ca="1">IF($B19="","",IF(S$7="","",IF($B19=S$7,"-",COUNTIFS(TEAMS_GbG[[TM NAME]:[TM NAME]],$B19,TEAMS_GbG[[OPP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T19" s="3">
        <f ca="1">IF($B19="","",IF(T$7="","",IF($B19=T$7,"-",COUNTIFS(TEAMS_GbG[[TM NAME]:[TM NAME]],$B19,TEAMS_GbG[[OPP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U19" s="3" t="str">
        <f ca="1">IF($B19="","",IF(U$7="","",IF($B19=U$7,"-",COUNTIFS(TEAMS_GbG[[TM NAME]:[TM NAME]],$B19,TEAMS_GbG[[OPP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19" s="3" t="str">
        <f ca="1">IF($B19="","",IF(V$7="","",IF($B19=V$7,"-",COUNTIFS(TEAMS_GbG[[TM NAME]:[TM NAME]],$B19,TEAMS_GbG[[OPP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19" s="3" t="str">
        <f ca="1">IF($B19="","",IF(W$7="","",IF($B19=W$7,"-",COUNTIFS(TEAMS_GbG[[TM NAME]:[TM NAME]],$B19,TEAMS_GbG[[OPP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19" s="3" t="str">
        <f ca="1">IF($B19="","",IF(X$7="","",IF($B19=X$7,"-",COUNTIFS(TEAMS_GbG[[TM NAME]:[TM NAME]],$B19,TEAMS_GbG[[OPP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19" s="3" t="str">
        <f ca="1">IF($B19="","",IF(Y$7="","",IF($B19=Y$7,"-",COUNTIFS(TEAMS_GbG[[TM NAME]:[TM NAME]],$B19,TEAMS_GbG[[OPP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19" s="3" t="str">
        <f ca="1">IF($B19="","",IF(Z$7="","",IF($B19=Z$7,"-",COUNTIFS(TEAMS_GbG[[TM NAME]:[TM NAME]],$B19,TEAMS_GbG[[OPP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19" s="3" t="str">
        <f ca="1">IF($B19="","",IF(AA$7="","",IF($B19=AA$7,"-",COUNTIFS(TEAMS_GbG[[TM NAME]:[TM NAME]],$B19,TEAMS_GbG[[OPP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19" s="3" t="str">
        <f ca="1">IF($B19="","",IF(AB$7="","",IF($B19=AB$7,"-",COUNTIFS(TEAMS_GbG[[TM NAME]:[TM NAME]],$B19,TEAMS_GbG[[OPP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19" s="3" t="str">
        <f ca="1">IF($B19="","",IF(AC$7="","",IF($B19=AC$7,"-",COUNTIFS(TEAMS_GbG[[TM NAME]:[TM NAME]],$B19,TEAMS_GbG[[OPP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19" s="3" t="str">
        <f ca="1">IF($B19="","",IF(AD$7="","",IF($B19=AD$7,"-",COUNTIFS(TEAMS_GbG[[TM NAME]:[TM NAME]],$B19,TEAMS_GbG[[OPP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19" s="3" t="str">
        <f ca="1">IF($B19="","",IF(AE$7="","",IF($B19=AE$7,"-",COUNTIFS(TEAMS_GbG[[TM NAME]:[TM NAME]],$B19,TEAMS_GbG[[OPP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19" s="3" t="str">
        <f ca="1">IF($B19="","",IF(AF$7="","",IF($B19=AF$7,"-",COUNTIFS(TEAMS_GbG[[TM NAME]:[TM NAME]],$B19,TEAMS_GbG[[OPP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19" s="3" t="str">
        <f ca="1">IF($B19="","",IF(AG$7="","",IF($B19=AG$7,"-",COUNTIFS(TEAMS_GbG[[TM NAME]:[TM NAME]],$B19,TEAMS_GbG[[OPP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19" s="3" t="str">
        <f ca="1">IF($B19="","",IF(AH$7="","",IF($B19=AH$7,"-",COUNTIFS(TEAMS_GbG[[TM NAME]:[TM NAME]],$B19,TEAMS_GbG[[OPP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0" spans="2:34" x14ac:dyDescent="0.25">
      <c r="B20" s="1" t="str">
        <f>BASIS_INFO!F15</f>
        <v>Panathinaikos Athens</v>
      </c>
      <c r="C20" s="3">
        <f ca="1">IF($B20="","",IF(C$7="","",IF($B20=C$7,"-",COUNTIFS(TEAMS_GbG[[TM NAME]:[TM NAME]],$B20,TEAMS_GbG[[OPP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20" s="3">
        <f ca="1">IF($B20="","",IF(D$7="","",IF($B20=D$7,"-",COUNTIFS(TEAMS_GbG[[TM NAME]:[TM NAME]],$B20,TEAMS_GbG[[OPP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E20" s="3">
        <f ca="1">IF($B20="","",IF(E$7="","",IF($B20=E$7,"-",COUNTIFS(TEAMS_GbG[[TM NAME]:[TM NAME]],$B20,TEAMS_GbG[[OPP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F20" s="3">
        <f ca="1">IF($B20="","",IF(F$7="","",IF($B20=F$7,"-",COUNTIFS(TEAMS_GbG[[TM NAME]:[TM NAME]],$B20,TEAMS_GbG[[OPP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20" s="3">
        <f ca="1">IF($B20="","",IF(G$7="","",IF($B20=G$7,"-",COUNTIFS(TEAMS_GbG[[TM NAME]:[TM NAME]],$B20,TEAMS_GbG[[OPP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H20" s="3">
        <f ca="1">IF($B20="","",IF(H$7="","",IF($B20=H$7,"-",COUNTIFS(TEAMS_GbG[[TM NAME]:[TM NAME]],$B20,TEAMS_GbG[[OPP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I20" s="3">
        <f ca="1">IF($B20="","",IF(I$7="","",IF($B20=I$7,"-",COUNTIFS(TEAMS_GbG[[TM NAME]:[TM NAME]],$B20,TEAMS_GbG[[OPP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20" s="3">
        <f ca="1">IF($B20="","",IF(J$7="","",IF($B20=J$7,"-",COUNTIFS(TEAMS_GbG[[TM NAME]:[TM NAME]],$B20,TEAMS_GbG[[OPP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20" s="3">
        <f ca="1">IF($B20="","",IF(K$7="","",IF($B20=K$7,"-",COUNTIFS(TEAMS_GbG[[TM NAME]:[TM NAME]],$B20,TEAMS_GbG[[OPP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20" s="3">
        <f ca="1">IF($B20="","",IF(L$7="","",IF($B20=L$7,"-",COUNTIFS(TEAMS_GbG[[TM NAME]:[TM NAME]],$B20,TEAMS_GbG[[OPP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M20" s="3">
        <f ca="1">IF($B20="","",IF(M$7="","",IF($B20=M$7,"-",COUNTIFS(TEAMS_GbG[[TM NAME]:[TM NAME]],$B20,TEAMS_GbG[[OPP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N20" s="3">
        <f ca="1">IF($B20="","",IF(N$7="","",IF($B20=N$7,"-",COUNTIFS(TEAMS_GbG[[TM NAME]:[TM NAME]],$B20,TEAMS_GbG[[OPP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20" s="3" t="str">
        <f ca="1">IF($B20="","",IF(O$7="","",IF($B20=O$7,"-",COUNTIFS(TEAMS_GbG[[TM NAME]:[TM NAME]],$B20,TEAMS_GbG[[OPP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P20" s="3">
        <f ca="1">IF($B20="","",IF(P$7="","",IF($B20=P$7,"-",COUNTIFS(TEAMS_GbG[[TM NAME]:[TM NAME]],$B20,TEAMS_GbG[[OPP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Q20" s="3">
        <f ca="1">IF($B20="","",IF(Q$7="","",IF($B20=Q$7,"-",COUNTIFS(TEAMS_GbG[[TM NAME]:[TM NAME]],$B20,TEAMS_GbG[[OPP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20" s="3">
        <f ca="1">IF($B20="","",IF(R$7="","",IF($B20=R$7,"-",COUNTIFS(TEAMS_GbG[[TM NAME]:[TM NAME]],$B20,TEAMS_GbG[[OPP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S20" s="3">
        <f ca="1">IF($B20="","",IF(S$7="","",IF($B20=S$7,"-",COUNTIFS(TEAMS_GbG[[TM NAME]:[TM NAME]],$B20,TEAMS_GbG[[OPP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20" s="3">
        <f ca="1">IF($B20="","",IF(T$7="","",IF($B20=T$7,"-",COUNTIFS(TEAMS_GbG[[TM NAME]:[TM NAME]],$B20,TEAMS_GbG[[OPP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20" s="3" t="str">
        <f ca="1">IF($B20="","",IF(U$7="","",IF($B20=U$7,"-",COUNTIFS(TEAMS_GbG[[TM NAME]:[TM NAME]],$B20,TEAMS_GbG[[OPP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0" s="3" t="str">
        <f ca="1">IF($B20="","",IF(V$7="","",IF($B20=V$7,"-",COUNTIFS(TEAMS_GbG[[TM NAME]:[TM NAME]],$B20,TEAMS_GbG[[OPP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0" s="3" t="str">
        <f ca="1">IF($B20="","",IF(W$7="","",IF($B20=W$7,"-",COUNTIFS(TEAMS_GbG[[TM NAME]:[TM NAME]],$B20,TEAMS_GbG[[OPP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0" s="3" t="str">
        <f ca="1">IF($B20="","",IF(X$7="","",IF($B20=X$7,"-",COUNTIFS(TEAMS_GbG[[TM NAME]:[TM NAME]],$B20,TEAMS_GbG[[OPP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0" s="3" t="str">
        <f ca="1">IF($B20="","",IF(Y$7="","",IF($B20=Y$7,"-",COUNTIFS(TEAMS_GbG[[TM NAME]:[TM NAME]],$B20,TEAMS_GbG[[OPP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0" s="3" t="str">
        <f ca="1">IF($B20="","",IF(Z$7="","",IF($B20=Z$7,"-",COUNTIFS(TEAMS_GbG[[TM NAME]:[TM NAME]],$B20,TEAMS_GbG[[OPP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0" s="3" t="str">
        <f ca="1">IF($B20="","",IF(AA$7="","",IF($B20=AA$7,"-",COUNTIFS(TEAMS_GbG[[TM NAME]:[TM NAME]],$B20,TEAMS_GbG[[OPP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0" s="3" t="str">
        <f ca="1">IF($B20="","",IF(AB$7="","",IF($B20=AB$7,"-",COUNTIFS(TEAMS_GbG[[TM NAME]:[TM NAME]],$B20,TEAMS_GbG[[OPP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0" s="3" t="str">
        <f ca="1">IF($B20="","",IF(AC$7="","",IF($B20=AC$7,"-",COUNTIFS(TEAMS_GbG[[TM NAME]:[TM NAME]],$B20,TEAMS_GbG[[OPP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0" s="3" t="str">
        <f ca="1">IF($B20="","",IF(AD$7="","",IF($B20=AD$7,"-",COUNTIFS(TEAMS_GbG[[TM NAME]:[TM NAME]],$B20,TEAMS_GbG[[OPP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0" s="3" t="str">
        <f ca="1">IF($B20="","",IF(AE$7="","",IF($B20=AE$7,"-",COUNTIFS(TEAMS_GbG[[TM NAME]:[TM NAME]],$B20,TEAMS_GbG[[OPP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0" s="3" t="str">
        <f ca="1">IF($B20="","",IF(AF$7="","",IF($B20=AF$7,"-",COUNTIFS(TEAMS_GbG[[TM NAME]:[TM NAME]],$B20,TEAMS_GbG[[OPP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0" s="3" t="str">
        <f ca="1">IF($B20="","",IF(AG$7="","",IF($B20=AG$7,"-",COUNTIFS(TEAMS_GbG[[TM NAME]:[TM NAME]],$B20,TEAMS_GbG[[OPP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0" s="3" t="str">
        <f ca="1">IF($B20="","",IF(AH$7="","",IF($B20=AH$7,"-",COUNTIFS(TEAMS_GbG[[TM NAME]:[TM NAME]],$B20,TEAMS_GbG[[OPP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1" spans="2:34" x14ac:dyDescent="0.25">
      <c r="B21" s="1" t="str">
        <f>BASIS_INFO!F16</f>
        <v>Partizan Mozzart Bet Belgrade</v>
      </c>
      <c r="C21" s="3">
        <f ca="1">IF($B21="","",IF(C$7="","",IF($B21=C$7,"-",COUNTIFS(TEAMS_GbG[[TM NAME]:[TM NAME]],$B21,TEAMS_GbG[[OPP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21" s="3">
        <f ca="1">IF($B21="","",IF(D$7="","",IF($B21=D$7,"-",COUNTIFS(TEAMS_GbG[[TM NAME]:[TM NAME]],$B21,TEAMS_GbG[[OPP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E21" s="3">
        <f ca="1">IF($B21="","",IF(E$7="","",IF($B21=E$7,"-",COUNTIFS(TEAMS_GbG[[TM NAME]:[TM NAME]],$B21,TEAMS_GbG[[OPP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F21" s="3">
        <f ca="1">IF($B21="","",IF(F$7="","",IF($B21=F$7,"-",COUNTIFS(TEAMS_GbG[[TM NAME]:[TM NAME]],$B21,TEAMS_GbG[[OPP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21" s="3">
        <f ca="1">IF($B21="","",IF(G$7="","",IF($B21=G$7,"-",COUNTIFS(TEAMS_GbG[[TM NAME]:[TM NAME]],$B21,TEAMS_GbG[[OPP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21" s="3">
        <f ca="1">IF($B21="","",IF(H$7="","",IF($B21=H$7,"-",COUNTIFS(TEAMS_GbG[[TM NAME]:[TM NAME]],$B21,TEAMS_GbG[[OPP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I21" s="3">
        <f ca="1">IF($B21="","",IF(I$7="","",IF($B21=I$7,"-",COUNTIFS(TEAMS_GbG[[TM NAME]:[TM NAME]],$B21,TEAMS_GbG[[OPP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21" s="3">
        <f ca="1">IF($B21="","",IF(J$7="","",IF($B21=J$7,"-",COUNTIFS(TEAMS_GbG[[TM NAME]:[TM NAME]],$B21,TEAMS_GbG[[OPP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21" s="3">
        <f ca="1">IF($B21="","",IF(K$7="","",IF($B21=K$7,"-",COUNTIFS(TEAMS_GbG[[TM NAME]:[TM NAME]],$B21,TEAMS_GbG[[OPP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21" s="3">
        <f ca="1">IF($B21="","",IF(L$7="","",IF($B21=L$7,"-",COUNTIFS(TEAMS_GbG[[TM NAME]:[TM NAME]],$B21,TEAMS_GbG[[OPP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21" s="3">
        <f ca="1">IF($B21="","",IF(M$7="","",IF($B21=M$7,"-",COUNTIFS(TEAMS_GbG[[TM NAME]:[TM NAME]],$B21,TEAMS_GbG[[OPP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N21" s="3">
        <f ca="1">IF($B21="","",IF(N$7="","",IF($B21=N$7,"-",COUNTIFS(TEAMS_GbG[[TM NAME]:[TM NAME]],$B21,TEAMS_GbG[[OPP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O21" s="3">
        <f ca="1">IF($B21="","",IF(O$7="","",IF($B21=O$7,"-",COUNTIFS(TEAMS_GbG[[TM NAME]:[TM NAME]],$B21,TEAMS_GbG[[OPP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P21" s="3" t="str">
        <f ca="1">IF($B21="","",IF(P$7="","",IF($B21=P$7,"-",COUNTIFS(TEAMS_GbG[[TM NAME]:[TM NAME]],$B21,TEAMS_GbG[[OPP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Q21" s="3">
        <f ca="1">IF($B21="","",IF(Q$7="","",IF($B21=Q$7,"-",COUNTIFS(TEAMS_GbG[[TM NAME]:[TM NAME]],$B21,TEAMS_GbG[[OPP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R21" s="3">
        <f ca="1">IF($B21="","",IF(R$7="","",IF($B21=R$7,"-",COUNTIFS(TEAMS_GbG[[TM NAME]:[TM NAME]],$B21,TEAMS_GbG[[OPP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S21" s="3">
        <f ca="1">IF($B21="","",IF(S$7="","",IF($B21=S$7,"-",COUNTIFS(TEAMS_GbG[[TM NAME]:[TM NAME]],$B21,TEAMS_GbG[[OPP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T21" s="3">
        <f ca="1">IF($B21="","",IF(T$7="","",IF($B21=T$7,"-",COUNTIFS(TEAMS_GbG[[TM NAME]:[TM NAME]],$B21,TEAMS_GbG[[OPP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U21" s="3" t="str">
        <f ca="1">IF($B21="","",IF(U$7="","",IF($B21=U$7,"-",COUNTIFS(TEAMS_GbG[[TM NAME]:[TM NAME]],$B21,TEAMS_GbG[[OPP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1" s="3" t="str">
        <f ca="1">IF($B21="","",IF(V$7="","",IF($B21=V$7,"-",COUNTIFS(TEAMS_GbG[[TM NAME]:[TM NAME]],$B21,TEAMS_GbG[[OPP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1" s="3" t="str">
        <f ca="1">IF($B21="","",IF(W$7="","",IF($B21=W$7,"-",COUNTIFS(TEAMS_GbG[[TM NAME]:[TM NAME]],$B21,TEAMS_GbG[[OPP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1" s="3" t="str">
        <f ca="1">IF($B21="","",IF(X$7="","",IF($B21=X$7,"-",COUNTIFS(TEAMS_GbG[[TM NAME]:[TM NAME]],$B21,TEAMS_GbG[[OPP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1" s="3" t="str">
        <f ca="1">IF($B21="","",IF(Y$7="","",IF($B21=Y$7,"-",COUNTIFS(TEAMS_GbG[[TM NAME]:[TM NAME]],$B21,TEAMS_GbG[[OPP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1" s="3" t="str">
        <f ca="1">IF($B21="","",IF(Z$7="","",IF($B21=Z$7,"-",COUNTIFS(TEAMS_GbG[[TM NAME]:[TM NAME]],$B21,TEAMS_GbG[[OPP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1" s="3" t="str">
        <f ca="1">IF($B21="","",IF(AA$7="","",IF($B21=AA$7,"-",COUNTIFS(TEAMS_GbG[[TM NAME]:[TM NAME]],$B21,TEAMS_GbG[[OPP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1" s="3" t="str">
        <f ca="1">IF($B21="","",IF(AB$7="","",IF($B21=AB$7,"-",COUNTIFS(TEAMS_GbG[[TM NAME]:[TM NAME]],$B21,TEAMS_GbG[[OPP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1" s="3" t="str">
        <f ca="1">IF($B21="","",IF(AC$7="","",IF($B21=AC$7,"-",COUNTIFS(TEAMS_GbG[[TM NAME]:[TM NAME]],$B21,TEAMS_GbG[[OPP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1" s="3" t="str">
        <f ca="1">IF($B21="","",IF(AD$7="","",IF($B21=AD$7,"-",COUNTIFS(TEAMS_GbG[[TM NAME]:[TM NAME]],$B21,TEAMS_GbG[[OPP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1" s="3" t="str">
        <f ca="1">IF($B21="","",IF(AE$7="","",IF($B21=AE$7,"-",COUNTIFS(TEAMS_GbG[[TM NAME]:[TM NAME]],$B21,TEAMS_GbG[[OPP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1" s="3" t="str">
        <f ca="1">IF($B21="","",IF(AF$7="","",IF($B21=AF$7,"-",COUNTIFS(TEAMS_GbG[[TM NAME]:[TM NAME]],$B21,TEAMS_GbG[[OPP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1" s="3" t="str">
        <f ca="1">IF($B21="","",IF(AG$7="","",IF($B21=AG$7,"-",COUNTIFS(TEAMS_GbG[[TM NAME]:[TM NAME]],$B21,TEAMS_GbG[[OPP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1" s="3" t="str">
        <f ca="1">IF($B21="","",IF(AH$7="","",IF($B21=AH$7,"-",COUNTIFS(TEAMS_GbG[[TM NAME]:[TM NAME]],$B21,TEAMS_GbG[[OPP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2" spans="2:34" x14ac:dyDescent="0.25">
      <c r="B22" s="1" t="str">
        <f>BASIS_INFO!F17</f>
        <v>Real Madrid</v>
      </c>
      <c r="C22" s="3">
        <f ca="1">IF($B22="","",IF(C$7="","",IF($B22=C$7,"-",COUNTIFS(TEAMS_GbG[[TM NAME]:[TM NAME]],$B22,TEAMS_GbG[[OPP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D22" s="3">
        <f ca="1">IF($B22="","",IF(D$7="","",IF($B22=D$7,"-",COUNTIFS(TEAMS_GbG[[TM NAME]:[TM NAME]],$B22,TEAMS_GbG[[OPP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22" s="3">
        <f ca="1">IF($B22="","",IF(E$7="","",IF($B22=E$7,"-",COUNTIFS(TEAMS_GbG[[TM NAME]:[TM NAME]],$B22,TEAMS_GbG[[OPP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22" s="3">
        <f ca="1">IF($B22="","",IF(F$7="","",IF($B22=F$7,"-",COUNTIFS(TEAMS_GbG[[TM NAME]:[TM NAME]],$B22,TEAMS_GbG[[OPP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22" s="3">
        <f ca="1">IF($B22="","",IF(G$7="","",IF($B22=G$7,"-",COUNTIFS(TEAMS_GbG[[TM NAME]:[TM NAME]],$B22,TEAMS_GbG[[OPP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H22" s="3">
        <f ca="1">IF($B22="","",IF(H$7="","",IF($B22=H$7,"-",COUNTIFS(TEAMS_GbG[[TM NAME]:[TM NAME]],$B22,TEAMS_GbG[[OPP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22" s="3">
        <f ca="1">IF($B22="","",IF(I$7="","",IF($B22=I$7,"-",COUNTIFS(TEAMS_GbG[[TM NAME]:[TM NAME]],$B22,TEAMS_GbG[[OPP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22" s="3">
        <f ca="1">IF($B22="","",IF(J$7="","",IF($B22=J$7,"-",COUNTIFS(TEAMS_GbG[[TM NAME]:[TM NAME]],$B22,TEAMS_GbG[[OPP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K22" s="3">
        <f ca="1">IF($B22="","",IF(K$7="","",IF($B22=K$7,"-",COUNTIFS(TEAMS_GbG[[TM NAME]:[TM NAME]],$B22,TEAMS_GbG[[OPP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L22" s="3">
        <f ca="1">IF($B22="","",IF(L$7="","",IF($B22=L$7,"-",COUNTIFS(TEAMS_GbG[[TM NAME]:[TM NAME]],$B22,TEAMS_GbG[[OPP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M22" s="3">
        <f ca="1">IF($B22="","",IF(M$7="","",IF($B22=M$7,"-",COUNTIFS(TEAMS_GbG[[TM NAME]:[TM NAME]],$B22,TEAMS_GbG[[OPP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22" s="3">
        <f ca="1">IF($B22="","",IF(N$7="","",IF($B22=N$7,"-",COUNTIFS(TEAMS_GbG[[TM NAME]:[TM NAME]],$B22,TEAMS_GbG[[OPP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O22" s="3">
        <f ca="1">IF($B22="","",IF(O$7="","",IF($B22=O$7,"-",COUNTIFS(TEAMS_GbG[[TM NAME]:[TM NAME]],$B22,TEAMS_GbG[[OPP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P22" s="3">
        <f ca="1">IF($B22="","",IF(P$7="","",IF($B22=P$7,"-",COUNTIFS(TEAMS_GbG[[TM NAME]:[TM NAME]],$B22,TEAMS_GbG[[OPP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Q22" s="3" t="str">
        <f ca="1">IF($B22="","",IF(Q$7="","",IF($B22=Q$7,"-",COUNTIFS(TEAMS_GbG[[TM NAME]:[TM NAME]],$B22,TEAMS_GbG[[OPP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R22" s="3">
        <f ca="1">IF($B22="","",IF(R$7="","",IF($B22=R$7,"-",COUNTIFS(TEAMS_GbG[[TM NAME]:[TM NAME]],$B22,TEAMS_GbG[[OPP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22" s="3">
        <f ca="1">IF($B22="","",IF(S$7="","",IF($B22=S$7,"-",COUNTIFS(TEAMS_GbG[[TM NAME]:[TM NAME]],$B22,TEAMS_GbG[[OPP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22" s="3">
        <f ca="1">IF($B22="","",IF(T$7="","",IF($B22=T$7,"-",COUNTIFS(TEAMS_GbG[[TM NAME]:[TM NAME]],$B22,TEAMS_GbG[[OPP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22" s="3" t="str">
        <f ca="1">IF($B22="","",IF(U$7="","",IF($B22=U$7,"-",COUNTIFS(TEAMS_GbG[[TM NAME]:[TM NAME]],$B22,TEAMS_GbG[[OPP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2" s="3" t="str">
        <f ca="1">IF($B22="","",IF(V$7="","",IF($B22=V$7,"-",COUNTIFS(TEAMS_GbG[[TM NAME]:[TM NAME]],$B22,TEAMS_GbG[[OPP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2" s="3" t="str">
        <f ca="1">IF($B22="","",IF(W$7="","",IF($B22=W$7,"-",COUNTIFS(TEAMS_GbG[[TM NAME]:[TM NAME]],$B22,TEAMS_GbG[[OPP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2" s="3" t="str">
        <f ca="1">IF($B22="","",IF(X$7="","",IF($B22=X$7,"-",COUNTIFS(TEAMS_GbG[[TM NAME]:[TM NAME]],$B22,TEAMS_GbG[[OPP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2" s="3" t="str">
        <f ca="1">IF($B22="","",IF(Y$7="","",IF($B22=Y$7,"-",COUNTIFS(TEAMS_GbG[[TM NAME]:[TM NAME]],$B22,TEAMS_GbG[[OPP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2" s="3" t="str">
        <f ca="1">IF($B22="","",IF(Z$7="","",IF($B22=Z$7,"-",COUNTIFS(TEAMS_GbG[[TM NAME]:[TM NAME]],$B22,TEAMS_GbG[[OPP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2" s="3" t="str">
        <f ca="1">IF($B22="","",IF(AA$7="","",IF($B22=AA$7,"-",COUNTIFS(TEAMS_GbG[[TM NAME]:[TM NAME]],$B22,TEAMS_GbG[[OPP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2" s="3" t="str">
        <f ca="1">IF($B22="","",IF(AB$7="","",IF($B22=AB$7,"-",COUNTIFS(TEAMS_GbG[[TM NAME]:[TM NAME]],$B22,TEAMS_GbG[[OPP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2" s="3" t="str">
        <f ca="1">IF($B22="","",IF(AC$7="","",IF($B22=AC$7,"-",COUNTIFS(TEAMS_GbG[[TM NAME]:[TM NAME]],$B22,TEAMS_GbG[[OPP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2" s="3" t="str">
        <f ca="1">IF($B22="","",IF(AD$7="","",IF($B22=AD$7,"-",COUNTIFS(TEAMS_GbG[[TM NAME]:[TM NAME]],$B22,TEAMS_GbG[[OPP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2" s="3" t="str">
        <f ca="1">IF($B22="","",IF(AE$7="","",IF($B22=AE$7,"-",COUNTIFS(TEAMS_GbG[[TM NAME]:[TM NAME]],$B22,TEAMS_GbG[[OPP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2" s="3" t="str">
        <f ca="1">IF($B22="","",IF(AF$7="","",IF($B22=AF$7,"-",COUNTIFS(TEAMS_GbG[[TM NAME]:[TM NAME]],$B22,TEAMS_GbG[[OPP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2" s="3" t="str">
        <f ca="1">IF($B22="","",IF(AG$7="","",IF($B22=AG$7,"-",COUNTIFS(TEAMS_GbG[[TM NAME]:[TM NAME]],$B22,TEAMS_GbG[[OPP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2" s="3" t="str">
        <f ca="1">IF($B22="","",IF(AH$7="","",IF($B22=AH$7,"-",COUNTIFS(TEAMS_GbG[[TM NAME]:[TM NAME]],$B22,TEAMS_GbG[[OPP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3" spans="2:34" x14ac:dyDescent="0.25">
      <c r="B23" s="1" t="str">
        <f>BASIS_INFO!F18</f>
        <v>Valencia Basket</v>
      </c>
      <c r="C23" s="3">
        <f ca="1">IF($B23="","",IF(C$7="","",IF($B23=C$7,"-",COUNTIFS(TEAMS_GbG[[TM NAME]:[TM NAME]],$B23,TEAMS_GbG[[OPP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23" s="3">
        <f ca="1">IF($B23="","",IF(D$7="","",IF($B23=D$7,"-",COUNTIFS(TEAMS_GbG[[TM NAME]:[TM NAME]],$B23,TEAMS_GbG[[OPP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23" s="3">
        <f ca="1">IF($B23="","",IF(E$7="","",IF($B23=E$7,"-",COUNTIFS(TEAMS_GbG[[TM NAME]:[TM NAME]],$B23,TEAMS_GbG[[OPP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23" s="3">
        <f ca="1">IF($B23="","",IF(F$7="","",IF($B23=F$7,"-",COUNTIFS(TEAMS_GbG[[TM NAME]:[TM NAME]],$B23,TEAMS_GbG[[OPP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G23" s="3">
        <f ca="1">IF($B23="","",IF(G$7="","",IF($B23=G$7,"-",COUNTIFS(TEAMS_GbG[[TM NAME]:[TM NAME]],$B23,TEAMS_GbG[[OPP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H23" s="3">
        <f ca="1">IF($B23="","",IF(H$7="","",IF($B23=H$7,"-",COUNTIFS(TEAMS_GbG[[TM NAME]:[TM NAME]],$B23,TEAMS_GbG[[OPP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23" s="3">
        <f ca="1">IF($B23="","",IF(I$7="","",IF($B23=I$7,"-",COUNTIFS(TEAMS_GbG[[TM NAME]:[TM NAME]],$B23,TEAMS_GbG[[OPP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J23" s="3">
        <f ca="1">IF($B23="","",IF(J$7="","",IF($B23=J$7,"-",COUNTIFS(TEAMS_GbG[[TM NAME]:[TM NAME]],$B23,TEAMS_GbG[[OPP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K23" s="3">
        <f ca="1">IF($B23="","",IF(K$7="","",IF($B23=K$7,"-",COUNTIFS(TEAMS_GbG[[TM NAME]:[TM NAME]],$B23,TEAMS_GbG[[OPP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L23" s="3">
        <f ca="1">IF($B23="","",IF(L$7="","",IF($B23=L$7,"-",COUNTIFS(TEAMS_GbG[[TM NAME]:[TM NAME]],$B23,TEAMS_GbG[[OPP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M23" s="3">
        <f ca="1">IF($B23="","",IF(M$7="","",IF($B23=M$7,"-",COUNTIFS(TEAMS_GbG[[TM NAME]:[TM NAME]],$B23,TEAMS_GbG[[OPP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N23" s="3">
        <f ca="1">IF($B23="","",IF(N$7="","",IF($B23=N$7,"-",COUNTIFS(TEAMS_GbG[[TM NAME]:[TM NAME]],$B23,TEAMS_GbG[[OPP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O23" s="3">
        <f ca="1">IF($B23="","",IF(O$7="","",IF($B23=O$7,"-",COUNTIFS(TEAMS_GbG[[TM NAME]:[TM NAME]],$B23,TEAMS_GbG[[OPP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P23" s="3">
        <f ca="1">IF($B23="","",IF(P$7="","",IF($B23=P$7,"-",COUNTIFS(TEAMS_GbG[[TM NAME]:[TM NAME]],$B23,TEAMS_GbG[[OPP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Q23" s="3">
        <f ca="1">IF($B23="","",IF(Q$7="","",IF($B23=Q$7,"-",COUNTIFS(TEAMS_GbG[[TM NAME]:[TM NAME]],$B23,TEAMS_GbG[[OPP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R23" s="3" t="str">
        <f ca="1">IF($B23="","",IF(R$7="","",IF($B23=R$7,"-",COUNTIFS(TEAMS_GbG[[TM NAME]:[TM NAME]],$B23,TEAMS_GbG[[OPP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S23" s="3">
        <f ca="1">IF($B23="","",IF(S$7="","",IF($B23=S$7,"-",COUNTIFS(TEAMS_GbG[[TM NAME]:[TM NAME]],$B23,TEAMS_GbG[[OPP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T23" s="3">
        <f ca="1">IF($B23="","",IF(T$7="","",IF($B23=T$7,"-",COUNTIFS(TEAMS_GbG[[TM NAME]:[TM NAME]],$B23,TEAMS_GbG[[OPP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23" s="3" t="str">
        <f ca="1">IF($B23="","",IF(U$7="","",IF($B23=U$7,"-",COUNTIFS(TEAMS_GbG[[TM NAME]:[TM NAME]],$B23,TEAMS_GbG[[OPP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3" s="3" t="str">
        <f ca="1">IF($B23="","",IF(V$7="","",IF($B23=V$7,"-",COUNTIFS(TEAMS_GbG[[TM NAME]:[TM NAME]],$B23,TEAMS_GbG[[OPP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3" s="3" t="str">
        <f ca="1">IF($B23="","",IF(W$7="","",IF($B23=W$7,"-",COUNTIFS(TEAMS_GbG[[TM NAME]:[TM NAME]],$B23,TEAMS_GbG[[OPP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3" s="3" t="str">
        <f ca="1">IF($B23="","",IF(X$7="","",IF($B23=X$7,"-",COUNTIFS(TEAMS_GbG[[TM NAME]:[TM NAME]],$B23,TEAMS_GbG[[OPP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3" s="3" t="str">
        <f ca="1">IF($B23="","",IF(Y$7="","",IF($B23=Y$7,"-",COUNTIFS(TEAMS_GbG[[TM NAME]:[TM NAME]],$B23,TEAMS_GbG[[OPP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3" s="3" t="str">
        <f ca="1">IF($B23="","",IF(Z$7="","",IF($B23=Z$7,"-",COUNTIFS(TEAMS_GbG[[TM NAME]:[TM NAME]],$B23,TEAMS_GbG[[OPP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3" s="3" t="str">
        <f ca="1">IF($B23="","",IF(AA$7="","",IF($B23=AA$7,"-",COUNTIFS(TEAMS_GbG[[TM NAME]:[TM NAME]],$B23,TEAMS_GbG[[OPP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3" s="3" t="str">
        <f ca="1">IF($B23="","",IF(AB$7="","",IF($B23=AB$7,"-",COUNTIFS(TEAMS_GbG[[TM NAME]:[TM NAME]],$B23,TEAMS_GbG[[OPP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3" s="3" t="str">
        <f ca="1">IF($B23="","",IF(AC$7="","",IF($B23=AC$7,"-",COUNTIFS(TEAMS_GbG[[TM NAME]:[TM NAME]],$B23,TEAMS_GbG[[OPP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3" s="3" t="str">
        <f ca="1">IF($B23="","",IF(AD$7="","",IF($B23=AD$7,"-",COUNTIFS(TEAMS_GbG[[TM NAME]:[TM NAME]],$B23,TEAMS_GbG[[OPP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3" s="3" t="str">
        <f ca="1">IF($B23="","",IF(AE$7="","",IF($B23=AE$7,"-",COUNTIFS(TEAMS_GbG[[TM NAME]:[TM NAME]],$B23,TEAMS_GbG[[OPP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3" s="3" t="str">
        <f ca="1">IF($B23="","",IF(AF$7="","",IF($B23=AF$7,"-",COUNTIFS(TEAMS_GbG[[TM NAME]:[TM NAME]],$B23,TEAMS_GbG[[OPP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3" s="3" t="str">
        <f ca="1">IF($B23="","",IF(AG$7="","",IF($B23=AG$7,"-",COUNTIFS(TEAMS_GbG[[TM NAME]:[TM NAME]],$B23,TEAMS_GbG[[OPP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3" s="3" t="str">
        <f ca="1">IF($B23="","",IF(AH$7="","",IF($B23=AH$7,"-",COUNTIFS(TEAMS_GbG[[TM NAME]:[TM NAME]],$B23,TEAMS_GbG[[OPP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4" spans="2:34" x14ac:dyDescent="0.25">
      <c r="B24" s="1" t="str">
        <f>BASIS_INFO!F19</f>
        <v>Virtus Segafredo Bologna</v>
      </c>
      <c r="C24" s="3">
        <f ca="1">IF($B24="","",IF(C$7="","",IF($B24=C$7,"-",COUNTIFS(TEAMS_GbG[[TM NAME]:[TM NAME]],$B24,TEAMS_GbG[[OPP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D24" s="3">
        <f ca="1">IF($B24="","",IF(D$7="","",IF($B24=D$7,"-",COUNTIFS(TEAMS_GbG[[TM NAME]:[TM NAME]],$B24,TEAMS_GbG[[OPP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24" s="3">
        <f ca="1">IF($B24="","",IF(E$7="","",IF($B24=E$7,"-",COUNTIFS(TEAMS_GbG[[TM NAME]:[TM NAME]],$B24,TEAMS_GbG[[OPP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F24" s="3">
        <f ca="1">IF($B24="","",IF(F$7="","",IF($B24=F$7,"-",COUNTIFS(TEAMS_GbG[[TM NAME]:[TM NAME]],$B24,TEAMS_GbG[[OPP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G24" s="3">
        <f ca="1">IF($B24="","",IF(G$7="","",IF($B24=G$7,"-",COUNTIFS(TEAMS_GbG[[TM NAME]:[TM NAME]],$B24,TEAMS_GbG[[OPP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24" s="3">
        <f ca="1">IF($B24="","",IF(H$7="","",IF($B24=H$7,"-",COUNTIFS(TEAMS_GbG[[TM NAME]:[TM NAME]],$B24,TEAMS_GbG[[OPP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I24" s="3">
        <f ca="1">IF($B24="","",IF(I$7="","",IF($B24=I$7,"-",COUNTIFS(TEAMS_GbG[[TM NAME]:[TM NAME]],$B24,TEAMS_GbG[[OPP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J24" s="3">
        <f ca="1">IF($B24="","",IF(J$7="","",IF($B24=J$7,"-",COUNTIFS(TEAMS_GbG[[TM NAME]:[TM NAME]],$B24,TEAMS_GbG[[OPP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K24" s="3">
        <f ca="1">IF($B24="","",IF(K$7="","",IF($B24=K$7,"-",COUNTIFS(TEAMS_GbG[[TM NAME]:[TM NAME]],$B24,TEAMS_GbG[[OPP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L24" s="3">
        <f ca="1">IF($B24="","",IF(L$7="","",IF($B24=L$7,"-",COUNTIFS(TEAMS_GbG[[TM NAME]:[TM NAME]],$B24,TEAMS_GbG[[OPP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24" s="3">
        <f ca="1">IF($B24="","",IF(M$7="","",IF($B24=M$7,"-",COUNTIFS(TEAMS_GbG[[TM NAME]:[TM NAME]],$B24,TEAMS_GbG[[OPP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24" s="3">
        <f ca="1">IF($B24="","",IF(N$7="","",IF($B24=N$7,"-",COUNTIFS(TEAMS_GbG[[TM NAME]:[TM NAME]],$B24,TEAMS_GbG[[OPP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O24" s="3">
        <f ca="1">IF($B24="","",IF(O$7="","",IF($B24=O$7,"-",COUNTIFS(TEAMS_GbG[[TM NAME]:[TM NAME]],$B24,TEAMS_GbG[[OPP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24" s="3">
        <f ca="1">IF($B24="","",IF(P$7="","",IF($B24=P$7,"-",COUNTIFS(TEAMS_GbG[[TM NAME]:[TM NAME]],$B24,TEAMS_GbG[[OPP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Q24" s="3">
        <f ca="1">IF($B24="","",IF(Q$7="","",IF($B24=Q$7,"-",COUNTIFS(TEAMS_GbG[[TM NAME]:[TM NAME]],$B24,TEAMS_GbG[[OPP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R24" s="3">
        <f ca="1">IF($B24="","",IF(R$7="","",IF($B24=R$7,"-",COUNTIFS(TEAMS_GbG[[TM NAME]:[TM NAME]],$B24,TEAMS_GbG[[OPP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S24" s="3" t="str">
        <f ca="1">IF($B24="","",IF(S$7="","",IF($B24=S$7,"-",COUNTIFS(TEAMS_GbG[[TM NAME]:[TM NAME]],$B24,TEAMS_GbG[[OPP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T24" s="3">
        <f ca="1">IF($B24="","",IF(T$7="","",IF($B24=T$7,"-",COUNTIFS(TEAMS_GbG[[TM NAME]:[TM NAME]],$B24,TEAMS_GbG[[OPP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U24" s="3" t="str">
        <f ca="1">IF($B24="","",IF(U$7="","",IF($B24=U$7,"-",COUNTIFS(TEAMS_GbG[[TM NAME]:[TM NAME]],$B24,TEAMS_GbG[[OPP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4" s="3" t="str">
        <f ca="1">IF($B24="","",IF(V$7="","",IF($B24=V$7,"-",COUNTIFS(TEAMS_GbG[[TM NAME]:[TM NAME]],$B24,TEAMS_GbG[[OPP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4" s="3" t="str">
        <f ca="1">IF($B24="","",IF(W$7="","",IF($B24=W$7,"-",COUNTIFS(TEAMS_GbG[[TM NAME]:[TM NAME]],$B24,TEAMS_GbG[[OPP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4" s="3" t="str">
        <f ca="1">IF($B24="","",IF(X$7="","",IF($B24=X$7,"-",COUNTIFS(TEAMS_GbG[[TM NAME]:[TM NAME]],$B24,TEAMS_GbG[[OPP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4" s="3" t="str">
        <f ca="1">IF($B24="","",IF(Y$7="","",IF($B24=Y$7,"-",COUNTIFS(TEAMS_GbG[[TM NAME]:[TM NAME]],$B24,TEAMS_GbG[[OPP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4" s="3" t="str">
        <f ca="1">IF($B24="","",IF(Z$7="","",IF($B24=Z$7,"-",COUNTIFS(TEAMS_GbG[[TM NAME]:[TM NAME]],$B24,TEAMS_GbG[[OPP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4" s="3" t="str">
        <f ca="1">IF($B24="","",IF(AA$7="","",IF($B24=AA$7,"-",COUNTIFS(TEAMS_GbG[[TM NAME]:[TM NAME]],$B24,TEAMS_GbG[[OPP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4" s="3" t="str">
        <f ca="1">IF($B24="","",IF(AB$7="","",IF($B24=AB$7,"-",COUNTIFS(TEAMS_GbG[[TM NAME]:[TM NAME]],$B24,TEAMS_GbG[[OPP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4" s="3" t="str">
        <f ca="1">IF($B24="","",IF(AC$7="","",IF($B24=AC$7,"-",COUNTIFS(TEAMS_GbG[[TM NAME]:[TM NAME]],$B24,TEAMS_GbG[[OPP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4" s="3" t="str">
        <f ca="1">IF($B24="","",IF(AD$7="","",IF($B24=AD$7,"-",COUNTIFS(TEAMS_GbG[[TM NAME]:[TM NAME]],$B24,TEAMS_GbG[[OPP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4" s="3" t="str">
        <f ca="1">IF($B24="","",IF(AE$7="","",IF($B24=AE$7,"-",COUNTIFS(TEAMS_GbG[[TM NAME]:[TM NAME]],$B24,TEAMS_GbG[[OPP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4" s="3" t="str">
        <f ca="1">IF($B24="","",IF(AF$7="","",IF($B24=AF$7,"-",COUNTIFS(TEAMS_GbG[[TM NAME]:[TM NAME]],$B24,TEAMS_GbG[[OPP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4" s="3" t="str">
        <f ca="1">IF($B24="","",IF(AG$7="","",IF($B24=AG$7,"-",COUNTIFS(TEAMS_GbG[[TM NAME]:[TM NAME]],$B24,TEAMS_GbG[[OPP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4" s="3" t="str">
        <f ca="1">IF($B24="","",IF(AH$7="","",IF($B24=AH$7,"-",COUNTIFS(TEAMS_GbG[[TM NAME]:[TM NAME]],$B24,TEAMS_GbG[[OPP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5" spans="2:34" x14ac:dyDescent="0.25">
      <c r="B25" s="1" t="str">
        <f>BASIS_INFO!F20</f>
        <v>Zalgiris Kaunas</v>
      </c>
      <c r="C25" s="3">
        <f ca="1">IF($B25="","",IF(C$7="","",IF($B25=C$7,"-",COUNTIFS(TEAMS_GbG[[TM NAME]:[TM NAME]],$B25,TEAMS_GbG[[OPP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D25" s="3">
        <f ca="1">IF($B25="","",IF(D$7="","",IF($B25=D$7,"-",COUNTIFS(TEAMS_GbG[[TM NAME]:[TM NAME]],$B25,TEAMS_GbG[[OPP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E25" s="3">
        <f ca="1">IF($B25="","",IF(E$7="","",IF($B25=E$7,"-",COUNTIFS(TEAMS_GbG[[TM NAME]:[TM NAME]],$B25,TEAMS_GbG[[OPP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F25" s="3">
        <f ca="1">IF($B25="","",IF(F$7="","",IF($B25=F$7,"-",COUNTIFS(TEAMS_GbG[[TM NAME]:[TM NAME]],$B25,TEAMS_GbG[[OPP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G25" s="3">
        <f ca="1">IF($B25="","",IF(G$7="","",IF($B25=G$7,"-",COUNTIFS(TEAMS_GbG[[TM NAME]:[TM NAME]],$B25,TEAMS_GbG[[OPP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H25" s="3">
        <f ca="1">IF($B25="","",IF(H$7="","",IF($B25=H$7,"-",COUNTIFS(TEAMS_GbG[[TM NAME]:[TM NAME]],$B25,TEAMS_GbG[[OPP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I25" s="3">
        <f ca="1">IF($B25="","",IF(I$7="","",IF($B25=I$7,"-",COUNTIFS(TEAMS_GbG[[TM NAME]:[TM NAME]],$B25,TEAMS_GbG[[OPP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J25" s="3">
        <f ca="1">IF($B25="","",IF(J$7="","",IF($B25=J$7,"-",COUNTIFS(TEAMS_GbG[[TM NAME]:[TM NAME]],$B25,TEAMS_GbG[[OPP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K25" s="3">
        <f ca="1">IF($B25="","",IF(K$7="","",IF($B25=K$7,"-",COUNTIFS(TEAMS_GbG[[TM NAME]:[TM NAME]],$B25,TEAMS_GbG[[OPP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L25" s="3">
        <f ca="1">IF($B25="","",IF(L$7="","",IF($B25=L$7,"-",COUNTIFS(TEAMS_GbG[[TM NAME]:[TM NAME]],$B25,TEAMS_GbG[[OPP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M25" s="3">
        <f ca="1">IF($B25="","",IF(M$7="","",IF($B25=M$7,"-",COUNTIFS(TEAMS_GbG[[TM NAME]:[TM NAME]],$B25,TEAMS_GbG[[OPP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N25" s="3">
        <f ca="1">IF($B25="","",IF(N$7="","",IF($B25=N$7,"-",COUNTIFS(TEAMS_GbG[[TM NAME]:[TM NAME]],$B25,TEAMS_GbG[[OPP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O25" s="3">
        <f ca="1">IF($B25="","",IF(O$7="","",IF($B25=O$7,"-",COUNTIFS(TEAMS_GbG[[TM NAME]:[TM NAME]],$B25,TEAMS_GbG[[OPP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P25" s="3">
        <f ca="1">IF($B25="","",IF(P$7="","",IF($B25=P$7,"-",COUNTIFS(TEAMS_GbG[[TM NAME]:[TM NAME]],$B25,TEAMS_GbG[[OPP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0</v>
      </c>
      <c r="Q25" s="3">
        <f ca="1">IF($B25="","",IF(Q$7="","",IF($B25=Q$7,"-",COUNTIFS(TEAMS_GbG[[TM NAME]:[TM NAME]],$B25,TEAMS_GbG[[OPP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R25" s="3">
        <f ca="1">IF($B25="","",IF(R$7="","",IF($B25=R$7,"-",COUNTIFS(TEAMS_GbG[[TM NAME]:[TM NAME]],$B25,TEAMS_GbG[[OPP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S25" s="3">
        <f ca="1">IF($B25="","",IF(S$7="","",IF($B25=S$7,"-",COUNTIFS(TEAMS_GbG[[TM NAME]:[TM NAME]],$B25,TEAMS_GbG[[OPP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1</v>
      </c>
      <c r="T25" s="3" t="str">
        <f ca="1">IF($B25="","",IF(T$7="","",IF($B25=T$7,"-",COUNTIFS(TEAMS_GbG[[TM NAME]:[TM NAME]],$B25,TEAMS_GbG[[OPP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>-</v>
      </c>
      <c r="U25" s="3" t="str">
        <f ca="1">IF($B25="","",IF(U$7="","",IF($B25=U$7,"-",COUNTIFS(TEAMS_GbG[[TM NAME]:[TM NAME]],$B25,TEAMS_GbG[[OPP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5" s="3" t="str">
        <f ca="1">IF($B25="","",IF(V$7="","",IF($B25=V$7,"-",COUNTIFS(TEAMS_GbG[[TM NAME]:[TM NAME]],$B25,TEAMS_GbG[[OPP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5" s="3" t="str">
        <f ca="1">IF($B25="","",IF(W$7="","",IF($B25=W$7,"-",COUNTIFS(TEAMS_GbG[[TM NAME]:[TM NAME]],$B25,TEAMS_GbG[[OPP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5" s="3" t="str">
        <f ca="1">IF($B25="","",IF(X$7="","",IF($B25=X$7,"-",COUNTIFS(TEAMS_GbG[[TM NAME]:[TM NAME]],$B25,TEAMS_GbG[[OPP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5" s="3" t="str">
        <f ca="1">IF($B25="","",IF(Y$7="","",IF($B25=Y$7,"-",COUNTIFS(TEAMS_GbG[[TM NAME]:[TM NAME]],$B25,TEAMS_GbG[[OPP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5" s="3" t="str">
        <f ca="1">IF($B25="","",IF(Z$7="","",IF($B25=Z$7,"-",COUNTIFS(TEAMS_GbG[[TM NAME]:[TM NAME]],$B25,TEAMS_GbG[[OPP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5" s="3" t="str">
        <f ca="1">IF($B25="","",IF(AA$7="","",IF($B25=AA$7,"-",COUNTIFS(TEAMS_GbG[[TM NAME]:[TM NAME]],$B25,TEAMS_GbG[[OPP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5" s="3" t="str">
        <f ca="1">IF($B25="","",IF(AB$7="","",IF($B25=AB$7,"-",COUNTIFS(TEAMS_GbG[[TM NAME]:[TM NAME]],$B25,TEAMS_GbG[[OPP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5" s="3" t="str">
        <f ca="1">IF($B25="","",IF(AC$7="","",IF($B25=AC$7,"-",COUNTIFS(TEAMS_GbG[[TM NAME]:[TM NAME]],$B25,TEAMS_GbG[[OPP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5" s="3" t="str">
        <f ca="1">IF($B25="","",IF(AD$7="","",IF($B25=AD$7,"-",COUNTIFS(TEAMS_GbG[[TM NAME]:[TM NAME]],$B25,TEAMS_GbG[[OPP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5" s="3" t="str">
        <f ca="1">IF($B25="","",IF(AE$7="","",IF($B25=AE$7,"-",COUNTIFS(TEAMS_GbG[[TM NAME]:[TM NAME]],$B25,TEAMS_GbG[[OPP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5" s="3" t="str">
        <f ca="1">IF($B25="","",IF(AF$7="","",IF($B25=AF$7,"-",COUNTIFS(TEAMS_GbG[[TM NAME]:[TM NAME]],$B25,TEAMS_GbG[[OPP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5" s="3" t="str">
        <f ca="1">IF($B25="","",IF(AG$7="","",IF($B25=AG$7,"-",COUNTIFS(TEAMS_GbG[[TM NAME]:[TM NAME]],$B25,TEAMS_GbG[[OPP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5" s="3" t="str">
        <f ca="1">IF($B25="","",IF(AH$7="","",IF($B25=AH$7,"-",COUNTIFS(TEAMS_GbG[[TM NAME]:[TM NAME]],$B25,TEAMS_GbG[[OPP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6" spans="2:34" x14ac:dyDescent="0.25">
      <c r="B26" s="1" t="str">
        <f>BASIS_INFO!F21</f>
        <v/>
      </c>
      <c r="C26" s="3" t="str">
        <f ca="1">IF($B26="","",IF(C$7="","",IF($B26=C$7,"-",COUNTIFS(TEAMS_GbG[[TM NAME]:[TM NAME]],$B26,TEAMS_GbG[[OPP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26" s="3" t="str">
        <f ca="1">IF($B26="","",IF(D$7="","",IF($B26=D$7,"-",COUNTIFS(TEAMS_GbG[[TM NAME]:[TM NAME]],$B26,TEAMS_GbG[[OPP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26" s="3" t="str">
        <f ca="1">IF($B26="","",IF(E$7="","",IF($B26=E$7,"-",COUNTIFS(TEAMS_GbG[[TM NAME]:[TM NAME]],$B26,TEAMS_GbG[[OPP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26" s="3" t="str">
        <f ca="1">IF($B26="","",IF(F$7="","",IF($B26=F$7,"-",COUNTIFS(TEAMS_GbG[[TM NAME]:[TM NAME]],$B26,TEAMS_GbG[[OPP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26" s="3" t="str">
        <f ca="1">IF($B26="","",IF(G$7="","",IF($B26=G$7,"-",COUNTIFS(TEAMS_GbG[[TM NAME]:[TM NAME]],$B26,TEAMS_GbG[[OPP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26" s="3" t="str">
        <f ca="1">IF($B26="","",IF(H$7="","",IF($B26=H$7,"-",COUNTIFS(TEAMS_GbG[[TM NAME]:[TM NAME]],$B26,TEAMS_GbG[[OPP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26" s="3" t="str">
        <f ca="1">IF($B26="","",IF(I$7="","",IF($B26=I$7,"-",COUNTIFS(TEAMS_GbG[[TM NAME]:[TM NAME]],$B26,TEAMS_GbG[[OPP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26" s="3" t="str">
        <f ca="1">IF($B26="","",IF(J$7="","",IF($B26=J$7,"-",COUNTIFS(TEAMS_GbG[[TM NAME]:[TM NAME]],$B26,TEAMS_GbG[[OPP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26" s="3" t="str">
        <f ca="1">IF($B26="","",IF(K$7="","",IF($B26=K$7,"-",COUNTIFS(TEAMS_GbG[[TM NAME]:[TM NAME]],$B26,TEAMS_GbG[[OPP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26" s="3" t="str">
        <f ca="1">IF($B26="","",IF(L$7="","",IF($B26=L$7,"-",COUNTIFS(TEAMS_GbG[[TM NAME]:[TM NAME]],$B26,TEAMS_GbG[[OPP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26" s="3" t="str">
        <f ca="1">IF($B26="","",IF(M$7="","",IF($B26=M$7,"-",COUNTIFS(TEAMS_GbG[[TM NAME]:[TM NAME]],$B26,TEAMS_GbG[[OPP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26" s="3" t="str">
        <f ca="1">IF($B26="","",IF(N$7="","",IF($B26=N$7,"-",COUNTIFS(TEAMS_GbG[[TM NAME]:[TM NAME]],$B26,TEAMS_GbG[[OPP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26" s="3" t="str">
        <f ca="1">IF($B26="","",IF(O$7="","",IF($B26=O$7,"-",COUNTIFS(TEAMS_GbG[[TM NAME]:[TM NAME]],$B26,TEAMS_GbG[[OPP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26" s="3" t="str">
        <f ca="1">IF($B26="","",IF(P$7="","",IF($B26=P$7,"-",COUNTIFS(TEAMS_GbG[[TM NAME]:[TM NAME]],$B26,TEAMS_GbG[[OPP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26" s="3" t="str">
        <f ca="1">IF($B26="","",IF(Q$7="","",IF($B26=Q$7,"-",COUNTIFS(TEAMS_GbG[[TM NAME]:[TM NAME]],$B26,TEAMS_GbG[[OPP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26" s="3" t="str">
        <f ca="1">IF($B26="","",IF(R$7="","",IF($B26=R$7,"-",COUNTIFS(TEAMS_GbG[[TM NAME]:[TM NAME]],$B26,TEAMS_GbG[[OPP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26" s="3" t="str">
        <f ca="1">IF($B26="","",IF(S$7="","",IF($B26=S$7,"-",COUNTIFS(TEAMS_GbG[[TM NAME]:[TM NAME]],$B26,TEAMS_GbG[[OPP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26" s="3" t="str">
        <f ca="1">IF($B26="","",IF(T$7="","",IF($B26=T$7,"-",COUNTIFS(TEAMS_GbG[[TM NAME]:[TM NAME]],$B26,TEAMS_GbG[[OPP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26" s="3" t="str">
        <f ca="1">IF($B26="","",IF(U$7="","",IF($B26=U$7,"-",COUNTIFS(TEAMS_GbG[[TM NAME]:[TM NAME]],$B26,TEAMS_GbG[[OPP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6" s="3" t="str">
        <f ca="1">IF($B26="","",IF(V$7="","",IF($B26=V$7,"-",COUNTIFS(TEAMS_GbG[[TM NAME]:[TM NAME]],$B26,TEAMS_GbG[[OPP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6" s="3" t="str">
        <f ca="1">IF($B26="","",IF(W$7="","",IF($B26=W$7,"-",COUNTIFS(TEAMS_GbG[[TM NAME]:[TM NAME]],$B26,TEAMS_GbG[[OPP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6" s="3" t="str">
        <f ca="1">IF($B26="","",IF(X$7="","",IF($B26=X$7,"-",COUNTIFS(TEAMS_GbG[[TM NAME]:[TM NAME]],$B26,TEAMS_GbG[[OPP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6" s="3" t="str">
        <f ca="1">IF($B26="","",IF(Y$7="","",IF($B26=Y$7,"-",COUNTIFS(TEAMS_GbG[[TM NAME]:[TM NAME]],$B26,TEAMS_GbG[[OPP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6" s="3" t="str">
        <f ca="1">IF($B26="","",IF(Z$7="","",IF($B26=Z$7,"-",COUNTIFS(TEAMS_GbG[[TM NAME]:[TM NAME]],$B26,TEAMS_GbG[[OPP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6" s="3" t="str">
        <f ca="1">IF($B26="","",IF(AA$7="","",IF($B26=AA$7,"-",COUNTIFS(TEAMS_GbG[[TM NAME]:[TM NAME]],$B26,TEAMS_GbG[[OPP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6" s="3" t="str">
        <f ca="1">IF($B26="","",IF(AB$7="","",IF($B26=AB$7,"-",COUNTIFS(TEAMS_GbG[[TM NAME]:[TM NAME]],$B26,TEAMS_GbG[[OPP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6" s="3" t="str">
        <f ca="1">IF($B26="","",IF(AC$7="","",IF($B26=AC$7,"-",COUNTIFS(TEAMS_GbG[[TM NAME]:[TM NAME]],$B26,TEAMS_GbG[[OPP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6" s="3" t="str">
        <f ca="1">IF($B26="","",IF(AD$7="","",IF($B26=AD$7,"-",COUNTIFS(TEAMS_GbG[[TM NAME]:[TM NAME]],$B26,TEAMS_GbG[[OPP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6" s="3" t="str">
        <f ca="1">IF($B26="","",IF(AE$7="","",IF($B26=AE$7,"-",COUNTIFS(TEAMS_GbG[[TM NAME]:[TM NAME]],$B26,TEAMS_GbG[[OPP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6" s="3" t="str">
        <f ca="1">IF($B26="","",IF(AF$7="","",IF($B26=AF$7,"-",COUNTIFS(TEAMS_GbG[[TM NAME]:[TM NAME]],$B26,TEAMS_GbG[[OPP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6" s="3" t="str">
        <f ca="1">IF($B26="","",IF(AG$7="","",IF($B26=AG$7,"-",COUNTIFS(TEAMS_GbG[[TM NAME]:[TM NAME]],$B26,TEAMS_GbG[[OPP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6" s="3" t="str">
        <f ca="1">IF($B26="","",IF(AH$7="","",IF($B26=AH$7,"-",COUNTIFS(TEAMS_GbG[[TM NAME]:[TM NAME]],$B26,TEAMS_GbG[[OPP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7" spans="2:34" x14ac:dyDescent="0.25">
      <c r="B27" s="1" t="str">
        <f>BASIS_INFO!F22</f>
        <v/>
      </c>
      <c r="C27" s="3" t="str">
        <f ca="1">IF($B27="","",IF(C$7="","",IF($B27=C$7,"-",COUNTIFS(TEAMS_GbG[[TM NAME]:[TM NAME]],$B27,TEAMS_GbG[[OPP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27" s="3" t="str">
        <f ca="1">IF($B27="","",IF(D$7="","",IF($B27=D$7,"-",COUNTIFS(TEAMS_GbG[[TM NAME]:[TM NAME]],$B27,TEAMS_GbG[[OPP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27" s="3" t="str">
        <f ca="1">IF($B27="","",IF(E$7="","",IF($B27=E$7,"-",COUNTIFS(TEAMS_GbG[[TM NAME]:[TM NAME]],$B27,TEAMS_GbG[[OPP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27" s="3" t="str">
        <f ca="1">IF($B27="","",IF(F$7="","",IF($B27=F$7,"-",COUNTIFS(TEAMS_GbG[[TM NAME]:[TM NAME]],$B27,TEAMS_GbG[[OPP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27" s="3" t="str">
        <f ca="1">IF($B27="","",IF(G$7="","",IF($B27=G$7,"-",COUNTIFS(TEAMS_GbG[[TM NAME]:[TM NAME]],$B27,TEAMS_GbG[[OPP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27" s="3" t="str">
        <f ca="1">IF($B27="","",IF(H$7="","",IF($B27=H$7,"-",COUNTIFS(TEAMS_GbG[[TM NAME]:[TM NAME]],$B27,TEAMS_GbG[[OPP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27" s="3" t="str">
        <f ca="1">IF($B27="","",IF(I$7="","",IF($B27=I$7,"-",COUNTIFS(TEAMS_GbG[[TM NAME]:[TM NAME]],$B27,TEAMS_GbG[[OPP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27" s="3" t="str">
        <f ca="1">IF($B27="","",IF(J$7="","",IF($B27=J$7,"-",COUNTIFS(TEAMS_GbG[[TM NAME]:[TM NAME]],$B27,TEAMS_GbG[[OPP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27" s="3" t="str">
        <f ca="1">IF($B27="","",IF(K$7="","",IF($B27=K$7,"-",COUNTIFS(TEAMS_GbG[[TM NAME]:[TM NAME]],$B27,TEAMS_GbG[[OPP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27" s="3" t="str">
        <f ca="1">IF($B27="","",IF(L$7="","",IF($B27=L$7,"-",COUNTIFS(TEAMS_GbG[[TM NAME]:[TM NAME]],$B27,TEAMS_GbG[[OPP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27" s="3" t="str">
        <f ca="1">IF($B27="","",IF(M$7="","",IF($B27=M$7,"-",COUNTIFS(TEAMS_GbG[[TM NAME]:[TM NAME]],$B27,TEAMS_GbG[[OPP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27" s="3" t="str">
        <f ca="1">IF($B27="","",IF(N$7="","",IF($B27=N$7,"-",COUNTIFS(TEAMS_GbG[[TM NAME]:[TM NAME]],$B27,TEAMS_GbG[[OPP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27" s="3" t="str">
        <f ca="1">IF($B27="","",IF(O$7="","",IF($B27=O$7,"-",COUNTIFS(TEAMS_GbG[[TM NAME]:[TM NAME]],$B27,TEAMS_GbG[[OPP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27" s="3" t="str">
        <f ca="1">IF($B27="","",IF(P$7="","",IF($B27=P$7,"-",COUNTIFS(TEAMS_GbG[[TM NAME]:[TM NAME]],$B27,TEAMS_GbG[[OPP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27" s="3" t="str">
        <f ca="1">IF($B27="","",IF(Q$7="","",IF($B27=Q$7,"-",COUNTIFS(TEAMS_GbG[[TM NAME]:[TM NAME]],$B27,TEAMS_GbG[[OPP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27" s="3" t="str">
        <f ca="1">IF($B27="","",IF(R$7="","",IF($B27=R$7,"-",COUNTIFS(TEAMS_GbG[[TM NAME]:[TM NAME]],$B27,TEAMS_GbG[[OPP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27" s="3" t="str">
        <f ca="1">IF($B27="","",IF(S$7="","",IF($B27=S$7,"-",COUNTIFS(TEAMS_GbG[[TM NAME]:[TM NAME]],$B27,TEAMS_GbG[[OPP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27" s="3" t="str">
        <f ca="1">IF($B27="","",IF(T$7="","",IF($B27=T$7,"-",COUNTIFS(TEAMS_GbG[[TM NAME]:[TM NAME]],$B27,TEAMS_GbG[[OPP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27" s="3" t="str">
        <f ca="1">IF($B27="","",IF(U$7="","",IF($B27=U$7,"-",COUNTIFS(TEAMS_GbG[[TM NAME]:[TM NAME]],$B27,TEAMS_GbG[[OPP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7" s="3" t="str">
        <f ca="1">IF($B27="","",IF(V$7="","",IF($B27=V$7,"-",COUNTIFS(TEAMS_GbG[[TM NAME]:[TM NAME]],$B27,TEAMS_GbG[[OPP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7" s="3" t="str">
        <f ca="1">IF($B27="","",IF(W$7="","",IF($B27=W$7,"-",COUNTIFS(TEAMS_GbG[[TM NAME]:[TM NAME]],$B27,TEAMS_GbG[[OPP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7" s="3" t="str">
        <f ca="1">IF($B27="","",IF(X$7="","",IF($B27=X$7,"-",COUNTIFS(TEAMS_GbG[[TM NAME]:[TM NAME]],$B27,TEAMS_GbG[[OPP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7" s="3" t="str">
        <f ca="1">IF($B27="","",IF(Y$7="","",IF($B27=Y$7,"-",COUNTIFS(TEAMS_GbG[[TM NAME]:[TM NAME]],$B27,TEAMS_GbG[[OPP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7" s="3" t="str">
        <f ca="1">IF($B27="","",IF(Z$7="","",IF($B27=Z$7,"-",COUNTIFS(TEAMS_GbG[[TM NAME]:[TM NAME]],$B27,TEAMS_GbG[[OPP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7" s="3" t="str">
        <f ca="1">IF($B27="","",IF(AA$7="","",IF($B27=AA$7,"-",COUNTIFS(TEAMS_GbG[[TM NAME]:[TM NAME]],$B27,TEAMS_GbG[[OPP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7" s="3" t="str">
        <f ca="1">IF($B27="","",IF(AB$7="","",IF($B27=AB$7,"-",COUNTIFS(TEAMS_GbG[[TM NAME]:[TM NAME]],$B27,TEAMS_GbG[[OPP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7" s="3" t="str">
        <f ca="1">IF($B27="","",IF(AC$7="","",IF($B27=AC$7,"-",COUNTIFS(TEAMS_GbG[[TM NAME]:[TM NAME]],$B27,TEAMS_GbG[[OPP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7" s="3" t="str">
        <f ca="1">IF($B27="","",IF(AD$7="","",IF($B27=AD$7,"-",COUNTIFS(TEAMS_GbG[[TM NAME]:[TM NAME]],$B27,TEAMS_GbG[[OPP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7" s="3" t="str">
        <f ca="1">IF($B27="","",IF(AE$7="","",IF($B27=AE$7,"-",COUNTIFS(TEAMS_GbG[[TM NAME]:[TM NAME]],$B27,TEAMS_GbG[[OPP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7" s="3" t="str">
        <f ca="1">IF($B27="","",IF(AF$7="","",IF($B27=AF$7,"-",COUNTIFS(TEAMS_GbG[[TM NAME]:[TM NAME]],$B27,TEAMS_GbG[[OPP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7" s="3" t="str">
        <f ca="1">IF($B27="","",IF(AG$7="","",IF($B27=AG$7,"-",COUNTIFS(TEAMS_GbG[[TM NAME]:[TM NAME]],$B27,TEAMS_GbG[[OPP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7" s="3" t="str">
        <f ca="1">IF($B27="","",IF(AH$7="","",IF($B27=AH$7,"-",COUNTIFS(TEAMS_GbG[[TM NAME]:[TM NAME]],$B27,TEAMS_GbG[[OPP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8" spans="2:34" x14ac:dyDescent="0.25">
      <c r="B28" s="1" t="str">
        <f>BASIS_INFO!F23</f>
        <v/>
      </c>
      <c r="C28" s="3" t="str">
        <f ca="1">IF($B28="","",IF(C$7="","",IF($B28=C$7,"-",COUNTIFS(TEAMS_GbG[[TM NAME]:[TM NAME]],$B28,TEAMS_GbG[[OPP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28" s="3" t="str">
        <f ca="1">IF($B28="","",IF(D$7="","",IF($B28=D$7,"-",COUNTIFS(TEAMS_GbG[[TM NAME]:[TM NAME]],$B28,TEAMS_GbG[[OPP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28" s="3" t="str">
        <f ca="1">IF($B28="","",IF(E$7="","",IF($B28=E$7,"-",COUNTIFS(TEAMS_GbG[[TM NAME]:[TM NAME]],$B28,TEAMS_GbG[[OPP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28" s="3" t="str">
        <f ca="1">IF($B28="","",IF(F$7="","",IF($B28=F$7,"-",COUNTIFS(TEAMS_GbG[[TM NAME]:[TM NAME]],$B28,TEAMS_GbG[[OPP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28" s="3" t="str">
        <f ca="1">IF($B28="","",IF(G$7="","",IF($B28=G$7,"-",COUNTIFS(TEAMS_GbG[[TM NAME]:[TM NAME]],$B28,TEAMS_GbG[[OPP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28" s="3" t="str">
        <f ca="1">IF($B28="","",IF(H$7="","",IF($B28=H$7,"-",COUNTIFS(TEAMS_GbG[[TM NAME]:[TM NAME]],$B28,TEAMS_GbG[[OPP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28" s="3" t="str">
        <f ca="1">IF($B28="","",IF(I$7="","",IF($B28=I$7,"-",COUNTIFS(TEAMS_GbG[[TM NAME]:[TM NAME]],$B28,TEAMS_GbG[[OPP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28" s="3" t="str">
        <f ca="1">IF($B28="","",IF(J$7="","",IF($B28=J$7,"-",COUNTIFS(TEAMS_GbG[[TM NAME]:[TM NAME]],$B28,TEAMS_GbG[[OPP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28" s="3" t="str">
        <f ca="1">IF($B28="","",IF(K$7="","",IF($B28=K$7,"-",COUNTIFS(TEAMS_GbG[[TM NAME]:[TM NAME]],$B28,TEAMS_GbG[[OPP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28" s="3" t="str">
        <f ca="1">IF($B28="","",IF(L$7="","",IF($B28=L$7,"-",COUNTIFS(TEAMS_GbG[[TM NAME]:[TM NAME]],$B28,TEAMS_GbG[[OPP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28" s="3" t="str">
        <f ca="1">IF($B28="","",IF(M$7="","",IF($B28=M$7,"-",COUNTIFS(TEAMS_GbG[[TM NAME]:[TM NAME]],$B28,TEAMS_GbG[[OPP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28" s="3" t="str">
        <f ca="1">IF($B28="","",IF(N$7="","",IF($B28=N$7,"-",COUNTIFS(TEAMS_GbG[[TM NAME]:[TM NAME]],$B28,TEAMS_GbG[[OPP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28" s="3" t="str">
        <f ca="1">IF($B28="","",IF(O$7="","",IF($B28=O$7,"-",COUNTIFS(TEAMS_GbG[[TM NAME]:[TM NAME]],$B28,TEAMS_GbG[[OPP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28" s="3" t="str">
        <f ca="1">IF($B28="","",IF(P$7="","",IF($B28=P$7,"-",COUNTIFS(TEAMS_GbG[[TM NAME]:[TM NAME]],$B28,TEAMS_GbG[[OPP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28" s="3" t="str">
        <f ca="1">IF($B28="","",IF(Q$7="","",IF($B28=Q$7,"-",COUNTIFS(TEAMS_GbG[[TM NAME]:[TM NAME]],$B28,TEAMS_GbG[[OPP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28" s="3" t="str">
        <f ca="1">IF($B28="","",IF(R$7="","",IF($B28=R$7,"-",COUNTIFS(TEAMS_GbG[[TM NAME]:[TM NAME]],$B28,TEAMS_GbG[[OPP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28" s="3" t="str">
        <f ca="1">IF($B28="","",IF(S$7="","",IF($B28=S$7,"-",COUNTIFS(TEAMS_GbG[[TM NAME]:[TM NAME]],$B28,TEAMS_GbG[[OPP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28" s="3" t="str">
        <f ca="1">IF($B28="","",IF(T$7="","",IF($B28=T$7,"-",COUNTIFS(TEAMS_GbG[[TM NAME]:[TM NAME]],$B28,TEAMS_GbG[[OPP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28" s="3" t="str">
        <f ca="1">IF($B28="","",IF(U$7="","",IF($B28=U$7,"-",COUNTIFS(TEAMS_GbG[[TM NAME]:[TM NAME]],$B28,TEAMS_GbG[[OPP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8" s="3" t="str">
        <f ca="1">IF($B28="","",IF(V$7="","",IF($B28=V$7,"-",COUNTIFS(TEAMS_GbG[[TM NAME]:[TM NAME]],$B28,TEAMS_GbG[[OPP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8" s="3" t="str">
        <f ca="1">IF($B28="","",IF(W$7="","",IF($B28=W$7,"-",COUNTIFS(TEAMS_GbG[[TM NAME]:[TM NAME]],$B28,TEAMS_GbG[[OPP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8" s="3" t="str">
        <f ca="1">IF($B28="","",IF(X$7="","",IF($B28=X$7,"-",COUNTIFS(TEAMS_GbG[[TM NAME]:[TM NAME]],$B28,TEAMS_GbG[[OPP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8" s="3" t="str">
        <f ca="1">IF($B28="","",IF(Y$7="","",IF($B28=Y$7,"-",COUNTIFS(TEAMS_GbG[[TM NAME]:[TM NAME]],$B28,TEAMS_GbG[[OPP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8" s="3" t="str">
        <f ca="1">IF($B28="","",IF(Z$7="","",IF($B28=Z$7,"-",COUNTIFS(TEAMS_GbG[[TM NAME]:[TM NAME]],$B28,TEAMS_GbG[[OPP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8" s="3" t="str">
        <f ca="1">IF($B28="","",IF(AA$7="","",IF($B28=AA$7,"-",COUNTIFS(TEAMS_GbG[[TM NAME]:[TM NAME]],$B28,TEAMS_GbG[[OPP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8" s="3" t="str">
        <f ca="1">IF($B28="","",IF(AB$7="","",IF($B28=AB$7,"-",COUNTIFS(TEAMS_GbG[[TM NAME]:[TM NAME]],$B28,TEAMS_GbG[[OPP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8" s="3" t="str">
        <f ca="1">IF($B28="","",IF(AC$7="","",IF($B28=AC$7,"-",COUNTIFS(TEAMS_GbG[[TM NAME]:[TM NAME]],$B28,TEAMS_GbG[[OPP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8" s="3" t="str">
        <f ca="1">IF($B28="","",IF(AD$7="","",IF($B28=AD$7,"-",COUNTIFS(TEAMS_GbG[[TM NAME]:[TM NAME]],$B28,TEAMS_GbG[[OPP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8" s="3" t="str">
        <f ca="1">IF($B28="","",IF(AE$7="","",IF($B28=AE$7,"-",COUNTIFS(TEAMS_GbG[[TM NAME]:[TM NAME]],$B28,TEAMS_GbG[[OPP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8" s="3" t="str">
        <f ca="1">IF($B28="","",IF(AF$7="","",IF($B28=AF$7,"-",COUNTIFS(TEAMS_GbG[[TM NAME]:[TM NAME]],$B28,TEAMS_GbG[[OPP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8" s="3" t="str">
        <f ca="1">IF($B28="","",IF(AG$7="","",IF($B28=AG$7,"-",COUNTIFS(TEAMS_GbG[[TM NAME]:[TM NAME]],$B28,TEAMS_GbG[[OPP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8" s="3" t="str">
        <f ca="1">IF($B28="","",IF(AH$7="","",IF($B28=AH$7,"-",COUNTIFS(TEAMS_GbG[[TM NAME]:[TM NAME]],$B28,TEAMS_GbG[[OPP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29" spans="2:34" x14ac:dyDescent="0.25">
      <c r="B29" s="1" t="str">
        <f>BASIS_INFO!F24</f>
        <v/>
      </c>
      <c r="C29" s="3" t="str">
        <f ca="1">IF($B29="","",IF(C$7="","",IF($B29=C$7,"-",COUNTIFS(TEAMS_GbG[[TM NAME]:[TM NAME]],$B29,TEAMS_GbG[[OPP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29" s="3" t="str">
        <f ca="1">IF($B29="","",IF(D$7="","",IF($B29=D$7,"-",COUNTIFS(TEAMS_GbG[[TM NAME]:[TM NAME]],$B29,TEAMS_GbG[[OPP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29" s="3" t="str">
        <f ca="1">IF($B29="","",IF(E$7="","",IF($B29=E$7,"-",COUNTIFS(TEAMS_GbG[[TM NAME]:[TM NAME]],$B29,TEAMS_GbG[[OPP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29" s="3" t="str">
        <f ca="1">IF($B29="","",IF(F$7="","",IF($B29=F$7,"-",COUNTIFS(TEAMS_GbG[[TM NAME]:[TM NAME]],$B29,TEAMS_GbG[[OPP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29" s="3" t="str">
        <f ca="1">IF($B29="","",IF(G$7="","",IF($B29=G$7,"-",COUNTIFS(TEAMS_GbG[[TM NAME]:[TM NAME]],$B29,TEAMS_GbG[[OPP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29" s="3" t="str">
        <f ca="1">IF($B29="","",IF(H$7="","",IF($B29=H$7,"-",COUNTIFS(TEAMS_GbG[[TM NAME]:[TM NAME]],$B29,TEAMS_GbG[[OPP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29" s="3" t="str">
        <f ca="1">IF($B29="","",IF(I$7="","",IF($B29=I$7,"-",COUNTIFS(TEAMS_GbG[[TM NAME]:[TM NAME]],$B29,TEAMS_GbG[[OPP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29" s="3" t="str">
        <f ca="1">IF($B29="","",IF(J$7="","",IF($B29=J$7,"-",COUNTIFS(TEAMS_GbG[[TM NAME]:[TM NAME]],$B29,TEAMS_GbG[[OPP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29" s="3" t="str">
        <f ca="1">IF($B29="","",IF(K$7="","",IF($B29=K$7,"-",COUNTIFS(TEAMS_GbG[[TM NAME]:[TM NAME]],$B29,TEAMS_GbG[[OPP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29" s="3" t="str">
        <f ca="1">IF($B29="","",IF(L$7="","",IF($B29=L$7,"-",COUNTIFS(TEAMS_GbG[[TM NAME]:[TM NAME]],$B29,TEAMS_GbG[[OPP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29" s="3" t="str">
        <f ca="1">IF($B29="","",IF(M$7="","",IF($B29=M$7,"-",COUNTIFS(TEAMS_GbG[[TM NAME]:[TM NAME]],$B29,TEAMS_GbG[[OPP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29" s="3" t="str">
        <f ca="1">IF($B29="","",IF(N$7="","",IF($B29=N$7,"-",COUNTIFS(TEAMS_GbG[[TM NAME]:[TM NAME]],$B29,TEAMS_GbG[[OPP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29" s="3" t="str">
        <f ca="1">IF($B29="","",IF(O$7="","",IF($B29=O$7,"-",COUNTIFS(TEAMS_GbG[[TM NAME]:[TM NAME]],$B29,TEAMS_GbG[[OPP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29" s="3" t="str">
        <f ca="1">IF($B29="","",IF(P$7="","",IF($B29=P$7,"-",COUNTIFS(TEAMS_GbG[[TM NAME]:[TM NAME]],$B29,TEAMS_GbG[[OPP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29" s="3" t="str">
        <f ca="1">IF($B29="","",IF(Q$7="","",IF($B29=Q$7,"-",COUNTIFS(TEAMS_GbG[[TM NAME]:[TM NAME]],$B29,TEAMS_GbG[[OPP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29" s="3" t="str">
        <f ca="1">IF($B29="","",IF(R$7="","",IF($B29=R$7,"-",COUNTIFS(TEAMS_GbG[[TM NAME]:[TM NAME]],$B29,TEAMS_GbG[[OPP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29" s="3" t="str">
        <f ca="1">IF($B29="","",IF(S$7="","",IF($B29=S$7,"-",COUNTIFS(TEAMS_GbG[[TM NAME]:[TM NAME]],$B29,TEAMS_GbG[[OPP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29" s="3" t="str">
        <f ca="1">IF($B29="","",IF(T$7="","",IF($B29=T$7,"-",COUNTIFS(TEAMS_GbG[[TM NAME]:[TM NAME]],$B29,TEAMS_GbG[[OPP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29" s="3" t="str">
        <f ca="1">IF($B29="","",IF(U$7="","",IF($B29=U$7,"-",COUNTIFS(TEAMS_GbG[[TM NAME]:[TM NAME]],$B29,TEAMS_GbG[[OPP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29" s="3" t="str">
        <f ca="1">IF($B29="","",IF(V$7="","",IF($B29=V$7,"-",COUNTIFS(TEAMS_GbG[[TM NAME]:[TM NAME]],$B29,TEAMS_GbG[[OPP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29" s="3" t="str">
        <f ca="1">IF($B29="","",IF(W$7="","",IF($B29=W$7,"-",COUNTIFS(TEAMS_GbG[[TM NAME]:[TM NAME]],$B29,TEAMS_GbG[[OPP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29" s="3" t="str">
        <f ca="1">IF($B29="","",IF(X$7="","",IF($B29=X$7,"-",COUNTIFS(TEAMS_GbG[[TM NAME]:[TM NAME]],$B29,TEAMS_GbG[[OPP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29" s="3" t="str">
        <f ca="1">IF($B29="","",IF(Y$7="","",IF($B29=Y$7,"-",COUNTIFS(TEAMS_GbG[[TM NAME]:[TM NAME]],$B29,TEAMS_GbG[[OPP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29" s="3" t="str">
        <f ca="1">IF($B29="","",IF(Z$7="","",IF($B29=Z$7,"-",COUNTIFS(TEAMS_GbG[[TM NAME]:[TM NAME]],$B29,TEAMS_GbG[[OPP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29" s="3" t="str">
        <f ca="1">IF($B29="","",IF(AA$7="","",IF($B29=AA$7,"-",COUNTIFS(TEAMS_GbG[[TM NAME]:[TM NAME]],$B29,TEAMS_GbG[[OPP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29" s="3" t="str">
        <f ca="1">IF($B29="","",IF(AB$7="","",IF($B29=AB$7,"-",COUNTIFS(TEAMS_GbG[[TM NAME]:[TM NAME]],$B29,TEAMS_GbG[[OPP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29" s="3" t="str">
        <f ca="1">IF($B29="","",IF(AC$7="","",IF($B29=AC$7,"-",COUNTIFS(TEAMS_GbG[[TM NAME]:[TM NAME]],$B29,TEAMS_GbG[[OPP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29" s="3" t="str">
        <f ca="1">IF($B29="","",IF(AD$7="","",IF($B29=AD$7,"-",COUNTIFS(TEAMS_GbG[[TM NAME]:[TM NAME]],$B29,TEAMS_GbG[[OPP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29" s="3" t="str">
        <f ca="1">IF($B29="","",IF(AE$7="","",IF($B29=AE$7,"-",COUNTIFS(TEAMS_GbG[[TM NAME]:[TM NAME]],$B29,TEAMS_GbG[[OPP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29" s="3" t="str">
        <f ca="1">IF($B29="","",IF(AF$7="","",IF($B29=AF$7,"-",COUNTIFS(TEAMS_GbG[[TM NAME]:[TM NAME]],$B29,TEAMS_GbG[[OPP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29" s="3" t="str">
        <f ca="1">IF($B29="","",IF(AG$7="","",IF($B29=AG$7,"-",COUNTIFS(TEAMS_GbG[[TM NAME]:[TM NAME]],$B29,TEAMS_GbG[[OPP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29" s="3" t="str">
        <f ca="1">IF($B29="","",IF(AH$7="","",IF($B29=AH$7,"-",COUNTIFS(TEAMS_GbG[[TM NAME]:[TM NAME]],$B29,TEAMS_GbG[[OPP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0" spans="2:34" x14ac:dyDescent="0.25">
      <c r="B30" s="1" t="str">
        <f>BASIS_INFO!F25</f>
        <v/>
      </c>
      <c r="C30" s="3" t="str">
        <f ca="1">IF($B30="","",IF(C$7="","",IF($B30=C$7,"-",COUNTIFS(TEAMS_GbG[[TM NAME]:[TM NAME]],$B30,TEAMS_GbG[[OPP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0" s="3" t="str">
        <f ca="1">IF($B30="","",IF(D$7="","",IF($B30=D$7,"-",COUNTIFS(TEAMS_GbG[[TM NAME]:[TM NAME]],$B30,TEAMS_GbG[[OPP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0" s="3" t="str">
        <f ca="1">IF($B30="","",IF(E$7="","",IF($B30=E$7,"-",COUNTIFS(TEAMS_GbG[[TM NAME]:[TM NAME]],$B30,TEAMS_GbG[[OPP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0" s="3" t="str">
        <f ca="1">IF($B30="","",IF(F$7="","",IF($B30=F$7,"-",COUNTIFS(TEAMS_GbG[[TM NAME]:[TM NAME]],$B30,TEAMS_GbG[[OPP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0" s="3" t="str">
        <f ca="1">IF($B30="","",IF(G$7="","",IF($B30=G$7,"-",COUNTIFS(TEAMS_GbG[[TM NAME]:[TM NAME]],$B30,TEAMS_GbG[[OPP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0" s="3" t="str">
        <f ca="1">IF($B30="","",IF(H$7="","",IF($B30=H$7,"-",COUNTIFS(TEAMS_GbG[[TM NAME]:[TM NAME]],$B30,TEAMS_GbG[[OPP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0" s="3" t="str">
        <f ca="1">IF($B30="","",IF(I$7="","",IF($B30=I$7,"-",COUNTIFS(TEAMS_GbG[[TM NAME]:[TM NAME]],$B30,TEAMS_GbG[[OPP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0" s="3" t="str">
        <f ca="1">IF($B30="","",IF(J$7="","",IF($B30=J$7,"-",COUNTIFS(TEAMS_GbG[[TM NAME]:[TM NAME]],$B30,TEAMS_GbG[[OPP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0" s="3" t="str">
        <f ca="1">IF($B30="","",IF(K$7="","",IF($B30=K$7,"-",COUNTIFS(TEAMS_GbG[[TM NAME]:[TM NAME]],$B30,TEAMS_GbG[[OPP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0" s="3" t="str">
        <f ca="1">IF($B30="","",IF(L$7="","",IF($B30=L$7,"-",COUNTIFS(TEAMS_GbG[[TM NAME]:[TM NAME]],$B30,TEAMS_GbG[[OPP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0" s="3" t="str">
        <f ca="1">IF($B30="","",IF(M$7="","",IF($B30=M$7,"-",COUNTIFS(TEAMS_GbG[[TM NAME]:[TM NAME]],$B30,TEAMS_GbG[[OPP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0" s="3" t="str">
        <f ca="1">IF($B30="","",IF(N$7="","",IF($B30=N$7,"-",COUNTIFS(TEAMS_GbG[[TM NAME]:[TM NAME]],$B30,TEAMS_GbG[[OPP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0" s="3" t="str">
        <f ca="1">IF($B30="","",IF(O$7="","",IF($B30=O$7,"-",COUNTIFS(TEAMS_GbG[[TM NAME]:[TM NAME]],$B30,TEAMS_GbG[[OPP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0" s="3" t="str">
        <f ca="1">IF($B30="","",IF(P$7="","",IF($B30=P$7,"-",COUNTIFS(TEAMS_GbG[[TM NAME]:[TM NAME]],$B30,TEAMS_GbG[[OPP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0" s="3" t="str">
        <f ca="1">IF($B30="","",IF(Q$7="","",IF($B30=Q$7,"-",COUNTIFS(TEAMS_GbG[[TM NAME]:[TM NAME]],$B30,TEAMS_GbG[[OPP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0" s="3" t="str">
        <f ca="1">IF($B30="","",IF(R$7="","",IF($B30=R$7,"-",COUNTIFS(TEAMS_GbG[[TM NAME]:[TM NAME]],$B30,TEAMS_GbG[[OPP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0" s="3" t="str">
        <f ca="1">IF($B30="","",IF(S$7="","",IF($B30=S$7,"-",COUNTIFS(TEAMS_GbG[[TM NAME]:[TM NAME]],$B30,TEAMS_GbG[[OPP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0" s="3" t="str">
        <f ca="1">IF($B30="","",IF(T$7="","",IF($B30=T$7,"-",COUNTIFS(TEAMS_GbG[[TM NAME]:[TM NAME]],$B30,TEAMS_GbG[[OPP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0" s="3" t="str">
        <f ca="1">IF($B30="","",IF(U$7="","",IF($B30=U$7,"-",COUNTIFS(TEAMS_GbG[[TM NAME]:[TM NAME]],$B30,TEAMS_GbG[[OPP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0" s="3" t="str">
        <f ca="1">IF($B30="","",IF(V$7="","",IF($B30=V$7,"-",COUNTIFS(TEAMS_GbG[[TM NAME]:[TM NAME]],$B30,TEAMS_GbG[[OPP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0" s="3" t="str">
        <f ca="1">IF($B30="","",IF(W$7="","",IF($B30=W$7,"-",COUNTIFS(TEAMS_GbG[[TM NAME]:[TM NAME]],$B30,TEAMS_GbG[[OPP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0" s="3" t="str">
        <f ca="1">IF($B30="","",IF(X$7="","",IF($B30=X$7,"-",COUNTIFS(TEAMS_GbG[[TM NAME]:[TM NAME]],$B30,TEAMS_GbG[[OPP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0" s="3" t="str">
        <f ca="1">IF($B30="","",IF(Y$7="","",IF($B30=Y$7,"-",COUNTIFS(TEAMS_GbG[[TM NAME]:[TM NAME]],$B30,TEAMS_GbG[[OPP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0" s="3" t="str">
        <f ca="1">IF($B30="","",IF(Z$7="","",IF($B30=Z$7,"-",COUNTIFS(TEAMS_GbG[[TM NAME]:[TM NAME]],$B30,TEAMS_GbG[[OPP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0" s="3" t="str">
        <f ca="1">IF($B30="","",IF(AA$7="","",IF($B30=AA$7,"-",COUNTIFS(TEAMS_GbG[[TM NAME]:[TM NAME]],$B30,TEAMS_GbG[[OPP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0" s="3" t="str">
        <f ca="1">IF($B30="","",IF(AB$7="","",IF($B30=AB$7,"-",COUNTIFS(TEAMS_GbG[[TM NAME]:[TM NAME]],$B30,TEAMS_GbG[[OPP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0" s="3" t="str">
        <f ca="1">IF($B30="","",IF(AC$7="","",IF($B30=AC$7,"-",COUNTIFS(TEAMS_GbG[[TM NAME]:[TM NAME]],$B30,TEAMS_GbG[[OPP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0" s="3" t="str">
        <f ca="1">IF($B30="","",IF(AD$7="","",IF($B30=AD$7,"-",COUNTIFS(TEAMS_GbG[[TM NAME]:[TM NAME]],$B30,TEAMS_GbG[[OPP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0" s="3" t="str">
        <f ca="1">IF($B30="","",IF(AE$7="","",IF($B30=AE$7,"-",COUNTIFS(TEAMS_GbG[[TM NAME]:[TM NAME]],$B30,TEAMS_GbG[[OPP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0" s="3" t="str">
        <f ca="1">IF($B30="","",IF(AF$7="","",IF($B30=AF$7,"-",COUNTIFS(TEAMS_GbG[[TM NAME]:[TM NAME]],$B30,TEAMS_GbG[[OPP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0" s="3" t="str">
        <f ca="1">IF($B30="","",IF(AG$7="","",IF($B30=AG$7,"-",COUNTIFS(TEAMS_GbG[[TM NAME]:[TM NAME]],$B30,TEAMS_GbG[[OPP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0" s="3" t="str">
        <f ca="1">IF($B30="","",IF(AH$7="","",IF($B30=AH$7,"-",COUNTIFS(TEAMS_GbG[[TM NAME]:[TM NAME]],$B30,TEAMS_GbG[[OPP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1" spans="2:34" x14ac:dyDescent="0.25">
      <c r="B31" s="1" t="str">
        <f>BASIS_INFO!F26</f>
        <v/>
      </c>
      <c r="C31" s="3" t="str">
        <f ca="1">IF($B31="","",IF(C$7="","",IF($B31=C$7,"-",COUNTIFS(TEAMS_GbG[[TM NAME]:[TM NAME]],$B31,TEAMS_GbG[[OPP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1" s="3" t="str">
        <f ca="1">IF($B31="","",IF(D$7="","",IF($B31=D$7,"-",COUNTIFS(TEAMS_GbG[[TM NAME]:[TM NAME]],$B31,TEAMS_GbG[[OPP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1" s="3" t="str">
        <f ca="1">IF($B31="","",IF(E$7="","",IF($B31=E$7,"-",COUNTIFS(TEAMS_GbG[[TM NAME]:[TM NAME]],$B31,TEAMS_GbG[[OPP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1" s="3" t="str">
        <f ca="1">IF($B31="","",IF(F$7="","",IF($B31=F$7,"-",COUNTIFS(TEAMS_GbG[[TM NAME]:[TM NAME]],$B31,TEAMS_GbG[[OPP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1" s="3" t="str">
        <f ca="1">IF($B31="","",IF(G$7="","",IF($B31=G$7,"-",COUNTIFS(TEAMS_GbG[[TM NAME]:[TM NAME]],$B31,TEAMS_GbG[[OPP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1" s="3" t="str">
        <f ca="1">IF($B31="","",IF(H$7="","",IF($B31=H$7,"-",COUNTIFS(TEAMS_GbG[[TM NAME]:[TM NAME]],$B31,TEAMS_GbG[[OPP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1" s="3" t="str">
        <f ca="1">IF($B31="","",IF(I$7="","",IF($B31=I$7,"-",COUNTIFS(TEAMS_GbG[[TM NAME]:[TM NAME]],$B31,TEAMS_GbG[[OPP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1" s="3" t="str">
        <f ca="1">IF($B31="","",IF(J$7="","",IF($B31=J$7,"-",COUNTIFS(TEAMS_GbG[[TM NAME]:[TM NAME]],$B31,TEAMS_GbG[[OPP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1" s="3" t="str">
        <f ca="1">IF($B31="","",IF(K$7="","",IF($B31=K$7,"-",COUNTIFS(TEAMS_GbG[[TM NAME]:[TM NAME]],$B31,TEAMS_GbG[[OPP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1" s="3" t="str">
        <f ca="1">IF($B31="","",IF(L$7="","",IF($B31=L$7,"-",COUNTIFS(TEAMS_GbG[[TM NAME]:[TM NAME]],$B31,TEAMS_GbG[[OPP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1" s="3" t="str">
        <f ca="1">IF($B31="","",IF(M$7="","",IF($B31=M$7,"-",COUNTIFS(TEAMS_GbG[[TM NAME]:[TM NAME]],$B31,TEAMS_GbG[[OPP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1" s="3" t="str">
        <f ca="1">IF($B31="","",IF(N$7="","",IF($B31=N$7,"-",COUNTIFS(TEAMS_GbG[[TM NAME]:[TM NAME]],$B31,TEAMS_GbG[[OPP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1" s="3" t="str">
        <f ca="1">IF($B31="","",IF(O$7="","",IF($B31=O$7,"-",COUNTIFS(TEAMS_GbG[[TM NAME]:[TM NAME]],$B31,TEAMS_GbG[[OPP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1" s="3" t="str">
        <f ca="1">IF($B31="","",IF(P$7="","",IF($B31=P$7,"-",COUNTIFS(TEAMS_GbG[[TM NAME]:[TM NAME]],$B31,TEAMS_GbG[[OPP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1" s="3" t="str">
        <f ca="1">IF($B31="","",IF(Q$7="","",IF($B31=Q$7,"-",COUNTIFS(TEAMS_GbG[[TM NAME]:[TM NAME]],$B31,TEAMS_GbG[[OPP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1" s="3" t="str">
        <f ca="1">IF($B31="","",IF(R$7="","",IF($B31=R$7,"-",COUNTIFS(TEAMS_GbG[[TM NAME]:[TM NAME]],$B31,TEAMS_GbG[[OPP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1" s="3" t="str">
        <f ca="1">IF($B31="","",IF(S$7="","",IF($B31=S$7,"-",COUNTIFS(TEAMS_GbG[[TM NAME]:[TM NAME]],$B31,TEAMS_GbG[[OPP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1" s="3" t="str">
        <f ca="1">IF($B31="","",IF(T$7="","",IF($B31=T$7,"-",COUNTIFS(TEAMS_GbG[[TM NAME]:[TM NAME]],$B31,TEAMS_GbG[[OPP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1" s="3" t="str">
        <f ca="1">IF($B31="","",IF(U$7="","",IF($B31=U$7,"-",COUNTIFS(TEAMS_GbG[[TM NAME]:[TM NAME]],$B31,TEAMS_GbG[[OPP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1" s="3" t="str">
        <f ca="1">IF($B31="","",IF(V$7="","",IF($B31=V$7,"-",COUNTIFS(TEAMS_GbG[[TM NAME]:[TM NAME]],$B31,TEAMS_GbG[[OPP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1" s="3" t="str">
        <f ca="1">IF($B31="","",IF(W$7="","",IF($B31=W$7,"-",COUNTIFS(TEAMS_GbG[[TM NAME]:[TM NAME]],$B31,TEAMS_GbG[[OPP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1" s="3" t="str">
        <f ca="1">IF($B31="","",IF(X$7="","",IF($B31=X$7,"-",COUNTIFS(TEAMS_GbG[[TM NAME]:[TM NAME]],$B31,TEAMS_GbG[[OPP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1" s="3" t="str">
        <f ca="1">IF($B31="","",IF(Y$7="","",IF($B31=Y$7,"-",COUNTIFS(TEAMS_GbG[[TM NAME]:[TM NAME]],$B31,TEAMS_GbG[[OPP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1" s="3" t="str">
        <f ca="1">IF($B31="","",IF(Z$7="","",IF($B31=Z$7,"-",COUNTIFS(TEAMS_GbG[[TM NAME]:[TM NAME]],$B31,TEAMS_GbG[[OPP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1" s="3" t="str">
        <f ca="1">IF($B31="","",IF(AA$7="","",IF($B31=AA$7,"-",COUNTIFS(TEAMS_GbG[[TM NAME]:[TM NAME]],$B31,TEAMS_GbG[[OPP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1" s="3" t="str">
        <f ca="1">IF($B31="","",IF(AB$7="","",IF($B31=AB$7,"-",COUNTIFS(TEAMS_GbG[[TM NAME]:[TM NAME]],$B31,TEAMS_GbG[[OPP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1" s="3" t="str">
        <f ca="1">IF($B31="","",IF(AC$7="","",IF($B31=AC$7,"-",COUNTIFS(TEAMS_GbG[[TM NAME]:[TM NAME]],$B31,TEAMS_GbG[[OPP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1" s="3" t="str">
        <f ca="1">IF($B31="","",IF(AD$7="","",IF($B31=AD$7,"-",COUNTIFS(TEAMS_GbG[[TM NAME]:[TM NAME]],$B31,TEAMS_GbG[[OPP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1" s="3" t="str">
        <f ca="1">IF($B31="","",IF(AE$7="","",IF($B31=AE$7,"-",COUNTIFS(TEAMS_GbG[[TM NAME]:[TM NAME]],$B31,TEAMS_GbG[[OPP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1" s="3" t="str">
        <f ca="1">IF($B31="","",IF(AF$7="","",IF($B31=AF$7,"-",COUNTIFS(TEAMS_GbG[[TM NAME]:[TM NAME]],$B31,TEAMS_GbG[[OPP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1" s="3" t="str">
        <f ca="1">IF($B31="","",IF(AG$7="","",IF($B31=AG$7,"-",COUNTIFS(TEAMS_GbG[[TM NAME]:[TM NAME]],$B31,TEAMS_GbG[[OPP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1" s="3" t="str">
        <f ca="1">IF($B31="","",IF(AH$7="","",IF($B31=AH$7,"-",COUNTIFS(TEAMS_GbG[[TM NAME]:[TM NAME]],$B31,TEAMS_GbG[[OPP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2" spans="2:34" x14ac:dyDescent="0.25">
      <c r="B32" s="1" t="str">
        <f>BASIS_INFO!F27</f>
        <v/>
      </c>
      <c r="C32" s="3" t="str">
        <f ca="1">IF($B32="","",IF(C$7="","",IF($B32=C$7,"-",COUNTIFS(TEAMS_GbG[[TM NAME]:[TM NAME]],$B32,TEAMS_GbG[[OPP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2" s="3" t="str">
        <f ca="1">IF($B32="","",IF(D$7="","",IF($B32=D$7,"-",COUNTIFS(TEAMS_GbG[[TM NAME]:[TM NAME]],$B32,TEAMS_GbG[[OPP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2" s="3" t="str">
        <f ca="1">IF($B32="","",IF(E$7="","",IF($B32=E$7,"-",COUNTIFS(TEAMS_GbG[[TM NAME]:[TM NAME]],$B32,TEAMS_GbG[[OPP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2" s="3" t="str">
        <f ca="1">IF($B32="","",IF(F$7="","",IF($B32=F$7,"-",COUNTIFS(TEAMS_GbG[[TM NAME]:[TM NAME]],$B32,TEAMS_GbG[[OPP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2" s="3" t="str">
        <f ca="1">IF($B32="","",IF(G$7="","",IF($B32=G$7,"-",COUNTIFS(TEAMS_GbG[[TM NAME]:[TM NAME]],$B32,TEAMS_GbG[[OPP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2" s="3" t="str">
        <f ca="1">IF($B32="","",IF(H$7="","",IF($B32=H$7,"-",COUNTIFS(TEAMS_GbG[[TM NAME]:[TM NAME]],$B32,TEAMS_GbG[[OPP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2" s="3" t="str">
        <f ca="1">IF($B32="","",IF(I$7="","",IF($B32=I$7,"-",COUNTIFS(TEAMS_GbG[[TM NAME]:[TM NAME]],$B32,TEAMS_GbG[[OPP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2" s="3" t="str">
        <f ca="1">IF($B32="","",IF(J$7="","",IF($B32=J$7,"-",COUNTIFS(TEAMS_GbG[[TM NAME]:[TM NAME]],$B32,TEAMS_GbG[[OPP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2" s="3" t="str">
        <f ca="1">IF($B32="","",IF(K$7="","",IF($B32=K$7,"-",COUNTIFS(TEAMS_GbG[[TM NAME]:[TM NAME]],$B32,TEAMS_GbG[[OPP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2" s="3" t="str">
        <f ca="1">IF($B32="","",IF(L$7="","",IF($B32=L$7,"-",COUNTIFS(TEAMS_GbG[[TM NAME]:[TM NAME]],$B32,TEAMS_GbG[[OPP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2" s="3" t="str">
        <f ca="1">IF($B32="","",IF(M$7="","",IF($B32=M$7,"-",COUNTIFS(TEAMS_GbG[[TM NAME]:[TM NAME]],$B32,TEAMS_GbG[[OPP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2" s="3" t="str">
        <f ca="1">IF($B32="","",IF(N$7="","",IF($B32=N$7,"-",COUNTIFS(TEAMS_GbG[[TM NAME]:[TM NAME]],$B32,TEAMS_GbG[[OPP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2" s="3" t="str">
        <f ca="1">IF($B32="","",IF(O$7="","",IF($B32=O$7,"-",COUNTIFS(TEAMS_GbG[[TM NAME]:[TM NAME]],$B32,TEAMS_GbG[[OPP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2" s="3" t="str">
        <f ca="1">IF($B32="","",IF(P$7="","",IF($B32=P$7,"-",COUNTIFS(TEAMS_GbG[[TM NAME]:[TM NAME]],$B32,TEAMS_GbG[[OPP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2" s="3" t="str">
        <f ca="1">IF($B32="","",IF(Q$7="","",IF($B32=Q$7,"-",COUNTIFS(TEAMS_GbG[[TM NAME]:[TM NAME]],$B32,TEAMS_GbG[[OPP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2" s="3" t="str">
        <f ca="1">IF($B32="","",IF(R$7="","",IF($B32=R$7,"-",COUNTIFS(TEAMS_GbG[[TM NAME]:[TM NAME]],$B32,TEAMS_GbG[[OPP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2" s="3" t="str">
        <f ca="1">IF($B32="","",IF(S$7="","",IF($B32=S$7,"-",COUNTIFS(TEAMS_GbG[[TM NAME]:[TM NAME]],$B32,TEAMS_GbG[[OPP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2" s="3" t="str">
        <f ca="1">IF($B32="","",IF(T$7="","",IF($B32=T$7,"-",COUNTIFS(TEAMS_GbG[[TM NAME]:[TM NAME]],$B32,TEAMS_GbG[[OPP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2" s="3" t="str">
        <f ca="1">IF($B32="","",IF(U$7="","",IF($B32=U$7,"-",COUNTIFS(TEAMS_GbG[[TM NAME]:[TM NAME]],$B32,TEAMS_GbG[[OPP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2" s="3" t="str">
        <f ca="1">IF($B32="","",IF(V$7="","",IF($B32=V$7,"-",COUNTIFS(TEAMS_GbG[[TM NAME]:[TM NAME]],$B32,TEAMS_GbG[[OPP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2" s="3" t="str">
        <f ca="1">IF($B32="","",IF(W$7="","",IF($B32=W$7,"-",COUNTIFS(TEAMS_GbG[[TM NAME]:[TM NAME]],$B32,TEAMS_GbG[[OPP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2" s="3" t="str">
        <f ca="1">IF($B32="","",IF(X$7="","",IF($B32=X$7,"-",COUNTIFS(TEAMS_GbG[[TM NAME]:[TM NAME]],$B32,TEAMS_GbG[[OPP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2" s="3" t="str">
        <f ca="1">IF($B32="","",IF(Y$7="","",IF($B32=Y$7,"-",COUNTIFS(TEAMS_GbG[[TM NAME]:[TM NAME]],$B32,TEAMS_GbG[[OPP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2" s="3" t="str">
        <f ca="1">IF($B32="","",IF(Z$7="","",IF($B32=Z$7,"-",COUNTIFS(TEAMS_GbG[[TM NAME]:[TM NAME]],$B32,TEAMS_GbG[[OPP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2" s="3" t="str">
        <f ca="1">IF($B32="","",IF(AA$7="","",IF($B32=AA$7,"-",COUNTIFS(TEAMS_GbG[[TM NAME]:[TM NAME]],$B32,TEAMS_GbG[[OPP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2" s="3" t="str">
        <f ca="1">IF($B32="","",IF(AB$7="","",IF($B32=AB$7,"-",COUNTIFS(TEAMS_GbG[[TM NAME]:[TM NAME]],$B32,TEAMS_GbG[[OPP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2" s="3" t="str">
        <f ca="1">IF($B32="","",IF(AC$7="","",IF($B32=AC$7,"-",COUNTIFS(TEAMS_GbG[[TM NAME]:[TM NAME]],$B32,TEAMS_GbG[[OPP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2" s="3" t="str">
        <f ca="1">IF($B32="","",IF(AD$7="","",IF($B32=AD$7,"-",COUNTIFS(TEAMS_GbG[[TM NAME]:[TM NAME]],$B32,TEAMS_GbG[[OPP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2" s="3" t="str">
        <f ca="1">IF($B32="","",IF(AE$7="","",IF($B32=AE$7,"-",COUNTIFS(TEAMS_GbG[[TM NAME]:[TM NAME]],$B32,TEAMS_GbG[[OPP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2" s="3" t="str">
        <f ca="1">IF($B32="","",IF(AF$7="","",IF($B32=AF$7,"-",COUNTIFS(TEAMS_GbG[[TM NAME]:[TM NAME]],$B32,TEAMS_GbG[[OPP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2" s="3" t="str">
        <f ca="1">IF($B32="","",IF(AG$7="","",IF($B32=AG$7,"-",COUNTIFS(TEAMS_GbG[[TM NAME]:[TM NAME]],$B32,TEAMS_GbG[[OPP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2" s="3" t="str">
        <f ca="1">IF($B32="","",IF(AH$7="","",IF($B32=AH$7,"-",COUNTIFS(TEAMS_GbG[[TM NAME]:[TM NAME]],$B32,TEAMS_GbG[[OPP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3" spans="2:35" x14ac:dyDescent="0.25">
      <c r="B33" s="1" t="str">
        <f>BASIS_INFO!F28</f>
        <v/>
      </c>
      <c r="C33" s="3" t="str">
        <f ca="1">IF($B33="","",IF(C$7="","",IF($B33=C$7,"-",COUNTIFS(TEAMS_GbG[[TM NAME]:[TM NAME]],$B33,TEAMS_GbG[[OPP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3" s="3" t="str">
        <f ca="1">IF($B33="","",IF(D$7="","",IF($B33=D$7,"-",COUNTIFS(TEAMS_GbG[[TM NAME]:[TM NAME]],$B33,TEAMS_GbG[[OPP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3" s="3" t="str">
        <f ca="1">IF($B33="","",IF(E$7="","",IF($B33=E$7,"-",COUNTIFS(TEAMS_GbG[[TM NAME]:[TM NAME]],$B33,TEAMS_GbG[[OPP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3" s="3" t="str">
        <f ca="1">IF($B33="","",IF(F$7="","",IF($B33=F$7,"-",COUNTIFS(TEAMS_GbG[[TM NAME]:[TM NAME]],$B33,TEAMS_GbG[[OPP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3" s="3" t="str">
        <f ca="1">IF($B33="","",IF(G$7="","",IF($B33=G$7,"-",COUNTIFS(TEAMS_GbG[[TM NAME]:[TM NAME]],$B33,TEAMS_GbG[[OPP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3" s="3" t="str">
        <f ca="1">IF($B33="","",IF(H$7="","",IF($B33=H$7,"-",COUNTIFS(TEAMS_GbG[[TM NAME]:[TM NAME]],$B33,TEAMS_GbG[[OPP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3" s="3" t="str">
        <f ca="1">IF($B33="","",IF(I$7="","",IF($B33=I$7,"-",COUNTIFS(TEAMS_GbG[[TM NAME]:[TM NAME]],$B33,TEAMS_GbG[[OPP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3" s="3" t="str">
        <f ca="1">IF($B33="","",IF(J$7="","",IF($B33=J$7,"-",COUNTIFS(TEAMS_GbG[[TM NAME]:[TM NAME]],$B33,TEAMS_GbG[[OPP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3" s="3" t="str">
        <f ca="1">IF($B33="","",IF(K$7="","",IF($B33=K$7,"-",COUNTIFS(TEAMS_GbG[[TM NAME]:[TM NAME]],$B33,TEAMS_GbG[[OPP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3" s="3" t="str">
        <f ca="1">IF($B33="","",IF(L$7="","",IF($B33=L$7,"-",COUNTIFS(TEAMS_GbG[[TM NAME]:[TM NAME]],$B33,TEAMS_GbG[[OPP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3" s="3" t="str">
        <f ca="1">IF($B33="","",IF(M$7="","",IF($B33=M$7,"-",COUNTIFS(TEAMS_GbG[[TM NAME]:[TM NAME]],$B33,TEAMS_GbG[[OPP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3" s="3" t="str">
        <f ca="1">IF($B33="","",IF(N$7="","",IF($B33=N$7,"-",COUNTIFS(TEAMS_GbG[[TM NAME]:[TM NAME]],$B33,TEAMS_GbG[[OPP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3" s="3" t="str">
        <f ca="1">IF($B33="","",IF(O$7="","",IF($B33=O$7,"-",COUNTIFS(TEAMS_GbG[[TM NAME]:[TM NAME]],$B33,TEAMS_GbG[[OPP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3" s="3" t="str">
        <f ca="1">IF($B33="","",IF(P$7="","",IF($B33=P$7,"-",COUNTIFS(TEAMS_GbG[[TM NAME]:[TM NAME]],$B33,TEAMS_GbG[[OPP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3" s="3" t="str">
        <f ca="1">IF($B33="","",IF(Q$7="","",IF($B33=Q$7,"-",COUNTIFS(TEAMS_GbG[[TM NAME]:[TM NAME]],$B33,TEAMS_GbG[[OPP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3" s="3" t="str">
        <f ca="1">IF($B33="","",IF(R$7="","",IF($B33=R$7,"-",COUNTIFS(TEAMS_GbG[[TM NAME]:[TM NAME]],$B33,TEAMS_GbG[[OPP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3" s="3" t="str">
        <f ca="1">IF($B33="","",IF(S$7="","",IF($B33=S$7,"-",COUNTIFS(TEAMS_GbG[[TM NAME]:[TM NAME]],$B33,TEAMS_GbG[[OPP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3" s="3" t="str">
        <f ca="1">IF($B33="","",IF(T$7="","",IF($B33=T$7,"-",COUNTIFS(TEAMS_GbG[[TM NAME]:[TM NAME]],$B33,TEAMS_GbG[[OPP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3" s="3" t="str">
        <f ca="1">IF($B33="","",IF(U$7="","",IF($B33=U$7,"-",COUNTIFS(TEAMS_GbG[[TM NAME]:[TM NAME]],$B33,TEAMS_GbG[[OPP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3" s="3" t="str">
        <f ca="1">IF($B33="","",IF(V$7="","",IF($B33=V$7,"-",COUNTIFS(TEAMS_GbG[[TM NAME]:[TM NAME]],$B33,TEAMS_GbG[[OPP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3" s="3" t="str">
        <f ca="1">IF($B33="","",IF(W$7="","",IF($B33=W$7,"-",COUNTIFS(TEAMS_GbG[[TM NAME]:[TM NAME]],$B33,TEAMS_GbG[[OPP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3" s="3" t="str">
        <f ca="1">IF($B33="","",IF(X$7="","",IF($B33=X$7,"-",COUNTIFS(TEAMS_GbG[[TM NAME]:[TM NAME]],$B33,TEAMS_GbG[[OPP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3" s="3" t="str">
        <f ca="1">IF($B33="","",IF(Y$7="","",IF($B33=Y$7,"-",COUNTIFS(TEAMS_GbG[[TM NAME]:[TM NAME]],$B33,TEAMS_GbG[[OPP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3" s="3" t="str">
        <f ca="1">IF($B33="","",IF(Z$7="","",IF($B33=Z$7,"-",COUNTIFS(TEAMS_GbG[[TM NAME]:[TM NAME]],$B33,TEAMS_GbG[[OPP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3" s="3" t="str">
        <f ca="1">IF($B33="","",IF(AA$7="","",IF($B33=AA$7,"-",COUNTIFS(TEAMS_GbG[[TM NAME]:[TM NAME]],$B33,TEAMS_GbG[[OPP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3" s="3" t="str">
        <f ca="1">IF($B33="","",IF(AB$7="","",IF($B33=AB$7,"-",COUNTIFS(TEAMS_GbG[[TM NAME]:[TM NAME]],$B33,TEAMS_GbG[[OPP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3" s="3" t="str">
        <f ca="1">IF($B33="","",IF(AC$7="","",IF($B33=AC$7,"-",COUNTIFS(TEAMS_GbG[[TM NAME]:[TM NAME]],$B33,TEAMS_GbG[[OPP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3" s="3" t="str">
        <f ca="1">IF($B33="","",IF(AD$7="","",IF($B33=AD$7,"-",COUNTIFS(TEAMS_GbG[[TM NAME]:[TM NAME]],$B33,TEAMS_GbG[[OPP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3" s="3" t="str">
        <f ca="1">IF($B33="","",IF(AE$7="","",IF($B33=AE$7,"-",COUNTIFS(TEAMS_GbG[[TM NAME]:[TM NAME]],$B33,TEAMS_GbG[[OPP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3" s="3" t="str">
        <f ca="1">IF($B33="","",IF(AF$7="","",IF($B33=AF$7,"-",COUNTIFS(TEAMS_GbG[[TM NAME]:[TM NAME]],$B33,TEAMS_GbG[[OPP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3" s="3" t="str">
        <f ca="1">IF($B33="","",IF(AG$7="","",IF($B33=AG$7,"-",COUNTIFS(TEAMS_GbG[[TM NAME]:[TM NAME]],$B33,TEAMS_GbG[[OPP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3" s="3" t="str">
        <f ca="1">IF($B33="","",IF(AH$7="","",IF($B33=AH$7,"-",COUNTIFS(TEAMS_GbG[[TM NAME]:[TM NAME]],$B33,TEAMS_GbG[[OPP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4" spans="2:35" x14ac:dyDescent="0.25">
      <c r="B34" s="1" t="str">
        <f>BASIS_INFO!F29</f>
        <v/>
      </c>
      <c r="C34" s="3" t="str">
        <f ca="1">IF($B34="","",IF(C$7="","",IF($B34=C$7,"-",COUNTIFS(TEAMS_GbG[[TM NAME]:[TM NAME]],$B34,TEAMS_GbG[[OPP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4" s="3" t="str">
        <f ca="1">IF($B34="","",IF(D$7="","",IF($B34=D$7,"-",COUNTIFS(TEAMS_GbG[[TM NAME]:[TM NAME]],$B34,TEAMS_GbG[[OPP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4" s="3" t="str">
        <f ca="1">IF($B34="","",IF(E$7="","",IF($B34=E$7,"-",COUNTIFS(TEAMS_GbG[[TM NAME]:[TM NAME]],$B34,TEAMS_GbG[[OPP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4" s="3" t="str">
        <f ca="1">IF($B34="","",IF(F$7="","",IF($B34=F$7,"-",COUNTIFS(TEAMS_GbG[[TM NAME]:[TM NAME]],$B34,TEAMS_GbG[[OPP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4" s="3" t="str">
        <f ca="1">IF($B34="","",IF(G$7="","",IF($B34=G$7,"-",COUNTIFS(TEAMS_GbG[[TM NAME]:[TM NAME]],$B34,TEAMS_GbG[[OPP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4" s="3" t="str">
        <f ca="1">IF($B34="","",IF(H$7="","",IF($B34=H$7,"-",COUNTIFS(TEAMS_GbG[[TM NAME]:[TM NAME]],$B34,TEAMS_GbG[[OPP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4" s="3" t="str">
        <f ca="1">IF($B34="","",IF(I$7="","",IF($B34=I$7,"-",COUNTIFS(TEAMS_GbG[[TM NAME]:[TM NAME]],$B34,TEAMS_GbG[[OPP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4" s="3" t="str">
        <f ca="1">IF($B34="","",IF(J$7="","",IF($B34=J$7,"-",COUNTIFS(TEAMS_GbG[[TM NAME]:[TM NAME]],$B34,TEAMS_GbG[[OPP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4" s="3" t="str">
        <f ca="1">IF($B34="","",IF(K$7="","",IF($B34=K$7,"-",COUNTIFS(TEAMS_GbG[[TM NAME]:[TM NAME]],$B34,TEAMS_GbG[[OPP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4" s="3" t="str">
        <f ca="1">IF($B34="","",IF(L$7="","",IF($B34=L$7,"-",COUNTIFS(TEAMS_GbG[[TM NAME]:[TM NAME]],$B34,TEAMS_GbG[[OPP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4" s="3" t="str">
        <f ca="1">IF($B34="","",IF(M$7="","",IF($B34=M$7,"-",COUNTIFS(TEAMS_GbG[[TM NAME]:[TM NAME]],$B34,TEAMS_GbG[[OPP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4" s="3" t="str">
        <f ca="1">IF($B34="","",IF(N$7="","",IF($B34=N$7,"-",COUNTIFS(TEAMS_GbG[[TM NAME]:[TM NAME]],$B34,TEAMS_GbG[[OPP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4" s="3" t="str">
        <f ca="1">IF($B34="","",IF(O$7="","",IF($B34=O$7,"-",COUNTIFS(TEAMS_GbG[[TM NAME]:[TM NAME]],$B34,TEAMS_GbG[[OPP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4" s="3" t="str">
        <f ca="1">IF($B34="","",IF(P$7="","",IF($B34=P$7,"-",COUNTIFS(TEAMS_GbG[[TM NAME]:[TM NAME]],$B34,TEAMS_GbG[[OPP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4" s="3" t="str">
        <f ca="1">IF($B34="","",IF(Q$7="","",IF($B34=Q$7,"-",COUNTIFS(TEAMS_GbG[[TM NAME]:[TM NAME]],$B34,TEAMS_GbG[[OPP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4" s="3" t="str">
        <f ca="1">IF($B34="","",IF(R$7="","",IF($B34=R$7,"-",COUNTIFS(TEAMS_GbG[[TM NAME]:[TM NAME]],$B34,TEAMS_GbG[[OPP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4" s="3" t="str">
        <f ca="1">IF($B34="","",IF(S$7="","",IF($B34=S$7,"-",COUNTIFS(TEAMS_GbG[[TM NAME]:[TM NAME]],$B34,TEAMS_GbG[[OPP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4" s="3" t="str">
        <f ca="1">IF($B34="","",IF(T$7="","",IF($B34=T$7,"-",COUNTIFS(TEAMS_GbG[[TM NAME]:[TM NAME]],$B34,TEAMS_GbG[[OPP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4" s="3" t="str">
        <f ca="1">IF($B34="","",IF(U$7="","",IF($B34=U$7,"-",COUNTIFS(TEAMS_GbG[[TM NAME]:[TM NAME]],$B34,TEAMS_GbG[[OPP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4" s="3" t="str">
        <f ca="1">IF($B34="","",IF(V$7="","",IF($B34=V$7,"-",COUNTIFS(TEAMS_GbG[[TM NAME]:[TM NAME]],$B34,TEAMS_GbG[[OPP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4" s="3" t="str">
        <f ca="1">IF($B34="","",IF(W$7="","",IF($B34=W$7,"-",COUNTIFS(TEAMS_GbG[[TM NAME]:[TM NAME]],$B34,TEAMS_GbG[[OPP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4" s="3" t="str">
        <f ca="1">IF($B34="","",IF(X$7="","",IF($B34=X$7,"-",COUNTIFS(TEAMS_GbG[[TM NAME]:[TM NAME]],$B34,TEAMS_GbG[[OPP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4" s="3" t="str">
        <f ca="1">IF($B34="","",IF(Y$7="","",IF($B34=Y$7,"-",COUNTIFS(TEAMS_GbG[[TM NAME]:[TM NAME]],$B34,TEAMS_GbG[[OPP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4" s="3" t="str">
        <f ca="1">IF($B34="","",IF(Z$7="","",IF($B34=Z$7,"-",COUNTIFS(TEAMS_GbG[[TM NAME]:[TM NAME]],$B34,TEAMS_GbG[[OPP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4" s="3" t="str">
        <f ca="1">IF($B34="","",IF(AA$7="","",IF($B34=AA$7,"-",COUNTIFS(TEAMS_GbG[[TM NAME]:[TM NAME]],$B34,TEAMS_GbG[[OPP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4" s="3" t="str">
        <f ca="1">IF($B34="","",IF(AB$7="","",IF($B34=AB$7,"-",COUNTIFS(TEAMS_GbG[[TM NAME]:[TM NAME]],$B34,TEAMS_GbG[[OPP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4" s="3" t="str">
        <f ca="1">IF($B34="","",IF(AC$7="","",IF($B34=AC$7,"-",COUNTIFS(TEAMS_GbG[[TM NAME]:[TM NAME]],$B34,TEAMS_GbG[[OPP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4" s="3" t="str">
        <f ca="1">IF($B34="","",IF(AD$7="","",IF($B34=AD$7,"-",COUNTIFS(TEAMS_GbG[[TM NAME]:[TM NAME]],$B34,TEAMS_GbG[[OPP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4" s="3" t="str">
        <f ca="1">IF($B34="","",IF(AE$7="","",IF($B34=AE$7,"-",COUNTIFS(TEAMS_GbG[[TM NAME]:[TM NAME]],$B34,TEAMS_GbG[[OPP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4" s="3" t="str">
        <f ca="1">IF($B34="","",IF(AF$7="","",IF($B34=AF$7,"-",COUNTIFS(TEAMS_GbG[[TM NAME]:[TM NAME]],$B34,TEAMS_GbG[[OPP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4" s="3" t="str">
        <f ca="1">IF($B34="","",IF(AG$7="","",IF($B34=AG$7,"-",COUNTIFS(TEAMS_GbG[[TM NAME]:[TM NAME]],$B34,TEAMS_GbG[[OPP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4" s="3" t="str">
        <f ca="1">IF($B34="","",IF(AH$7="","",IF($B34=AH$7,"-",COUNTIFS(TEAMS_GbG[[TM NAME]:[TM NAME]],$B34,TEAMS_GbG[[OPP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5" spans="2:35" x14ac:dyDescent="0.25">
      <c r="B35" s="1" t="str">
        <f>BASIS_INFO!F30</f>
        <v/>
      </c>
      <c r="C35" s="3" t="str">
        <f ca="1">IF($B35="","",IF(C$7="","",IF($B35=C$7,"-",COUNTIFS(TEAMS_GbG[[TM NAME]:[TM NAME]],$B35,TEAMS_GbG[[OPP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5" s="3" t="str">
        <f ca="1">IF($B35="","",IF(D$7="","",IF($B35=D$7,"-",COUNTIFS(TEAMS_GbG[[TM NAME]:[TM NAME]],$B35,TEAMS_GbG[[OPP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5" s="3" t="str">
        <f ca="1">IF($B35="","",IF(E$7="","",IF($B35=E$7,"-",COUNTIFS(TEAMS_GbG[[TM NAME]:[TM NAME]],$B35,TEAMS_GbG[[OPP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5" s="3" t="str">
        <f ca="1">IF($B35="","",IF(F$7="","",IF($B35=F$7,"-",COUNTIFS(TEAMS_GbG[[TM NAME]:[TM NAME]],$B35,TEAMS_GbG[[OPP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5" s="3" t="str">
        <f ca="1">IF($B35="","",IF(G$7="","",IF($B35=G$7,"-",COUNTIFS(TEAMS_GbG[[TM NAME]:[TM NAME]],$B35,TEAMS_GbG[[OPP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5" s="3" t="str">
        <f ca="1">IF($B35="","",IF(H$7="","",IF($B35=H$7,"-",COUNTIFS(TEAMS_GbG[[TM NAME]:[TM NAME]],$B35,TEAMS_GbG[[OPP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5" s="3" t="str">
        <f ca="1">IF($B35="","",IF(I$7="","",IF($B35=I$7,"-",COUNTIFS(TEAMS_GbG[[TM NAME]:[TM NAME]],$B35,TEAMS_GbG[[OPP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5" s="3" t="str">
        <f ca="1">IF($B35="","",IF(J$7="","",IF($B35=J$7,"-",COUNTIFS(TEAMS_GbG[[TM NAME]:[TM NAME]],$B35,TEAMS_GbG[[OPP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5" s="3" t="str">
        <f ca="1">IF($B35="","",IF(K$7="","",IF($B35=K$7,"-",COUNTIFS(TEAMS_GbG[[TM NAME]:[TM NAME]],$B35,TEAMS_GbG[[OPP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5" s="3" t="str">
        <f ca="1">IF($B35="","",IF(L$7="","",IF($B35=L$7,"-",COUNTIFS(TEAMS_GbG[[TM NAME]:[TM NAME]],$B35,TEAMS_GbG[[OPP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5" s="3" t="str">
        <f ca="1">IF($B35="","",IF(M$7="","",IF($B35=M$7,"-",COUNTIFS(TEAMS_GbG[[TM NAME]:[TM NAME]],$B35,TEAMS_GbG[[OPP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5" s="3" t="str">
        <f ca="1">IF($B35="","",IF(N$7="","",IF($B35=N$7,"-",COUNTIFS(TEAMS_GbG[[TM NAME]:[TM NAME]],$B35,TEAMS_GbG[[OPP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5" s="3" t="str">
        <f ca="1">IF($B35="","",IF(O$7="","",IF($B35=O$7,"-",COUNTIFS(TEAMS_GbG[[TM NAME]:[TM NAME]],$B35,TEAMS_GbG[[OPP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5" s="3" t="str">
        <f ca="1">IF($B35="","",IF(P$7="","",IF($B35=P$7,"-",COUNTIFS(TEAMS_GbG[[TM NAME]:[TM NAME]],$B35,TEAMS_GbG[[OPP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5" s="3" t="str">
        <f ca="1">IF($B35="","",IF(Q$7="","",IF($B35=Q$7,"-",COUNTIFS(TEAMS_GbG[[TM NAME]:[TM NAME]],$B35,TEAMS_GbG[[OPP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5" s="3" t="str">
        <f ca="1">IF($B35="","",IF(R$7="","",IF($B35=R$7,"-",COUNTIFS(TEAMS_GbG[[TM NAME]:[TM NAME]],$B35,TEAMS_GbG[[OPP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5" s="3" t="str">
        <f ca="1">IF($B35="","",IF(S$7="","",IF($B35=S$7,"-",COUNTIFS(TEAMS_GbG[[TM NAME]:[TM NAME]],$B35,TEAMS_GbG[[OPP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5" s="3" t="str">
        <f ca="1">IF($B35="","",IF(T$7="","",IF($B35=T$7,"-",COUNTIFS(TEAMS_GbG[[TM NAME]:[TM NAME]],$B35,TEAMS_GbG[[OPP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5" s="3" t="str">
        <f ca="1">IF($B35="","",IF(U$7="","",IF($B35=U$7,"-",COUNTIFS(TEAMS_GbG[[TM NAME]:[TM NAME]],$B35,TEAMS_GbG[[OPP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5" s="3" t="str">
        <f ca="1">IF($B35="","",IF(V$7="","",IF($B35=V$7,"-",COUNTIFS(TEAMS_GbG[[TM NAME]:[TM NAME]],$B35,TEAMS_GbG[[OPP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5" s="3" t="str">
        <f ca="1">IF($B35="","",IF(W$7="","",IF($B35=W$7,"-",COUNTIFS(TEAMS_GbG[[TM NAME]:[TM NAME]],$B35,TEAMS_GbG[[OPP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5" s="3" t="str">
        <f ca="1">IF($B35="","",IF(X$7="","",IF($B35=X$7,"-",COUNTIFS(TEAMS_GbG[[TM NAME]:[TM NAME]],$B35,TEAMS_GbG[[OPP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5" s="3" t="str">
        <f ca="1">IF($B35="","",IF(Y$7="","",IF($B35=Y$7,"-",COUNTIFS(TEAMS_GbG[[TM NAME]:[TM NAME]],$B35,TEAMS_GbG[[OPP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5" s="3" t="str">
        <f ca="1">IF($B35="","",IF(Z$7="","",IF($B35=Z$7,"-",COUNTIFS(TEAMS_GbG[[TM NAME]:[TM NAME]],$B35,TEAMS_GbG[[OPP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5" s="3" t="str">
        <f ca="1">IF($B35="","",IF(AA$7="","",IF($B35=AA$7,"-",COUNTIFS(TEAMS_GbG[[TM NAME]:[TM NAME]],$B35,TEAMS_GbG[[OPP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5" s="3" t="str">
        <f ca="1">IF($B35="","",IF(AB$7="","",IF($B35=AB$7,"-",COUNTIFS(TEAMS_GbG[[TM NAME]:[TM NAME]],$B35,TEAMS_GbG[[OPP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5" s="3" t="str">
        <f ca="1">IF($B35="","",IF(AC$7="","",IF($B35=AC$7,"-",COUNTIFS(TEAMS_GbG[[TM NAME]:[TM NAME]],$B35,TEAMS_GbG[[OPP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5" s="3" t="str">
        <f ca="1">IF($B35="","",IF(AD$7="","",IF($B35=AD$7,"-",COUNTIFS(TEAMS_GbG[[TM NAME]:[TM NAME]],$B35,TEAMS_GbG[[OPP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5" s="3" t="str">
        <f ca="1">IF($B35="","",IF(AE$7="","",IF($B35=AE$7,"-",COUNTIFS(TEAMS_GbG[[TM NAME]:[TM NAME]],$B35,TEAMS_GbG[[OPP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5" s="3" t="str">
        <f ca="1">IF($B35="","",IF(AF$7="","",IF($B35=AF$7,"-",COUNTIFS(TEAMS_GbG[[TM NAME]:[TM NAME]],$B35,TEAMS_GbG[[OPP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5" s="3" t="str">
        <f ca="1">IF($B35="","",IF(AG$7="","",IF($B35=AG$7,"-",COUNTIFS(TEAMS_GbG[[TM NAME]:[TM NAME]],$B35,TEAMS_GbG[[OPP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5" s="3" t="str">
        <f ca="1">IF($B35="","",IF(AH$7="","",IF($B35=AH$7,"-",COUNTIFS(TEAMS_GbG[[TM NAME]:[TM NAME]],$B35,TEAMS_GbG[[OPP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6" spans="2:35" x14ac:dyDescent="0.25">
      <c r="B36" s="1" t="str">
        <f>BASIS_INFO!F31</f>
        <v/>
      </c>
      <c r="C36" s="3" t="str">
        <f ca="1">IF($B36="","",IF(C$7="","",IF($B36=C$7,"-",COUNTIFS(TEAMS_GbG[[TM NAME]:[TM NAME]],$B36,TEAMS_GbG[[OPP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6" s="3" t="str">
        <f ca="1">IF($B36="","",IF(D$7="","",IF($B36=D$7,"-",COUNTIFS(TEAMS_GbG[[TM NAME]:[TM NAME]],$B36,TEAMS_GbG[[OPP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6" s="3" t="str">
        <f ca="1">IF($B36="","",IF(E$7="","",IF($B36=E$7,"-",COUNTIFS(TEAMS_GbG[[TM NAME]:[TM NAME]],$B36,TEAMS_GbG[[OPP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6" s="3" t="str">
        <f ca="1">IF($B36="","",IF(F$7="","",IF($B36=F$7,"-",COUNTIFS(TEAMS_GbG[[TM NAME]:[TM NAME]],$B36,TEAMS_GbG[[OPP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6" s="3" t="str">
        <f ca="1">IF($B36="","",IF(G$7="","",IF($B36=G$7,"-",COUNTIFS(TEAMS_GbG[[TM NAME]:[TM NAME]],$B36,TEAMS_GbG[[OPP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6" s="3" t="str">
        <f ca="1">IF($B36="","",IF(H$7="","",IF($B36=H$7,"-",COUNTIFS(TEAMS_GbG[[TM NAME]:[TM NAME]],$B36,TEAMS_GbG[[OPP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6" s="3" t="str">
        <f ca="1">IF($B36="","",IF(I$7="","",IF($B36=I$7,"-",COUNTIFS(TEAMS_GbG[[TM NAME]:[TM NAME]],$B36,TEAMS_GbG[[OPP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6" s="3" t="str">
        <f ca="1">IF($B36="","",IF(J$7="","",IF($B36=J$7,"-",COUNTIFS(TEAMS_GbG[[TM NAME]:[TM NAME]],$B36,TEAMS_GbG[[OPP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6" s="3" t="str">
        <f ca="1">IF($B36="","",IF(K$7="","",IF($B36=K$7,"-",COUNTIFS(TEAMS_GbG[[TM NAME]:[TM NAME]],$B36,TEAMS_GbG[[OPP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6" s="3" t="str">
        <f ca="1">IF($B36="","",IF(L$7="","",IF($B36=L$7,"-",COUNTIFS(TEAMS_GbG[[TM NAME]:[TM NAME]],$B36,TEAMS_GbG[[OPP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6" s="3" t="str">
        <f ca="1">IF($B36="","",IF(M$7="","",IF($B36=M$7,"-",COUNTIFS(TEAMS_GbG[[TM NAME]:[TM NAME]],$B36,TEAMS_GbG[[OPP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6" s="3" t="str">
        <f ca="1">IF($B36="","",IF(N$7="","",IF($B36=N$7,"-",COUNTIFS(TEAMS_GbG[[TM NAME]:[TM NAME]],$B36,TEAMS_GbG[[OPP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6" s="3" t="str">
        <f ca="1">IF($B36="","",IF(O$7="","",IF($B36=O$7,"-",COUNTIFS(TEAMS_GbG[[TM NAME]:[TM NAME]],$B36,TEAMS_GbG[[OPP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6" s="3" t="str">
        <f ca="1">IF($B36="","",IF(P$7="","",IF($B36=P$7,"-",COUNTIFS(TEAMS_GbG[[TM NAME]:[TM NAME]],$B36,TEAMS_GbG[[OPP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6" s="3" t="str">
        <f ca="1">IF($B36="","",IF(Q$7="","",IF($B36=Q$7,"-",COUNTIFS(TEAMS_GbG[[TM NAME]:[TM NAME]],$B36,TEAMS_GbG[[OPP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6" s="3" t="str">
        <f ca="1">IF($B36="","",IF(R$7="","",IF($B36=R$7,"-",COUNTIFS(TEAMS_GbG[[TM NAME]:[TM NAME]],$B36,TEAMS_GbG[[OPP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6" s="3" t="str">
        <f ca="1">IF($B36="","",IF(S$7="","",IF($B36=S$7,"-",COUNTIFS(TEAMS_GbG[[TM NAME]:[TM NAME]],$B36,TEAMS_GbG[[OPP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6" s="3" t="str">
        <f ca="1">IF($B36="","",IF(T$7="","",IF($B36=T$7,"-",COUNTIFS(TEAMS_GbG[[TM NAME]:[TM NAME]],$B36,TEAMS_GbG[[OPP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6" s="3" t="str">
        <f ca="1">IF($B36="","",IF(U$7="","",IF($B36=U$7,"-",COUNTIFS(TEAMS_GbG[[TM NAME]:[TM NAME]],$B36,TEAMS_GbG[[OPP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6" s="3" t="str">
        <f ca="1">IF($B36="","",IF(V$7="","",IF($B36=V$7,"-",COUNTIFS(TEAMS_GbG[[TM NAME]:[TM NAME]],$B36,TEAMS_GbG[[OPP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6" s="3" t="str">
        <f ca="1">IF($B36="","",IF(W$7="","",IF($B36=W$7,"-",COUNTIFS(TEAMS_GbG[[TM NAME]:[TM NAME]],$B36,TEAMS_GbG[[OPP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6" s="3" t="str">
        <f ca="1">IF($B36="","",IF(X$7="","",IF($B36=X$7,"-",COUNTIFS(TEAMS_GbG[[TM NAME]:[TM NAME]],$B36,TEAMS_GbG[[OPP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6" s="3" t="str">
        <f ca="1">IF($B36="","",IF(Y$7="","",IF($B36=Y$7,"-",COUNTIFS(TEAMS_GbG[[TM NAME]:[TM NAME]],$B36,TEAMS_GbG[[OPP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6" s="3" t="str">
        <f ca="1">IF($B36="","",IF(Z$7="","",IF($B36=Z$7,"-",COUNTIFS(TEAMS_GbG[[TM NAME]:[TM NAME]],$B36,TEAMS_GbG[[OPP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6" s="3" t="str">
        <f ca="1">IF($B36="","",IF(AA$7="","",IF($B36=AA$7,"-",COUNTIFS(TEAMS_GbG[[TM NAME]:[TM NAME]],$B36,TEAMS_GbG[[OPP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6" s="3" t="str">
        <f ca="1">IF($B36="","",IF(AB$7="","",IF($B36=AB$7,"-",COUNTIFS(TEAMS_GbG[[TM NAME]:[TM NAME]],$B36,TEAMS_GbG[[OPP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6" s="3" t="str">
        <f ca="1">IF($B36="","",IF(AC$7="","",IF($B36=AC$7,"-",COUNTIFS(TEAMS_GbG[[TM NAME]:[TM NAME]],$B36,TEAMS_GbG[[OPP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6" s="3" t="str">
        <f ca="1">IF($B36="","",IF(AD$7="","",IF($B36=AD$7,"-",COUNTIFS(TEAMS_GbG[[TM NAME]:[TM NAME]],$B36,TEAMS_GbG[[OPP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6" s="3" t="str">
        <f ca="1">IF($B36="","",IF(AE$7="","",IF($B36=AE$7,"-",COUNTIFS(TEAMS_GbG[[TM NAME]:[TM NAME]],$B36,TEAMS_GbG[[OPP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6" s="3" t="str">
        <f ca="1">IF($B36="","",IF(AF$7="","",IF($B36=AF$7,"-",COUNTIFS(TEAMS_GbG[[TM NAME]:[TM NAME]],$B36,TEAMS_GbG[[OPP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6" s="3" t="str">
        <f ca="1">IF($B36="","",IF(AG$7="","",IF($B36=AG$7,"-",COUNTIFS(TEAMS_GbG[[TM NAME]:[TM NAME]],$B36,TEAMS_GbG[[OPP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6" s="3" t="str">
        <f ca="1">IF($B36="","",IF(AH$7="","",IF($B36=AH$7,"-",COUNTIFS(TEAMS_GbG[[TM NAME]:[TM NAME]],$B36,TEAMS_GbG[[OPP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7" spans="2:35" x14ac:dyDescent="0.25">
      <c r="B37" s="1" t="str">
        <f>BASIS_INFO!F32</f>
        <v/>
      </c>
      <c r="C37" s="3" t="str">
        <f ca="1">IF($B37="","",IF(C$7="","",IF($B37=C$7,"-",COUNTIFS(TEAMS_GbG[[TM NAME]:[TM NAME]],$B37,TEAMS_GbG[[OPP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7" s="3" t="str">
        <f ca="1">IF($B37="","",IF(D$7="","",IF($B37=D$7,"-",COUNTIFS(TEAMS_GbG[[TM NAME]:[TM NAME]],$B37,TEAMS_GbG[[OPP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7" s="3" t="str">
        <f ca="1">IF($B37="","",IF(E$7="","",IF($B37=E$7,"-",COUNTIFS(TEAMS_GbG[[TM NAME]:[TM NAME]],$B37,TEAMS_GbG[[OPP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7" s="3" t="str">
        <f ca="1">IF($B37="","",IF(F$7="","",IF($B37=F$7,"-",COUNTIFS(TEAMS_GbG[[TM NAME]:[TM NAME]],$B37,TEAMS_GbG[[OPP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7" s="3" t="str">
        <f ca="1">IF($B37="","",IF(G$7="","",IF($B37=G$7,"-",COUNTIFS(TEAMS_GbG[[TM NAME]:[TM NAME]],$B37,TEAMS_GbG[[OPP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7" s="3" t="str">
        <f ca="1">IF($B37="","",IF(H$7="","",IF($B37=H$7,"-",COUNTIFS(TEAMS_GbG[[TM NAME]:[TM NAME]],$B37,TEAMS_GbG[[OPP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7" s="3" t="str">
        <f ca="1">IF($B37="","",IF(I$7="","",IF($B37=I$7,"-",COUNTIFS(TEAMS_GbG[[TM NAME]:[TM NAME]],$B37,TEAMS_GbG[[OPP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7" s="3" t="str">
        <f ca="1">IF($B37="","",IF(J$7="","",IF($B37=J$7,"-",COUNTIFS(TEAMS_GbG[[TM NAME]:[TM NAME]],$B37,TEAMS_GbG[[OPP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7" s="3" t="str">
        <f ca="1">IF($B37="","",IF(K$7="","",IF($B37=K$7,"-",COUNTIFS(TEAMS_GbG[[TM NAME]:[TM NAME]],$B37,TEAMS_GbG[[OPP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7" s="3" t="str">
        <f ca="1">IF($B37="","",IF(L$7="","",IF($B37=L$7,"-",COUNTIFS(TEAMS_GbG[[TM NAME]:[TM NAME]],$B37,TEAMS_GbG[[OPP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7" s="3" t="str">
        <f ca="1">IF($B37="","",IF(M$7="","",IF($B37=M$7,"-",COUNTIFS(TEAMS_GbG[[TM NAME]:[TM NAME]],$B37,TEAMS_GbG[[OPP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7" s="3" t="str">
        <f ca="1">IF($B37="","",IF(N$7="","",IF($B37=N$7,"-",COUNTIFS(TEAMS_GbG[[TM NAME]:[TM NAME]],$B37,TEAMS_GbG[[OPP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7" s="3" t="str">
        <f ca="1">IF($B37="","",IF(O$7="","",IF($B37=O$7,"-",COUNTIFS(TEAMS_GbG[[TM NAME]:[TM NAME]],$B37,TEAMS_GbG[[OPP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7" s="3" t="str">
        <f ca="1">IF($B37="","",IF(P$7="","",IF($B37=P$7,"-",COUNTIFS(TEAMS_GbG[[TM NAME]:[TM NAME]],$B37,TEAMS_GbG[[OPP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7" s="3" t="str">
        <f ca="1">IF($B37="","",IF(Q$7="","",IF($B37=Q$7,"-",COUNTIFS(TEAMS_GbG[[TM NAME]:[TM NAME]],$B37,TEAMS_GbG[[OPP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7" s="3" t="str">
        <f ca="1">IF($B37="","",IF(R$7="","",IF($B37=R$7,"-",COUNTIFS(TEAMS_GbG[[TM NAME]:[TM NAME]],$B37,TEAMS_GbG[[OPP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7" s="3" t="str">
        <f ca="1">IF($B37="","",IF(S$7="","",IF($B37=S$7,"-",COUNTIFS(TEAMS_GbG[[TM NAME]:[TM NAME]],$B37,TEAMS_GbG[[OPP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7" s="3" t="str">
        <f ca="1">IF($B37="","",IF(T$7="","",IF($B37=T$7,"-",COUNTIFS(TEAMS_GbG[[TM NAME]:[TM NAME]],$B37,TEAMS_GbG[[OPP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7" s="3" t="str">
        <f ca="1">IF($B37="","",IF(U$7="","",IF($B37=U$7,"-",COUNTIFS(TEAMS_GbG[[TM NAME]:[TM NAME]],$B37,TEAMS_GbG[[OPP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7" s="3" t="str">
        <f ca="1">IF($B37="","",IF(V$7="","",IF($B37=V$7,"-",COUNTIFS(TEAMS_GbG[[TM NAME]:[TM NAME]],$B37,TEAMS_GbG[[OPP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7" s="3" t="str">
        <f ca="1">IF($B37="","",IF(W$7="","",IF($B37=W$7,"-",COUNTIFS(TEAMS_GbG[[TM NAME]:[TM NAME]],$B37,TEAMS_GbG[[OPP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7" s="3" t="str">
        <f ca="1">IF($B37="","",IF(X$7="","",IF($B37=X$7,"-",COUNTIFS(TEAMS_GbG[[TM NAME]:[TM NAME]],$B37,TEAMS_GbG[[OPP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7" s="3" t="str">
        <f ca="1">IF($B37="","",IF(Y$7="","",IF($B37=Y$7,"-",COUNTIFS(TEAMS_GbG[[TM NAME]:[TM NAME]],$B37,TEAMS_GbG[[OPP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7" s="3" t="str">
        <f ca="1">IF($B37="","",IF(Z$7="","",IF($B37=Z$7,"-",COUNTIFS(TEAMS_GbG[[TM NAME]:[TM NAME]],$B37,TEAMS_GbG[[OPP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7" s="3" t="str">
        <f ca="1">IF($B37="","",IF(AA$7="","",IF($B37=AA$7,"-",COUNTIFS(TEAMS_GbG[[TM NAME]:[TM NAME]],$B37,TEAMS_GbG[[OPP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7" s="3" t="str">
        <f ca="1">IF($B37="","",IF(AB$7="","",IF($B37=AB$7,"-",COUNTIFS(TEAMS_GbG[[TM NAME]:[TM NAME]],$B37,TEAMS_GbG[[OPP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7" s="3" t="str">
        <f ca="1">IF($B37="","",IF(AC$7="","",IF($B37=AC$7,"-",COUNTIFS(TEAMS_GbG[[TM NAME]:[TM NAME]],$B37,TEAMS_GbG[[OPP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7" s="3" t="str">
        <f ca="1">IF($B37="","",IF(AD$7="","",IF($B37=AD$7,"-",COUNTIFS(TEAMS_GbG[[TM NAME]:[TM NAME]],$B37,TEAMS_GbG[[OPP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7" s="3" t="str">
        <f ca="1">IF($B37="","",IF(AE$7="","",IF($B37=AE$7,"-",COUNTIFS(TEAMS_GbG[[TM NAME]:[TM NAME]],$B37,TEAMS_GbG[[OPP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7" s="3" t="str">
        <f ca="1">IF($B37="","",IF(AF$7="","",IF($B37=AF$7,"-",COUNTIFS(TEAMS_GbG[[TM NAME]:[TM NAME]],$B37,TEAMS_GbG[[OPP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7" s="3" t="str">
        <f ca="1">IF($B37="","",IF(AG$7="","",IF($B37=AG$7,"-",COUNTIFS(TEAMS_GbG[[TM NAME]:[TM NAME]],$B37,TEAMS_GbG[[OPP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7" s="3" t="str">
        <f ca="1">IF($B37="","",IF(AH$7="","",IF($B37=AH$7,"-",COUNTIFS(TEAMS_GbG[[TM NAME]:[TM NAME]],$B37,TEAMS_GbG[[OPP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8" spans="2:35" x14ac:dyDescent="0.25">
      <c r="B38" s="1" t="str">
        <f>BASIS_INFO!F33</f>
        <v/>
      </c>
      <c r="C38" s="3" t="str">
        <f ca="1">IF($B38="","",IF(C$7="","",IF($B38=C$7,"-",COUNTIFS(TEAMS_GbG[[TM NAME]:[TM NAME]],$B38,TEAMS_GbG[[OPP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8" s="3" t="str">
        <f ca="1">IF($B38="","",IF(D$7="","",IF($B38=D$7,"-",COUNTIFS(TEAMS_GbG[[TM NAME]:[TM NAME]],$B38,TEAMS_GbG[[OPP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8" s="3" t="str">
        <f ca="1">IF($B38="","",IF(E$7="","",IF($B38=E$7,"-",COUNTIFS(TEAMS_GbG[[TM NAME]:[TM NAME]],$B38,TEAMS_GbG[[OPP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8" s="3" t="str">
        <f ca="1">IF($B38="","",IF(F$7="","",IF($B38=F$7,"-",COUNTIFS(TEAMS_GbG[[TM NAME]:[TM NAME]],$B38,TEAMS_GbG[[OPP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8" s="3" t="str">
        <f ca="1">IF($B38="","",IF(G$7="","",IF($B38=G$7,"-",COUNTIFS(TEAMS_GbG[[TM NAME]:[TM NAME]],$B38,TEAMS_GbG[[OPP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8" s="3" t="str">
        <f ca="1">IF($B38="","",IF(H$7="","",IF($B38=H$7,"-",COUNTIFS(TEAMS_GbG[[TM NAME]:[TM NAME]],$B38,TEAMS_GbG[[OPP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8" s="3" t="str">
        <f ca="1">IF($B38="","",IF(I$7="","",IF($B38=I$7,"-",COUNTIFS(TEAMS_GbG[[TM NAME]:[TM NAME]],$B38,TEAMS_GbG[[OPP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8" s="3" t="str">
        <f ca="1">IF($B38="","",IF(J$7="","",IF($B38=J$7,"-",COUNTIFS(TEAMS_GbG[[TM NAME]:[TM NAME]],$B38,TEAMS_GbG[[OPP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8" s="3" t="str">
        <f ca="1">IF($B38="","",IF(K$7="","",IF($B38=K$7,"-",COUNTIFS(TEAMS_GbG[[TM NAME]:[TM NAME]],$B38,TEAMS_GbG[[OPP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8" s="3" t="str">
        <f ca="1">IF($B38="","",IF(L$7="","",IF($B38=L$7,"-",COUNTIFS(TEAMS_GbG[[TM NAME]:[TM NAME]],$B38,TEAMS_GbG[[OPP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8" s="3" t="str">
        <f ca="1">IF($B38="","",IF(M$7="","",IF($B38=M$7,"-",COUNTIFS(TEAMS_GbG[[TM NAME]:[TM NAME]],$B38,TEAMS_GbG[[OPP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8" s="3" t="str">
        <f ca="1">IF($B38="","",IF(N$7="","",IF($B38=N$7,"-",COUNTIFS(TEAMS_GbG[[TM NAME]:[TM NAME]],$B38,TEAMS_GbG[[OPP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8" s="3" t="str">
        <f ca="1">IF($B38="","",IF(O$7="","",IF($B38=O$7,"-",COUNTIFS(TEAMS_GbG[[TM NAME]:[TM NAME]],$B38,TEAMS_GbG[[OPP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8" s="3" t="str">
        <f ca="1">IF($B38="","",IF(P$7="","",IF($B38=P$7,"-",COUNTIFS(TEAMS_GbG[[TM NAME]:[TM NAME]],$B38,TEAMS_GbG[[OPP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8" s="3" t="str">
        <f ca="1">IF($B38="","",IF(Q$7="","",IF($B38=Q$7,"-",COUNTIFS(TEAMS_GbG[[TM NAME]:[TM NAME]],$B38,TEAMS_GbG[[OPP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8" s="3" t="str">
        <f ca="1">IF($B38="","",IF(R$7="","",IF($B38=R$7,"-",COUNTIFS(TEAMS_GbG[[TM NAME]:[TM NAME]],$B38,TEAMS_GbG[[OPP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8" s="3" t="str">
        <f ca="1">IF($B38="","",IF(S$7="","",IF($B38=S$7,"-",COUNTIFS(TEAMS_GbG[[TM NAME]:[TM NAME]],$B38,TEAMS_GbG[[OPP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8" s="3" t="str">
        <f ca="1">IF($B38="","",IF(T$7="","",IF($B38=T$7,"-",COUNTIFS(TEAMS_GbG[[TM NAME]:[TM NAME]],$B38,TEAMS_GbG[[OPP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8" s="3" t="str">
        <f ca="1">IF($B38="","",IF(U$7="","",IF($B38=U$7,"-",COUNTIFS(TEAMS_GbG[[TM NAME]:[TM NAME]],$B38,TEAMS_GbG[[OPP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8" s="3" t="str">
        <f ca="1">IF($B38="","",IF(V$7="","",IF($B38=V$7,"-",COUNTIFS(TEAMS_GbG[[TM NAME]:[TM NAME]],$B38,TEAMS_GbG[[OPP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8" s="3" t="str">
        <f ca="1">IF($B38="","",IF(W$7="","",IF($B38=W$7,"-",COUNTIFS(TEAMS_GbG[[TM NAME]:[TM NAME]],$B38,TEAMS_GbG[[OPP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8" s="3" t="str">
        <f ca="1">IF($B38="","",IF(X$7="","",IF($B38=X$7,"-",COUNTIFS(TEAMS_GbG[[TM NAME]:[TM NAME]],$B38,TEAMS_GbG[[OPP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8" s="3" t="str">
        <f ca="1">IF($B38="","",IF(Y$7="","",IF($B38=Y$7,"-",COUNTIFS(TEAMS_GbG[[TM NAME]:[TM NAME]],$B38,TEAMS_GbG[[OPP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8" s="3" t="str">
        <f ca="1">IF($B38="","",IF(Z$7="","",IF($B38=Z$7,"-",COUNTIFS(TEAMS_GbG[[TM NAME]:[TM NAME]],$B38,TEAMS_GbG[[OPP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8" s="3" t="str">
        <f ca="1">IF($B38="","",IF(AA$7="","",IF($B38=AA$7,"-",COUNTIFS(TEAMS_GbG[[TM NAME]:[TM NAME]],$B38,TEAMS_GbG[[OPP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8" s="3" t="str">
        <f ca="1">IF($B38="","",IF(AB$7="","",IF($B38=AB$7,"-",COUNTIFS(TEAMS_GbG[[TM NAME]:[TM NAME]],$B38,TEAMS_GbG[[OPP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8" s="3" t="str">
        <f ca="1">IF($B38="","",IF(AC$7="","",IF($B38=AC$7,"-",COUNTIFS(TEAMS_GbG[[TM NAME]:[TM NAME]],$B38,TEAMS_GbG[[OPP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8" s="3" t="str">
        <f ca="1">IF($B38="","",IF(AD$7="","",IF($B38=AD$7,"-",COUNTIFS(TEAMS_GbG[[TM NAME]:[TM NAME]],$B38,TEAMS_GbG[[OPP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8" s="3" t="str">
        <f ca="1">IF($B38="","",IF(AE$7="","",IF($B38=AE$7,"-",COUNTIFS(TEAMS_GbG[[TM NAME]:[TM NAME]],$B38,TEAMS_GbG[[OPP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8" s="3" t="str">
        <f ca="1">IF($B38="","",IF(AF$7="","",IF($B38=AF$7,"-",COUNTIFS(TEAMS_GbG[[TM NAME]:[TM NAME]],$B38,TEAMS_GbG[[OPP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8" s="3" t="str">
        <f ca="1">IF($B38="","",IF(AG$7="","",IF($B38=AG$7,"-",COUNTIFS(TEAMS_GbG[[TM NAME]:[TM NAME]],$B38,TEAMS_GbG[[OPP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8" s="3" t="str">
        <f ca="1">IF($B38="","",IF(AH$7="","",IF($B38=AH$7,"-",COUNTIFS(TEAMS_GbG[[TM NAME]:[TM NAME]],$B38,TEAMS_GbG[[OPP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39" spans="2:35" x14ac:dyDescent="0.25">
      <c r="B39" s="1" t="str">
        <f>BASIS_INFO!F34</f>
        <v/>
      </c>
      <c r="C39" s="3" t="str">
        <f ca="1">IF($B39="","",IF(C$7="","",IF($B39=C$7,"-",COUNTIFS(TEAMS_GbG[[TM NAME]:[TM NAME]],$B39,TEAMS_GbG[[OPP NAME]:[OPP NAME]],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D39" s="3" t="str">
        <f ca="1">IF($B39="","",IF(D$7="","",IF($B39=D$7,"-",COUNTIFS(TEAMS_GbG[[TM NAME]:[TM NAME]],$B39,TEAMS_GbG[[OPP NAME]:[OPP NAME]],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E39" s="3" t="str">
        <f ca="1">IF($B39="","",IF(E$7="","",IF($B39=E$7,"-",COUNTIFS(TEAMS_GbG[[TM NAME]:[TM NAME]],$B39,TEAMS_GbG[[OPP NAME]:[OPP NAME]],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F39" s="3" t="str">
        <f ca="1">IF($B39="","",IF(F$7="","",IF($B39=F$7,"-",COUNTIFS(TEAMS_GbG[[TM NAME]:[TM NAME]],$B39,TEAMS_GbG[[OPP NAME]:[OPP NAME]],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G39" s="3" t="str">
        <f ca="1">IF($B39="","",IF(G$7="","",IF($B39=G$7,"-",COUNTIFS(TEAMS_GbG[[TM NAME]:[TM NAME]],$B39,TEAMS_GbG[[OPP NAME]:[OPP NAME]],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H39" s="3" t="str">
        <f ca="1">IF($B39="","",IF(H$7="","",IF($B39=H$7,"-",COUNTIFS(TEAMS_GbG[[TM NAME]:[TM NAME]],$B39,TEAMS_GbG[[OPP NAME]:[OPP NAME]],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I39" s="3" t="str">
        <f ca="1">IF($B39="","",IF(I$7="","",IF($B39=I$7,"-",COUNTIFS(TEAMS_GbG[[TM NAME]:[TM NAME]],$B39,TEAMS_GbG[[OPP NAME]:[OPP NAME]],I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J39" s="3" t="str">
        <f ca="1">IF($B39="","",IF(J$7="","",IF($B39=J$7,"-",COUNTIFS(TEAMS_GbG[[TM NAME]:[TM NAME]],$B39,TEAMS_GbG[[OPP NAME]:[OPP NAME]],J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K39" s="3" t="str">
        <f ca="1">IF($B39="","",IF(K$7="","",IF($B39=K$7,"-",COUNTIFS(TEAMS_GbG[[TM NAME]:[TM NAME]],$B39,TEAMS_GbG[[OPP NAME]:[OPP NAME]],K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L39" s="3" t="str">
        <f ca="1">IF($B39="","",IF(L$7="","",IF($B39=L$7,"-",COUNTIFS(TEAMS_GbG[[TM NAME]:[TM NAME]],$B39,TEAMS_GbG[[OPP NAME]:[OPP NAME]],L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M39" s="3" t="str">
        <f ca="1">IF($B39="","",IF(M$7="","",IF($B39=M$7,"-",COUNTIFS(TEAMS_GbG[[TM NAME]:[TM NAME]],$B39,TEAMS_GbG[[OPP NAME]:[OPP NAME]],M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N39" s="3" t="str">
        <f ca="1">IF($B39="","",IF(N$7="","",IF($B39=N$7,"-",COUNTIFS(TEAMS_GbG[[TM NAME]:[TM NAME]],$B39,TEAMS_GbG[[OPP NAME]:[OPP NAME]],N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O39" s="3" t="str">
        <f ca="1">IF($B39="","",IF(O$7="","",IF($B39=O$7,"-",COUNTIFS(TEAMS_GbG[[TM NAME]:[TM NAME]],$B39,TEAMS_GbG[[OPP NAME]:[OPP NAME]],O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P39" s="3" t="str">
        <f ca="1">IF($B39="","",IF(P$7="","",IF($B39=P$7,"-",COUNTIFS(TEAMS_GbG[[TM NAME]:[TM NAME]],$B39,TEAMS_GbG[[OPP NAME]:[OPP NAME]],P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Q39" s="3" t="str">
        <f ca="1">IF($B39="","",IF(Q$7="","",IF($B39=Q$7,"-",COUNTIFS(TEAMS_GbG[[TM NAME]:[TM NAME]],$B39,TEAMS_GbG[[OPP NAME]:[OPP NAME]],Q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R39" s="3" t="str">
        <f ca="1">IF($B39="","",IF(R$7="","",IF($B39=R$7,"-",COUNTIFS(TEAMS_GbG[[TM NAME]:[TM NAME]],$B39,TEAMS_GbG[[OPP NAME]:[OPP NAME]],R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S39" s="3" t="str">
        <f ca="1">IF($B39="","",IF(S$7="","",IF($B39=S$7,"-",COUNTIFS(TEAMS_GbG[[TM NAME]:[TM NAME]],$B39,TEAMS_GbG[[OPP NAME]:[OPP NAME]],S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T39" s="3" t="str">
        <f ca="1">IF($B39="","",IF(T$7="","",IF($B39=T$7,"-",COUNTIFS(TEAMS_GbG[[TM NAME]:[TM NAME]],$B39,TEAMS_GbG[[OPP NAME]:[OPP NAME]],T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U39" s="3" t="str">
        <f ca="1">IF($B39="","",IF(U$7="","",IF($B39=U$7,"-",COUNTIFS(TEAMS_GbG[[TM NAME]:[TM NAME]],$B39,TEAMS_GbG[[OPP NAME]:[OPP NAME]],U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V39" s="3" t="str">
        <f ca="1">IF($B39="","",IF(V$7="","",IF($B39=V$7,"-",COUNTIFS(TEAMS_GbG[[TM NAME]:[TM NAME]],$B39,TEAMS_GbG[[OPP NAME]:[OPP NAME]],V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W39" s="3" t="str">
        <f ca="1">IF($B39="","",IF(W$7="","",IF($B39=W$7,"-",COUNTIFS(TEAMS_GbG[[TM NAME]:[TM NAME]],$B39,TEAMS_GbG[[OPP NAME]:[OPP NAME]],W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X39" s="3" t="str">
        <f ca="1">IF($B39="","",IF(X$7="","",IF($B39=X$7,"-",COUNTIFS(TEAMS_GbG[[TM NAME]:[TM NAME]],$B39,TEAMS_GbG[[OPP NAME]:[OPP NAME]],X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Y39" s="3" t="str">
        <f ca="1">IF($B39="","",IF(Y$7="","",IF($B39=Y$7,"-",COUNTIFS(TEAMS_GbG[[TM NAME]:[TM NAME]],$B39,TEAMS_GbG[[OPP NAME]:[OPP NAME]],Y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Z39" s="3" t="str">
        <f ca="1">IF($B39="","",IF(Z$7="","",IF($B39=Z$7,"-",COUNTIFS(TEAMS_GbG[[TM NAME]:[TM NAME]],$B39,TEAMS_GbG[[OPP NAME]:[OPP NAME]],Z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A39" s="3" t="str">
        <f ca="1">IF($B39="","",IF(AA$7="","",IF($B39=AA$7,"-",COUNTIFS(TEAMS_GbG[[TM NAME]:[TM NAME]],$B39,TEAMS_GbG[[OPP NAME]:[OPP NAME]],AA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B39" s="3" t="str">
        <f ca="1">IF($B39="","",IF(AB$7="","",IF($B39=AB$7,"-",COUNTIFS(TEAMS_GbG[[TM NAME]:[TM NAME]],$B39,TEAMS_GbG[[OPP NAME]:[OPP NAME]],AB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C39" s="3" t="str">
        <f ca="1">IF($B39="","",IF(AC$7="","",IF($B39=AC$7,"-",COUNTIFS(TEAMS_GbG[[TM NAME]:[TM NAME]],$B39,TEAMS_GbG[[OPP NAME]:[OPP NAME]],AC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D39" s="3" t="str">
        <f ca="1">IF($B39="","",IF(AD$7="","",IF($B39=AD$7,"-",COUNTIFS(TEAMS_GbG[[TM NAME]:[TM NAME]],$B39,TEAMS_GbG[[OPP NAME]:[OPP NAME]],AD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E39" s="3" t="str">
        <f ca="1">IF($B39="","",IF(AE$7="","",IF($B39=AE$7,"-",COUNTIFS(TEAMS_GbG[[TM NAME]:[TM NAME]],$B39,TEAMS_GbG[[OPP NAME]:[OPP NAME]],AE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F39" s="3" t="str">
        <f ca="1">IF($B39="","",IF(AF$7="","",IF($B39=AF$7,"-",COUNTIFS(TEAMS_GbG[[TM NAME]:[TM NAME]],$B39,TEAMS_GbG[[OPP NAME]:[OPP NAME]],AF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G39" s="3" t="str">
        <f ca="1">IF($B39="","",IF(AG$7="","",IF($B39=AG$7,"-",COUNTIFS(TEAMS_GbG[[TM NAME]:[TM NAME]],$B39,TEAMS_GbG[[OPP NAME]:[OPP NAME]],AG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  <c r="AH39" s="3" t="str">
        <f ca="1">IF($B39="","",IF(AH$7="","",IF($B39=AH$7,"-",COUNTIFS(TEAMS_GbG[[TM NAME]:[TM NAME]],$B39,TEAMS_GbG[[OPP NAME]:[OPP NAME]],AH$7,TEAMS_GbG[[DATE]:[DATE]],"&lt;"&amp;TODAY()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</f>
        <v/>
      </c>
    </row>
    <row r="42" spans="2:35" ht="30" customHeight="1" x14ac:dyDescent="0.25">
      <c r="B42" s="51" t="s">
        <v>64</v>
      </c>
      <c r="C42" s="51" t="str">
        <f>C7</f>
        <v>ALBA Berlin</v>
      </c>
      <c r="D42" s="51" t="str">
        <f t="shared" ref="D42:AH42" si="0">D7</f>
        <v>Anadolu Efes Istanbul</v>
      </c>
      <c r="E42" s="51" t="str">
        <f t="shared" si="0"/>
        <v>AS Monaco</v>
      </c>
      <c r="F42" s="51" t="str">
        <f t="shared" si="0"/>
        <v>Baskonia Vitoria-Gasteiz</v>
      </c>
      <c r="G42" s="51" t="str">
        <f t="shared" si="0"/>
        <v>Crvena Zvezda Meridianbet Belgrade</v>
      </c>
      <c r="H42" s="51" t="str">
        <f t="shared" si="0"/>
        <v>EA7 Emporio Armani Milan</v>
      </c>
      <c r="I42" s="51" t="str">
        <f t="shared" si="0"/>
        <v>FC Barcelona</v>
      </c>
      <c r="J42" s="51" t="str">
        <f t="shared" si="0"/>
        <v>FC Bayern Munich</v>
      </c>
      <c r="K42" s="51" t="str">
        <f t="shared" si="0"/>
        <v>Fenerbahce Beko Istanbul</v>
      </c>
      <c r="L42" s="51" t="str">
        <f t="shared" si="0"/>
        <v>LDLC ASVEL Villeurbanne</v>
      </c>
      <c r="M42" s="51" t="str">
        <f t="shared" si="0"/>
        <v>Maccabi Playtika Tel Aviv</v>
      </c>
      <c r="N42" s="51" t="str">
        <f t="shared" si="0"/>
        <v>Olympiacos Piraeus</v>
      </c>
      <c r="O42" s="51" t="str">
        <f t="shared" si="0"/>
        <v>Panathinaikos Athens</v>
      </c>
      <c r="P42" s="51" t="str">
        <f t="shared" si="0"/>
        <v>Partizan Mozzart Bet Belgrade</v>
      </c>
      <c r="Q42" s="51" t="str">
        <f t="shared" si="0"/>
        <v>Real Madrid</v>
      </c>
      <c r="R42" s="51" t="str">
        <f t="shared" si="0"/>
        <v>Valencia Basket</v>
      </c>
      <c r="S42" s="51" t="str">
        <f t="shared" si="0"/>
        <v>Virtus Segafredo Bologna</v>
      </c>
      <c r="T42" s="51" t="str">
        <f t="shared" si="0"/>
        <v>Zalgiris Kaunas</v>
      </c>
      <c r="U42" s="51" t="str">
        <f t="shared" si="0"/>
        <v/>
      </c>
      <c r="V42" s="51" t="str">
        <f t="shared" si="0"/>
        <v/>
      </c>
      <c r="W42" s="51" t="str">
        <f t="shared" si="0"/>
        <v/>
      </c>
      <c r="X42" s="51" t="str">
        <f t="shared" si="0"/>
        <v/>
      </c>
      <c r="Y42" s="51" t="str">
        <f t="shared" si="0"/>
        <v/>
      </c>
      <c r="Z42" s="51" t="str">
        <f t="shared" si="0"/>
        <v/>
      </c>
      <c r="AA42" s="51" t="str">
        <f t="shared" si="0"/>
        <v/>
      </c>
      <c r="AB42" s="51" t="str">
        <f t="shared" si="0"/>
        <v/>
      </c>
      <c r="AC42" s="51" t="str">
        <f t="shared" si="0"/>
        <v/>
      </c>
      <c r="AD42" s="51" t="str">
        <f t="shared" si="0"/>
        <v/>
      </c>
      <c r="AE42" s="51" t="str">
        <f t="shared" si="0"/>
        <v/>
      </c>
      <c r="AF42" s="51" t="str">
        <f t="shared" si="0"/>
        <v/>
      </c>
      <c r="AG42" s="51" t="str">
        <f t="shared" si="0"/>
        <v/>
      </c>
      <c r="AH42" s="51" t="str">
        <f t="shared" si="0"/>
        <v/>
      </c>
    </row>
    <row r="43" spans="2:35" x14ac:dyDescent="0.25">
      <c r="B43" s="1" t="str">
        <f>B8</f>
        <v>ALBA Berlin</v>
      </c>
      <c r="C43" s="7" t="str">
        <f ca="1">IFERROR(IF($B43="","",IF(C$42="","",IF($B43=C$7,"-",COUNTIFS(TEAMS_GbG[[TM NAME]:[TM NAME]],C$42,TEAMS_GbG[[DATE]:[DATE]],"&lt;="&amp;TODAY(),TEAMS_GbG[[OPP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D43" s="7">
        <f ca="1">IFERROR(IF($B43="","",IF(D$42="","",IF($B43=D$7,"-",COUNTIFS(TEAMS_GbG[[TM NAME]:[TM NAME]],D$42,TEAMS_GbG[[DATE]:[DATE]],"&lt;="&amp;TODAY(),TEAMS_GbG[[OPP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E43" s="7">
        <f ca="1">IFERROR(IF($B43="","",IF(E$42="","",IF($B43=E$7,"-",COUNTIFS(TEAMS_GbG[[TM NAME]:[TM NAME]],E$42,TEAMS_GbG[[DATE]:[DATE]],"&lt;="&amp;TODAY(),TEAMS_GbG[[OPP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F43" s="7">
        <f ca="1">IFERROR(IF($B43="","",IF(F$42="","",IF($B43=F$7,"-",COUNTIFS(TEAMS_GbG[[TM NAME]:[TM NAME]],F$42,TEAMS_GbG[[DATE]:[DATE]],"&lt;="&amp;TODAY(),TEAMS_GbG[[OPP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G43" s="7">
        <f ca="1">IFERROR(IF($B43="","",IF(G$42="","",IF($B43=G$7,"-",COUNTIFS(TEAMS_GbG[[TM NAME]:[TM NAME]],G$42,TEAMS_GbG[[DATE]:[DATE]],"&lt;="&amp;TODAY(),TEAMS_GbG[[OPP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H43" s="7">
        <f ca="1">IFERROR(IF($B43="","",IF(H$42="","",IF($B43=H$7,"-",COUNTIFS(TEAMS_GbG[[TM NAME]:[TM NAME]],H$42,TEAMS_GbG[[DATE]:[DATE]],"&lt;="&amp;TODAY(),TEAMS_GbG[[OPP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I43" s="7">
        <f ca="1">IFERROR(IF($B43="","",IF(I$42="","",IF($B43=I$7,"-",COUNTIFS(TEAMS_GbG[[TM NAME]:[TM NAME]],I$42,TEAMS_GbG[[DATE]:[DATE]],"&lt;="&amp;TODAY(),TEAMS_GbG[[OPP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0.77777777777777779</v>
      </c>
      <c r="J43" s="7">
        <f ca="1">IFERROR(IF($B43="","",IF(J$42="","",IF($B43=J$7,"-",COUNTIFS(TEAMS_GbG[[TM NAME]:[TM NAME]],J$42,TEAMS_GbG[[DATE]:[DATE]],"&lt;="&amp;TODAY(),TEAMS_GbG[[OPP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K43" s="7">
        <f ca="1">IFERROR(IF($B43="","",IF(K$42="","",IF($B43=K$7,"-",COUNTIFS(TEAMS_GbG[[TM NAME]:[TM NAME]],K$42,TEAMS_GbG[[DATE]:[DATE]],"&lt;="&amp;TODAY(),TEAMS_GbG[[OPP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L43" s="7">
        <f ca="1">IFERROR(IF($B43="","",IF(L$42="","",IF($B43=L$7,"-",COUNTIFS(TEAMS_GbG[[TM NAME]:[TM NAME]],L$42,TEAMS_GbG[[DATE]:[DATE]],"&lt;="&amp;TODAY(),TEAMS_GbG[[OPP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M43" s="7">
        <f ca="1">IFERROR(IF($B43="","",IF(M$42="","",IF($B43=M$7,"-",COUNTIFS(TEAMS_GbG[[TM NAME]:[TM NAME]],M$42,TEAMS_GbG[[DATE]:[DATE]],"&lt;="&amp;TODAY(),TEAMS_GbG[[OPP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43" s="7">
        <f ca="1">IFERROR(IF($B43="","",IF(N$42="","",IF($B43=N$7,"-",COUNTIFS(TEAMS_GbG[[TM NAME]:[TM NAME]],N$42,TEAMS_GbG[[DATE]:[DATE]],"&lt;="&amp;TODAY(),TEAMS_GbG[[OPP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O43" s="7">
        <f ca="1">IFERROR(IF($B43="","",IF(O$42="","",IF($B43=O$7,"-",COUNTIFS(TEAMS_GbG[[TM NAME]:[TM NAME]],O$42,TEAMS_GbG[[DATE]:[DATE]],"&lt;="&amp;TODAY(),TEAMS_GbG[[OPP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P43" s="7">
        <f ca="1">IFERROR(IF($B43="","",IF(P$42="","",IF($B43=P$7,"-",COUNTIFS(TEAMS_GbG[[TM NAME]:[TM NAME]],P$42,TEAMS_GbG[[DATE]:[DATE]],"&lt;="&amp;TODAY(),TEAMS_GbG[[OPP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Q43" s="7">
        <f ca="1">IFERROR(IF($B43="","",IF(Q$42="","",IF($B43=Q$7,"-",COUNTIFS(TEAMS_GbG[[TM NAME]:[TM NAME]],Q$42,TEAMS_GbG[[DATE]:[DATE]],"&lt;="&amp;TODAY(),TEAMS_GbG[[OPP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43" s="7">
        <f ca="1">IFERROR(IF($B43="","",IF(R$42="","",IF($B43=R$7,"-",COUNTIFS(TEAMS_GbG[[TM NAME]:[TM NAME]],R$42,TEAMS_GbG[[DATE]:[DATE]],"&lt;="&amp;TODAY(),TEAMS_GbG[[OPP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S43" s="7">
        <f ca="1">IFERROR(IF($B43="","",IF(S$42="","",IF($B43=S$7,"-",COUNTIFS(TEAMS_GbG[[TM NAME]:[TM NAME]],S$42,TEAMS_GbG[[DATE]:[DATE]],"&lt;="&amp;TODAY(),TEAMS_GbG[[OPP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T43" s="7">
        <f ca="1">IFERROR(IF($B43="","",IF(T$42="","",IF($B43=T$7,"-",COUNTIFS(TEAMS_GbG[[TM NAME]:[TM NAME]],T$42,TEAMS_GbG[[DATE]:[DATE]],"&lt;="&amp;TODAY(),TEAMS_GbG[[OPP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U43" s="7" t="str">
        <f ca="1">IFERROR(IF($B43="","",IF(U$42="","",IF($B43=U$7,"-",COUNTIFS(TEAMS_GbG[[TM NAME]:[TM NAME]],U$42,TEAMS_GbG[[DATE]:[DATE]],"&lt;="&amp;TODAY(),TEAMS_GbG[[OPP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43" s="7" t="str">
        <f ca="1">IFERROR(IF($B43="","",IF(V$42="","",IF($B43=V$7,"-",COUNTIFS(TEAMS_GbG[[TM NAME]:[TM NAME]],V$42,TEAMS_GbG[[DATE]:[DATE]],"&lt;="&amp;TODAY(),TEAMS_GbG[[OPP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43" s="7" t="str">
        <f ca="1">IFERROR(IF($B43="","",IF(W$42="","",IF($B43=W$7,"-",COUNTIFS(TEAMS_GbG[[TM NAME]:[TM NAME]],W$42,TEAMS_GbG[[DATE]:[DATE]],"&lt;="&amp;TODAY(),TEAMS_GbG[[OPP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43" s="7" t="str">
        <f ca="1">IFERROR(IF($B43="","",IF(X$42="","",IF($B43=X$7,"-",COUNTIFS(TEAMS_GbG[[TM NAME]:[TM NAME]],X$42,TEAMS_GbG[[DATE]:[DATE]],"&lt;="&amp;TODAY(),TEAMS_GbG[[OPP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43" s="7" t="str">
        <f ca="1">IFERROR(IF($B43="","",IF(Y$42="","",IF($B43=Y$7,"-",COUNTIFS(TEAMS_GbG[[TM NAME]:[TM NAME]],Y$42,TEAMS_GbG[[DATE]:[DATE]],"&lt;="&amp;TODAY(),TEAMS_GbG[[OPP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43" s="7" t="str">
        <f ca="1">IFERROR(IF($B43="","",IF(Z$42="","",IF($B43=Z$7,"-",COUNTIFS(TEAMS_GbG[[TM NAME]:[TM NAME]],Z$42,TEAMS_GbG[[DATE]:[DATE]],"&lt;="&amp;TODAY(),TEAMS_GbG[[OPP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43" s="7" t="str">
        <f ca="1">IFERROR(IF($B43="","",IF(AA$42="","",IF($B43=AA$7,"-",COUNTIFS(TEAMS_GbG[[TM NAME]:[TM NAME]],AA$42,TEAMS_GbG[[DATE]:[DATE]],"&lt;="&amp;TODAY(),TEAMS_GbG[[OPP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43" s="7" t="str">
        <f ca="1">IFERROR(IF($B43="","",IF(AB$42="","",IF($B43=AB$7,"-",COUNTIFS(TEAMS_GbG[[TM NAME]:[TM NAME]],AB$42,TEAMS_GbG[[DATE]:[DATE]],"&lt;="&amp;TODAY(),TEAMS_GbG[[OPP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43" s="7" t="str">
        <f ca="1">IFERROR(IF($B43="","",IF(AC$42="","",IF($B43=AC$7,"-",COUNTIFS(TEAMS_GbG[[TM NAME]:[TM NAME]],AC$42,TEAMS_GbG[[DATE]:[DATE]],"&lt;="&amp;TODAY(),TEAMS_GbG[[OPP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43" s="7" t="str">
        <f ca="1">IFERROR(IF($B43="","",IF(AD$42="","",IF($B43=AD$7,"-",COUNTIFS(TEAMS_GbG[[TM NAME]:[TM NAME]],AD$42,TEAMS_GbG[[DATE]:[DATE]],"&lt;="&amp;TODAY(),TEAMS_GbG[[OPP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43" s="7" t="str">
        <f ca="1">IFERROR(IF($B43="","",IF(AE$42="","",IF($B43=AE$7,"-",COUNTIFS(TEAMS_GbG[[TM NAME]:[TM NAME]],AE$42,TEAMS_GbG[[DATE]:[DATE]],"&lt;="&amp;TODAY(),TEAMS_GbG[[OPP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43" s="7" t="str">
        <f ca="1">IFERROR(IF($B43="","",IF(AF$42="","",IF($B43=AF$7,"-",COUNTIFS(TEAMS_GbG[[TM NAME]:[TM NAME]],AF$42,TEAMS_GbG[[DATE]:[DATE]],"&lt;="&amp;TODAY(),TEAMS_GbG[[OPP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43" s="7" t="str">
        <f ca="1">IFERROR(IF($B43="","",IF(AG$42="","",IF($B43=AG$7,"-",COUNTIFS(TEAMS_GbG[[TM NAME]:[TM NAME]],AG$42,TEAMS_GbG[[DATE]:[DATE]],"&lt;="&amp;TODAY(),TEAMS_GbG[[OPP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43" s="7" t="str">
        <f ca="1">IFERROR(IF($B43="","",IF(AH$42="","",IF($B43=AH$7,"-",COUNTIFS(TEAMS_GbG[[TM NAME]:[TM NAME]],AH$42,TEAMS_GbG[[DATE]:[DATE]],"&lt;="&amp;TODAY(),TEAMS_GbG[[OPP NAME]:[OPP NAME]],"&lt;&gt;"&amp;$B43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43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43" s="52">
        <f ca="1">IFERROR(SUMPRODUCT($C8:$AH8,$C43:$AH43)/SUM($C8:$AH8),"-")</f>
        <v>0.41666666666666669</v>
      </c>
    </row>
    <row r="44" spans="2:35" x14ac:dyDescent="0.25">
      <c r="B44" s="1" t="str">
        <f t="shared" ref="B44:B74" si="1">B9</f>
        <v>Anadolu Efes Istanbul</v>
      </c>
      <c r="C44" s="7">
        <f ca="1">IFERROR(IF($B44="","",IF(C$42="","",IF($B44=C$7,"-",COUNTIFS(TEAMS_GbG[[TM NAME]:[TM NAME]],C$42,TEAMS_GbG[[DATE]:[DATE]],"&lt;="&amp;TODAY(),TEAMS_GbG[[OPP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0.1111111111111111</v>
      </c>
      <c r="D44" s="7" t="str">
        <f ca="1">IFERROR(IF($B44="","",IF(D$42="","",IF($B44=D$7,"-",COUNTIFS(TEAMS_GbG[[TM NAME]:[TM NAME]],D$42,TEAMS_GbG[[DATE]:[DATE]],"&lt;="&amp;TODAY(),TEAMS_GbG[[OPP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E44" s="7">
        <f ca="1">IFERROR(IF($B44="","",IF(E$42="","",IF($B44=E$7,"-",COUNTIFS(TEAMS_GbG[[TM NAME]:[TM NAME]],E$42,TEAMS_GbG[[DATE]:[DATE]],"&lt;="&amp;TODAY(),TEAMS_GbG[[OPP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F44" s="7">
        <f ca="1">IFERROR(IF($B44="","",IF(F$42="","",IF($B44=F$7,"-",COUNTIFS(TEAMS_GbG[[TM NAME]:[TM NAME]],F$42,TEAMS_GbG[[DATE]:[DATE]],"&lt;="&amp;TODAY(),TEAMS_GbG[[OPP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G44" s="7">
        <f ca="1">IFERROR(IF($B44="","",IF(G$42="","",IF($B44=G$7,"-",COUNTIFS(TEAMS_GbG[[TM NAME]:[TM NAME]],G$42,TEAMS_GbG[[DATE]:[DATE]],"&lt;="&amp;TODAY(),TEAMS_GbG[[OPP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H44" s="7">
        <f ca="1">IFERROR(IF($B44="","",IF(H$42="","",IF($B44=H$7,"-",COUNTIFS(TEAMS_GbG[[TM NAME]:[TM NAME]],H$42,TEAMS_GbG[[DATE]:[DATE]],"&lt;="&amp;TODAY(),TEAMS_GbG[[OPP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I44" s="7">
        <f ca="1">IFERROR(IF($B44="","",IF(I$42="","",IF($B44=I$7,"-",COUNTIFS(TEAMS_GbG[[TM NAME]:[TM NAME]],I$42,TEAMS_GbG[[DATE]:[DATE]],"&lt;="&amp;TODAY(),TEAMS_GbG[[OPP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J44" s="7">
        <f ca="1">IFERROR(IF($B44="","",IF(J$42="","",IF($B44=J$7,"-",COUNTIFS(TEAMS_GbG[[TM NAME]:[TM NAME]],J$42,TEAMS_GbG[[DATE]:[DATE]],"&lt;="&amp;TODAY(),TEAMS_GbG[[OPP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K44" s="7">
        <f ca="1">IFERROR(IF($B44="","",IF(K$42="","",IF($B44=K$7,"-",COUNTIFS(TEAMS_GbG[[TM NAME]:[TM NAME]],K$42,TEAMS_GbG[[DATE]:[DATE]],"&lt;="&amp;TODAY(),TEAMS_GbG[[OPP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L44" s="7">
        <f ca="1">IFERROR(IF($B44="","",IF(L$42="","",IF($B44=L$7,"-",COUNTIFS(TEAMS_GbG[[TM NAME]:[TM NAME]],L$42,TEAMS_GbG[[DATE]:[DATE]],"&lt;="&amp;TODAY(),TEAMS_GbG[[OPP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M44" s="7">
        <f ca="1">IFERROR(IF($B44="","",IF(M$42="","",IF($B44=M$7,"-",COUNTIFS(TEAMS_GbG[[TM NAME]:[TM NAME]],M$42,TEAMS_GbG[[DATE]:[DATE]],"&lt;="&amp;TODAY(),TEAMS_GbG[[OPP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44" s="7">
        <f ca="1">IFERROR(IF($B44="","",IF(N$42="","",IF($B44=N$7,"-",COUNTIFS(TEAMS_GbG[[TM NAME]:[TM NAME]],N$42,TEAMS_GbG[[DATE]:[DATE]],"&lt;="&amp;TODAY(),TEAMS_GbG[[OPP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O44" s="7">
        <f ca="1">IFERROR(IF($B44="","",IF(O$42="","",IF($B44=O$7,"-",COUNTIFS(TEAMS_GbG[[TM NAME]:[TM NAME]],O$42,TEAMS_GbG[[DATE]:[DATE]],"&lt;="&amp;TODAY(),TEAMS_GbG[[OPP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P44" s="7">
        <f ca="1">IFERROR(IF($B44="","",IF(P$42="","",IF($B44=P$7,"-",COUNTIFS(TEAMS_GbG[[TM NAME]:[TM NAME]],P$42,TEAMS_GbG[[DATE]:[DATE]],"&lt;="&amp;TODAY(),TEAMS_GbG[[OPP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Q44" s="7">
        <f ca="1">IFERROR(IF($B44="","",IF(Q$42="","",IF($B44=Q$7,"-",COUNTIFS(TEAMS_GbG[[TM NAME]:[TM NAME]],Q$42,TEAMS_GbG[[DATE]:[DATE]],"&lt;="&amp;TODAY(),TEAMS_GbG[[OPP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44" s="7">
        <f ca="1">IFERROR(IF($B44="","",IF(R$42="","",IF($B44=R$7,"-",COUNTIFS(TEAMS_GbG[[TM NAME]:[TM NAME]],R$42,TEAMS_GbG[[DATE]:[DATE]],"&lt;="&amp;TODAY(),TEAMS_GbG[[OPP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S44" s="7">
        <f ca="1">IFERROR(IF($B44="","",IF(S$42="","",IF($B44=S$7,"-",COUNTIFS(TEAMS_GbG[[TM NAME]:[TM NAME]],S$42,TEAMS_GbG[[DATE]:[DATE]],"&lt;="&amp;TODAY(),TEAMS_GbG[[OPP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T44" s="7">
        <f ca="1">IFERROR(IF($B44="","",IF(T$42="","",IF($B44=T$7,"-",COUNTIFS(TEAMS_GbG[[TM NAME]:[TM NAME]],T$42,TEAMS_GbG[[DATE]:[DATE]],"&lt;="&amp;TODAY(),TEAMS_GbG[[OPP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U44" s="7" t="str">
        <f ca="1">IFERROR(IF($B44="","",IF(U$42="","",IF($B44=U$7,"-",COUNTIFS(TEAMS_GbG[[TM NAME]:[TM NAME]],U$42,TEAMS_GbG[[DATE]:[DATE]],"&lt;="&amp;TODAY(),TEAMS_GbG[[OPP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44" s="7" t="str">
        <f ca="1">IFERROR(IF($B44="","",IF(V$42="","",IF($B44=V$7,"-",COUNTIFS(TEAMS_GbG[[TM NAME]:[TM NAME]],V$42,TEAMS_GbG[[DATE]:[DATE]],"&lt;="&amp;TODAY(),TEAMS_GbG[[OPP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44" s="7" t="str">
        <f ca="1">IFERROR(IF($B44="","",IF(W$42="","",IF($B44=W$7,"-",COUNTIFS(TEAMS_GbG[[TM NAME]:[TM NAME]],W$42,TEAMS_GbG[[DATE]:[DATE]],"&lt;="&amp;TODAY(),TEAMS_GbG[[OPP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44" s="7" t="str">
        <f ca="1">IFERROR(IF($B44="","",IF(X$42="","",IF($B44=X$7,"-",COUNTIFS(TEAMS_GbG[[TM NAME]:[TM NAME]],X$42,TEAMS_GbG[[DATE]:[DATE]],"&lt;="&amp;TODAY(),TEAMS_GbG[[OPP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44" s="7" t="str">
        <f ca="1">IFERROR(IF($B44="","",IF(Y$42="","",IF($B44=Y$7,"-",COUNTIFS(TEAMS_GbG[[TM NAME]:[TM NAME]],Y$42,TEAMS_GbG[[DATE]:[DATE]],"&lt;="&amp;TODAY(),TEAMS_GbG[[OPP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44" s="7" t="str">
        <f ca="1">IFERROR(IF($B44="","",IF(Z$42="","",IF($B44=Z$7,"-",COUNTIFS(TEAMS_GbG[[TM NAME]:[TM NAME]],Z$42,TEAMS_GbG[[DATE]:[DATE]],"&lt;="&amp;TODAY(),TEAMS_GbG[[OPP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44" s="7" t="str">
        <f ca="1">IFERROR(IF($B44="","",IF(AA$42="","",IF($B44=AA$7,"-",COUNTIFS(TEAMS_GbG[[TM NAME]:[TM NAME]],AA$42,TEAMS_GbG[[DATE]:[DATE]],"&lt;="&amp;TODAY(),TEAMS_GbG[[OPP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44" s="7" t="str">
        <f ca="1">IFERROR(IF($B44="","",IF(AB$42="","",IF($B44=AB$7,"-",COUNTIFS(TEAMS_GbG[[TM NAME]:[TM NAME]],AB$42,TEAMS_GbG[[DATE]:[DATE]],"&lt;="&amp;TODAY(),TEAMS_GbG[[OPP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44" s="7" t="str">
        <f ca="1">IFERROR(IF($B44="","",IF(AC$42="","",IF($B44=AC$7,"-",COUNTIFS(TEAMS_GbG[[TM NAME]:[TM NAME]],AC$42,TEAMS_GbG[[DATE]:[DATE]],"&lt;="&amp;TODAY(),TEAMS_GbG[[OPP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44" s="7" t="str">
        <f ca="1">IFERROR(IF($B44="","",IF(AD$42="","",IF($B44=AD$7,"-",COUNTIFS(TEAMS_GbG[[TM NAME]:[TM NAME]],AD$42,TEAMS_GbG[[DATE]:[DATE]],"&lt;="&amp;TODAY(),TEAMS_GbG[[OPP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44" s="7" t="str">
        <f ca="1">IFERROR(IF($B44="","",IF(AE$42="","",IF($B44=AE$7,"-",COUNTIFS(TEAMS_GbG[[TM NAME]:[TM NAME]],AE$42,TEAMS_GbG[[DATE]:[DATE]],"&lt;="&amp;TODAY(),TEAMS_GbG[[OPP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44" s="7" t="str">
        <f ca="1">IFERROR(IF($B44="","",IF(AF$42="","",IF($B44=AF$7,"-",COUNTIFS(TEAMS_GbG[[TM NAME]:[TM NAME]],AF$42,TEAMS_GbG[[DATE]:[DATE]],"&lt;="&amp;TODAY(),TEAMS_GbG[[OPP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44" s="7" t="str">
        <f ca="1">IFERROR(IF($B44="","",IF(AG$42="","",IF($B44=AG$7,"-",COUNTIFS(TEAMS_GbG[[TM NAME]:[TM NAME]],AG$42,TEAMS_GbG[[DATE]:[DATE]],"&lt;="&amp;TODAY(),TEAMS_GbG[[OPP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44" s="7" t="str">
        <f ca="1">IFERROR(IF($B44="","",IF(AH$42="","",IF($B44=AH$7,"-",COUNTIFS(TEAMS_GbG[[TM NAME]:[TM NAME]],AH$42,TEAMS_GbG[[DATE]:[DATE]],"&lt;="&amp;TODAY(),TEAMS_GbG[[OPP NAME]:[OPP NAME]],"&lt;&gt;"&amp;$B44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44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44" s="52">
        <f t="shared" ref="AI44:AI74" ca="1" si="2">IFERROR(SUMPRODUCT($C9:$AH9,$C44:$AH44)/SUM($C9:$AH9),"-")</f>
        <v>0.56944444444444442</v>
      </c>
    </row>
    <row r="45" spans="2:35" x14ac:dyDescent="0.25">
      <c r="B45" s="1" t="str">
        <f t="shared" si="1"/>
        <v>AS Monaco</v>
      </c>
      <c r="C45" s="7">
        <f ca="1">IFERROR(IF($B45="","",IF(C$42="","",IF($B45=C$7,"-",COUNTIFS(TEAMS_GbG[[TM NAME]:[TM NAME]],C$42,TEAMS_GbG[[DATE]:[DATE]],"&lt;="&amp;TODAY(),TEAMS_GbG[[OPP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D45" s="7">
        <f ca="1">IFERROR(IF($B45="","",IF(D$42="","",IF($B45=D$7,"-",COUNTIFS(TEAMS_GbG[[TM NAME]:[TM NAME]],D$42,TEAMS_GbG[[DATE]:[DATE]],"&lt;="&amp;TODAY(),TEAMS_GbG[[OPP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E45" s="7" t="str">
        <f ca="1">IFERROR(IF($B45="","",IF(E$42="","",IF($B45=E$7,"-",COUNTIFS(TEAMS_GbG[[TM NAME]:[TM NAME]],E$42,TEAMS_GbG[[DATE]:[DATE]],"&lt;="&amp;TODAY(),TEAMS_GbG[[OPP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F45" s="7">
        <f ca="1">IFERROR(IF($B45="","",IF(F$42="","",IF($B45=F$7,"-",COUNTIFS(TEAMS_GbG[[TM NAME]:[TM NAME]],F$42,TEAMS_GbG[[DATE]:[DATE]],"&lt;="&amp;TODAY(),TEAMS_GbG[[OPP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G45" s="7">
        <f ca="1">IFERROR(IF($B45="","",IF(G$42="","",IF($B45=G$7,"-",COUNTIFS(TEAMS_GbG[[TM NAME]:[TM NAME]],G$42,TEAMS_GbG[[DATE]:[DATE]],"&lt;="&amp;TODAY(),TEAMS_GbG[[OPP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H45" s="7">
        <f ca="1">IFERROR(IF($B45="","",IF(H$42="","",IF($B45=H$7,"-",COUNTIFS(TEAMS_GbG[[TM NAME]:[TM NAME]],H$42,TEAMS_GbG[[DATE]:[DATE]],"&lt;="&amp;TODAY(),TEAMS_GbG[[OPP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I45" s="7">
        <f ca="1">IFERROR(IF($B45="","",IF(I$42="","",IF($B45=I$7,"-",COUNTIFS(TEAMS_GbG[[TM NAME]:[TM NAME]],I$42,TEAMS_GbG[[DATE]:[DATE]],"&lt;="&amp;TODAY(),TEAMS_GbG[[OPP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0.77777777777777779</v>
      </c>
      <c r="J45" s="7">
        <f ca="1">IFERROR(IF($B45="","",IF(J$42="","",IF($B45=J$7,"-",COUNTIFS(TEAMS_GbG[[TM NAME]:[TM NAME]],J$42,TEAMS_GbG[[DATE]:[DATE]],"&lt;="&amp;TODAY(),TEAMS_GbG[[OPP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K45" s="7">
        <f ca="1">IFERROR(IF($B45="","",IF(K$42="","",IF($B45=K$7,"-",COUNTIFS(TEAMS_GbG[[TM NAME]:[TM NAME]],K$42,TEAMS_GbG[[DATE]:[DATE]],"&lt;="&amp;TODAY(),TEAMS_GbG[[OPP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L45" s="7">
        <f ca="1">IFERROR(IF($B45="","",IF(L$42="","",IF($B45=L$7,"-",COUNTIFS(TEAMS_GbG[[TM NAME]:[TM NAME]],L$42,TEAMS_GbG[[DATE]:[DATE]],"&lt;="&amp;TODAY(),TEAMS_GbG[[OPP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M45" s="7">
        <f ca="1">IFERROR(IF($B45="","",IF(M$42="","",IF($B45=M$7,"-",COUNTIFS(TEAMS_GbG[[TM NAME]:[TM NAME]],M$42,TEAMS_GbG[[DATE]:[DATE]],"&lt;="&amp;TODAY(),TEAMS_GbG[[OPP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0.7142857142857143</v>
      </c>
      <c r="N45" s="7">
        <f ca="1">IFERROR(IF($B45="","",IF(N$42="","",IF($B45=N$7,"-",COUNTIFS(TEAMS_GbG[[TM NAME]:[TM NAME]],N$42,TEAMS_GbG[[DATE]:[DATE]],"&lt;="&amp;TODAY(),TEAMS_GbG[[OPP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O45" s="7">
        <f ca="1">IFERROR(IF($B45="","",IF(O$42="","",IF($B45=O$7,"-",COUNTIFS(TEAMS_GbG[[TM NAME]:[TM NAME]],O$42,TEAMS_GbG[[DATE]:[DATE]],"&lt;="&amp;TODAY(),TEAMS_GbG[[OPP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P45" s="7">
        <f ca="1">IFERROR(IF($B45="","",IF(P$42="","",IF($B45=P$7,"-",COUNTIFS(TEAMS_GbG[[TM NAME]:[TM NAME]],P$42,TEAMS_GbG[[DATE]:[DATE]],"&lt;="&amp;TODAY(),TEAMS_GbG[[OPP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Q45" s="7">
        <f ca="1">IFERROR(IF($B45="","",IF(Q$42="","",IF($B45=Q$7,"-",COUNTIFS(TEAMS_GbG[[TM NAME]:[TM NAME]],Q$42,TEAMS_GbG[[DATE]:[DATE]],"&lt;="&amp;TODAY(),TEAMS_GbG[[OPP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45" s="7">
        <f ca="1">IFERROR(IF($B45="","",IF(R$42="","",IF($B45=R$7,"-",COUNTIFS(TEAMS_GbG[[TM NAME]:[TM NAME]],R$42,TEAMS_GbG[[DATE]:[DATE]],"&lt;="&amp;TODAY(),TEAMS_GbG[[OPP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S45" s="7">
        <f ca="1">IFERROR(IF($B45="","",IF(S$42="","",IF($B45=S$7,"-",COUNTIFS(TEAMS_GbG[[TM NAME]:[TM NAME]],S$42,TEAMS_GbG[[DATE]:[DATE]],"&lt;="&amp;TODAY(),TEAMS_GbG[[OPP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T45" s="7">
        <f ca="1">IFERROR(IF($B45="","",IF(T$42="","",IF($B45=T$7,"-",COUNTIFS(TEAMS_GbG[[TM NAME]:[TM NAME]],T$42,TEAMS_GbG[[DATE]:[DATE]],"&lt;="&amp;TODAY(),TEAMS_GbG[[OPP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U45" s="7" t="str">
        <f ca="1">IFERROR(IF($B45="","",IF(U$42="","",IF($B45=U$7,"-",COUNTIFS(TEAMS_GbG[[TM NAME]:[TM NAME]],U$42,TEAMS_GbG[[DATE]:[DATE]],"&lt;="&amp;TODAY(),TEAMS_GbG[[OPP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45" s="7" t="str">
        <f ca="1">IFERROR(IF($B45="","",IF(V$42="","",IF($B45=V$7,"-",COUNTIFS(TEAMS_GbG[[TM NAME]:[TM NAME]],V$42,TEAMS_GbG[[DATE]:[DATE]],"&lt;="&amp;TODAY(),TEAMS_GbG[[OPP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45" s="7" t="str">
        <f ca="1">IFERROR(IF($B45="","",IF(W$42="","",IF($B45=W$7,"-",COUNTIFS(TEAMS_GbG[[TM NAME]:[TM NAME]],W$42,TEAMS_GbG[[DATE]:[DATE]],"&lt;="&amp;TODAY(),TEAMS_GbG[[OPP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45" s="7" t="str">
        <f ca="1">IFERROR(IF($B45="","",IF(X$42="","",IF($B45=X$7,"-",COUNTIFS(TEAMS_GbG[[TM NAME]:[TM NAME]],X$42,TEAMS_GbG[[DATE]:[DATE]],"&lt;="&amp;TODAY(),TEAMS_GbG[[OPP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45" s="7" t="str">
        <f ca="1">IFERROR(IF($B45="","",IF(Y$42="","",IF($B45=Y$7,"-",COUNTIFS(TEAMS_GbG[[TM NAME]:[TM NAME]],Y$42,TEAMS_GbG[[DATE]:[DATE]],"&lt;="&amp;TODAY(),TEAMS_GbG[[OPP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45" s="7" t="str">
        <f ca="1">IFERROR(IF($B45="","",IF(Z$42="","",IF($B45=Z$7,"-",COUNTIFS(TEAMS_GbG[[TM NAME]:[TM NAME]],Z$42,TEAMS_GbG[[DATE]:[DATE]],"&lt;="&amp;TODAY(),TEAMS_GbG[[OPP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45" s="7" t="str">
        <f ca="1">IFERROR(IF($B45="","",IF(AA$42="","",IF($B45=AA$7,"-",COUNTIFS(TEAMS_GbG[[TM NAME]:[TM NAME]],AA$42,TEAMS_GbG[[DATE]:[DATE]],"&lt;="&amp;TODAY(),TEAMS_GbG[[OPP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45" s="7" t="str">
        <f ca="1">IFERROR(IF($B45="","",IF(AB$42="","",IF($B45=AB$7,"-",COUNTIFS(TEAMS_GbG[[TM NAME]:[TM NAME]],AB$42,TEAMS_GbG[[DATE]:[DATE]],"&lt;="&amp;TODAY(),TEAMS_GbG[[OPP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45" s="7" t="str">
        <f ca="1">IFERROR(IF($B45="","",IF(AC$42="","",IF($B45=AC$7,"-",COUNTIFS(TEAMS_GbG[[TM NAME]:[TM NAME]],AC$42,TEAMS_GbG[[DATE]:[DATE]],"&lt;="&amp;TODAY(),TEAMS_GbG[[OPP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45" s="7" t="str">
        <f ca="1">IFERROR(IF($B45="","",IF(AD$42="","",IF($B45=AD$7,"-",COUNTIFS(TEAMS_GbG[[TM NAME]:[TM NAME]],AD$42,TEAMS_GbG[[DATE]:[DATE]],"&lt;="&amp;TODAY(),TEAMS_GbG[[OPP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45" s="7" t="str">
        <f ca="1">IFERROR(IF($B45="","",IF(AE$42="","",IF($B45=AE$7,"-",COUNTIFS(TEAMS_GbG[[TM NAME]:[TM NAME]],AE$42,TEAMS_GbG[[DATE]:[DATE]],"&lt;="&amp;TODAY(),TEAMS_GbG[[OPP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45" s="7" t="str">
        <f ca="1">IFERROR(IF($B45="","",IF(AF$42="","",IF($B45=AF$7,"-",COUNTIFS(TEAMS_GbG[[TM NAME]:[TM NAME]],AF$42,TEAMS_GbG[[DATE]:[DATE]],"&lt;="&amp;TODAY(),TEAMS_GbG[[OPP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45" s="7" t="str">
        <f ca="1">IFERROR(IF($B45="","",IF(AG$42="","",IF($B45=AG$7,"-",COUNTIFS(TEAMS_GbG[[TM NAME]:[TM NAME]],AG$42,TEAMS_GbG[[DATE]:[DATE]],"&lt;="&amp;TODAY(),TEAMS_GbG[[OPP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45" s="7" t="str">
        <f ca="1">IFERROR(IF($B45="","",IF(AH$42="","",IF($B45=AH$7,"-",COUNTIFS(TEAMS_GbG[[TM NAME]:[TM NAME]],AH$42,TEAMS_GbG[[DATE]:[DATE]],"&lt;="&amp;TODAY(),TEAMS_GbG[[OPP NAME]:[OPP NAME]],"&lt;&gt;"&amp;$B45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45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45" s="52">
        <f t="shared" ca="1" si="2"/>
        <v>0.48214285714285715</v>
      </c>
    </row>
    <row r="46" spans="2:35" x14ac:dyDescent="0.25">
      <c r="B46" s="1" t="str">
        <f t="shared" si="1"/>
        <v>Baskonia Vitoria-Gasteiz</v>
      </c>
      <c r="C46" s="7">
        <f ca="1">IFERROR(IF($B46="","",IF(C$42="","",IF($B46=C$7,"-",COUNTIFS(TEAMS_GbG[[TM NAME]:[TM NAME]],C$42,TEAMS_GbG[[DATE]:[DATE]],"&lt;="&amp;TODAY(),TEAMS_GbG[[OPP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D46" s="7">
        <f ca="1">IFERROR(IF($B46="","",IF(D$42="","",IF($B46=D$7,"-",COUNTIFS(TEAMS_GbG[[TM NAME]:[TM NAME]],D$42,TEAMS_GbG[[DATE]:[DATE]],"&lt;="&amp;TODAY(),TEAMS_GbG[[OPP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E46" s="7">
        <f ca="1">IFERROR(IF($B46="","",IF(E$42="","",IF($B46=E$7,"-",COUNTIFS(TEAMS_GbG[[TM NAME]:[TM NAME]],E$42,TEAMS_GbG[[DATE]:[DATE]],"&lt;="&amp;TODAY(),TEAMS_GbG[[OPP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F46" s="7" t="str">
        <f ca="1">IFERROR(IF($B46="","",IF(F$42="","",IF($B46=F$7,"-",COUNTIFS(TEAMS_GbG[[TM NAME]:[TM NAME]],F$42,TEAMS_GbG[[DATE]:[DATE]],"&lt;="&amp;TODAY(),TEAMS_GbG[[OPP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G46" s="7">
        <f ca="1">IFERROR(IF($B46="","",IF(G$42="","",IF($B46=G$7,"-",COUNTIFS(TEAMS_GbG[[TM NAME]:[TM NAME]],G$42,TEAMS_GbG[[DATE]:[DATE]],"&lt;="&amp;TODAY(),TEAMS_GbG[[OPP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H46" s="7">
        <f ca="1">IFERROR(IF($B46="","",IF(H$42="","",IF($B46=H$7,"-",COUNTIFS(TEAMS_GbG[[TM NAME]:[TM NAME]],H$42,TEAMS_GbG[[DATE]:[DATE]],"&lt;="&amp;TODAY(),TEAMS_GbG[[OPP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I46" s="7">
        <f ca="1">IFERROR(IF($B46="","",IF(I$42="","",IF($B46=I$7,"-",COUNTIFS(TEAMS_GbG[[TM NAME]:[TM NAME]],I$42,TEAMS_GbG[[DATE]:[DATE]],"&lt;="&amp;TODAY(),TEAMS_GbG[[OPP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0.875</v>
      </c>
      <c r="J46" s="7">
        <f ca="1">IFERROR(IF($B46="","",IF(J$42="","",IF($B46=J$7,"-",COUNTIFS(TEAMS_GbG[[TM NAME]:[TM NAME]],J$42,TEAMS_GbG[[DATE]:[DATE]],"&lt;="&amp;TODAY(),TEAMS_GbG[[OPP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K46" s="7">
        <f ca="1">IFERROR(IF($B46="","",IF(K$42="","",IF($B46=K$7,"-",COUNTIFS(TEAMS_GbG[[TM NAME]:[TM NAME]],K$42,TEAMS_GbG[[DATE]:[DATE]],"&lt;="&amp;TODAY(),TEAMS_GbG[[OPP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L46" s="7">
        <f ca="1">IFERROR(IF($B46="","",IF(L$42="","",IF($B46=L$7,"-",COUNTIFS(TEAMS_GbG[[TM NAME]:[TM NAME]],L$42,TEAMS_GbG[[DATE]:[DATE]],"&lt;="&amp;TODAY(),TEAMS_GbG[[OPP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M46" s="7">
        <f ca="1">IFERROR(IF($B46="","",IF(M$42="","",IF($B46=M$7,"-",COUNTIFS(TEAMS_GbG[[TM NAME]:[TM NAME]],M$42,TEAMS_GbG[[DATE]:[DATE]],"&lt;="&amp;TODAY(),TEAMS_GbG[[OPP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46" s="7">
        <f ca="1">IFERROR(IF($B46="","",IF(N$42="","",IF($B46=N$7,"-",COUNTIFS(TEAMS_GbG[[TM NAME]:[TM NAME]],N$42,TEAMS_GbG[[DATE]:[DATE]],"&lt;="&amp;TODAY(),TEAMS_GbG[[OPP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O46" s="7">
        <f ca="1">IFERROR(IF($B46="","",IF(O$42="","",IF($B46=O$7,"-",COUNTIFS(TEAMS_GbG[[TM NAME]:[TM NAME]],O$42,TEAMS_GbG[[DATE]:[DATE]],"&lt;="&amp;TODAY(),TEAMS_GbG[[OPP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P46" s="7">
        <f ca="1">IFERROR(IF($B46="","",IF(P$42="","",IF($B46=P$7,"-",COUNTIFS(TEAMS_GbG[[TM NAME]:[TM NAME]],P$42,TEAMS_GbG[[DATE]:[DATE]],"&lt;="&amp;TODAY(),TEAMS_GbG[[OPP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Q46" s="7">
        <f ca="1">IFERROR(IF($B46="","",IF(Q$42="","",IF($B46=Q$7,"-",COUNTIFS(TEAMS_GbG[[TM NAME]:[TM NAME]],Q$42,TEAMS_GbG[[DATE]:[DATE]],"&lt;="&amp;TODAY(),TEAMS_GbG[[OPP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46" s="7">
        <f ca="1">IFERROR(IF($B46="","",IF(R$42="","",IF($B46=R$7,"-",COUNTIFS(TEAMS_GbG[[TM NAME]:[TM NAME]],R$42,TEAMS_GbG[[DATE]:[DATE]],"&lt;="&amp;TODAY(),TEAMS_GbG[[OPP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S46" s="7">
        <f ca="1">IFERROR(IF($B46="","",IF(S$42="","",IF($B46=S$7,"-",COUNTIFS(TEAMS_GbG[[TM NAME]:[TM NAME]],S$42,TEAMS_GbG[[DATE]:[DATE]],"&lt;="&amp;TODAY(),TEAMS_GbG[[OPP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0.66666666666666663</v>
      </c>
      <c r="T46" s="7">
        <f ca="1">IFERROR(IF($B46="","",IF(T$42="","",IF($B46=T$7,"-",COUNTIFS(TEAMS_GbG[[TM NAME]:[TM NAME]],T$42,TEAMS_GbG[[DATE]:[DATE]],"&lt;="&amp;TODAY(),TEAMS_GbG[[OPP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U46" s="7" t="str">
        <f ca="1">IFERROR(IF($B46="","",IF(U$42="","",IF($B46=U$7,"-",COUNTIFS(TEAMS_GbG[[TM NAME]:[TM NAME]],U$42,TEAMS_GbG[[DATE]:[DATE]],"&lt;="&amp;TODAY(),TEAMS_GbG[[OPP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46" s="7" t="str">
        <f ca="1">IFERROR(IF($B46="","",IF(V$42="","",IF($B46=V$7,"-",COUNTIFS(TEAMS_GbG[[TM NAME]:[TM NAME]],V$42,TEAMS_GbG[[DATE]:[DATE]],"&lt;="&amp;TODAY(),TEAMS_GbG[[OPP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46" s="7" t="str">
        <f ca="1">IFERROR(IF($B46="","",IF(W$42="","",IF($B46=W$7,"-",COUNTIFS(TEAMS_GbG[[TM NAME]:[TM NAME]],W$42,TEAMS_GbG[[DATE]:[DATE]],"&lt;="&amp;TODAY(),TEAMS_GbG[[OPP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46" s="7" t="str">
        <f ca="1">IFERROR(IF($B46="","",IF(X$42="","",IF($B46=X$7,"-",COUNTIFS(TEAMS_GbG[[TM NAME]:[TM NAME]],X$42,TEAMS_GbG[[DATE]:[DATE]],"&lt;="&amp;TODAY(),TEAMS_GbG[[OPP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46" s="7" t="str">
        <f ca="1">IFERROR(IF($B46="","",IF(Y$42="","",IF($B46=Y$7,"-",COUNTIFS(TEAMS_GbG[[TM NAME]:[TM NAME]],Y$42,TEAMS_GbG[[DATE]:[DATE]],"&lt;="&amp;TODAY(),TEAMS_GbG[[OPP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46" s="7" t="str">
        <f ca="1">IFERROR(IF($B46="","",IF(Z$42="","",IF($B46=Z$7,"-",COUNTIFS(TEAMS_GbG[[TM NAME]:[TM NAME]],Z$42,TEAMS_GbG[[DATE]:[DATE]],"&lt;="&amp;TODAY(),TEAMS_GbG[[OPP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46" s="7" t="str">
        <f ca="1">IFERROR(IF($B46="","",IF(AA$42="","",IF($B46=AA$7,"-",COUNTIFS(TEAMS_GbG[[TM NAME]:[TM NAME]],AA$42,TEAMS_GbG[[DATE]:[DATE]],"&lt;="&amp;TODAY(),TEAMS_GbG[[OPP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46" s="7" t="str">
        <f ca="1">IFERROR(IF($B46="","",IF(AB$42="","",IF($B46=AB$7,"-",COUNTIFS(TEAMS_GbG[[TM NAME]:[TM NAME]],AB$42,TEAMS_GbG[[DATE]:[DATE]],"&lt;="&amp;TODAY(),TEAMS_GbG[[OPP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46" s="7" t="str">
        <f ca="1">IFERROR(IF($B46="","",IF(AC$42="","",IF($B46=AC$7,"-",COUNTIFS(TEAMS_GbG[[TM NAME]:[TM NAME]],AC$42,TEAMS_GbG[[DATE]:[DATE]],"&lt;="&amp;TODAY(),TEAMS_GbG[[OPP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46" s="7" t="str">
        <f ca="1">IFERROR(IF($B46="","",IF(AD$42="","",IF($B46=AD$7,"-",COUNTIFS(TEAMS_GbG[[TM NAME]:[TM NAME]],AD$42,TEAMS_GbG[[DATE]:[DATE]],"&lt;="&amp;TODAY(),TEAMS_GbG[[OPP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46" s="7" t="str">
        <f ca="1">IFERROR(IF($B46="","",IF(AE$42="","",IF($B46=AE$7,"-",COUNTIFS(TEAMS_GbG[[TM NAME]:[TM NAME]],AE$42,TEAMS_GbG[[DATE]:[DATE]],"&lt;="&amp;TODAY(),TEAMS_GbG[[OPP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46" s="7" t="str">
        <f ca="1">IFERROR(IF($B46="","",IF(AF$42="","",IF($B46=AF$7,"-",COUNTIFS(TEAMS_GbG[[TM NAME]:[TM NAME]],AF$42,TEAMS_GbG[[DATE]:[DATE]],"&lt;="&amp;TODAY(),TEAMS_GbG[[OPP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46" s="7" t="str">
        <f ca="1">IFERROR(IF($B46="","",IF(AG$42="","",IF($B46=AG$7,"-",COUNTIFS(TEAMS_GbG[[TM NAME]:[TM NAME]],AG$42,TEAMS_GbG[[DATE]:[DATE]],"&lt;="&amp;TODAY(),TEAMS_GbG[[OPP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46" s="7" t="str">
        <f ca="1">IFERROR(IF($B46="","",IF(AH$42="","",IF($B46=AH$7,"-",COUNTIFS(TEAMS_GbG[[TM NAME]:[TM NAME]],AH$42,TEAMS_GbG[[DATE]:[DATE]],"&lt;="&amp;TODAY(),TEAMS_GbG[[OPP NAME]:[OPP NAME]],"&lt;&gt;"&amp;$B46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46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46" s="52">
        <f t="shared" ca="1" si="2"/>
        <v>0.5</v>
      </c>
    </row>
    <row r="47" spans="2:35" x14ac:dyDescent="0.25">
      <c r="B47" s="1" t="str">
        <f t="shared" si="1"/>
        <v>Crvena Zvezda Meridianbet Belgrade</v>
      </c>
      <c r="C47" s="7">
        <f ca="1">IFERROR(IF($B47="","",IF(C$42="","",IF($B47=C$7,"-",COUNTIFS(TEAMS_GbG[[TM NAME]:[TM NAME]],C$42,TEAMS_GbG[[DATE]:[DATE]],"&lt;="&amp;TODAY(),TEAMS_GbG[[OPP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0.1111111111111111</v>
      </c>
      <c r="D47" s="7">
        <f ca="1">IFERROR(IF($B47="","",IF(D$42="","",IF($B47=D$7,"-",COUNTIFS(TEAMS_GbG[[TM NAME]:[TM NAME]],D$42,TEAMS_GbG[[DATE]:[DATE]],"&lt;="&amp;TODAY(),TEAMS_GbG[[OPP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E47" s="7">
        <f ca="1">IFERROR(IF($B47="","",IF(E$42="","",IF($B47=E$7,"-",COUNTIFS(TEAMS_GbG[[TM NAME]:[TM NAME]],E$42,TEAMS_GbG[[DATE]:[DATE]],"&lt;="&amp;TODAY(),TEAMS_GbG[[OPP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F47" s="7">
        <f ca="1">IFERROR(IF($B47="","",IF(F$42="","",IF($B47=F$7,"-",COUNTIFS(TEAMS_GbG[[TM NAME]:[TM NAME]],F$42,TEAMS_GbG[[DATE]:[DATE]],"&lt;="&amp;TODAY(),TEAMS_GbG[[OPP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G47" s="7" t="str">
        <f ca="1">IFERROR(IF($B47="","",IF(G$42="","",IF($B47=G$7,"-",COUNTIFS(TEAMS_GbG[[TM NAME]:[TM NAME]],G$42,TEAMS_GbG[[DATE]:[DATE]],"&lt;="&amp;TODAY(),TEAMS_GbG[[OPP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H47" s="7">
        <f ca="1">IFERROR(IF($B47="","",IF(H$42="","",IF($B47=H$7,"-",COUNTIFS(TEAMS_GbG[[TM NAME]:[TM NAME]],H$42,TEAMS_GbG[[DATE]:[DATE]],"&lt;="&amp;TODAY(),TEAMS_GbG[[OPP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I47" s="7">
        <f ca="1">IFERROR(IF($B47="","",IF(I$42="","",IF($B47=I$7,"-",COUNTIFS(TEAMS_GbG[[TM NAME]:[TM NAME]],I$42,TEAMS_GbG[[DATE]:[DATE]],"&lt;="&amp;TODAY(),TEAMS_GbG[[OPP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J47" s="7">
        <f ca="1">IFERROR(IF($B47="","",IF(J$42="","",IF($B47=J$7,"-",COUNTIFS(TEAMS_GbG[[TM NAME]:[TM NAME]],J$42,TEAMS_GbG[[DATE]:[DATE]],"&lt;="&amp;TODAY(),TEAMS_GbG[[OPP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K47" s="7">
        <f ca="1">IFERROR(IF($B47="","",IF(K$42="","",IF($B47=K$7,"-",COUNTIFS(TEAMS_GbG[[TM NAME]:[TM NAME]],K$42,TEAMS_GbG[[DATE]:[DATE]],"&lt;="&amp;TODAY(),TEAMS_GbG[[OPP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L47" s="7">
        <f ca="1">IFERROR(IF($B47="","",IF(L$42="","",IF($B47=L$7,"-",COUNTIFS(TEAMS_GbG[[TM NAME]:[TM NAME]],L$42,TEAMS_GbG[[DATE]:[DATE]],"&lt;="&amp;TODAY(),TEAMS_GbG[[OPP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M47" s="7">
        <f ca="1">IFERROR(IF($B47="","",IF(M$42="","",IF($B47=M$7,"-",COUNTIFS(TEAMS_GbG[[TM NAME]:[TM NAME]],M$42,TEAMS_GbG[[DATE]:[DATE]],"&lt;="&amp;TODAY(),TEAMS_GbG[[OPP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47" s="7">
        <f ca="1">IFERROR(IF($B47="","",IF(N$42="","",IF($B47=N$7,"-",COUNTIFS(TEAMS_GbG[[TM NAME]:[TM NAME]],N$42,TEAMS_GbG[[DATE]:[DATE]],"&lt;="&amp;TODAY(),TEAMS_GbG[[OPP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O47" s="7">
        <f ca="1">IFERROR(IF($B47="","",IF(O$42="","",IF($B47=O$7,"-",COUNTIFS(TEAMS_GbG[[TM NAME]:[TM NAME]],O$42,TEAMS_GbG[[DATE]:[DATE]],"&lt;="&amp;TODAY(),TEAMS_GbG[[OPP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P47" s="7">
        <f ca="1">IFERROR(IF($B47="","",IF(P$42="","",IF($B47=P$7,"-",COUNTIFS(TEAMS_GbG[[TM NAME]:[TM NAME]],P$42,TEAMS_GbG[[DATE]:[DATE]],"&lt;="&amp;TODAY(),TEAMS_GbG[[OPP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Q47" s="7">
        <f ca="1">IFERROR(IF($B47="","",IF(Q$42="","",IF($B47=Q$7,"-",COUNTIFS(TEAMS_GbG[[TM NAME]:[TM NAME]],Q$42,TEAMS_GbG[[DATE]:[DATE]],"&lt;="&amp;TODAY(),TEAMS_GbG[[OPP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47" s="7">
        <f ca="1">IFERROR(IF($B47="","",IF(R$42="","",IF($B47=R$7,"-",COUNTIFS(TEAMS_GbG[[TM NAME]:[TM NAME]],R$42,TEAMS_GbG[[DATE]:[DATE]],"&lt;="&amp;TODAY(),TEAMS_GbG[[OPP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S47" s="7">
        <f ca="1">IFERROR(IF($B47="","",IF(S$42="","",IF($B47=S$7,"-",COUNTIFS(TEAMS_GbG[[TM NAME]:[TM NAME]],S$42,TEAMS_GbG[[DATE]:[DATE]],"&lt;="&amp;TODAY(),TEAMS_GbG[[OPP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T47" s="7">
        <f ca="1">IFERROR(IF($B47="","",IF(T$42="","",IF($B47=T$7,"-",COUNTIFS(TEAMS_GbG[[TM NAME]:[TM NAME]],T$42,TEAMS_GbG[[DATE]:[DATE]],"&lt;="&amp;TODAY(),TEAMS_GbG[[OPP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U47" s="7" t="str">
        <f ca="1">IFERROR(IF($B47="","",IF(U$42="","",IF($B47=U$7,"-",COUNTIFS(TEAMS_GbG[[TM NAME]:[TM NAME]],U$42,TEAMS_GbG[[DATE]:[DATE]],"&lt;="&amp;TODAY(),TEAMS_GbG[[OPP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47" s="7" t="str">
        <f ca="1">IFERROR(IF($B47="","",IF(V$42="","",IF($B47=V$7,"-",COUNTIFS(TEAMS_GbG[[TM NAME]:[TM NAME]],V$42,TEAMS_GbG[[DATE]:[DATE]],"&lt;="&amp;TODAY(),TEAMS_GbG[[OPP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47" s="7" t="str">
        <f ca="1">IFERROR(IF($B47="","",IF(W$42="","",IF($B47=W$7,"-",COUNTIFS(TEAMS_GbG[[TM NAME]:[TM NAME]],W$42,TEAMS_GbG[[DATE]:[DATE]],"&lt;="&amp;TODAY(),TEAMS_GbG[[OPP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47" s="7" t="str">
        <f ca="1">IFERROR(IF($B47="","",IF(X$42="","",IF($B47=X$7,"-",COUNTIFS(TEAMS_GbG[[TM NAME]:[TM NAME]],X$42,TEAMS_GbG[[DATE]:[DATE]],"&lt;="&amp;TODAY(),TEAMS_GbG[[OPP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47" s="7" t="str">
        <f ca="1">IFERROR(IF($B47="","",IF(Y$42="","",IF($B47=Y$7,"-",COUNTIFS(TEAMS_GbG[[TM NAME]:[TM NAME]],Y$42,TEAMS_GbG[[DATE]:[DATE]],"&lt;="&amp;TODAY(),TEAMS_GbG[[OPP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47" s="7" t="str">
        <f ca="1">IFERROR(IF($B47="","",IF(Z$42="","",IF($B47=Z$7,"-",COUNTIFS(TEAMS_GbG[[TM NAME]:[TM NAME]],Z$42,TEAMS_GbG[[DATE]:[DATE]],"&lt;="&amp;TODAY(),TEAMS_GbG[[OPP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47" s="7" t="str">
        <f ca="1">IFERROR(IF($B47="","",IF(AA$42="","",IF($B47=AA$7,"-",COUNTIFS(TEAMS_GbG[[TM NAME]:[TM NAME]],AA$42,TEAMS_GbG[[DATE]:[DATE]],"&lt;="&amp;TODAY(),TEAMS_GbG[[OPP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47" s="7" t="str">
        <f ca="1">IFERROR(IF($B47="","",IF(AB$42="","",IF($B47=AB$7,"-",COUNTIFS(TEAMS_GbG[[TM NAME]:[TM NAME]],AB$42,TEAMS_GbG[[DATE]:[DATE]],"&lt;="&amp;TODAY(),TEAMS_GbG[[OPP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47" s="7" t="str">
        <f ca="1">IFERROR(IF($B47="","",IF(AC$42="","",IF($B47=AC$7,"-",COUNTIFS(TEAMS_GbG[[TM NAME]:[TM NAME]],AC$42,TEAMS_GbG[[DATE]:[DATE]],"&lt;="&amp;TODAY(),TEAMS_GbG[[OPP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47" s="7" t="str">
        <f ca="1">IFERROR(IF($B47="","",IF(AD$42="","",IF($B47=AD$7,"-",COUNTIFS(TEAMS_GbG[[TM NAME]:[TM NAME]],AD$42,TEAMS_GbG[[DATE]:[DATE]],"&lt;="&amp;TODAY(),TEAMS_GbG[[OPP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47" s="7" t="str">
        <f ca="1">IFERROR(IF($B47="","",IF(AE$42="","",IF($B47=AE$7,"-",COUNTIFS(TEAMS_GbG[[TM NAME]:[TM NAME]],AE$42,TEAMS_GbG[[DATE]:[DATE]],"&lt;="&amp;TODAY(),TEAMS_GbG[[OPP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47" s="7" t="str">
        <f ca="1">IFERROR(IF($B47="","",IF(AF$42="","",IF($B47=AF$7,"-",COUNTIFS(TEAMS_GbG[[TM NAME]:[TM NAME]],AF$42,TEAMS_GbG[[DATE]:[DATE]],"&lt;="&amp;TODAY(),TEAMS_GbG[[OPP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47" s="7" t="str">
        <f ca="1">IFERROR(IF($B47="","",IF(AG$42="","",IF($B47=AG$7,"-",COUNTIFS(TEAMS_GbG[[TM NAME]:[TM NAME]],AG$42,TEAMS_GbG[[DATE]:[DATE]],"&lt;="&amp;TODAY(),TEAMS_GbG[[OPP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47" s="7" t="str">
        <f ca="1">IFERROR(IF($B47="","",IF(AH$42="","",IF($B47=AH$7,"-",COUNTIFS(TEAMS_GbG[[TM NAME]:[TM NAME]],AH$42,TEAMS_GbG[[DATE]:[DATE]],"&lt;="&amp;TODAY(),TEAMS_GbG[[OPP NAME]:[OPP NAME]],"&lt;&gt;"&amp;$B47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47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47" s="52">
        <f t="shared" ca="1" si="2"/>
        <v>0.4861111111111111</v>
      </c>
    </row>
    <row r="48" spans="2:35" x14ac:dyDescent="0.25">
      <c r="B48" s="1" t="str">
        <f t="shared" si="1"/>
        <v>EA7 Emporio Armani Milan</v>
      </c>
      <c r="C48" s="7">
        <f ca="1">IFERROR(IF($B48="","",IF(C$42="","",IF($B48=C$7,"-",COUNTIFS(TEAMS_GbG[[TM NAME]:[TM NAME]],C$42,TEAMS_GbG[[DATE]:[DATE]],"&lt;="&amp;TODAY(),TEAMS_GbG[[OPP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</v>
      </c>
      <c r="D48" s="7">
        <f ca="1">IFERROR(IF($B48="","",IF(D$42="","",IF($B48=D$7,"-",COUNTIFS(TEAMS_GbG[[TM NAME]:[TM NAME]],D$42,TEAMS_GbG[[DATE]:[DATE]],"&lt;="&amp;TODAY(),TEAMS_GbG[[OPP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E48" s="7">
        <f ca="1">IFERROR(IF($B48="","",IF(E$42="","",IF($B48=E$7,"-",COUNTIFS(TEAMS_GbG[[TM NAME]:[TM NAME]],E$42,TEAMS_GbG[[DATE]:[DATE]],"&lt;="&amp;TODAY(),TEAMS_GbG[[OPP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F48" s="7">
        <f ca="1">IFERROR(IF($B48="","",IF(F$42="","",IF($B48=F$7,"-",COUNTIFS(TEAMS_GbG[[TM NAME]:[TM NAME]],F$42,TEAMS_GbG[[DATE]:[DATE]],"&lt;="&amp;TODAY(),TEAMS_GbG[[OPP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G48" s="7">
        <f ca="1">IFERROR(IF($B48="","",IF(G$42="","",IF($B48=G$7,"-",COUNTIFS(TEAMS_GbG[[TM NAME]:[TM NAME]],G$42,TEAMS_GbG[[DATE]:[DATE]],"&lt;="&amp;TODAY(),TEAMS_GbG[[OPP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H48" s="7" t="str">
        <f ca="1">IFERROR(IF($B48="","",IF(H$42="","",IF($B48=H$7,"-",COUNTIFS(TEAMS_GbG[[TM NAME]:[TM NAME]],H$42,TEAMS_GbG[[DATE]:[DATE]],"&lt;="&amp;TODAY(),TEAMS_GbG[[OPP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I48" s="7">
        <f ca="1">IFERROR(IF($B48="","",IF(I$42="","",IF($B48=I$7,"-",COUNTIFS(TEAMS_GbG[[TM NAME]:[TM NAME]],I$42,TEAMS_GbG[[DATE]:[DATE]],"&lt;="&amp;TODAY(),TEAMS_GbG[[OPP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0.77777777777777779</v>
      </c>
      <c r="J48" s="7">
        <f ca="1">IFERROR(IF($B48="","",IF(J$42="","",IF($B48=J$7,"-",COUNTIFS(TEAMS_GbG[[TM NAME]:[TM NAME]],J$42,TEAMS_GbG[[DATE]:[DATE]],"&lt;="&amp;TODAY(),TEAMS_GbG[[OPP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K48" s="7">
        <f ca="1">IFERROR(IF($B48="","",IF(K$42="","",IF($B48=K$7,"-",COUNTIFS(TEAMS_GbG[[TM NAME]:[TM NAME]],K$42,TEAMS_GbG[[DATE]:[DATE]],"&lt;="&amp;TODAY(),TEAMS_GbG[[OPP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L48" s="7">
        <f ca="1">IFERROR(IF($B48="","",IF(L$42="","",IF($B48=L$7,"-",COUNTIFS(TEAMS_GbG[[TM NAME]:[TM NAME]],L$42,TEAMS_GbG[[DATE]:[DATE]],"&lt;="&amp;TODAY(),TEAMS_GbG[[OPP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0.22222222222222221</v>
      </c>
      <c r="M48" s="7">
        <f ca="1">IFERROR(IF($B48="","",IF(M$42="","",IF($B48=M$7,"-",COUNTIFS(TEAMS_GbG[[TM NAME]:[TM NAME]],M$42,TEAMS_GbG[[DATE]:[DATE]],"&lt;="&amp;TODAY(),TEAMS_GbG[[OPP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0.5714285714285714</v>
      </c>
      <c r="N48" s="7">
        <f ca="1">IFERROR(IF($B48="","",IF(N$42="","",IF($B48=N$7,"-",COUNTIFS(TEAMS_GbG[[TM NAME]:[TM NAME]],N$42,TEAMS_GbG[[DATE]:[DATE]],"&lt;="&amp;TODAY(),TEAMS_GbG[[OPP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O48" s="7">
        <f ca="1">IFERROR(IF($B48="","",IF(O$42="","",IF($B48=O$7,"-",COUNTIFS(TEAMS_GbG[[TM NAME]:[TM NAME]],O$42,TEAMS_GbG[[DATE]:[DATE]],"&lt;="&amp;TODAY(),TEAMS_GbG[[OPP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P48" s="7">
        <f ca="1">IFERROR(IF($B48="","",IF(P$42="","",IF($B48=P$7,"-",COUNTIFS(TEAMS_GbG[[TM NAME]:[TM NAME]],P$42,TEAMS_GbG[[DATE]:[DATE]],"&lt;="&amp;TODAY(),TEAMS_GbG[[OPP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Q48" s="7">
        <f ca="1">IFERROR(IF($B48="","",IF(Q$42="","",IF($B48=Q$7,"-",COUNTIFS(TEAMS_GbG[[TM NAME]:[TM NAME]],Q$42,TEAMS_GbG[[DATE]:[DATE]],"&lt;="&amp;TODAY(),TEAMS_GbG[[OPP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48" s="7">
        <f ca="1">IFERROR(IF($B48="","",IF(R$42="","",IF($B48=R$7,"-",COUNTIFS(TEAMS_GbG[[TM NAME]:[TM NAME]],R$42,TEAMS_GbG[[DATE]:[DATE]],"&lt;="&amp;TODAY(),TEAMS_GbG[[OPP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S48" s="7">
        <f ca="1">IFERROR(IF($B48="","",IF(S$42="","",IF($B48=S$7,"-",COUNTIFS(TEAMS_GbG[[TM NAME]:[TM NAME]],S$42,TEAMS_GbG[[DATE]:[DATE]],"&lt;="&amp;TODAY(),TEAMS_GbG[[OPP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T48" s="7">
        <f ca="1">IFERROR(IF($B48="","",IF(T$42="","",IF($B48=T$7,"-",COUNTIFS(TEAMS_GbG[[TM NAME]:[TM NAME]],T$42,TEAMS_GbG[[DATE]:[DATE]],"&lt;="&amp;TODAY(),TEAMS_GbG[[OPP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U48" s="7" t="str">
        <f ca="1">IFERROR(IF($B48="","",IF(U$42="","",IF($B48=U$7,"-",COUNTIFS(TEAMS_GbG[[TM NAME]:[TM NAME]],U$42,TEAMS_GbG[[DATE]:[DATE]],"&lt;="&amp;TODAY(),TEAMS_GbG[[OPP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48" s="7" t="str">
        <f ca="1">IFERROR(IF($B48="","",IF(V$42="","",IF($B48=V$7,"-",COUNTIFS(TEAMS_GbG[[TM NAME]:[TM NAME]],V$42,TEAMS_GbG[[DATE]:[DATE]],"&lt;="&amp;TODAY(),TEAMS_GbG[[OPP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48" s="7" t="str">
        <f ca="1">IFERROR(IF($B48="","",IF(W$42="","",IF($B48=W$7,"-",COUNTIFS(TEAMS_GbG[[TM NAME]:[TM NAME]],W$42,TEAMS_GbG[[DATE]:[DATE]],"&lt;="&amp;TODAY(),TEAMS_GbG[[OPP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48" s="7" t="str">
        <f ca="1">IFERROR(IF($B48="","",IF(X$42="","",IF($B48=X$7,"-",COUNTIFS(TEAMS_GbG[[TM NAME]:[TM NAME]],X$42,TEAMS_GbG[[DATE]:[DATE]],"&lt;="&amp;TODAY(),TEAMS_GbG[[OPP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48" s="7" t="str">
        <f ca="1">IFERROR(IF($B48="","",IF(Y$42="","",IF($B48=Y$7,"-",COUNTIFS(TEAMS_GbG[[TM NAME]:[TM NAME]],Y$42,TEAMS_GbG[[DATE]:[DATE]],"&lt;="&amp;TODAY(),TEAMS_GbG[[OPP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48" s="7" t="str">
        <f ca="1">IFERROR(IF($B48="","",IF(Z$42="","",IF($B48=Z$7,"-",COUNTIFS(TEAMS_GbG[[TM NAME]:[TM NAME]],Z$42,TEAMS_GbG[[DATE]:[DATE]],"&lt;="&amp;TODAY(),TEAMS_GbG[[OPP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48" s="7" t="str">
        <f ca="1">IFERROR(IF($B48="","",IF(AA$42="","",IF($B48=AA$7,"-",COUNTIFS(TEAMS_GbG[[TM NAME]:[TM NAME]],AA$42,TEAMS_GbG[[DATE]:[DATE]],"&lt;="&amp;TODAY(),TEAMS_GbG[[OPP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48" s="7" t="str">
        <f ca="1">IFERROR(IF($B48="","",IF(AB$42="","",IF($B48=AB$7,"-",COUNTIFS(TEAMS_GbG[[TM NAME]:[TM NAME]],AB$42,TEAMS_GbG[[DATE]:[DATE]],"&lt;="&amp;TODAY(),TEAMS_GbG[[OPP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48" s="7" t="str">
        <f ca="1">IFERROR(IF($B48="","",IF(AC$42="","",IF($B48=AC$7,"-",COUNTIFS(TEAMS_GbG[[TM NAME]:[TM NAME]],AC$42,TEAMS_GbG[[DATE]:[DATE]],"&lt;="&amp;TODAY(),TEAMS_GbG[[OPP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48" s="7" t="str">
        <f ca="1">IFERROR(IF($B48="","",IF(AD$42="","",IF($B48=AD$7,"-",COUNTIFS(TEAMS_GbG[[TM NAME]:[TM NAME]],AD$42,TEAMS_GbG[[DATE]:[DATE]],"&lt;="&amp;TODAY(),TEAMS_GbG[[OPP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48" s="7" t="str">
        <f ca="1">IFERROR(IF($B48="","",IF(AE$42="","",IF($B48=AE$7,"-",COUNTIFS(TEAMS_GbG[[TM NAME]:[TM NAME]],AE$42,TEAMS_GbG[[DATE]:[DATE]],"&lt;="&amp;TODAY(),TEAMS_GbG[[OPP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48" s="7" t="str">
        <f ca="1">IFERROR(IF($B48="","",IF(AF$42="","",IF($B48=AF$7,"-",COUNTIFS(TEAMS_GbG[[TM NAME]:[TM NAME]],AF$42,TEAMS_GbG[[DATE]:[DATE]],"&lt;="&amp;TODAY(),TEAMS_GbG[[OPP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48" s="7" t="str">
        <f ca="1">IFERROR(IF($B48="","",IF(AG$42="","",IF($B48=AG$7,"-",COUNTIFS(TEAMS_GbG[[TM NAME]:[TM NAME]],AG$42,TEAMS_GbG[[DATE]:[DATE]],"&lt;="&amp;TODAY(),TEAMS_GbG[[OPP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48" s="7" t="str">
        <f ca="1">IFERROR(IF($B48="","",IF(AH$42="","",IF($B48=AH$7,"-",COUNTIFS(TEAMS_GbG[[TM NAME]:[TM NAME]],AH$42,TEAMS_GbG[[DATE]:[DATE]],"&lt;="&amp;TODAY(),TEAMS_GbG[[OPP NAME]:[OPP NAME]],"&lt;&gt;"&amp;$B48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48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48" s="52">
        <f t="shared" ca="1" si="2"/>
        <v>0.54960317460317454</v>
      </c>
    </row>
    <row r="49" spans="2:35" x14ac:dyDescent="0.25">
      <c r="B49" s="1" t="str">
        <f t="shared" si="1"/>
        <v>FC Barcelona</v>
      </c>
      <c r="C49" s="7">
        <f ca="1">IFERROR(IF($B49="","",IF(C$42="","",IF($B49=C$7,"-",COUNTIFS(TEAMS_GbG[[TM NAME]:[TM NAME]],C$42,TEAMS_GbG[[DATE]:[DATE]],"&lt;="&amp;TODAY(),TEAMS_GbG[[OPP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0.1111111111111111</v>
      </c>
      <c r="D49" s="7">
        <f ca="1">IFERROR(IF($B49="","",IF(D$42="","",IF($B49=D$7,"-",COUNTIFS(TEAMS_GbG[[TM NAME]:[TM NAME]],D$42,TEAMS_GbG[[DATE]:[DATE]],"&lt;="&amp;TODAY(),TEAMS_GbG[[OPP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E49" s="7">
        <f ca="1">IFERROR(IF($B49="","",IF(E$42="","",IF($B49=E$7,"-",COUNTIFS(TEAMS_GbG[[TM NAME]:[TM NAME]],E$42,TEAMS_GbG[[DATE]:[DATE]],"&lt;="&amp;TODAY(),TEAMS_GbG[[OPP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F49" s="7">
        <f ca="1">IFERROR(IF($B49="","",IF(F$42="","",IF($B49=F$7,"-",COUNTIFS(TEAMS_GbG[[TM NAME]:[TM NAME]],F$42,TEAMS_GbG[[DATE]:[DATE]],"&lt;="&amp;TODAY(),TEAMS_GbG[[OPP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G49" s="7">
        <f ca="1">IFERROR(IF($B49="","",IF(G$42="","",IF($B49=G$7,"-",COUNTIFS(TEAMS_GbG[[TM NAME]:[TM NAME]],G$42,TEAMS_GbG[[DATE]:[DATE]],"&lt;="&amp;TODAY(),TEAMS_GbG[[OPP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H49" s="7">
        <f ca="1">IFERROR(IF($B49="","",IF(H$42="","",IF($B49=H$7,"-",COUNTIFS(TEAMS_GbG[[TM NAME]:[TM NAME]],H$42,TEAMS_GbG[[DATE]:[DATE]],"&lt;="&amp;TODAY(),TEAMS_GbG[[OPP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I49" s="7" t="str">
        <f ca="1">IFERROR(IF($B49="","",IF(I$42="","",IF($B49=I$7,"-",COUNTIFS(TEAMS_GbG[[TM NAME]:[TM NAME]],I$42,TEAMS_GbG[[DATE]:[DATE]],"&lt;="&amp;TODAY(),TEAMS_GbG[[OPP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J49" s="7">
        <f ca="1">IFERROR(IF($B49="","",IF(J$42="","",IF($B49=J$7,"-",COUNTIFS(TEAMS_GbG[[TM NAME]:[TM NAME]],J$42,TEAMS_GbG[[DATE]:[DATE]],"&lt;="&amp;TODAY(),TEAMS_GbG[[OPP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K49" s="7">
        <f ca="1">IFERROR(IF($B49="","",IF(K$42="","",IF($B49=K$7,"-",COUNTIFS(TEAMS_GbG[[TM NAME]:[TM NAME]],K$42,TEAMS_GbG[[DATE]:[DATE]],"&lt;="&amp;TODAY(),TEAMS_GbG[[OPP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L49" s="7">
        <f ca="1">IFERROR(IF($B49="","",IF(L$42="","",IF($B49=L$7,"-",COUNTIFS(TEAMS_GbG[[TM NAME]:[TM NAME]],L$42,TEAMS_GbG[[DATE]:[DATE]],"&lt;="&amp;TODAY(),TEAMS_GbG[[OPP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0.22222222222222221</v>
      </c>
      <c r="M49" s="7">
        <f ca="1">IFERROR(IF($B49="","",IF(M$42="","",IF($B49=M$7,"-",COUNTIFS(TEAMS_GbG[[TM NAME]:[TM NAME]],M$42,TEAMS_GbG[[DATE]:[DATE]],"&lt;="&amp;TODAY(),TEAMS_GbG[[OPP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49" s="7">
        <f ca="1">IFERROR(IF($B49="","",IF(N$42="","",IF($B49=N$7,"-",COUNTIFS(TEAMS_GbG[[TM NAME]:[TM NAME]],N$42,TEAMS_GbG[[DATE]:[DATE]],"&lt;="&amp;TODAY(),TEAMS_GbG[[OPP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O49" s="7">
        <f ca="1">IFERROR(IF($B49="","",IF(O$42="","",IF($B49=O$7,"-",COUNTIFS(TEAMS_GbG[[TM NAME]:[TM NAME]],O$42,TEAMS_GbG[[DATE]:[DATE]],"&lt;="&amp;TODAY(),TEAMS_GbG[[OPP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P49" s="7">
        <f ca="1">IFERROR(IF($B49="","",IF(P$42="","",IF($B49=P$7,"-",COUNTIFS(TEAMS_GbG[[TM NAME]:[TM NAME]],P$42,TEAMS_GbG[[DATE]:[DATE]],"&lt;="&amp;TODAY(),TEAMS_GbG[[OPP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Q49" s="7">
        <f ca="1">IFERROR(IF($B49="","",IF(Q$42="","",IF($B49=Q$7,"-",COUNTIFS(TEAMS_GbG[[TM NAME]:[TM NAME]],Q$42,TEAMS_GbG[[DATE]:[DATE]],"&lt;="&amp;TODAY(),TEAMS_GbG[[OPP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49" s="7">
        <f ca="1">IFERROR(IF($B49="","",IF(R$42="","",IF($B49=R$7,"-",COUNTIFS(TEAMS_GbG[[TM NAME]:[TM NAME]],R$42,TEAMS_GbG[[DATE]:[DATE]],"&lt;="&amp;TODAY(),TEAMS_GbG[[OPP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S49" s="7">
        <f ca="1">IFERROR(IF($B49="","",IF(S$42="","",IF($B49=S$7,"-",COUNTIFS(TEAMS_GbG[[TM NAME]:[TM NAME]],S$42,TEAMS_GbG[[DATE]:[DATE]],"&lt;="&amp;TODAY(),TEAMS_GbG[[OPP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0.66666666666666663</v>
      </c>
      <c r="T49" s="7">
        <f ca="1">IFERROR(IF($B49="","",IF(T$42="","",IF($B49=T$7,"-",COUNTIFS(TEAMS_GbG[[TM NAME]:[TM NAME]],T$42,TEAMS_GbG[[DATE]:[DATE]],"&lt;="&amp;TODAY(),TEAMS_GbG[[OPP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U49" s="7" t="str">
        <f ca="1">IFERROR(IF($B49="","",IF(U$42="","",IF($B49=U$7,"-",COUNTIFS(TEAMS_GbG[[TM NAME]:[TM NAME]],U$42,TEAMS_GbG[[DATE]:[DATE]],"&lt;="&amp;TODAY(),TEAMS_GbG[[OPP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49" s="7" t="str">
        <f ca="1">IFERROR(IF($B49="","",IF(V$42="","",IF($B49=V$7,"-",COUNTIFS(TEAMS_GbG[[TM NAME]:[TM NAME]],V$42,TEAMS_GbG[[DATE]:[DATE]],"&lt;="&amp;TODAY(),TEAMS_GbG[[OPP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49" s="7" t="str">
        <f ca="1">IFERROR(IF($B49="","",IF(W$42="","",IF($B49=W$7,"-",COUNTIFS(TEAMS_GbG[[TM NAME]:[TM NAME]],W$42,TEAMS_GbG[[DATE]:[DATE]],"&lt;="&amp;TODAY(),TEAMS_GbG[[OPP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49" s="7" t="str">
        <f ca="1">IFERROR(IF($B49="","",IF(X$42="","",IF($B49=X$7,"-",COUNTIFS(TEAMS_GbG[[TM NAME]:[TM NAME]],X$42,TEAMS_GbG[[DATE]:[DATE]],"&lt;="&amp;TODAY(),TEAMS_GbG[[OPP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49" s="7" t="str">
        <f ca="1">IFERROR(IF($B49="","",IF(Y$42="","",IF($B49=Y$7,"-",COUNTIFS(TEAMS_GbG[[TM NAME]:[TM NAME]],Y$42,TEAMS_GbG[[DATE]:[DATE]],"&lt;="&amp;TODAY(),TEAMS_GbG[[OPP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49" s="7" t="str">
        <f ca="1">IFERROR(IF($B49="","",IF(Z$42="","",IF($B49=Z$7,"-",COUNTIFS(TEAMS_GbG[[TM NAME]:[TM NAME]],Z$42,TEAMS_GbG[[DATE]:[DATE]],"&lt;="&amp;TODAY(),TEAMS_GbG[[OPP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49" s="7" t="str">
        <f ca="1">IFERROR(IF($B49="","",IF(AA$42="","",IF($B49=AA$7,"-",COUNTIFS(TEAMS_GbG[[TM NAME]:[TM NAME]],AA$42,TEAMS_GbG[[DATE]:[DATE]],"&lt;="&amp;TODAY(),TEAMS_GbG[[OPP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49" s="7" t="str">
        <f ca="1">IFERROR(IF($B49="","",IF(AB$42="","",IF($B49=AB$7,"-",COUNTIFS(TEAMS_GbG[[TM NAME]:[TM NAME]],AB$42,TEAMS_GbG[[DATE]:[DATE]],"&lt;="&amp;TODAY(),TEAMS_GbG[[OPP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49" s="7" t="str">
        <f ca="1">IFERROR(IF($B49="","",IF(AC$42="","",IF($B49=AC$7,"-",COUNTIFS(TEAMS_GbG[[TM NAME]:[TM NAME]],AC$42,TEAMS_GbG[[DATE]:[DATE]],"&lt;="&amp;TODAY(),TEAMS_GbG[[OPP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49" s="7" t="str">
        <f ca="1">IFERROR(IF($B49="","",IF(AD$42="","",IF($B49=AD$7,"-",COUNTIFS(TEAMS_GbG[[TM NAME]:[TM NAME]],AD$42,TEAMS_GbG[[DATE]:[DATE]],"&lt;="&amp;TODAY(),TEAMS_GbG[[OPP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49" s="7" t="str">
        <f ca="1">IFERROR(IF($B49="","",IF(AE$42="","",IF($B49=AE$7,"-",COUNTIFS(TEAMS_GbG[[TM NAME]:[TM NAME]],AE$42,TEAMS_GbG[[DATE]:[DATE]],"&lt;="&amp;TODAY(),TEAMS_GbG[[OPP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49" s="7" t="str">
        <f ca="1">IFERROR(IF($B49="","",IF(AF$42="","",IF($B49=AF$7,"-",COUNTIFS(TEAMS_GbG[[TM NAME]:[TM NAME]],AF$42,TEAMS_GbG[[DATE]:[DATE]],"&lt;="&amp;TODAY(),TEAMS_GbG[[OPP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49" s="7" t="str">
        <f ca="1">IFERROR(IF($B49="","",IF(AG$42="","",IF($B49=AG$7,"-",COUNTIFS(TEAMS_GbG[[TM NAME]:[TM NAME]],AG$42,TEAMS_GbG[[DATE]:[DATE]],"&lt;="&amp;TODAY(),TEAMS_GbG[[OPP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49" s="7" t="str">
        <f ca="1">IFERROR(IF($B49="","",IF(AH$42="","",IF($B49=AH$7,"-",COUNTIFS(TEAMS_GbG[[TM NAME]:[TM NAME]],AH$42,TEAMS_GbG[[DATE]:[DATE]],"&lt;="&amp;TODAY(),TEAMS_GbG[[OPP NAME]:[OPP NAME]],"&lt;&gt;"&amp;$B49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49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49" s="52">
        <f t="shared" ca="1" si="2"/>
        <v>0.56944444444444442</v>
      </c>
    </row>
    <row r="50" spans="2:35" x14ac:dyDescent="0.25">
      <c r="B50" s="1" t="str">
        <f t="shared" si="1"/>
        <v>FC Bayern Munich</v>
      </c>
      <c r="C50" s="7">
        <f ca="1">IFERROR(IF($B50="","",IF(C$42="","",IF($B50=C$7,"-",COUNTIFS(TEAMS_GbG[[TM NAME]:[TM NAME]],C$42,TEAMS_GbG[[DATE]:[DATE]],"&lt;="&amp;TODAY(),TEAMS_GbG[[OPP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D50" s="7">
        <f ca="1">IFERROR(IF($B50="","",IF(D$42="","",IF($B50=D$7,"-",COUNTIFS(TEAMS_GbG[[TM NAME]:[TM NAME]],D$42,TEAMS_GbG[[DATE]:[DATE]],"&lt;="&amp;TODAY(),TEAMS_GbG[[OPP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E50" s="7">
        <f ca="1">IFERROR(IF($B50="","",IF(E$42="","",IF($B50=E$7,"-",COUNTIFS(TEAMS_GbG[[TM NAME]:[TM NAME]],E$42,TEAMS_GbG[[DATE]:[DATE]],"&lt;="&amp;TODAY(),TEAMS_GbG[[OPP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F50" s="7">
        <f ca="1">IFERROR(IF($B50="","",IF(F$42="","",IF($B50=F$7,"-",COUNTIFS(TEAMS_GbG[[TM NAME]:[TM NAME]],F$42,TEAMS_GbG[[DATE]:[DATE]],"&lt;="&amp;TODAY(),TEAMS_GbG[[OPP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G50" s="7">
        <f ca="1">IFERROR(IF($B50="","",IF(G$42="","",IF($B50=G$7,"-",COUNTIFS(TEAMS_GbG[[TM NAME]:[TM NAME]],G$42,TEAMS_GbG[[DATE]:[DATE]],"&lt;="&amp;TODAY(),TEAMS_GbG[[OPP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H50" s="7">
        <f ca="1">IFERROR(IF($B50="","",IF(H$42="","",IF($B50=H$7,"-",COUNTIFS(TEAMS_GbG[[TM NAME]:[TM NAME]],H$42,TEAMS_GbG[[DATE]:[DATE]],"&lt;="&amp;TODAY(),TEAMS_GbG[[OPP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I50" s="7">
        <f ca="1">IFERROR(IF($B50="","",IF(I$42="","",IF($B50=I$7,"-",COUNTIFS(TEAMS_GbG[[TM NAME]:[TM NAME]],I$42,TEAMS_GbG[[DATE]:[DATE]],"&lt;="&amp;TODAY(),TEAMS_GbG[[OPP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J50" s="7" t="str">
        <f ca="1">IFERROR(IF($B50="","",IF(J$42="","",IF($B50=J$7,"-",COUNTIFS(TEAMS_GbG[[TM NAME]:[TM NAME]],J$42,TEAMS_GbG[[DATE]:[DATE]],"&lt;="&amp;TODAY(),TEAMS_GbG[[OPP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K50" s="7">
        <f ca="1">IFERROR(IF($B50="","",IF(K$42="","",IF($B50=K$7,"-",COUNTIFS(TEAMS_GbG[[TM NAME]:[TM NAME]],K$42,TEAMS_GbG[[DATE]:[DATE]],"&lt;="&amp;TODAY(),TEAMS_GbG[[OPP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L50" s="7">
        <f ca="1">IFERROR(IF($B50="","",IF(L$42="","",IF($B50=L$7,"-",COUNTIFS(TEAMS_GbG[[TM NAME]:[TM NAME]],L$42,TEAMS_GbG[[DATE]:[DATE]],"&lt;="&amp;TODAY(),TEAMS_GbG[[OPP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0.22222222222222221</v>
      </c>
      <c r="M50" s="7">
        <f ca="1">IFERROR(IF($B50="","",IF(M$42="","",IF($B50=M$7,"-",COUNTIFS(TEAMS_GbG[[TM NAME]:[TM NAME]],M$42,TEAMS_GbG[[DATE]:[DATE]],"&lt;="&amp;TODAY(),TEAMS_GbG[[OPP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0.5714285714285714</v>
      </c>
      <c r="N50" s="7">
        <f ca="1">IFERROR(IF($B50="","",IF(N$42="","",IF($B50=N$7,"-",COUNTIFS(TEAMS_GbG[[TM NAME]:[TM NAME]],N$42,TEAMS_GbG[[DATE]:[DATE]],"&lt;="&amp;TODAY(),TEAMS_GbG[[OPP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O50" s="7">
        <f ca="1">IFERROR(IF($B50="","",IF(O$42="","",IF($B50=O$7,"-",COUNTIFS(TEAMS_GbG[[TM NAME]:[TM NAME]],O$42,TEAMS_GbG[[DATE]:[DATE]],"&lt;="&amp;TODAY(),TEAMS_GbG[[OPP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P50" s="7">
        <f ca="1">IFERROR(IF($B50="","",IF(P$42="","",IF($B50=P$7,"-",COUNTIFS(TEAMS_GbG[[TM NAME]:[TM NAME]],P$42,TEAMS_GbG[[DATE]:[DATE]],"&lt;="&amp;TODAY(),TEAMS_GbG[[OPP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Q50" s="7">
        <f ca="1">IFERROR(IF($B50="","",IF(Q$42="","",IF($B50=Q$7,"-",COUNTIFS(TEAMS_GbG[[TM NAME]:[TM NAME]],Q$42,TEAMS_GbG[[DATE]:[DATE]],"&lt;="&amp;TODAY(),TEAMS_GbG[[OPP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0" s="7">
        <f ca="1">IFERROR(IF($B50="","",IF(R$42="","",IF($B50=R$7,"-",COUNTIFS(TEAMS_GbG[[TM NAME]:[TM NAME]],R$42,TEAMS_GbG[[DATE]:[DATE]],"&lt;="&amp;TODAY(),TEAMS_GbG[[OPP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S50" s="7">
        <f ca="1">IFERROR(IF($B50="","",IF(S$42="","",IF($B50=S$7,"-",COUNTIFS(TEAMS_GbG[[TM NAME]:[TM NAME]],S$42,TEAMS_GbG[[DATE]:[DATE]],"&lt;="&amp;TODAY(),TEAMS_GbG[[OPP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0.66666666666666663</v>
      </c>
      <c r="T50" s="7">
        <f ca="1">IFERROR(IF($B50="","",IF(T$42="","",IF($B50=T$7,"-",COUNTIFS(TEAMS_GbG[[TM NAME]:[TM NAME]],T$42,TEAMS_GbG[[DATE]:[DATE]],"&lt;="&amp;TODAY(),TEAMS_GbG[[OPP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U50" s="7" t="str">
        <f ca="1">IFERROR(IF($B50="","",IF(U$42="","",IF($B50=U$7,"-",COUNTIFS(TEAMS_GbG[[TM NAME]:[TM NAME]],U$42,TEAMS_GbG[[DATE]:[DATE]],"&lt;="&amp;TODAY(),TEAMS_GbG[[OPP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0" s="7" t="str">
        <f ca="1">IFERROR(IF($B50="","",IF(V$42="","",IF($B50=V$7,"-",COUNTIFS(TEAMS_GbG[[TM NAME]:[TM NAME]],V$42,TEAMS_GbG[[DATE]:[DATE]],"&lt;="&amp;TODAY(),TEAMS_GbG[[OPP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0" s="7" t="str">
        <f ca="1">IFERROR(IF($B50="","",IF(W$42="","",IF($B50=W$7,"-",COUNTIFS(TEAMS_GbG[[TM NAME]:[TM NAME]],W$42,TEAMS_GbG[[DATE]:[DATE]],"&lt;="&amp;TODAY(),TEAMS_GbG[[OPP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0" s="7" t="str">
        <f ca="1">IFERROR(IF($B50="","",IF(X$42="","",IF($B50=X$7,"-",COUNTIFS(TEAMS_GbG[[TM NAME]:[TM NAME]],X$42,TEAMS_GbG[[DATE]:[DATE]],"&lt;="&amp;TODAY(),TEAMS_GbG[[OPP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0" s="7" t="str">
        <f ca="1">IFERROR(IF($B50="","",IF(Y$42="","",IF($B50=Y$7,"-",COUNTIFS(TEAMS_GbG[[TM NAME]:[TM NAME]],Y$42,TEAMS_GbG[[DATE]:[DATE]],"&lt;="&amp;TODAY(),TEAMS_GbG[[OPP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0" s="7" t="str">
        <f ca="1">IFERROR(IF($B50="","",IF(Z$42="","",IF($B50=Z$7,"-",COUNTIFS(TEAMS_GbG[[TM NAME]:[TM NAME]],Z$42,TEAMS_GbG[[DATE]:[DATE]],"&lt;="&amp;TODAY(),TEAMS_GbG[[OPP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0" s="7" t="str">
        <f ca="1">IFERROR(IF($B50="","",IF(AA$42="","",IF($B50=AA$7,"-",COUNTIFS(TEAMS_GbG[[TM NAME]:[TM NAME]],AA$42,TEAMS_GbG[[DATE]:[DATE]],"&lt;="&amp;TODAY(),TEAMS_GbG[[OPP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0" s="7" t="str">
        <f ca="1">IFERROR(IF($B50="","",IF(AB$42="","",IF($B50=AB$7,"-",COUNTIFS(TEAMS_GbG[[TM NAME]:[TM NAME]],AB$42,TEAMS_GbG[[DATE]:[DATE]],"&lt;="&amp;TODAY(),TEAMS_GbG[[OPP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0" s="7" t="str">
        <f ca="1">IFERROR(IF($B50="","",IF(AC$42="","",IF($B50=AC$7,"-",COUNTIFS(TEAMS_GbG[[TM NAME]:[TM NAME]],AC$42,TEAMS_GbG[[DATE]:[DATE]],"&lt;="&amp;TODAY(),TEAMS_GbG[[OPP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0" s="7" t="str">
        <f ca="1">IFERROR(IF($B50="","",IF(AD$42="","",IF($B50=AD$7,"-",COUNTIFS(TEAMS_GbG[[TM NAME]:[TM NAME]],AD$42,TEAMS_GbG[[DATE]:[DATE]],"&lt;="&amp;TODAY(),TEAMS_GbG[[OPP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0" s="7" t="str">
        <f ca="1">IFERROR(IF($B50="","",IF(AE$42="","",IF($B50=AE$7,"-",COUNTIFS(TEAMS_GbG[[TM NAME]:[TM NAME]],AE$42,TEAMS_GbG[[DATE]:[DATE]],"&lt;="&amp;TODAY(),TEAMS_GbG[[OPP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0" s="7" t="str">
        <f ca="1">IFERROR(IF($B50="","",IF(AF$42="","",IF($B50=AF$7,"-",COUNTIFS(TEAMS_GbG[[TM NAME]:[TM NAME]],AF$42,TEAMS_GbG[[DATE]:[DATE]],"&lt;="&amp;TODAY(),TEAMS_GbG[[OPP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0" s="7" t="str">
        <f ca="1">IFERROR(IF($B50="","",IF(AG$42="","",IF($B50=AG$7,"-",COUNTIFS(TEAMS_GbG[[TM NAME]:[TM NAME]],AG$42,TEAMS_GbG[[DATE]:[DATE]],"&lt;="&amp;TODAY(),TEAMS_GbG[[OPP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0" s="7" t="str">
        <f ca="1">IFERROR(IF($B50="","",IF(AH$42="","",IF($B50=AH$7,"-",COUNTIFS(TEAMS_GbG[[TM NAME]:[TM NAME]],AH$42,TEAMS_GbG[[DATE]:[DATE]],"&lt;="&amp;TODAY(),TEAMS_GbG[[OPP NAME]:[OPP NAME]],"&lt;&gt;"&amp;$B50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0" s="52">
        <f t="shared" ca="1" si="2"/>
        <v>0.46626984126984122</v>
      </c>
    </row>
    <row r="51" spans="2:35" x14ac:dyDescent="0.25">
      <c r="B51" s="1" t="str">
        <f t="shared" si="1"/>
        <v>Fenerbahce Beko Istanbul</v>
      </c>
      <c r="C51" s="7">
        <f ca="1">IFERROR(IF($B51="","",IF(C$42="","",IF($B51=C$7,"-",COUNTIFS(TEAMS_GbG[[TM NAME]:[TM NAME]],C$42,TEAMS_GbG[[DATE]:[DATE]],"&lt;="&amp;TODAY(),TEAMS_GbG[[OPP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0.1111111111111111</v>
      </c>
      <c r="D51" s="7">
        <f ca="1">IFERROR(IF($B51="","",IF(D$42="","",IF($B51=D$7,"-",COUNTIFS(TEAMS_GbG[[TM NAME]:[TM NAME]],D$42,TEAMS_GbG[[DATE]:[DATE]],"&lt;="&amp;TODAY(),TEAMS_GbG[[OPP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E51" s="7">
        <f ca="1">IFERROR(IF($B51="","",IF(E$42="","",IF($B51=E$7,"-",COUNTIFS(TEAMS_GbG[[TM NAME]:[TM NAME]],E$42,TEAMS_GbG[[DATE]:[DATE]],"&lt;="&amp;TODAY(),TEAMS_GbG[[OPP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F51" s="7">
        <f ca="1">IFERROR(IF($B51="","",IF(F$42="","",IF($B51=F$7,"-",COUNTIFS(TEAMS_GbG[[TM NAME]:[TM NAME]],F$42,TEAMS_GbG[[DATE]:[DATE]],"&lt;="&amp;TODAY(),TEAMS_GbG[[OPP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G51" s="7">
        <f ca="1">IFERROR(IF($B51="","",IF(G$42="","",IF($B51=G$7,"-",COUNTIFS(TEAMS_GbG[[TM NAME]:[TM NAME]],G$42,TEAMS_GbG[[DATE]:[DATE]],"&lt;="&amp;TODAY(),TEAMS_GbG[[OPP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H51" s="7">
        <f ca="1">IFERROR(IF($B51="","",IF(H$42="","",IF($B51=H$7,"-",COUNTIFS(TEAMS_GbG[[TM NAME]:[TM NAME]],H$42,TEAMS_GbG[[DATE]:[DATE]],"&lt;="&amp;TODAY(),TEAMS_GbG[[OPP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I51" s="7">
        <f ca="1">IFERROR(IF($B51="","",IF(I$42="","",IF($B51=I$7,"-",COUNTIFS(TEAMS_GbG[[TM NAME]:[TM NAME]],I$42,TEAMS_GbG[[DATE]:[DATE]],"&lt;="&amp;TODAY(),TEAMS_GbG[[OPP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0.77777777777777779</v>
      </c>
      <c r="J51" s="7">
        <f ca="1">IFERROR(IF($B51="","",IF(J$42="","",IF($B51=J$7,"-",COUNTIFS(TEAMS_GbG[[TM NAME]:[TM NAME]],J$42,TEAMS_GbG[[DATE]:[DATE]],"&lt;="&amp;TODAY(),TEAMS_GbG[[OPP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K51" s="7" t="str">
        <f ca="1">IFERROR(IF($B51="","",IF(K$42="","",IF($B51=K$7,"-",COUNTIFS(TEAMS_GbG[[TM NAME]:[TM NAME]],K$42,TEAMS_GbG[[DATE]:[DATE]],"&lt;="&amp;TODAY(),TEAMS_GbG[[OPP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L51" s="7">
        <f ca="1">IFERROR(IF($B51="","",IF(L$42="","",IF($B51=L$7,"-",COUNTIFS(TEAMS_GbG[[TM NAME]:[TM NAME]],L$42,TEAMS_GbG[[DATE]:[DATE]],"&lt;="&amp;TODAY(),TEAMS_GbG[[OPP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M51" s="7">
        <f ca="1">IFERROR(IF($B51="","",IF(M$42="","",IF($B51=M$7,"-",COUNTIFS(TEAMS_GbG[[TM NAME]:[TM NAME]],M$42,TEAMS_GbG[[DATE]:[DATE]],"&lt;="&amp;TODAY(),TEAMS_GbG[[OPP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0.5714285714285714</v>
      </c>
      <c r="N51" s="7">
        <f ca="1">IFERROR(IF($B51="","",IF(N$42="","",IF($B51=N$7,"-",COUNTIFS(TEAMS_GbG[[TM NAME]:[TM NAME]],N$42,TEAMS_GbG[[DATE]:[DATE]],"&lt;="&amp;TODAY(),TEAMS_GbG[[OPP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O51" s="7">
        <f ca="1">IFERROR(IF($B51="","",IF(O$42="","",IF($B51=O$7,"-",COUNTIFS(TEAMS_GbG[[TM NAME]:[TM NAME]],O$42,TEAMS_GbG[[DATE]:[DATE]],"&lt;="&amp;TODAY(),TEAMS_GbG[[OPP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P51" s="7">
        <f ca="1">IFERROR(IF($B51="","",IF(P$42="","",IF($B51=P$7,"-",COUNTIFS(TEAMS_GbG[[TM NAME]:[TM NAME]],P$42,TEAMS_GbG[[DATE]:[DATE]],"&lt;="&amp;TODAY(),TEAMS_GbG[[OPP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Q51" s="7">
        <f ca="1">IFERROR(IF($B51="","",IF(Q$42="","",IF($B51=Q$7,"-",COUNTIFS(TEAMS_GbG[[TM NAME]:[TM NAME]],Q$42,TEAMS_GbG[[DATE]:[DATE]],"&lt;="&amp;TODAY(),TEAMS_GbG[[OPP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1" s="7">
        <f ca="1">IFERROR(IF($B51="","",IF(R$42="","",IF($B51=R$7,"-",COUNTIFS(TEAMS_GbG[[TM NAME]:[TM NAME]],R$42,TEAMS_GbG[[DATE]:[DATE]],"&lt;="&amp;TODAY(),TEAMS_GbG[[OPP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S51" s="7">
        <f ca="1">IFERROR(IF($B51="","",IF(S$42="","",IF($B51=S$7,"-",COUNTIFS(TEAMS_GbG[[TM NAME]:[TM NAME]],S$42,TEAMS_GbG[[DATE]:[DATE]],"&lt;="&amp;TODAY(),TEAMS_GbG[[OPP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0.66666666666666663</v>
      </c>
      <c r="T51" s="7">
        <f ca="1">IFERROR(IF($B51="","",IF(T$42="","",IF($B51=T$7,"-",COUNTIFS(TEAMS_GbG[[TM NAME]:[TM NAME]],T$42,TEAMS_GbG[[DATE]:[DATE]],"&lt;="&amp;TODAY(),TEAMS_GbG[[OPP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U51" s="7" t="str">
        <f ca="1">IFERROR(IF($B51="","",IF(U$42="","",IF($B51=U$7,"-",COUNTIFS(TEAMS_GbG[[TM NAME]:[TM NAME]],U$42,TEAMS_GbG[[DATE]:[DATE]],"&lt;="&amp;TODAY(),TEAMS_GbG[[OPP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1" s="7" t="str">
        <f ca="1">IFERROR(IF($B51="","",IF(V$42="","",IF($B51=V$7,"-",COUNTIFS(TEAMS_GbG[[TM NAME]:[TM NAME]],V$42,TEAMS_GbG[[DATE]:[DATE]],"&lt;="&amp;TODAY(),TEAMS_GbG[[OPP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1" s="7" t="str">
        <f ca="1">IFERROR(IF($B51="","",IF(W$42="","",IF($B51=W$7,"-",COUNTIFS(TEAMS_GbG[[TM NAME]:[TM NAME]],W$42,TEAMS_GbG[[DATE]:[DATE]],"&lt;="&amp;TODAY(),TEAMS_GbG[[OPP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1" s="7" t="str">
        <f ca="1">IFERROR(IF($B51="","",IF(X$42="","",IF($B51=X$7,"-",COUNTIFS(TEAMS_GbG[[TM NAME]:[TM NAME]],X$42,TEAMS_GbG[[DATE]:[DATE]],"&lt;="&amp;TODAY(),TEAMS_GbG[[OPP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1" s="7" t="str">
        <f ca="1">IFERROR(IF($B51="","",IF(Y$42="","",IF($B51=Y$7,"-",COUNTIFS(TEAMS_GbG[[TM NAME]:[TM NAME]],Y$42,TEAMS_GbG[[DATE]:[DATE]],"&lt;="&amp;TODAY(),TEAMS_GbG[[OPP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1" s="7" t="str">
        <f ca="1">IFERROR(IF($B51="","",IF(Z$42="","",IF($B51=Z$7,"-",COUNTIFS(TEAMS_GbG[[TM NAME]:[TM NAME]],Z$42,TEAMS_GbG[[DATE]:[DATE]],"&lt;="&amp;TODAY(),TEAMS_GbG[[OPP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1" s="7" t="str">
        <f ca="1">IFERROR(IF($B51="","",IF(AA$42="","",IF($B51=AA$7,"-",COUNTIFS(TEAMS_GbG[[TM NAME]:[TM NAME]],AA$42,TEAMS_GbG[[DATE]:[DATE]],"&lt;="&amp;TODAY(),TEAMS_GbG[[OPP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1" s="7" t="str">
        <f ca="1">IFERROR(IF($B51="","",IF(AB$42="","",IF($B51=AB$7,"-",COUNTIFS(TEAMS_GbG[[TM NAME]:[TM NAME]],AB$42,TEAMS_GbG[[DATE]:[DATE]],"&lt;="&amp;TODAY(),TEAMS_GbG[[OPP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1" s="7" t="str">
        <f ca="1">IFERROR(IF($B51="","",IF(AC$42="","",IF($B51=AC$7,"-",COUNTIFS(TEAMS_GbG[[TM NAME]:[TM NAME]],AC$42,TEAMS_GbG[[DATE]:[DATE]],"&lt;="&amp;TODAY(),TEAMS_GbG[[OPP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1" s="7" t="str">
        <f ca="1">IFERROR(IF($B51="","",IF(AD$42="","",IF($B51=AD$7,"-",COUNTIFS(TEAMS_GbG[[TM NAME]:[TM NAME]],AD$42,TEAMS_GbG[[DATE]:[DATE]],"&lt;="&amp;TODAY(),TEAMS_GbG[[OPP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1" s="7" t="str">
        <f ca="1">IFERROR(IF($B51="","",IF(AE$42="","",IF($B51=AE$7,"-",COUNTIFS(TEAMS_GbG[[TM NAME]:[TM NAME]],AE$42,TEAMS_GbG[[DATE]:[DATE]],"&lt;="&amp;TODAY(),TEAMS_GbG[[OPP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1" s="7" t="str">
        <f ca="1">IFERROR(IF($B51="","",IF(AF$42="","",IF($B51=AF$7,"-",COUNTIFS(TEAMS_GbG[[TM NAME]:[TM NAME]],AF$42,TEAMS_GbG[[DATE]:[DATE]],"&lt;="&amp;TODAY(),TEAMS_GbG[[OPP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1" s="7" t="str">
        <f ca="1">IFERROR(IF($B51="","",IF(AG$42="","",IF($B51=AG$7,"-",COUNTIFS(TEAMS_GbG[[TM NAME]:[TM NAME]],AG$42,TEAMS_GbG[[DATE]:[DATE]],"&lt;="&amp;TODAY(),TEAMS_GbG[[OPP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1" s="7" t="str">
        <f ca="1">IFERROR(IF($B51="","",IF(AH$42="","",IF($B51=AH$7,"-",COUNTIFS(TEAMS_GbG[[TM NAME]:[TM NAME]],AH$42,TEAMS_GbG[[DATE]:[DATE]],"&lt;="&amp;TODAY(),TEAMS_GbG[[OPP NAME]:[OPP NAME]],"&lt;&gt;"&amp;$B51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1" s="52">
        <f t="shared" ca="1" si="2"/>
        <v>0.43849206349206349</v>
      </c>
    </row>
    <row r="52" spans="2:35" x14ac:dyDescent="0.25">
      <c r="B52" s="1" t="str">
        <f t="shared" si="1"/>
        <v>LDLC ASVEL Villeurbanne</v>
      </c>
      <c r="C52" s="7">
        <f ca="1">IFERROR(IF($B52="","",IF(C$42="","",IF($B52=C$7,"-",COUNTIFS(TEAMS_GbG[[TM NAME]:[TM NAME]],C$42,TEAMS_GbG[[DATE]:[DATE]],"&lt;="&amp;TODAY(),TEAMS_GbG[[OPP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D52" s="7">
        <f ca="1">IFERROR(IF($B52="","",IF(D$42="","",IF($B52=D$7,"-",COUNTIFS(TEAMS_GbG[[TM NAME]:[TM NAME]],D$42,TEAMS_GbG[[DATE]:[DATE]],"&lt;="&amp;TODAY(),TEAMS_GbG[[OPP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E52" s="7">
        <f ca="1">IFERROR(IF($B52="","",IF(E$42="","",IF($B52=E$7,"-",COUNTIFS(TEAMS_GbG[[TM NAME]:[TM NAME]],E$42,TEAMS_GbG[[DATE]:[DATE]],"&lt;="&amp;TODAY(),TEAMS_GbG[[OPP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F52" s="7">
        <f ca="1">IFERROR(IF($B52="","",IF(F$42="","",IF($B52=F$7,"-",COUNTIFS(TEAMS_GbG[[TM NAME]:[TM NAME]],F$42,TEAMS_GbG[[DATE]:[DATE]],"&lt;="&amp;TODAY(),TEAMS_GbG[[OPP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G52" s="7">
        <f ca="1">IFERROR(IF($B52="","",IF(G$42="","",IF($B52=G$7,"-",COUNTIFS(TEAMS_GbG[[TM NAME]:[TM NAME]],G$42,TEAMS_GbG[[DATE]:[DATE]],"&lt;="&amp;TODAY(),TEAMS_GbG[[OPP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H52" s="7">
        <f ca="1">IFERROR(IF($B52="","",IF(H$42="","",IF($B52=H$7,"-",COUNTIFS(TEAMS_GbG[[TM NAME]:[TM NAME]],H$42,TEAMS_GbG[[DATE]:[DATE]],"&lt;="&amp;TODAY(),TEAMS_GbG[[OPP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I52" s="7">
        <f ca="1">IFERROR(IF($B52="","",IF(I$42="","",IF($B52=I$7,"-",COUNTIFS(TEAMS_GbG[[TM NAME]:[TM NAME]],I$42,TEAMS_GbG[[DATE]:[DATE]],"&lt;="&amp;TODAY(),TEAMS_GbG[[OPP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0.77777777777777779</v>
      </c>
      <c r="J52" s="7">
        <f ca="1">IFERROR(IF($B52="","",IF(J$42="","",IF($B52=J$7,"-",COUNTIFS(TEAMS_GbG[[TM NAME]:[TM NAME]],J$42,TEAMS_GbG[[DATE]:[DATE]],"&lt;="&amp;TODAY(),TEAMS_GbG[[OPP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K52" s="7">
        <f ca="1">IFERROR(IF($B52="","",IF(K$42="","",IF($B52=K$7,"-",COUNTIFS(TEAMS_GbG[[TM NAME]:[TM NAME]],K$42,TEAMS_GbG[[DATE]:[DATE]],"&lt;="&amp;TODAY(),TEAMS_GbG[[OPP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L52" s="7" t="str">
        <f ca="1">IFERROR(IF($B52="","",IF(L$42="","",IF($B52=L$7,"-",COUNTIFS(TEAMS_GbG[[TM NAME]:[TM NAME]],L$42,TEAMS_GbG[[DATE]:[DATE]],"&lt;="&amp;TODAY(),TEAMS_GbG[[OPP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M52" s="7">
        <f ca="1">IFERROR(IF($B52="","",IF(M$42="","",IF($B52=M$7,"-",COUNTIFS(TEAMS_GbG[[TM NAME]:[TM NAME]],M$42,TEAMS_GbG[[DATE]:[DATE]],"&lt;="&amp;TODAY(),TEAMS_GbG[[OPP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52" s="7">
        <f ca="1">IFERROR(IF($B52="","",IF(N$42="","",IF($B52=N$7,"-",COUNTIFS(TEAMS_GbG[[TM NAME]:[TM NAME]],N$42,TEAMS_GbG[[DATE]:[DATE]],"&lt;="&amp;TODAY(),TEAMS_GbG[[OPP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O52" s="7">
        <f ca="1">IFERROR(IF($B52="","",IF(O$42="","",IF($B52=O$7,"-",COUNTIFS(TEAMS_GbG[[TM NAME]:[TM NAME]],O$42,TEAMS_GbG[[DATE]:[DATE]],"&lt;="&amp;TODAY(),TEAMS_GbG[[OPP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P52" s="7">
        <f ca="1">IFERROR(IF($B52="","",IF(P$42="","",IF($B52=P$7,"-",COUNTIFS(TEAMS_GbG[[TM NAME]:[TM NAME]],P$42,TEAMS_GbG[[DATE]:[DATE]],"&lt;="&amp;TODAY(),TEAMS_GbG[[OPP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Q52" s="7">
        <f ca="1">IFERROR(IF($B52="","",IF(Q$42="","",IF($B52=Q$7,"-",COUNTIFS(TEAMS_GbG[[TM NAME]:[TM NAME]],Q$42,TEAMS_GbG[[DATE]:[DATE]],"&lt;="&amp;TODAY(),TEAMS_GbG[[OPP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2" s="7">
        <f ca="1">IFERROR(IF($B52="","",IF(R$42="","",IF($B52=R$7,"-",COUNTIFS(TEAMS_GbG[[TM NAME]:[TM NAME]],R$42,TEAMS_GbG[[DATE]:[DATE]],"&lt;="&amp;TODAY(),TEAMS_GbG[[OPP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S52" s="7">
        <f ca="1">IFERROR(IF($B52="","",IF(S$42="","",IF($B52=S$7,"-",COUNTIFS(TEAMS_GbG[[TM NAME]:[TM NAME]],S$42,TEAMS_GbG[[DATE]:[DATE]],"&lt;="&amp;TODAY(),TEAMS_GbG[[OPP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T52" s="7">
        <f ca="1">IFERROR(IF($B52="","",IF(T$42="","",IF($B52=T$7,"-",COUNTIFS(TEAMS_GbG[[TM NAME]:[TM NAME]],T$42,TEAMS_GbG[[DATE]:[DATE]],"&lt;="&amp;TODAY(),TEAMS_GbG[[OPP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U52" s="7" t="str">
        <f ca="1">IFERROR(IF($B52="","",IF(U$42="","",IF($B52=U$7,"-",COUNTIFS(TEAMS_GbG[[TM NAME]:[TM NAME]],U$42,TEAMS_GbG[[DATE]:[DATE]],"&lt;="&amp;TODAY(),TEAMS_GbG[[OPP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2" s="7" t="str">
        <f ca="1">IFERROR(IF($B52="","",IF(V$42="","",IF($B52=V$7,"-",COUNTIFS(TEAMS_GbG[[TM NAME]:[TM NAME]],V$42,TEAMS_GbG[[DATE]:[DATE]],"&lt;="&amp;TODAY(),TEAMS_GbG[[OPP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2" s="7" t="str">
        <f ca="1">IFERROR(IF($B52="","",IF(W$42="","",IF($B52=W$7,"-",COUNTIFS(TEAMS_GbG[[TM NAME]:[TM NAME]],W$42,TEAMS_GbG[[DATE]:[DATE]],"&lt;="&amp;TODAY(),TEAMS_GbG[[OPP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2" s="7" t="str">
        <f ca="1">IFERROR(IF($B52="","",IF(X$42="","",IF($B52=X$7,"-",COUNTIFS(TEAMS_GbG[[TM NAME]:[TM NAME]],X$42,TEAMS_GbG[[DATE]:[DATE]],"&lt;="&amp;TODAY(),TEAMS_GbG[[OPP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2" s="7" t="str">
        <f ca="1">IFERROR(IF($B52="","",IF(Y$42="","",IF($B52=Y$7,"-",COUNTIFS(TEAMS_GbG[[TM NAME]:[TM NAME]],Y$42,TEAMS_GbG[[DATE]:[DATE]],"&lt;="&amp;TODAY(),TEAMS_GbG[[OPP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2" s="7" t="str">
        <f ca="1">IFERROR(IF($B52="","",IF(Z$42="","",IF($B52=Z$7,"-",COUNTIFS(TEAMS_GbG[[TM NAME]:[TM NAME]],Z$42,TEAMS_GbG[[DATE]:[DATE]],"&lt;="&amp;TODAY(),TEAMS_GbG[[OPP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2" s="7" t="str">
        <f ca="1">IFERROR(IF($B52="","",IF(AA$42="","",IF($B52=AA$7,"-",COUNTIFS(TEAMS_GbG[[TM NAME]:[TM NAME]],AA$42,TEAMS_GbG[[DATE]:[DATE]],"&lt;="&amp;TODAY(),TEAMS_GbG[[OPP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2" s="7" t="str">
        <f ca="1">IFERROR(IF($B52="","",IF(AB$42="","",IF($B52=AB$7,"-",COUNTIFS(TEAMS_GbG[[TM NAME]:[TM NAME]],AB$42,TEAMS_GbG[[DATE]:[DATE]],"&lt;="&amp;TODAY(),TEAMS_GbG[[OPP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2" s="7" t="str">
        <f ca="1">IFERROR(IF($B52="","",IF(AC$42="","",IF($B52=AC$7,"-",COUNTIFS(TEAMS_GbG[[TM NAME]:[TM NAME]],AC$42,TEAMS_GbG[[DATE]:[DATE]],"&lt;="&amp;TODAY(),TEAMS_GbG[[OPP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2" s="7" t="str">
        <f ca="1">IFERROR(IF($B52="","",IF(AD$42="","",IF($B52=AD$7,"-",COUNTIFS(TEAMS_GbG[[TM NAME]:[TM NAME]],AD$42,TEAMS_GbG[[DATE]:[DATE]],"&lt;="&amp;TODAY(),TEAMS_GbG[[OPP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2" s="7" t="str">
        <f ca="1">IFERROR(IF($B52="","",IF(AE$42="","",IF($B52=AE$7,"-",COUNTIFS(TEAMS_GbG[[TM NAME]:[TM NAME]],AE$42,TEAMS_GbG[[DATE]:[DATE]],"&lt;="&amp;TODAY(),TEAMS_GbG[[OPP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2" s="7" t="str">
        <f ca="1">IFERROR(IF($B52="","",IF(AF$42="","",IF($B52=AF$7,"-",COUNTIFS(TEAMS_GbG[[TM NAME]:[TM NAME]],AF$42,TEAMS_GbG[[DATE]:[DATE]],"&lt;="&amp;TODAY(),TEAMS_GbG[[OPP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2" s="7" t="str">
        <f ca="1">IFERROR(IF($B52="","",IF(AG$42="","",IF($B52=AG$7,"-",COUNTIFS(TEAMS_GbG[[TM NAME]:[TM NAME]],AG$42,TEAMS_GbG[[DATE]:[DATE]],"&lt;="&amp;TODAY(),TEAMS_GbG[[OPP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2" s="7" t="str">
        <f ca="1">IFERROR(IF($B52="","",IF(AH$42="","",IF($B52=AH$7,"-",COUNTIFS(TEAMS_GbG[[TM NAME]:[TM NAME]],AH$42,TEAMS_GbG[[DATE]:[DATE]],"&lt;="&amp;TODAY(),TEAMS_GbG[[OPP NAME]:[OPP NAME]],"&lt;&gt;"&amp;$B52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2" s="52">
        <f t="shared" ca="1" si="2"/>
        <v>0.41666666666666669</v>
      </c>
    </row>
    <row r="53" spans="2:35" x14ac:dyDescent="0.25">
      <c r="B53" s="1" t="str">
        <f t="shared" si="1"/>
        <v>Maccabi Playtika Tel Aviv</v>
      </c>
      <c r="C53" s="7">
        <f ca="1">IFERROR(IF($B53="","",IF(C$42="","",IF($B53=C$7,"-",COUNTIFS(TEAMS_GbG[[TM NAME]:[TM NAME]],C$42,TEAMS_GbG[[DATE]:[DATE]],"&lt;="&amp;TODAY(),TEAMS_GbG[[OPP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0.1111111111111111</v>
      </c>
      <c r="D53" s="7">
        <f ca="1">IFERROR(IF($B53="","",IF(D$42="","",IF($B53=D$7,"-",COUNTIFS(TEAMS_GbG[[TM NAME]:[TM NAME]],D$42,TEAMS_GbG[[DATE]:[DATE]],"&lt;="&amp;TODAY(),TEAMS_GbG[[OPP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E53" s="7">
        <f ca="1">IFERROR(IF($B53="","",IF(E$42="","",IF($B53=E$7,"-",COUNTIFS(TEAMS_GbG[[TM NAME]:[TM NAME]],E$42,TEAMS_GbG[[DATE]:[DATE]],"&lt;="&amp;TODAY(),TEAMS_GbG[[OPP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F53" s="7">
        <f ca="1">IFERROR(IF($B53="","",IF(F$42="","",IF($B53=F$7,"-",COUNTIFS(TEAMS_GbG[[TM NAME]:[TM NAME]],F$42,TEAMS_GbG[[DATE]:[DATE]],"&lt;="&amp;TODAY(),TEAMS_GbG[[OPP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G53" s="7">
        <f ca="1">IFERROR(IF($B53="","",IF(G$42="","",IF($B53=G$7,"-",COUNTIFS(TEAMS_GbG[[TM NAME]:[TM NAME]],G$42,TEAMS_GbG[[DATE]:[DATE]],"&lt;="&amp;TODAY(),TEAMS_GbG[[OPP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H53" s="7">
        <f ca="1">IFERROR(IF($B53="","",IF(H$42="","",IF($B53=H$7,"-",COUNTIFS(TEAMS_GbG[[TM NAME]:[TM NAME]],H$42,TEAMS_GbG[[DATE]:[DATE]],"&lt;="&amp;TODAY(),TEAMS_GbG[[OPP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I53" s="7">
        <f ca="1">IFERROR(IF($B53="","",IF(I$42="","",IF($B53=I$7,"-",COUNTIFS(TEAMS_GbG[[TM NAME]:[TM NAME]],I$42,TEAMS_GbG[[DATE]:[DATE]],"&lt;="&amp;TODAY(),TEAMS_GbG[[OPP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0.77777777777777779</v>
      </c>
      <c r="J53" s="7">
        <f ca="1">IFERROR(IF($B53="","",IF(J$42="","",IF($B53=J$7,"-",COUNTIFS(TEAMS_GbG[[TM NAME]:[TM NAME]],J$42,TEAMS_GbG[[DATE]:[DATE]],"&lt;="&amp;TODAY(),TEAMS_GbG[[OPP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K53" s="7">
        <f ca="1">IFERROR(IF($B53="","",IF(K$42="","",IF($B53=K$7,"-",COUNTIFS(TEAMS_GbG[[TM NAME]:[TM NAME]],K$42,TEAMS_GbG[[DATE]:[DATE]],"&lt;="&amp;TODAY(),TEAMS_GbG[[OPP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L53" s="7">
        <f ca="1">IFERROR(IF($B53="","",IF(L$42="","",IF($B53=L$7,"-",COUNTIFS(TEAMS_GbG[[TM NAME]:[TM NAME]],L$42,TEAMS_GbG[[DATE]:[DATE]],"&lt;="&amp;TODAY(),TEAMS_GbG[[OPP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0.22222222222222221</v>
      </c>
      <c r="M53" s="7" t="str">
        <f ca="1">IFERROR(IF($B53="","",IF(M$42="","",IF($B53=M$7,"-",COUNTIFS(TEAMS_GbG[[TM NAME]:[TM NAME]],M$42,TEAMS_GbG[[DATE]:[DATE]],"&lt;="&amp;TODAY(),TEAMS_GbG[[OPP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N53" s="7">
        <f ca="1">IFERROR(IF($B53="","",IF(N$42="","",IF($B53=N$7,"-",COUNTIFS(TEAMS_GbG[[TM NAME]:[TM NAME]],N$42,TEAMS_GbG[[DATE]:[DATE]],"&lt;="&amp;TODAY(),TEAMS_GbG[[OPP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O53" s="7">
        <f ca="1">IFERROR(IF($B53="","",IF(O$42="","",IF($B53=O$7,"-",COUNTIFS(TEAMS_GbG[[TM NAME]:[TM NAME]],O$42,TEAMS_GbG[[DATE]:[DATE]],"&lt;="&amp;TODAY(),TEAMS_GbG[[OPP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P53" s="7">
        <f ca="1">IFERROR(IF($B53="","",IF(P$42="","",IF($B53=P$7,"-",COUNTIFS(TEAMS_GbG[[TM NAME]:[TM NAME]],P$42,TEAMS_GbG[[DATE]:[DATE]],"&lt;="&amp;TODAY(),TEAMS_GbG[[OPP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Q53" s="7">
        <f ca="1">IFERROR(IF($B53="","",IF(Q$42="","",IF($B53=Q$7,"-",COUNTIFS(TEAMS_GbG[[TM NAME]:[TM NAME]],Q$42,TEAMS_GbG[[DATE]:[DATE]],"&lt;="&amp;TODAY(),TEAMS_GbG[[OPP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3" s="7">
        <f ca="1">IFERROR(IF($B53="","",IF(R$42="","",IF($B53=R$7,"-",COUNTIFS(TEAMS_GbG[[TM NAME]:[TM NAME]],R$42,TEAMS_GbG[[DATE]:[DATE]],"&lt;="&amp;TODAY(),TEAMS_GbG[[OPP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S53" s="7">
        <f ca="1">IFERROR(IF($B53="","",IF(S$42="","",IF($B53=S$7,"-",COUNTIFS(TEAMS_GbG[[TM NAME]:[TM NAME]],S$42,TEAMS_GbG[[DATE]:[DATE]],"&lt;="&amp;TODAY(),TEAMS_GbG[[OPP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0.66666666666666663</v>
      </c>
      <c r="T53" s="7">
        <f ca="1">IFERROR(IF($B53="","",IF(T$42="","",IF($B53=T$7,"-",COUNTIFS(TEAMS_GbG[[TM NAME]:[TM NAME]],T$42,TEAMS_GbG[[DATE]:[DATE]],"&lt;="&amp;TODAY(),TEAMS_GbG[[OPP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U53" s="7" t="str">
        <f ca="1">IFERROR(IF($B53="","",IF(U$42="","",IF($B53=U$7,"-",COUNTIFS(TEAMS_GbG[[TM NAME]:[TM NAME]],U$42,TEAMS_GbG[[DATE]:[DATE]],"&lt;="&amp;TODAY(),TEAMS_GbG[[OPP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3" s="7" t="str">
        <f ca="1">IFERROR(IF($B53="","",IF(V$42="","",IF($B53=V$7,"-",COUNTIFS(TEAMS_GbG[[TM NAME]:[TM NAME]],V$42,TEAMS_GbG[[DATE]:[DATE]],"&lt;="&amp;TODAY(),TEAMS_GbG[[OPP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3" s="7" t="str">
        <f ca="1">IFERROR(IF($B53="","",IF(W$42="","",IF($B53=W$7,"-",COUNTIFS(TEAMS_GbG[[TM NAME]:[TM NAME]],W$42,TEAMS_GbG[[DATE]:[DATE]],"&lt;="&amp;TODAY(),TEAMS_GbG[[OPP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3" s="7" t="str">
        <f ca="1">IFERROR(IF($B53="","",IF(X$42="","",IF($B53=X$7,"-",COUNTIFS(TEAMS_GbG[[TM NAME]:[TM NAME]],X$42,TEAMS_GbG[[DATE]:[DATE]],"&lt;="&amp;TODAY(),TEAMS_GbG[[OPP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3" s="7" t="str">
        <f ca="1">IFERROR(IF($B53="","",IF(Y$42="","",IF($B53=Y$7,"-",COUNTIFS(TEAMS_GbG[[TM NAME]:[TM NAME]],Y$42,TEAMS_GbG[[DATE]:[DATE]],"&lt;="&amp;TODAY(),TEAMS_GbG[[OPP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3" s="7" t="str">
        <f ca="1">IFERROR(IF($B53="","",IF(Z$42="","",IF($B53=Z$7,"-",COUNTIFS(TEAMS_GbG[[TM NAME]:[TM NAME]],Z$42,TEAMS_GbG[[DATE]:[DATE]],"&lt;="&amp;TODAY(),TEAMS_GbG[[OPP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3" s="7" t="str">
        <f ca="1">IFERROR(IF($B53="","",IF(AA$42="","",IF($B53=AA$7,"-",COUNTIFS(TEAMS_GbG[[TM NAME]:[TM NAME]],AA$42,TEAMS_GbG[[DATE]:[DATE]],"&lt;="&amp;TODAY(),TEAMS_GbG[[OPP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3" s="7" t="str">
        <f ca="1">IFERROR(IF($B53="","",IF(AB$42="","",IF($B53=AB$7,"-",COUNTIFS(TEAMS_GbG[[TM NAME]:[TM NAME]],AB$42,TEAMS_GbG[[DATE]:[DATE]],"&lt;="&amp;TODAY(),TEAMS_GbG[[OPP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3" s="7" t="str">
        <f ca="1">IFERROR(IF($B53="","",IF(AC$42="","",IF($B53=AC$7,"-",COUNTIFS(TEAMS_GbG[[TM NAME]:[TM NAME]],AC$42,TEAMS_GbG[[DATE]:[DATE]],"&lt;="&amp;TODAY(),TEAMS_GbG[[OPP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3" s="7" t="str">
        <f ca="1">IFERROR(IF($B53="","",IF(AD$42="","",IF($B53=AD$7,"-",COUNTIFS(TEAMS_GbG[[TM NAME]:[TM NAME]],AD$42,TEAMS_GbG[[DATE]:[DATE]],"&lt;="&amp;TODAY(),TEAMS_GbG[[OPP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3" s="7" t="str">
        <f ca="1">IFERROR(IF($B53="","",IF(AE$42="","",IF($B53=AE$7,"-",COUNTIFS(TEAMS_GbG[[TM NAME]:[TM NAME]],AE$42,TEAMS_GbG[[DATE]:[DATE]],"&lt;="&amp;TODAY(),TEAMS_GbG[[OPP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3" s="7" t="str">
        <f ca="1">IFERROR(IF($B53="","",IF(AF$42="","",IF($B53=AF$7,"-",COUNTIFS(TEAMS_GbG[[TM NAME]:[TM NAME]],AF$42,TEAMS_GbG[[DATE]:[DATE]],"&lt;="&amp;TODAY(),TEAMS_GbG[[OPP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3" s="7" t="str">
        <f ca="1">IFERROR(IF($B53="","",IF(AG$42="","",IF($B53=AG$7,"-",COUNTIFS(TEAMS_GbG[[TM NAME]:[TM NAME]],AG$42,TEAMS_GbG[[DATE]:[DATE]],"&lt;="&amp;TODAY(),TEAMS_GbG[[OPP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3" s="7" t="str">
        <f ca="1">IFERROR(IF($B53="","",IF(AH$42="","",IF($B53=AH$7,"-",COUNTIFS(TEAMS_GbG[[TM NAME]:[TM NAME]],AH$42,TEAMS_GbG[[DATE]:[DATE]],"&lt;="&amp;TODAY(),TEAMS_GbG[[OPP NAME]:[OPP NAME]],"&lt;&gt;"&amp;$B53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3" s="52">
        <f t="shared" ca="1" si="2"/>
        <v>0.5</v>
      </c>
    </row>
    <row r="54" spans="2:35" x14ac:dyDescent="0.25">
      <c r="B54" s="1" t="str">
        <f t="shared" si="1"/>
        <v>Olympiacos Piraeus</v>
      </c>
      <c r="C54" s="7">
        <f ca="1">IFERROR(IF($B54="","",IF(C$42="","",IF($B54=C$7,"-",COUNTIFS(TEAMS_GbG[[TM NAME]:[TM NAME]],C$42,TEAMS_GbG[[DATE]:[DATE]],"&lt;="&amp;TODAY(),TEAMS_GbG[[OPP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0.1111111111111111</v>
      </c>
      <c r="D54" s="7">
        <f ca="1">IFERROR(IF($B54="","",IF(D$42="","",IF($B54=D$7,"-",COUNTIFS(TEAMS_GbG[[TM NAME]:[TM NAME]],D$42,TEAMS_GbG[[DATE]:[DATE]],"&lt;="&amp;TODAY(),TEAMS_GbG[[OPP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E54" s="7">
        <f ca="1">IFERROR(IF($B54="","",IF(E$42="","",IF($B54=E$7,"-",COUNTIFS(TEAMS_GbG[[TM NAME]:[TM NAME]],E$42,TEAMS_GbG[[DATE]:[DATE]],"&lt;="&amp;TODAY(),TEAMS_GbG[[OPP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F54" s="7">
        <f ca="1">IFERROR(IF($B54="","",IF(F$42="","",IF($B54=F$7,"-",COUNTIFS(TEAMS_GbG[[TM NAME]:[TM NAME]],F$42,TEAMS_GbG[[DATE]:[DATE]],"&lt;="&amp;TODAY(),TEAMS_GbG[[OPP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G54" s="7">
        <f ca="1">IFERROR(IF($B54="","",IF(G$42="","",IF($B54=G$7,"-",COUNTIFS(TEAMS_GbG[[TM NAME]:[TM NAME]],G$42,TEAMS_GbG[[DATE]:[DATE]],"&lt;="&amp;TODAY(),TEAMS_GbG[[OPP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H54" s="7">
        <f ca="1">IFERROR(IF($B54="","",IF(H$42="","",IF($B54=H$7,"-",COUNTIFS(TEAMS_GbG[[TM NAME]:[TM NAME]],H$42,TEAMS_GbG[[DATE]:[DATE]],"&lt;="&amp;TODAY(),TEAMS_GbG[[OPP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I54" s="7">
        <f ca="1">IFERROR(IF($B54="","",IF(I$42="","",IF($B54=I$7,"-",COUNTIFS(TEAMS_GbG[[TM NAME]:[TM NAME]],I$42,TEAMS_GbG[[DATE]:[DATE]],"&lt;="&amp;TODAY(),TEAMS_GbG[[OPP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J54" s="7">
        <f ca="1">IFERROR(IF($B54="","",IF(J$42="","",IF($B54=J$7,"-",COUNTIFS(TEAMS_GbG[[TM NAME]:[TM NAME]],J$42,TEAMS_GbG[[DATE]:[DATE]],"&lt;="&amp;TODAY(),TEAMS_GbG[[OPP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K54" s="7">
        <f ca="1">IFERROR(IF($B54="","",IF(K$42="","",IF($B54=K$7,"-",COUNTIFS(TEAMS_GbG[[TM NAME]:[TM NAME]],K$42,TEAMS_GbG[[DATE]:[DATE]],"&lt;="&amp;TODAY(),TEAMS_GbG[[OPP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L54" s="7">
        <f ca="1">IFERROR(IF($B54="","",IF(L$42="","",IF($B54=L$7,"-",COUNTIFS(TEAMS_GbG[[TM NAME]:[TM NAME]],L$42,TEAMS_GbG[[DATE]:[DATE]],"&lt;="&amp;TODAY(),TEAMS_GbG[[OPP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0.22222222222222221</v>
      </c>
      <c r="M54" s="7">
        <f ca="1">IFERROR(IF($B54="","",IF(M$42="","",IF($B54=M$7,"-",COUNTIFS(TEAMS_GbG[[TM NAME]:[TM NAME]],M$42,TEAMS_GbG[[DATE]:[DATE]],"&lt;="&amp;TODAY(),TEAMS_GbG[[OPP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0.7142857142857143</v>
      </c>
      <c r="N54" s="7" t="str">
        <f ca="1">IFERROR(IF($B54="","",IF(N$42="","",IF($B54=N$7,"-",COUNTIFS(TEAMS_GbG[[TM NAME]:[TM NAME]],N$42,TEAMS_GbG[[DATE]:[DATE]],"&lt;="&amp;TODAY(),TEAMS_GbG[[OPP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O54" s="7">
        <f ca="1">IFERROR(IF($B54="","",IF(O$42="","",IF($B54=O$7,"-",COUNTIFS(TEAMS_GbG[[TM NAME]:[TM NAME]],O$42,TEAMS_GbG[[DATE]:[DATE]],"&lt;="&amp;TODAY(),TEAMS_GbG[[OPP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P54" s="7">
        <f ca="1">IFERROR(IF($B54="","",IF(P$42="","",IF($B54=P$7,"-",COUNTIFS(TEAMS_GbG[[TM NAME]:[TM NAME]],P$42,TEAMS_GbG[[DATE]:[DATE]],"&lt;="&amp;TODAY(),TEAMS_GbG[[OPP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Q54" s="7">
        <f ca="1">IFERROR(IF($B54="","",IF(Q$42="","",IF($B54=Q$7,"-",COUNTIFS(TEAMS_GbG[[TM NAME]:[TM NAME]],Q$42,TEAMS_GbG[[DATE]:[DATE]],"&lt;="&amp;TODAY(),TEAMS_GbG[[OPP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4" s="7">
        <f ca="1">IFERROR(IF($B54="","",IF(R$42="","",IF($B54=R$7,"-",COUNTIFS(TEAMS_GbG[[TM NAME]:[TM NAME]],R$42,TEAMS_GbG[[DATE]:[DATE]],"&lt;="&amp;TODAY(),TEAMS_GbG[[OPP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S54" s="7">
        <f ca="1">IFERROR(IF($B54="","",IF(S$42="","",IF($B54=S$7,"-",COUNTIFS(TEAMS_GbG[[TM NAME]:[TM NAME]],S$42,TEAMS_GbG[[DATE]:[DATE]],"&lt;="&amp;TODAY(),TEAMS_GbG[[OPP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0.66666666666666663</v>
      </c>
      <c r="T54" s="7">
        <f ca="1">IFERROR(IF($B54="","",IF(T$42="","",IF($B54=T$7,"-",COUNTIFS(TEAMS_GbG[[TM NAME]:[TM NAME]],T$42,TEAMS_GbG[[DATE]:[DATE]],"&lt;="&amp;TODAY(),TEAMS_GbG[[OPP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U54" s="7" t="str">
        <f ca="1">IFERROR(IF($B54="","",IF(U$42="","",IF($B54=U$7,"-",COUNTIFS(TEAMS_GbG[[TM NAME]:[TM NAME]],U$42,TEAMS_GbG[[DATE]:[DATE]],"&lt;="&amp;TODAY(),TEAMS_GbG[[OPP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4" s="7" t="str">
        <f ca="1">IFERROR(IF($B54="","",IF(V$42="","",IF($B54=V$7,"-",COUNTIFS(TEAMS_GbG[[TM NAME]:[TM NAME]],V$42,TEAMS_GbG[[DATE]:[DATE]],"&lt;="&amp;TODAY(),TEAMS_GbG[[OPP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4" s="7" t="str">
        <f ca="1">IFERROR(IF($B54="","",IF(W$42="","",IF($B54=W$7,"-",COUNTIFS(TEAMS_GbG[[TM NAME]:[TM NAME]],W$42,TEAMS_GbG[[DATE]:[DATE]],"&lt;="&amp;TODAY(),TEAMS_GbG[[OPP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4" s="7" t="str">
        <f ca="1">IFERROR(IF($B54="","",IF(X$42="","",IF($B54=X$7,"-",COUNTIFS(TEAMS_GbG[[TM NAME]:[TM NAME]],X$42,TEAMS_GbG[[DATE]:[DATE]],"&lt;="&amp;TODAY(),TEAMS_GbG[[OPP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4" s="7" t="str">
        <f ca="1">IFERROR(IF($B54="","",IF(Y$42="","",IF($B54=Y$7,"-",COUNTIFS(TEAMS_GbG[[TM NAME]:[TM NAME]],Y$42,TEAMS_GbG[[DATE]:[DATE]],"&lt;="&amp;TODAY(),TEAMS_GbG[[OPP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4" s="7" t="str">
        <f ca="1">IFERROR(IF($B54="","",IF(Z$42="","",IF($B54=Z$7,"-",COUNTIFS(TEAMS_GbG[[TM NAME]:[TM NAME]],Z$42,TEAMS_GbG[[DATE]:[DATE]],"&lt;="&amp;TODAY(),TEAMS_GbG[[OPP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4" s="7" t="str">
        <f ca="1">IFERROR(IF($B54="","",IF(AA$42="","",IF($B54=AA$7,"-",COUNTIFS(TEAMS_GbG[[TM NAME]:[TM NAME]],AA$42,TEAMS_GbG[[DATE]:[DATE]],"&lt;="&amp;TODAY(),TEAMS_GbG[[OPP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4" s="7" t="str">
        <f ca="1">IFERROR(IF($B54="","",IF(AB$42="","",IF($B54=AB$7,"-",COUNTIFS(TEAMS_GbG[[TM NAME]:[TM NAME]],AB$42,TEAMS_GbG[[DATE]:[DATE]],"&lt;="&amp;TODAY(),TEAMS_GbG[[OPP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4" s="7" t="str">
        <f ca="1">IFERROR(IF($B54="","",IF(AC$42="","",IF($B54=AC$7,"-",COUNTIFS(TEAMS_GbG[[TM NAME]:[TM NAME]],AC$42,TEAMS_GbG[[DATE]:[DATE]],"&lt;="&amp;TODAY(),TEAMS_GbG[[OPP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4" s="7" t="str">
        <f ca="1">IFERROR(IF($B54="","",IF(AD$42="","",IF($B54=AD$7,"-",COUNTIFS(TEAMS_GbG[[TM NAME]:[TM NAME]],AD$42,TEAMS_GbG[[DATE]:[DATE]],"&lt;="&amp;TODAY(),TEAMS_GbG[[OPP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4" s="7" t="str">
        <f ca="1">IFERROR(IF($B54="","",IF(AE$42="","",IF($B54=AE$7,"-",COUNTIFS(TEAMS_GbG[[TM NAME]:[TM NAME]],AE$42,TEAMS_GbG[[DATE]:[DATE]],"&lt;="&amp;TODAY(),TEAMS_GbG[[OPP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4" s="7" t="str">
        <f ca="1">IFERROR(IF($B54="","",IF(AF$42="","",IF($B54=AF$7,"-",COUNTIFS(TEAMS_GbG[[TM NAME]:[TM NAME]],AF$42,TEAMS_GbG[[DATE]:[DATE]],"&lt;="&amp;TODAY(),TEAMS_GbG[[OPP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4" s="7" t="str">
        <f ca="1">IFERROR(IF($B54="","",IF(AG$42="","",IF($B54=AG$7,"-",COUNTIFS(TEAMS_GbG[[TM NAME]:[TM NAME]],AG$42,TEAMS_GbG[[DATE]:[DATE]],"&lt;="&amp;TODAY(),TEAMS_GbG[[OPP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4" s="7" t="str">
        <f ca="1">IFERROR(IF($B54="","",IF(AH$42="","",IF($B54=AH$7,"-",COUNTIFS(TEAMS_GbG[[TM NAME]:[TM NAME]],AH$42,TEAMS_GbG[[DATE]:[DATE]],"&lt;="&amp;TODAY(),TEAMS_GbG[[OPP NAME]:[OPP NAME]],"&lt;&gt;"&amp;$B54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4" s="52">
        <f t="shared" ca="1" si="2"/>
        <v>0.52380952380952384</v>
      </c>
    </row>
    <row r="55" spans="2:35" x14ac:dyDescent="0.25">
      <c r="B55" s="1" t="str">
        <f t="shared" si="1"/>
        <v>Panathinaikos Athens</v>
      </c>
      <c r="C55" s="7">
        <f ca="1">IFERROR(IF($B55="","",IF(C$42="","",IF($B55=C$7,"-",COUNTIFS(TEAMS_GbG[[TM NAME]:[TM NAME]],C$42,TEAMS_GbG[[DATE]:[DATE]],"&lt;="&amp;TODAY(),TEAMS_GbG[[OPP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D55" s="7">
        <f ca="1">IFERROR(IF($B55="","",IF(D$42="","",IF($B55=D$7,"-",COUNTIFS(TEAMS_GbG[[TM NAME]:[TM NAME]],D$42,TEAMS_GbG[[DATE]:[DATE]],"&lt;="&amp;TODAY(),TEAMS_GbG[[OPP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E55" s="7">
        <f ca="1">IFERROR(IF($B55="","",IF(E$42="","",IF($B55=E$7,"-",COUNTIFS(TEAMS_GbG[[TM NAME]:[TM NAME]],E$42,TEAMS_GbG[[DATE]:[DATE]],"&lt;="&amp;TODAY(),TEAMS_GbG[[OPP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F55" s="7">
        <f ca="1">IFERROR(IF($B55="","",IF(F$42="","",IF($B55=F$7,"-",COUNTIFS(TEAMS_GbG[[TM NAME]:[TM NAME]],F$42,TEAMS_GbG[[DATE]:[DATE]],"&lt;="&amp;TODAY(),TEAMS_GbG[[OPP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G55" s="7">
        <f ca="1">IFERROR(IF($B55="","",IF(G$42="","",IF($B55=G$7,"-",COUNTIFS(TEAMS_GbG[[TM NAME]:[TM NAME]],G$42,TEAMS_GbG[[DATE]:[DATE]],"&lt;="&amp;TODAY(),TEAMS_GbG[[OPP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H55" s="7">
        <f ca="1">IFERROR(IF($B55="","",IF(H$42="","",IF($B55=H$7,"-",COUNTIFS(TEAMS_GbG[[TM NAME]:[TM NAME]],H$42,TEAMS_GbG[[DATE]:[DATE]],"&lt;="&amp;TODAY(),TEAMS_GbG[[OPP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I55" s="7">
        <f ca="1">IFERROR(IF($B55="","",IF(I$42="","",IF($B55=I$7,"-",COUNTIFS(TEAMS_GbG[[TM NAME]:[TM NAME]],I$42,TEAMS_GbG[[DATE]:[DATE]],"&lt;="&amp;TODAY(),TEAMS_GbG[[OPP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J55" s="7">
        <f ca="1">IFERROR(IF($B55="","",IF(J$42="","",IF($B55=J$7,"-",COUNTIFS(TEAMS_GbG[[TM NAME]:[TM NAME]],J$42,TEAMS_GbG[[DATE]:[DATE]],"&lt;="&amp;TODAY(),TEAMS_GbG[[OPP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K55" s="7">
        <f ca="1">IFERROR(IF($B55="","",IF(K$42="","",IF($B55=K$7,"-",COUNTIFS(TEAMS_GbG[[TM NAME]:[TM NAME]],K$42,TEAMS_GbG[[DATE]:[DATE]],"&lt;="&amp;TODAY(),TEAMS_GbG[[OPP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L55" s="7">
        <f ca="1">IFERROR(IF($B55="","",IF(L$42="","",IF($B55=L$7,"-",COUNTIFS(TEAMS_GbG[[TM NAME]:[TM NAME]],L$42,TEAMS_GbG[[DATE]:[DATE]],"&lt;="&amp;TODAY(),TEAMS_GbG[[OPP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0.22222222222222221</v>
      </c>
      <c r="M55" s="7">
        <f ca="1">IFERROR(IF($B55="","",IF(M$42="","",IF($B55=M$7,"-",COUNTIFS(TEAMS_GbG[[TM NAME]:[TM NAME]],M$42,TEAMS_GbG[[DATE]:[DATE]],"&lt;="&amp;TODAY(),TEAMS_GbG[[OPP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0.5714285714285714</v>
      </c>
      <c r="N55" s="7">
        <f ca="1">IFERROR(IF($B55="","",IF(N$42="","",IF($B55=N$7,"-",COUNTIFS(TEAMS_GbG[[TM NAME]:[TM NAME]],N$42,TEAMS_GbG[[DATE]:[DATE]],"&lt;="&amp;TODAY(),TEAMS_GbG[[OPP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O55" s="7" t="str">
        <f ca="1">IFERROR(IF($B55="","",IF(O$42="","",IF($B55=O$7,"-",COUNTIFS(TEAMS_GbG[[TM NAME]:[TM NAME]],O$42,TEAMS_GbG[[DATE]:[DATE]],"&lt;="&amp;TODAY(),TEAMS_GbG[[OPP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P55" s="7">
        <f ca="1">IFERROR(IF($B55="","",IF(P$42="","",IF($B55=P$7,"-",COUNTIFS(TEAMS_GbG[[TM NAME]:[TM NAME]],P$42,TEAMS_GbG[[DATE]:[DATE]],"&lt;="&amp;TODAY(),TEAMS_GbG[[OPP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Q55" s="7">
        <f ca="1">IFERROR(IF($B55="","",IF(Q$42="","",IF($B55=Q$7,"-",COUNTIFS(TEAMS_GbG[[TM NAME]:[TM NAME]],Q$42,TEAMS_GbG[[DATE]:[DATE]],"&lt;="&amp;TODAY(),TEAMS_GbG[[OPP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5" s="7">
        <f ca="1">IFERROR(IF($B55="","",IF(R$42="","",IF($B55=R$7,"-",COUNTIFS(TEAMS_GbG[[TM NAME]:[TM NAME]],R$42,TEAMS_GbG[[DATE]:[DATE]],"&lt;="&amp;TODAY(),TEAMS_GbG[[OPP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S55" s="7">
        <f ca="1">IFERROR(IF($B55="","",IF(S$42="","",IF($B55=S$7,"-",COUNTIFS(TEAMS_GbG[[TM NAME]:[TM NAME]],S$42,TEAMS_GbG[[DATE]:[DATE]],"&lt;="&amp;TODAY(),TEAMS_GbG[[OPP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T55" s="7">
        <f ca="1">IFERROR(IF($B55="","",IF(T$42="","",IF($B55=T$7,"-",COUNTIFS(TEAMS_GbG[[TM NAME]:[TM NAME]],T$42,TEAMS_GbG[[DATE]:[DATE]],"&lt;="&amp;TODAY(),TEAMS_GbG[[OPP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U55" s="7" t="str">
        <f ca="1">IFERROR(IF($B55="","",IF(U$42="","",IF($B55=U$7,"-",COUNTIFS(TEAMS_GbG[[TM NAME]:[TM NAME]],U$42,TEAMS_GbG[[DATE]:[DATE]],"&lt;="&amp;TODAY(),TEAMS_GbG[[OPP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5" s="7" t="str">
        <f ca="1">IFERROR(IF($B55="","",IF(V$42="","",IF($B55=V$7,"-",COUNTIFS(TEAMS_GbG[[TM NAME]:[TM NAME]],V$42,TEAMS_GbG[[DATE]:[DATE]],"&lt;="&amp;TODAY(),TEAMS_GbG[[OPP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5" s="7" t="str">
        <f ca="1">IFERROR(IF($B55="","",IF(W$42="","",IF($B55=W$7,"-",COUNTIFS(TEAMS_GbG[[TM NAME]:[TM NAME]],W$42,TEAMS_GbG[[DATE]:[DATE]],"&lt;="&amp;TODAY(),TEAMS_GbG[[OPP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5" s="7" t="str">
        <f ca="1">IFERROR(IF($B55="","",IF(X$42="","",IF($B55=X$7,"-",COUNTIFS(TEAMS_GbG[[TM NAME]:[TM NAME]],X$42,TEAMS_GbG[[DATE]:[DATE]],"&lt;="&amp;TODAY(),TEAMS_GbG[[OPP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5" s="7" t="str">
        <f ca="1">IFERROR(IF($B55="","",IF(Y$42="","",IF($B55=Y$7,"-",COUNTIFS(TEAMS_GbG[[TM NAME]:[TM NAME]],Y$42,TEAMS_GbG[[DATE]:[DATE]],"&lt;="&amp;TODAY(),TEAMS_GbG[[OPP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5" s="7" t="str">
        <f ca="1">IFERROR(IF($B55="","",IF(Z$42="","",IF($B55=Z$7,"-",COUNTIFS(TEAMS_GbG[[TM NAME]:[TM NAME]],Z$42,TEAMS_GbG[[DATE]:[DATE]],"&lt;="&amp;TODAY(),TEAMS_GbG[[OPP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5" s="7" t="str">
        <f ca="1">IFERROR(IF($B55="","",IF(AA$42="","",IF($B55=AA$7,"-",COUNTIFS(TEAMS_GbG[[TM NAME]:[TM NAME]],AA$42,TEAMS_GbG[[DATE]:[DATE]],"&lt;="&amp;TODAY(),TEAMS_GbG[[OPP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5" s="7" t="str">
        <f ca="1">IFERROR(IF($B55="","",IF(AB$42="","",IF($B55=AB$7,"-",COUNTIFS(TEAMS_GbG[[TM NAME]:[TM NAME]],AB$42,TEAMS_GbG[[DATE]:[DATE]],"&lt;="&amp;TODAY(),TEAMS_GbG[[OPP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5" s="7" t="str">
        <f ca="1">IFERROR(IF($B55="","",IF(AC$42="","",IF($B55=AC$7,"-",COUNTIFS(TEAMS_GbG[[TM NAME]:[TM NAME]],AC$42,TEAMS_GbG[[DATE]:[DATE]],"&lt;="&amp;TODAY(),TEAMS_GbG[[OPP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5" s="7" t="str">
        <f ca="1">IFERROR(IF($B55="","",IF(AD$42="","",IF($B55=AD$7,"-",COUNTIFS(TEAMS_GbG[[TM NAME]:[TM NAME]],AD$42,TEAMS_GbG[[DATE]:[DATE]],"&lt;="&amp;TODAY(),TEAMS_GbG[[OPP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5" s="7" t="str">
        <f ca="1">IFERROR(IF($B55="","",IF(AE$42="","",IF($B55=AE$7,"-",COUNTIFS(TEAMS_GbG[[TM NAME]:[TM NAME]],AE$42,TEAMS_GbG[[DATE]:[DATE]],"&lt;="&amp;TODAY(),TEAMS_GbG[[OPP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5" s="7" t="str">
        <f ca="1">IFERROR(IF($B55="","",IF(AF$42="","",IF($B55=AF$7,"-",COUNTIFS(TEAMS_GbG[[TM NAME]:[TM NAME]],AF$42,TEAMS_GbG[[DATE]:[DATE]],"&lt;="&amp;TODAY(),TEAMS_GbG[[OPP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5" s="7" t="str">
        <f ca="1">IFERROR(IF($B55="","",IF(AG$42="","",IF($B55=AG$7,"-",COUNTIFS(TEAMS_GbG[[TM NAME]:[TM NAME]],AG$42,TEAMS_GbG[[DATE]:[DATE]],"&lt;="&amp;TODAY(),TEAMS_GbG[[OPP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5" s="7" t="str">
        <f ca="1">IFERROR(IF($B55="","",IF(AH$42="","",IF($B55=AH$7,"-",COUNTIFS(TEAMS_GbG[[TM NAME]:[TM NAME]],AH$42,TEAMS_GbG[[DATE]:[DATE]],"&lt;="&amp;TODAY(),TEAMS_GbG[[OPP NAME]:[OPP NAME]],"&lt;&gt;"&amp;$B55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5" s="52">
        <f t="shared" ca="1" si="2"/>
        <v>0.52182539682539675</v>
      </c>
    </row>
    <row r="56" spans="2:35" x14ac:dyDescent="0.25">
      <c r="B56" s="1" t="str">
        <f t="shared" si="1"/>
        <v>Partizan Mozzart Bet Belgrade</v>
      </c>
      <c r="C56" s="7">
        <f ca="1">IFERROR(IF($B56="","",IF(C$42="","",IF($B56=C$7,"-",COUNTIFS(TEAMS_GbG[[TM NAME]:[TM NAME]],C$42,TEAMS_GbG[[DATE]:[DATE]],"&lt;="&amp;TODAY(),TEAMS_GbG[[OPP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D56" s="7">
        <f ca="1">IFERROR(IF($B56="","",IF(D$42="","",IF($B56=D$7,"-",COUNTIFS(TEAMS_GbG[[TM NAME]:[TM NAME]],D$42,TEAMS_GbG[[DATE]:[DATE]],"&lt;="&amp;TODAY(),TEAMS_GbG[[OPP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E56" s="7">
        <f ca="1">IFERROR(IF($B56="","",IF(E$42="","",IF($B56=E$7,"-",COUNTIFS(TEAMS_GbG[[TM NAME]:[TM NAME]],E$42,TEAMS_GbG[[DATE]:[DATE]],"&lt;="&amp;TODAY(),TEAMS_GbG[[OPP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F56" s="7">
        <f ca="1">IFERROR(IF($B56="","",IF(F$42="","",IF($B56=F$7,"-",COUNTIFS(TEAMS_GbG[[TM NAME]:[TM NAME]],F$42,TEAMS_GbG[[DATE]:[DATE]],"&lt;="&amp;TODAY(),TEAMS_GbG[[OPP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G56" s="7">
        <f ca="1">IFERROR(IF($B56="","",IF(G$42="","",IF($B56=G$7,"-",COUNTIFS(TEAMS_GbG[[TM NAME]:[TM NAME]],G$42,TEAMS_GbG[[DATE]:[DATE]],"&lt;="&amp;TODAY(),TEAMS_GbG[[OPP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H56" s="7">
        <f ca="1">IFERROR(IF($B56="","",IF(H$42="","",IF($B56=H$7,"-",COUNTIFS(TEAMS_GbG[[TM NAME]:[TM NAME]],H$42,TEAMS_GbG[[DATE]:[DATE]],"&lt;="&amp;TODAY(),TEAMS_GbG[[OPP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I56" s="7">
        <f ca="1">IFERROR(IF($B56="","",IF(I$42="","",IF($B56=I$7,"-",COUNTIFS(TEAMS_GbG[[TM NAME]:[TM NAME]],I$42,TEAMS_GbG[[DATE]:[DATE]],"&lt;="&amp;TODAY(),TEAMS_GbG[[OPP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J56" s="7">
        <f ca="1">IFERROR(IF($B56="","",IF(J$42="","",IF($B56=J$7,"-",COUNTIFS(TEAMS_GbG[[TM NAME]:[TM NAME]],J$42,TEAMS_GbG[[DATE]:[DATE]],"&lt;="&amp;TODAY(),TEAMS_GbG[[OPP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K56" s="7">
        <f ca="1">IFERROR(IF($B56="","",IF(K$42="","",IF($B56=K$7,"-",COUNTIFS(TEAMS_GbG[[TM NAME]:[TM NAME]],K$42,TEAMS_GbG[[DATE]:[DATE]],"&lt;="&amp;TODAY(),TEAMS_GbG[[OPP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L56" s="7">
        <f ca="1">IFERROR(IF($B56="","",IF(L$42="","",IF($B56=L$7,"-",COUNTIFS(TEAMS_GbG[[TM NAME]:[TM NAME]],L$42,TEAMS_GbG[[DATE]:[DATE]],"&lt;="&amp;TODAY(),TEAMS_GbG[[OPP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M56" s="7">
        <f ca="1">IFERROR(IF($B56="","",IF(M$42="","",IF($B56=M$7,"-",COUNTIFS(TEAMS_GbG[[TM NAME]:[TM NAME]],M$42,TEAMS_GbG[[DATE]:[DATE]],"&lt;="&amp;TODAY(),TEAMS_GbG[[OPP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0.5714285714285714</v>
      </c>
      <c r="N56" s="7">
        <f ca="1">IFERROR(IF($B56="","",IF(N$42="","",IF($B56=N$7,"-",COUNTIFS(TEAMS_GbG[[TM NAME]:[TM NAME]],N$42,TEAMS_GbG[[DATE]:[DATE]],"&lt;="&amp;TODAY(),TEAMS_GbG[[OPP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O56" s="7">
        <f ca="1">IFERROR(IF($B56="","",IF(O$42="","",IF($B56=O$7,"-",COUNTIFS(TEAMS_GbG[[TM NAME]:[TM NAME]],O$42,TEAMS_GbG[[DATE]:[DATE]],"&lt;="&amp;TODAY(),TEAMS_GbG[[OPP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P56" s="7" t="str">
        <f ca="1">IFERROR(IF($B56="","",IF(P$42="","",IF($B56=P$7,"-",COUNTIFS(TEAMS_GbG[[TM NAME]:[TM NAME]],P$42,TEAMS_GbG[[DATE]:[DATE]],"&lt;="&amp;TODAY(),TEAMS_GbG[[OPP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Q56" s="7">
        <f ca="1">IFERROR(IF($B56="","",IF(Q$42="","",IF($B56=Q$7,"-",COUNTIFS(TEAMS_GbG[[TM NAME]:[TM NAME]],Q$42,TEAMS_GbG[[DATE]:[DATE]],"&lt;="&amp;TODAY(),TEAMS_GbG[[OPP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6" s="7">
        <f ca="1">IFERROR(IF($B56="","",IF(R$42="","",IF($B56=R$7,"-",COUNTIFS(TEAMS_GbG[[TM NAME]:[TM NAME]],R$42,TEAMS_GbG[[DATE]:[DATE]],"&lt;="&amp;TODAY(),TEAMS_GbG[[OPP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S56" s="7">
        <f ca="1">IFERROR(IF($B56="","",IF(S$42="","",IF($B56=S$7,"-",COUNTIFS(TEAMS_GbG[[TM NAME]:[TM NAME]],S$42,TEAMS_GbG[[DATE]:[DATE]],"&lt;="&amp;TODAY(),TEAMS_GbG[[OPP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0.66666666666666663</v>
      </c>
      <c r="T56" s="7">
        <f ca="1">IFERROR(IF($B56="","",IF(T$42="","",IF($B56=T$7,"-",COUNTIFS(TEAMS_GbG[[TM NAME]:[TM NAME]],T$42,TEAMS_GbG[[DATE]:[DATE]],"&lt;="&amp;TODAY(),TEAMS_GbG[[OPP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U56" s="7" t="str">
        <f ca="1">IFERROR(IF($B56="","",IF(U$42="","",IF($B56=U$7,"-",COUNTIFS(TEAMS_GbG[[TM NAME]:[TM NAME]],U$42,TEAMS_GbG[[DATE]:[DATE]],"&lt;="&amp;TODAY(),TEAMS_GbG[[OPP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6" s="7" t="str">
        <f ca="1">IFERROR(IF($B56="","",IF(V$42="","",IF($B56=V$7,"-",COUNTIFS(TEAMS_GbG[[TM NAME]:[TM NAME]],V$42,TEAMS_GbG[[DATE]:[DATE]],"&lt;="&amp;TODAY(),TEAMS_GbG[[OPP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6" s="7" t="str">
        <f ca="1">IFERROR(IF($B56="","",IF(W$42="","",IF($B56=W$7,"-",COUNTIFS(TEAMS_GbG[[TM NAME]:[TM NAME]],W$42,TEAMS_GbG[[DATE]:[DATE]],"&lt;="&amp;TODAY(),TEAMS_GbG[[OPP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6" s="7" t="str">
        <f ca="1">IFERROR(IF($B56="","",IF(X$42="","",IF($B56=X$7,"-",COUNTIFS(TEAMS_GbG[[TM NAME]:[TM NAME]],X$42,TEAMS_GbG[[DATE]:[DATE]],"&lt;="&amp;TODAY(),TEAMS_GbG[[OPP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6" s="7" t="str">
        <f ca="1">IFERROR(IF($B56="","",IF(Y$42="","",IF($B56=Y$7,"-",COUNTIFS(TEAMS_GbG[[TM NAME]:[TM NAME]],Y$42,TEAMS_GbG[[DATE]:[DATE]],"&lt;="&amp;TODAY(),TEAMS_GbG[[OPP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6" s="7" t="str">
        <f ca="1">IFERROR(IF($B56="","",IF(Z$42="","",IF($B56=Z$7,"-",COUNTIFS(TEAMS_GbG[[TM NAME]:[TM NAME]],Z$42,TEAMS_GbG[[DATE]:[DATE]],"&lt;="&amp;TODAY(),TEAMS_GbG[[OPP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6" s="7" t="str">
        <f ca="1">IFERROR(IF($B56="","",IF(AA$42="","",IF($B56=AA$7,"-",COUNTIFS(TEAMS_GbG[[TM NAME]:[TM NAME]],AA$42,TEAMS_GbG[[DATE]:[DATE]],"&lt;="&amp;TODAY(),TEAMS_GbG[[OPP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6" s="7" t="str">
        <f ca="1">IFERROR(IF($B56="","",IF(AB$42="","",IF($B56=AB$7,"-",COUNTIFS(TEAMS_GbG[[TM NAME]:[TM NAME]],AB$42,TEAMS_GbG[[DATE]:[DATE]],"&lt;="&amp;TODAY(),TEAMS_GbG[[OPP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6" s="7" t="str">
        <f ca="1">IFERROR(IF($B56="","",IF(AC$42="","",IF($B56=AC$7,"-",COUNTIFS(TEAMS_GbG[[TM NAME]:[TM NAME]],AC$42,TEAMS_GbG[[DATE]:[DATE]],"&lt;="&amp;TODAY(),TEAMS_GbG[[OPP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6" s="7" t="str">
        <f ca="1">IFERROR(IF($B56="","",IF(AD$42="","",IF($B56=AD$7,"-",COUNTIFS(TEAMS_GbG[[TM NAME]:[TM NAME]],AD$42,TEAMS_GbG[[DATE]:[DATE]],"&lt;="&amp;TODAY(),TEAMS_GbG[[OPP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6" s="7" t="str">
        <f ca="1">IFERROR(IF($B56="","",IF(AE$42="","",IF($B56=AE$7,"-",COUNTIFS(TEAMS_GbG[[TM NAME]:[TM NAME]],AE$42,TEAMS_GbG[[DATE]:[DATE]],"&lt;="&amp;TODAY(),TEAMS_GbG[[OPP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6" s="7" t="str">
        <f ca="1">IFERROR(IF($B56="","",IF(AF$42="","",IF($B56=AF$7,"-",COUNTIFS(TEAMS_GbG[[TM NAME]:[TM NAME]],AF$42,TEAMS_GbG[[DATE]:[DATE]],"&lt;="&amp;TODAY(),TEAMS_GbG[[OPP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6" s="7" t="str">
        <f ca="1">IFERROR(IF($B56="","",IF(AG$42="","",IF($B56=AG$7,"-",COUNTIFS(TEAMS_GbG[[TM NAME]:[TM NAME]],AG$42,TEAMS_GbG[[DATE]:[DATE]],"&lt;="&amp;TODAY(),TEAMS_GbG[[OPP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6" s="7" t="str">
        <f ca="1">IFERROR(IF($B56="","",IF(AH$42="","",IF($B56=AH$7,"-",COUNTIFS(TEAMS_GbG[[TM NAME]:[TM NAME]],AH$42,TEAMS_GbG[[DATE]:[DATE]],"&lt;="&amp;TODAY(),TEAMS_GbG[[OPP NAME]:[OPP NAME]],"&lt;&gt;"&amp;$B56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6" s="52">
        <f t="shared" ca="1" si="2"/>
        <v>0.43849206349206349</v>
      </c>
    </row>
    <row r="57" spans="2:35" x14ac:dyDescent="0.25">
      <c r="B57" s="1" t="str">
        <f t="shared" si="1"/>
        <v>Real Madrid</v>
      </c>
      <c r="C57" s="7">
        <f ca="1">IFERROR(IF($B57="","",IF(C$42="","",IF($B57=C$7,"-",COUNTIFS(TEAMS_GbG[[TM NAME]:[TM NAME]],C$42,TEAMS_GbG[[DATE]:[DATE]],"&lt;="&amp;TODAY(),TEAMS_GbG[[OPP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0.1111111111111111</v>
      </c>
      <c r="D57" s="7">
        <f ca="1">IFERROR(IF($B57="","",IF(D$42="","",IF($B57=D$7,"-",COUNTIFS(TEAMS_GbG[[TM NAME]:[TM NAME]],D$42,TEAMS_GbG[[DATE]:[DATE]],"&lt;="&amp;TODAY(),TEAMS_GbG[[OPP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E57" s="7">
        <f ca="1">IFERROR(IF($B57="","",IF(E$42="","",IF($B57=E$7,"-",COUNTIFS(TEAMS_GbG[[TM NAME]:[TM NAME]],E$42,TEAMS_GbG[[DATE]:[DATE]],"&lt;="&amp;TODAY(),TEAMS_GbG[[OPP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F57" s="7">
        <f ca="1">IFERROR(IF($B57="","",IF(F$42="","",IF($B57=F$7,"-",COUNTIFS(TEAMS_GbG[[TM NAME]:[TM NAME]],F$42,TEAMS_GbG[[DATE]:[DATE]],"&lt;="&amp;TODAY(),TEAMS_GbG[[OPP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G57" s="7">
        <f ca="1">IFERROR(IF($B57="","",IF(G$42="","",IF($B57=G$7,"-",COUNTIFS(TEAMS_GbG[[TM NAME]:[TM NAME]],G$42,TEAMS_GbG[[DATE]:[DATE]],"&lt;="&amp;TODAY(),TEAMS_GbG[[OPP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H57" s="7">
        <f ca="1">IFERROR(IF($B57="","",IF(H$42="","",IF($B57=H$7,"-",COUNTIFS(TEAMS_GbG[[TM NAME]:[TM NAME]],H$42,TEAMS_GbG[[DATE]:[DATE]],"&lt;="&amp;TODAY(),TEAMS_GbG[[OPP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I57" s="7">
        <f ca="1">IFERROR(IF($B57="","",IF(I$42="","",IF($B57=I$7,"-",COUNTIFS(TEAMS_GbG[[TM NAME]:[TM NAME]],I$42,TEAMS_GbG[[DATE]:[DATE]],"&lt;="&amp;TODAY(),TEAMS_GbG[[OPP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0.875</v>
      </c>
      <c r="J57" s="7">
        <f ca="1">IFERROR(IF($B57="","",IF(J$42="","",IF($B57=J$7,"-",COUNTIFS(TEAMS_GbG[[TM NAME]:[TM NAME]],J$42,TEAMS_GbG[[DATE]:[DATE]],"&lt;="&amp;TODAY(),TEAMS_GbG[[OPP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K57" s="7">
        <f ca="1">IFERROR(IF($B57="","",IF(K$42="","",IF($B57=K$7,"-",COUNTIFS(TEAMS_GbG[[TM NAME]:[TM NAME]],K$42,TEAMS_GbG[[DATE]:[DATE]],"&lt;="&amp;TODAY(),TEAMS_GbG[[OPP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L57" s="7">
        <f ca="1">IFERROR(IF($B57="","",IF(L$42="","",IF($B57=L$7,"-",COUNTIFS(TEAMS_GbG[[TM NAME]:[TM NAME]],L$42,TEAMS_GbG[[DATE]:[DATE]],"&lt;="&amp;TODAY(),TEAMS_GbG[[OPP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0.22222222222222221</v>
      </c>
      <c r="M57" s="7">
        <f ca="1">IFERROR(IF($B57="","",IF(M$42="","",IF($B57=M$7,"-",COUNTIFS(TEAMS_GbG[[TM NAME]:[TM NAME]],M$42,TEAMS_GbG[[DATE]:[DATE]],"&lt;="&amp;TODAY(),TEAMS_GbG[[OPP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57" s="7">
        <f ca="1">IFERROR(IF($B57="","",IF(N$42="","",IF($B57=N$7,"-",COUNTIFS(TEAMS_GbG[[TM NAME]:[TM NAME]],N$42,TEAMS_GbG[[DATE]:[DATE]],"&lt;="&amp;TODAY(),TEAMS_GbG[[OPP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O57" s="7">
        <f ca="1">IFERROR(IF($B57="","",IF(O$42="","",IF($B57=O$7,"-",COUNTIFS(TEAMS_GbG[[TM NAME]:[TM NAME]],O$42,TEAMS_GbG[[DATE]:[DATE]],"&lt;="&amp;TODAY(),TEAMS_GbG[[OPP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P57" s="7">
        <f ca="1">IFERROR(IF($B57="","",IF(P$42="","",IF($B57=P$7,"-",COUNTIFS(TEAMS_GbG[[TM NAME]:[TM NAME]],P$42,TEAMS_GbG[[DATE]:[DATE]],"&lt;="&amp;TODAY(),TEAMS_GbG[[OPP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Q57" s="7" t="str">
        <f ca="1">IFERROR(IF($B57="","",IF(Q$42="","",IF($B57=Q$7,"-",COUNTIFS(TEAMS_GbG[[TM NAME]:[TM NAME]],Q$42,TEAMS_GbG[[DATE]:[DATE]],"&lt;="&amp;TODAY(),TEAMS_GbG[[OPP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R57" s="7">
        <f ca="1">IFERROR(IF($B57="","",IF(R$42="","",IF($B57=R$7,"-",COUNTIFS(TEAMS_GbG[[TM NAME]:[TM NAME]],R$42,TEAMS_GbG[[DATE]:[DATE]],"&lt;="&amp;TODAY(),TEAMS_GbG[[OPP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S57" s="7">
        <f ca="1">IFERROR(IF($B57="","",IF(S$42="","",IF($B57=S$7,"-",COUNTIFS(TEAMS_GbG[[TM NAME]:[TM NAME]],S$42,TEAMS_GbG[[DATE]:[DATE]],"&lt;="&amp;TODAY(),TEAMS_GbG[[OPP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T57" s="7">
        <f ca="1">IFERROR(IF($B57="","",IF(T$42="","",IF($B57=T$7,"-",COUNTIFS(TEAMS_GbG[[TM NAME]:[TM NAME]],T$42,TEAMS_GbG[[DATE]:[DATE]],"&lt;="&amp;TODAY(),TEAMS_GbG[[OPP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U57" s="7" t="str">
        <f ca="1">IFERROR(IF($B57="","",IF(U$42="","",IF($B57=U$7,"-",COUNTIFS(TEAMS_GbG[[TM NAME]:[TM NAME]],U$42,TEAMS_GbG[[DATE]:[DATE]],"&lt;="&amp;TODAY(),TEAMS_GbG[[OPP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7" s="7" t="str">
        <f ca="1">IFERROR(IF($B57="","",IF(V$42="","",IF($B57=V$7,"-",COUNTIFS(TEAMS_GbG[[TM NAME]:[TM NAME]],V$42,TEAMS_GbG[[DATE]:[DATE]],"&lt;="&amp;TODAY(),TEAMS_GbG[[OPP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7" s="7" t="str">
        <f ca="1">IFERROR(IF($B57="","",IF(W$42="","",IF($B57=W$7,"-",COUNTIFS(TEAMS_GbG[[TM NAME]:[TM NAME]],W$42,TEAMS_GbG[[DATE]:[DATE]],"&lt;="&amp;TODAY(),TEAMS_GbG[[OPP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7" s="7" t="str">
        <f ca="1">IFERROR(IF($B57="","",IF(X$42="","",IF($B57=X$7,"-",COUNTIFS(TEAMS_GbG[[TM NAME]:[TM NAME]],X$42,TEAMS_GbG[[DATE]:[DATE]],"&lt;="&amp;TODAY(),TEAMS_GbG[[OPP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7" s="7" t="str">
        <f ca="1">IFERROR(IF($B57="","",IF(Y$42="","",IF($B57=Y$7,"-",COUNTIFS(TEAMS_GbG[[TM NAME]:[TM NAME]],Y$42,TEAMS_GbG[[DATE]:[DATE]],"&lt;="&amp;TODAY(),TEAMS_GbG[[OPP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7" s="7" t="str">
        <f ca="1">IFERROR(IF($B57="","",IF(Z$42="","",IF($B57=Z$7,"-",COUNTIFS(TEAMS_GbG[[TM NAME]:[TM NAME]],Z$42,TEAMS_GbG[[DATE]:[DATE]],"&lt;="&amp;TODAY(),TEAMS_GbG[[OPP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7" s="7" t="str">
        <f ca="1">IFERROR(IF($B57="","",IF(AA$42="","",IF($B57=AA$7,"-",COUNTIFS(TEAMS_GbG[[TM NAME]:[TM NAME]],AA$42,TEAMS_GbG[[DATE]:[DATE]],"&lt;="&amp;TODAY(),TEAMS_GbG[[OPP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7" s="7" t="str">
        <f ca="1">IFERROR(IF($B57="","",IF(AB$42="","",IF($B57=AB$7,"-",COUNTIFS(TEAMS_GbG[[TM NAME]:[TM NAME]],AB$42,TEAMS_GbG[[DATE]:[DATE]],"&lt;="&amp;TODAY(),TEAMS_GbG[[OPP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7" s="7" t="str">
        <f ca="1">IFERROR(IF($B57="","",IF(AC$42="","",IF($B57=AC$7,"-",COUNTIFS(TEAMS_GbG[[TM NAME]:[TM NAME]],AC$42,TEAMS_GbG[[DATE]:[DATE]],"&lt;="&amp;TODAY(),TEAMS_GbG[[OPP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7" s="7" t="str">
        <f ca="1">IFERROR(IF($B57="","",IF(AD$42="","",IF($B57=AD$7,"-",COUNTIFS(TEAMS_GbG[[TM NAME]:[TM NAME]],AD$42,TEAMS_GbG[[DATE]:[DATE]],"&lt;="&amp;TODAY(),TEAMS_GbG[[OPP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7" s="7" t="str">
        <f ca="1">IFERROR(IF($B57="","",IF(AE$42="","",IF($B57=AE$7,"-",COUNTIFS(TEAMS_GbG[[TM NAME]:[TM NAME]],AE$42,TEAMS_GbG[[DATE]:[DATE]],"&lt;="&amp;TODAY(),TEAMS_GbG[[OPP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7" s="7" t="str">
        <f ca="1">IFERROR(IF($B57="","",IF(AF$42="","",IF($B57=AF$7,"-",COUNTIFS(TEAMS_GbG[[TM NAME]:[TM NAME]],AF$42,TEAMS_GbG[[DATE]:[DATE]],"&lt;="&amp;TODAY(),TEAMS_GbG[[OPP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7" s="7" t="str">
        <f ca="1">IFERROR(IF($B57="","",IF(AG$42="","",IF($B57=AG$7,"-",COUNTIFS(TEAMS_GbG[[TM NAME]:[TM NAME]],AG$42,TEAMS_GbG[[DATE]:[DATE]],"&lt;="&amp;TODAY(),TEAMS_GbG[[OPP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7" s="7" t="str">
        <f ca="1">IFERROR(IF($B57="","",IF(AH$42="","",IF($B57=AH$7,"-",COUNTIFS(TEAMS_GbG[[TM NAME]:[TM NAME]],AH$42,TEAMS_GbG[[DATE]:[DATE]],"&lt;="&amp;TODAY(),TEAMS_GbG[[OPP NAME]:[OPP NAME]],"&lt;&gt;"&amp;$B57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7" s="52">
        <f t="shared" ca="1" si="2"/>
        <v>0.609375</v>
      </c>
    </row>
    <row r="58" spans="2:35" x14ac:dyDescent="0.25">
      <c r="B58" s="1" t="str">
        <f t="shared" si="1"/>
        <v>Valencia Basket</v>
      </c>
      <c r="C58" s="7">
        <f ca="1">IFERROR(IF($B58="","",IF(C$42="","",IF($B58=C$7,"-",COUNTIFS(TEAMS_GbG[[TM NAME]:[TM NAME]],C$42,TEAMS_GbG[[DATE]:[DATE]],"&lt;="&amp;TODAY(),TEAMS_GbG[[OPP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D58" s="7">
        <f ca="1">IFERROR(IF($B58="","",IF(D$42="","",IF($B58=D$7,"-",COUNTIFS(TEAMS_GbG[[TM NAME]:[TM NAME]],D$42,TEAMS_GbG[[DATE]:[DATE]],"&lt;="&amp;TODAY(),TEAMS_GbG[[OPP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E58" s="7">
        <f ca="1">IFERROR(IF($B58="","",IF(E$42="","",IF($B58=E$7,"-",COUNTIFS(TEAMS_GbG[[TM NAME]:[TM NAME]],E$42,TEAMS_GbG[[DATE]:[DATE]],"&lt;="&amp;TODAY(),TEAMS_GbG[[OPP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F58" s="7">
        <f ca="1">IFERROR(IF($B58="","",IF(F$42="","",IF($B58=F$7,"-",COUNTIFS(TEAMS_GbG[[TM NAME]:[TM NAME]],F$42,TEAMS_GbG[[DATE]:[DATE]],"&lt;="&amp;TODAY(),TEAMS_GbG[[OPP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G58" s="7">
        <f ca="1">IFERROR(IF($B58="","",IF(G$42="","",IF($B58=G$7,"-",COUNTIFS(TEAMS_GbG[[TM NAME]:[TM NAME]],G$42,TEAMS_GbG[[DATE]:[DATE]],"&lt;="&amp;TODAY(),TEAMS_GbG[[OPP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H58" s="7">
        <f ca="1">IFERROR(IF($B58="","",IF(H$42="","",IF($B58=H$7,"-",COUNTIFS(TEAMS_GbG[[TM NAME]:[TM NAME]],H$42,TEAMS_GbG[[DATE]:[DATE]],"&lt;="&amp;TODAY(),TEAMS_GbG[[OPP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I58" s="7">
        <f ca="1">IFERROR(IF($B58="","",IF(I$42="","",IF($B58=I$7,"-",COUNTIFS(TEAMS_GbG[[TM NAME]:[TM NAME]],I$42,TEAMS_GbG[[DATE]:[DATE]],"&lt;="&amp;TODAY(),TEAMS_GbG[[OPP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J58" s="7">
        <f ca="1">IFERROR(IF($B58="","",IF(J$42="","",IF($B58=J$7,"-",COUNTIFS(TEAMS_GbG[[TM NAME]:[TM NAME]],J$42,TEAMS_GbG[[DATE]:[DATE]],"&lt;="&amp;TODAY(),TEAMS_GbG[[OPP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K58" s="7">
        <f ca="1">IFERROR(IF($B58="","",IF(K$42="","",IF($B58=K$7,"-",COUNTIFS(TEAMS_GbG[[TM NAME]:[TM NAME]],K$42,TEAMS_GbG[[DATE]:[DATE]],"&lt;="&amp;TODAY(),TEAMS_GbG[[OPP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L58" s="7">
        <f ca="1">IFERROR(IF($B58="","",IF(L$42="","",IF($B58=L$7,"-",COUNTIFS(TEAMS_GbG[[TM NAME]:[TM NAME]],L$42,TEAMS_GbG[[DATE]:[DATE]],"&lt;="&amp;TODAY(),TEAMS_GbG[[OPP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0.22222222222222221</v>
      </c>
      <c r="M58" s="7">
        <f ca="1">IFERROR(IF($B58="","",IF(M$42="","",IF($B58=M$7,"-",COUNTIFS(TEAMS_GbG[[TM NAME]:[TM NAME]],M$42,TEAMS_GbG[[DATE]:[DATE]],"&lt;="&amp;TODAY(),TEAMS_GbG[[OPP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0.7142857142857143</v>
      </c>
      <c r="N58" s="7">
        <f ca="1">IFERROR(IF($B58="","",IF(N$42="","",IF($B58=N$7,"-",COUNTIFS(TEAMS_GbG[[TM NAME]:[TM NAME]],N$42,TEAMS_GbG[[DATE]:[DATE]],"&lt;="&amp;TODAY(),TEAMS_GbG[[OPP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O58" s="7">
        <f ca="1">IFERROR(IF($B58="","",IF(O$42="","",IF($B58=O$7,"-",COUNTIFS(TEAMS_GbG[[TM NAME]:[TM NAME]],O$42,TEAMS_GbG[[DATE]:[DATE]],"&lt;="&amp;TODAY(),TEAMS_GbG[[OPP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P58" s="7">
        <f ca="1">IFERROR(IF($B58="","",IF(P$42="","",IF($B58=P$7,"-",COUNTIFS(TEAMS_GbG[[TM NAME]:[TM NAME]],P$42,TEAMS_GbG[[DATE]:[DATE]],"&lt;="&amp;TODAY(),TEAMS_GbG[[OPP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Q58" s="7">
        <f ca="1">IFERROR(IF($B58="","",IF(Q$42="","",IF($B58=Q$7,"-",COUNTIFS(TEAMS_GbG[[TM NAME]:[TM NAME]],Q$42,TEAMS_GbG[[DATE]:[DATE]],"&lt;="&amp;TODAY(),TEAMS_GbG[[OPP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8" s="7" t="str">
        <f ca="1">IFERROR(IF($B58="","",IF(R$42="","",IF($B58=R$7,"-",COUNTIFS(TEAMS_GbG[[TM NAME]:[TM NAME]],R$42,TEAMS_GbG[[DATE]:[DATE]],"&lt;="&amp;TODAY(),TEAMS_GbG[[OPP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S58" s="7">
        <f ca="1">IFERROR(IF($B58="","",IF(S$42="","",IF($B58=S$7,"-",COUNTIFS(TEAMS_GbG[[TM NAME]:[TM NAME]],S$42,TEAMS_GbG[[DATE]:[DATE]],"&lt;="&amp;TODAY(),TEAMS_GbG[[OPP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0.66666666666666663</v>
      </c>
      <c r="T58" s="7">
        <f ca="1">IFERROR(IF($B58="","",IF(T$42="","",IF($B58=T$7,"-",COUNTIFS(TEAMS_GbG[[TM NAME]:[TM NAME]],T$42,TEAMS_GbG[[DATE]:[DATE]],"&lt;="&amp;TODAY(),TEAMS_GbG[[OPP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U58" s="7" t="str">
        <f ca="1">IFERROR(IF($B58="","",IF(U$42="","",IF($B58=U$7,"-",COUNTIFS(TEAMS_GbG[[TM NAME]:[TM NAME]],U$42,TEAMS_GbG[[DATE]:[DATE]],"&lt;="&amp;TODAY(),TEAMS_GbG[[OPP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8" s="7" t="str">
        <f ca="1">IFERROR(IF($B58="","",IF(V$42="","",IF($B58=V$7,"-",COUNTIFS(TEAMS_GbG[[TM NAME]:[TM NAME]],V$42,TEAMS_GbG[[DATE]:[DATE]],"&lt;="&amp;TODAY(),TEAMS_GbG[[OPP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8" s="7" t="str">
        <f ca="1">IFERROR(IF($B58="","",IF(W$42="","",IF($B58=W$7,"-",COUNTIFS(TEAMS_GbG[[TM NAME]:[TM NAME]],W$42,TEAMS_GbG[[DATE]:[DATE]],"&lt;="&amp;TODAY(),TEAMS_GbG[[OPP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8" s="7" t="str">
        <f ca="1">IFERROR(IF($B58="","",IF(X$42="","",IF($B58=X$7,"-",COUNTIFS(TEAMS_GbG[[TM NAME]:[TM NAME]],X$42,TEAMS_GbG[[DATE]:[DATE]],"&lt;="&amp;TODAY(),TEAMS_GbG[[OPP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8" s="7" t="str">
        <f ca="1">IFERROR(IF($B58="","",IF(Y$42="","",IF($B58=Y$7,"-",COUNTIFS(TEAMS_GbG[[TM NAME]:[TM NAME]],Y$42,TEAMS_GbG[[DATE]:[DATE]],"&lt;="&amp;TODAY(),TEAMS_GbG[[OPP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8" s="7" t="str">
        <f ca="1">IFERROR(IF($B58="","",IF(Z$42="","",IF($B58=Z$7,"-",COUNTIFS(TEAMS_GbG[[TM NAME]:[TM NAME]],Z$42,TEAMS_GbG[[DATE]:[DATE]],"&lt;="&amp;TODAY(),TEAMS_GbG[[OPP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8" s="7" t="str">
        <f ca="1">IFERROR(IF($B58="","",IF(AA$42="","",IF($B58=AA$7,"-",COUNTIFS(TEAMS_GbG[[TM NAME]:[TM NAME]],AA$42,TEAMS_GbG[[DATE]:[DATE]],"&lt;="&amp;TODAY(),TEAMS_GbG[[OPP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8" s="7" t="str">
        <f ca="1">IFERROR(IF($B58="","",IF(AB$42="","",IF($B58=AB$7,"-",COUNTIFS(TEAMS_GbG[[TM NAME]:[TM NAME]],AB$42,TEAMS_GbG[[DATE]:[DATE]],"&lt;="&amp;TODAY(),TEAMS_GbG[[OPP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8" s="7" t="str">
        <f ca="1">IFERROR(IF($B58="","",IF(AC$42="","",IF($B58=AC$7,"-",COUNTIFS(TEAMS_GbG[[TM NAME]:[TM NAME]],AC$42,TEAMS_GbG[[DATE]:[DATE]],"&lt;="&amp;TODAY(),TEAMS_GbG[[OPP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8" s="7" t="str">
        <f ca="1">IFERROR(IF($B58="","",IF(AD$42="","",IF($B58=AD$7,"-",COUNTIFS(TEAMS_GbG[[TM NAME]:[TM NAME]],AD$42,TEAMS_GbG[[DATE]:[DATE]],"&lt;="&amp;TODAY(),TEAMS_GbG[[OPP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8" s="7" t="str">
        <f ca="1">IFERROR(IF($B58="","",IF(AE$42="","",IF($B58=AE$7,"-",COUNTIFS(TEAMS_GbG[[TM NAME]:[TM NAME]],AE$42,TEAMS_GbG[[DATE]:[DATE]],"&lt;="&amp;TODAY(),TEAMS_GbG[[OPP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8" s="7" t="str">
        <f ca="1">IFERROR(IF($B58="","",IF(AF$42="","",IF($B58=AF$7,"-",COUNTIFS(TEAMS_GbG[[TM NAME]:[TM NAME]],AF$42,TEAMS_GbG[[DATE]:[DATE]],"&lt;="&amp;TODAY(),TEAMS_GbG[[OPP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8" s="7" t="str">
        <f ca="1">IFERROR(IF($B58="","",IF(AG$42="","",IF($B58=AG$7,"-",COUNTIFS(TEAMS_GbG[[TM NAME]:[TM NAME]],AG$42,TEAMS_GbG[[DATE]:[DATE]],"&lt;="&amp;TODAY(),TEAMS_GbG[[OPP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8" s="7" t="str">
        <f ca="1">IFERROR(IF($B58="","",IF(AH$42="","",IF($B58=AH$7,"-",COUNTIFS(TEAMS_GbG[[TM NAME]:[TM NAME]],AH$42,TEAMS_GbG[[DATE]:[DATE]],"&lt;="&amp;TODAY(),TEAMS_GbG[[OPP NAME]:[OPP NAME]],"&lt;&gt;"&amp;$B58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8" s="52">
        <f t="shared" ca="1" si="2"/>
        <v>0.55158730158730163</v>
      </c>
    </row>
    <row r="59" spans="2:35" x14ac:dyDescent="0.25">
      <c r="B59" s="1" t="str">
        <f t="shared" si="1"/>
        <v>Virtus Segafredo Bologna</v>
      </c>
      <c r="C59" s="7">
        <f ca="1">IFERROR(IF($B59="","",IF(C$42="","",IF($B59=C$7,"-",COUNTIFS(TEAMS_GbG[[TM NAME]:[TM NAME]],C$42,TEAMS_GbG[[DATE]:[DATE]],"&lt;="&amp;TODAY(),TEAMS_GbG[[OPP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D59" s="7">
        <f ca="1">IFERROR(IF($B59="","",IF(D$42="","",IF($B59=D$7,"-",COUNTIFS(TEAMS_GbG[[TM NAME]:[TM NAME]],D$42,TEAMS_GbG[[DATE]:[DATE]],"&lt;="&amp;TODAY(),TEAMS_GbG[[OPP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E59" s="7">
        <f ca="1">IFERROR(IF($B59="","",IF(E$42="","",IF($B59=E$7,"-",COUNTIFS(TEAMS_GbG[[TM NAME]:[TM NAME]],E$42,TEAMS_GbG[[DATE]:[DATE]],"&lt;="&amp;TODAY(),TEAMS_GbG[[OPP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F59" s="7">
        <f ca="1">IFERROR(IF($B59="","",IF(F$42="","",IF($B59=F$7,"-",COUNTIFS(TEAMS_GbG[[TM NAME]:[TM NAME]],F$42,TEAMS_GbG[[DATE]:[DATE]],"&lt;="&amp;TODAY(),TEAMS_GbG[[OPP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G59" s="7">
        <f ca="1">IFERROR(IF($B59="","",IF(G$42="","",IF($B59=G$7,"-",COUNTIFS(TEAMS_GbG[[TM NAME]:[TM NAME]],G$42,TEAMS_GbG[[DATE]:[DATE]],"&lt;="&amp;TODAY(),TEAMS_GbG[[OPP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H59" s="7">
        <f ca="1">IFERROR(IF($B59="","",IF(H$42="","",IF($B59=H$7,"-",COUNTIFS(TEAMS_GbG[[TM NAME]:[TM NAME]],H$42,TEAMS_GbG[[DATE]:[DATE]],"&lt;="&amp;TODAY(),TEAMS_GbG[[OPP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I59" s="7">
        <f ca="1">IFERROR(IF($B59="","",IF(I$42="","",IF($B59=I$7,"-",COUNTIFS(TEAMS_GbG[[TM NAME]:[TM NAME]],I$42,TEAMS_GbG[[DATE]:[DATE]],"&lt;="&amp;TODAY(),TEAMS_GbG[[OPP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0.77777777777777779</v>
      </c>
      <c r="J59" s="7">
        <f ca="1">IFERROR(IF($B59="","",IF(J$42="","",IF($B59=J$7,"-",COUNTIFS(TEAMS_GbG[[TM NAME]:[TM NAME]],J$42,TEAMS_GbG[[DATE]:[DATE]],"&lt;="&amp;TODAY(),TEAMS_GbG[[OPP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K59" s="7">
        <f ca="1">IFERROR(IF($B59="","",IF(K$42="","",IF($B59=K$7,"-",COUNTIFS(TEAMS_GbG[[TM NAME]:[TM NAME]],K$42,TEAMS_GbG[[DATE]:[DATE]],"&lt;="&amp;TODAY(),TEAMS_GbG[[OPP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L59" s="7">
        <f ca="1">IFERROR(IF($B59="","",IF(L$42="","",IF($B59=L$7,"-",COUNTIFS(TEAMS_GbG[[TM NAME]:[TM NAME]],L$42,TEAMS_GbG[[DATE]:[DATE]],"&lt;="&amp;TODAY(),TEAMS_GbG[[OPP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0.25</v>
      </c>
      <c r="M59" s="7">
        <f ca="1">IFERROR(IF($B59="","",IF(M$42="","",IF($B59=M$7,"-",COUNTIFS(TEAMS_GbG[[TM NAME]:[TM NAME]],M$42,TEAMS_GbG[[DATE]:[DATE]],"&lt;="&amp;TODAY(),TEAMS_GbG[[OPP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59" s="7">
        <f ca="1">IFERROR(IF($B59="","",IF(N$42="","",IF($B59=N$7,"-",COUNTIFS(TEAMS_GbG[[TM NAME]:[TM NAME]],N$42,TEAMS_GbG[[DATE]:[DATE]],"&lt;="&amp;TODAY(),TEAMS_GbG[[OPP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O59" s="7">
        <f ca="1">IFERROR(IF($B59="","",IF(O$42="","",IF($B59=O$7,"-",COUNTIFS(TEAMS_GbG[[TM NAME]:[TM NAME]],O$42,TEAMS_GbG[[DATE]:[DATE]],"&lt;="&amp;TODAY(),TEAMS_GbG[[OPP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P59" s="7">
        <f ca="1">IFERROR(IF($B59="","",IF(P$42="","",IF($B59=P$7,"-",COUNTIFS(TEAMS_GbG[[TM NAME]:[TM NAME]],P$42,TEAMS_GbG[[DATE]:[DATE]],"&lt;="&amp;TODAY(),TEAMS_GbG[[OPP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Q59" s="7">
        <f ca="1">IFERROR(IF($B59="","",IF(Q$42="","",IF($B59=Q$7,"-",COUNTIFS(TEAMS_GbG[[TM NAME]:[TM NAME]],Q$42,TEAMS_GbG[[DATE]:[DATE]],"&lt;="&amp;TODAY(),TEAMS_GbG[[OPP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59" s="7">
        <f ca="1">IFERROR(IF($B59="","",IF(R$42="","",IF($B59=R$7,"-",COUNTIFS(TEAMS_GbG[[TM NAME]:[TM NAME]],R$42,TEAMS_GbG[[DATE]:[DATE]],"&lt;="&amp;TODAY(),TEAMS_GbG[[OPP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S59" s="7" t="str">
        <f ca="1">IFERROR(IF($B59="","",IF(S$42="","",IF($B59=S$7,"-",COUNTIFS(TEAMS_GbG[[TM NAME]:[TM NAME]],S$42,TEAMS_GbG[[DATE]:[DATE]],"&lt;="&amp;TODAY(),TEAMS_GbG[[OPP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T59" s="7">
        <f ca="1">IFERROR(IF($B59="","",IF(T$42="","",IF($B59=T$7,"-",COUNTIFS(TEAMS_GbG[[TM NAME]:[TM NAME]],T$42,TEAMS_GbG[[DATE]:[DATE]],"&lt;="&amp;TODAY(),TEAMS_GbG[[OPP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U59" s="7" t="str">
        <f ca="1">IFERROR(IF($B59="","",IF(U$42="","",IF($B59=U$7,"-",COUNTIFS(TEAMS_GbG[[TM NAME]:[TM NAME]],U$42,TEAMS_GbG[[DATE]:[DATE]],"&lt;="&amp;TODAY(),TEAMS_GbG[[OPP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59" s="7" t="str">
        <f ca="1">IFERROR(IF($B59="","",IF(V$42="","",IF($B59=V$7,"-",COUNTIFS(TEAMS_GbG[[TM NAME]:[TM NAME]],V$42,TEAMS_GbG[[DATE]:[DATE]],"&lt;="&amp;TODAY(),TEAMS_GbG[[OPP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59" s="7" t="str">
        <f ca="1">IFERROR(IF($B59="","",IF(W$42="","",IF($B59=W$7,"-",COUNTIFS(TEAMS_GbG[[TM NAME]:[TM NAME]],W$42,TEAMS_GbG[[DATE]:[DATE]],"&lt;="&amp;TODAY(),TEAMS_GbG[[OPP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59" s="7" t="str">
        <f ca="1">IFERROR(IF($B59="","",IF(X$42="","",IF($B59=X$7,"-",COUNTIFS(TEAMS_GbG[[TM NAME]:[TM NAME]],X$42,TEAMS_GbG[[DATE]:[DATE]],"&lt;="&amp;TODAY(),TEAMS_GbG[[OPP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59" s="7" t="str">
        <f ca="1">IFERROR(IF($B59="","",IF(Y$42="","",IF($B59=Y$7,"-",COUNTIFS(TEAMS_GbG[[TM NAME]:[TM NAME]],Y$42,TEAMS_GbG[[DATE]:[DATE]],"&lt;="&amp;TODAY(),TEAMS_GbG[[OPP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59" s="7" t="str">
        <f ca="1">IFERROR(IF($B59="","",IF(Z$42="","",IF($B59=Z$7,"-",COUNTIFS(TEAMS_GbG[[TM NAME]:[TM NAME]],Z$42,TEAMS_GbG[[DATE]:[DATE]],"&lt;="&amp;TODAY(),TEAMS_GbG[[OPP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59" s="7" t="str">
        <f ca="1">IFERROR(IF($B59="","",IF(AA$42="","",IF($B59=AA$7,"-",COUNTIFS(TEAMS_GbG[[TM NAME]:[TM NAME]],AA$42,TEAMS_GbG[[DATE]:[DATE]],"&lt;="&amp;TODAY(),TEAMS_GbG[[OPP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59" s="7" t="str">
        <f ca="1">IFERROR(IF($B59="","",IF(AB$42="","",IF($B59=AB$7,"-",COUNTIFS(TEAMS_GbG[[TM NAME]:[TM NAME]],AB$42,TEAMS_GbG[[DATE]:[DATE]],"&lt;="&amp;TODAY(),TEAMS_GbG[[OPP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59" s="7" t="str">
        <f ca="1">IFERROR(IF($B59="","",IF(AC$42="","",IF($B59=AC$7,"-",COUNTIFS(TEAMS_GbG[[TM NAME]:[TM NAME]],AC$42,TEAMS_GbG[[DATE]:[DATE]],"&lt;="&amp;TODAY(),TEAMS_GbG[[OPP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59" s="7" t="str">
        <f ca="1">IFERROR(IF($B59="","",IF(AD$42="","",IF($B59=AD$7,"-",COUNTIFS(TEAMS_GbG[[TM NAME]:[TM NAME]],AD$42,TEAMS_GbG[[DATE]:[DATE]],"&lt;="&amp;TODAY(),TEAMS_GbG[[OPP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59" s="7" t="str">
        <f ca="1">IFERROR(IF($B59="","",IF(AE$42="","",IF($B59=AE$7,"-",COUNTIFS(TEAMS_GbG[[TM NAME]:[TM NAME]],AE$42,TEAMS_GbG[[DATE]:[DATE]],"&lt;="&amp;TODAY(),TEAMS_GbG[[OPP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59" s="7" t="str">
        <f ca="1">IFERROR(IF($B59="","",IF(AF$42="","",IF($B59=AF$7,"-",COUNTIFS(TEAMS_GbG[[TM NAME]:[TM NAME]],AF$42,TEAMS_GbG[[DATE]:[DATE]],"&lt;="&amp;TODAY(),TEAMS_GbG[[OPP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59" s="7" t="str">
        <f ca="1">IFERROR(IF($B59="","",IF(AG$42="","",IF($B59=AG$7,"-",COUNTIFS(TEAMS_GbG[[TM NAME]:[TM NAME]],AG$42,TEAMS_GbG[[DATE]:[DATE]],"&lt;="&amp;TODAY(),TEAMS_GbG[[OPP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59" s="7" t="str">
        <f ca="1">IFERROR(IF($B59="","",IF(AH$42="","",IF($B59=AH$7,"-",COUNTIFS(TEAMS_GbG[[TM NAME]:[TM NAME]],AH$42,TEAMS_GbG[[DATE]:[DATE]],"&lt;="&amp;TODAY(),TEAMS_GbG[[OPP NAME]:[OPP NAME]],"&lt;&gt;"&amp;$B59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59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59" s="52">
        <f t="shared" ca="1" si="2"/>
        <v>0.45833333333333331</v>
      </c>
    </row>
    <row r="60" spans="2:35" x14ac:dyDescent="0.25">
      <c r="B60" s="1" t="str">
        <f t="shared" si="1"/>
        <v>Zalgiris Kaunas</v>
      </c>
      <c r="C60" s="7">
        <f ca="1">IFERROR(IF($B60="","",IF(C$42="","",IF($B60=C$7,"-",COUNTIFS(TEAMS_GbG[[TM NAME]:[TM NAME]],C$42,TEAMS_GbG[[DATE]:[DATE]],"&lt;="&amp;TODAY(),TEAMS_GbG[[OPP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0.1111111111111111</v>
      </c>
      <c r="D60" s="7">
        <f ca="1">IFERROR(IF($B60="","",IF(D$42="","",IF($B60=D$7,"-",COUNTIFS(TEAMS_GbG[[TM NAME]:[TM NAME]],D$42,TEAMS_GbG[[DATE]:[DATE]],"&lt;="&amp;TODAY(),TEAMS_GbG[[OPP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E60" s="7">
        <f ca="1">IFERROR(IF($B60="","",IF(E$42="","",IF($B60=E$7,"-",COUNTIFS(TEAMS_GbG[[TM NAME]:[TM NAME]],E$42,TEAMS_GbG[[DATE]:[DATE]],"&lt;="&amp;TODAY(),TEAMS_GbG[[OPP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F60" s="7">
        <f ca="1">IFERROR(IF($B60="","",IF(F$42="","",IF($B60=F$7,"-",COUNTIFS(TEAMS_GbG[[TM NAME]:[TM NAME]],F$42,TEAMS_GbG[[DATE]:[DATE]],"&lt;="&amp;TODAY(),TEAMS_GbG[[OPP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G60" s="7">
        <f ca="1">IFERROR(IF($B60="","",IF(G$42="","",IF($B60=G$7,"-",COUNTIFS(TEAMS_GbG[[TM NAME]:[TM NAME]],G$42,TEAMS_GbG[[DATE]:[DATE]],"&lt;="&amp;TODAY(),TEAMS_GbG[[OPP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H60" s="7">
        <f ca="1">IFERROR(IF($B60="","",IF(H$42="","",IF($B60=H$7,"-",COUNTIFS(TEAMS_GbG[[TM NAME]:[TM NAME]],H$42,TEAMS_GbG[[DATE]:[DATE]],"&lt;="&amp;TODAY(),TEAMS_GbG[[OPP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0.33333333333333331</v>
      </c>
      <c r="I60" s="7">
        <f ca="1">IFERROR(IF($B60="","",IF(I$42="","",IF($B60=I$7,"-",COUNTIFS(TEAMS_GbG[[TM NAME]:[TM NAME]],I$42,TEAMS_GbG[[DATE]:[DATE]],"&lt;="&amp;TODAY(),TEAMS_GbG[[OPP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0.77777777777777779</v>
      </c>
      <c r="J60" s="7">
        <f ca="1">IFERROR(IF($B60="","",IF(J$42="","",IF($B60=J$7,"-",COUNTIFS(TEAMS_GbG[[TM NAME]:[TM NAME]],J$42,TEAMS_GbG[[DATE]:[DATE]],"&lt;="&amp;TODAY(),TEAMS_GbG[[OPP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0.375</v>
      </c>
      <c r="K60" s="7">
        <f ca="1">IFERROR(IF($B60="","",IF(K$42="","",IF($B60=K$7,"-",COUNTIFS(TEAMS_GbG[[TM NAME]:[TM NAME]],K$42,TEAMS_GbG[[DATE]:[DATE]],"&lt;="&amp;TODAY(),TEAMS_GbG[[OPP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L60" s="7">
        <f ca="1">IFERROR(IF($B60="","",IF(L$42="","",IF($B60=L$7,"-",COUNTIFS(TEAMS_GbG[[TM NAME]:[TM NAME]],L$42,TEAMS_GbG[[DATE]:[DATE]],"&lt;="&amp;TODAY(),TEAMS_GbG[[OPP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0.125</v>
      </c>
      <c r="M60" s="7">
        <f ca="1">IFERROR(IF($B60="","",IF(M$42="","",IF($B60=M$7,"-",COUNTIFS(TEAMS_GbG[[TM NAME]:[TM NAME]],M$42,TEAMS_GbG[[DATE]:[DATE]],"&lt;="&amp;TODAY(),TEAMS_GbG[[OPP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0.625</v>
      </c>
      <c r="N60" s="7">
        <f ca="1">IFERROR(IF($B60="","",IF(N$42="","",IF($B60=N$7,"-",COUNTIFS(TEAMS_GbG[[TM NAME]:[TM NAME]],N$42,TEAMS_GbG[[DATE]:[DATE]],"&lt;="&amp;TODAY(),TEAMS_GbG[[OPP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0.55555555555555558</v>
      </c>
      <c r="O60" s="7">
        <f ca="1">IFERROR(IF($B60="","",IF(O$42="","",IF($B60=O$7,"-",COUNTIFS(TEAMS_GbG[[TM NAME]:[TM NAME]],O$42,TEAMS_GbG[[DATE]:[DATE]],"&lt;="&amp;TODAY(),TEAMS_GbG[[OPP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P60" s="7">
        <f ca="1">IFERROR(IF($B60="","",IF(P$42="","",IF($B60=P$7,"-",COUNTIFS(TEAMS_GbG[[TM NAME]:[TM NAME]],P$42,TEAMS_GbG[[DATE]:[DATE]],"&lt;="&amp;TODAY(),TEAMS_GbG[[OPP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0.44444444444444442</v>
      </c>
      <c r="Q60" s="7">
        <f ca="1">IFERROR(IF($B60="","",IF(Q$42="","",IF($B60=Q$7,"-",COUNTIFS(TEAMS_GbG[[TM NAME]:[TM NAME]],Q$42,TEAMS_GbG[[DATE]:[DATE]],"&lt;="&amp;TODAY(),TEAMS_GbG[[OPP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1</v>
      </c>
      <c r="R60" s="7">
        <f ca="1">IFERROR(IF($B60="","",IF(R$42="","",IF($B60=R$7,"-",COUNTIFS(TEAMS_GbG[[TM NAME]:[TM NAME]],R$42,TEAMS_GbG[[DATE]:[DATE]],"&lt;="&amp;TODAY(),TEAMS_GbG[[OPP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0.5</v>
      </c>
      <c r="S60" s="7">
        <f ca="1">IFERROR(IF($B60="","",IF(S$42="","",IF($B60=S$7,"-",COUNTIFS(TEAMS_GbG[[TM NAME]:[TM NAME]],S$42,TEAMS_GbG[[DATE]:[DATE]],"&lt;="&amp;TODAY(),TEAMS_GbG[[OPP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0.75</v>
      </c>
      <c r="T60" s="7" t="str">
        <f ca="1">IFERROR(IF($B60="","",IF(T$42="","",IF($B60=T$7,"-",COUNTIFS(TEAMS_GbG[[TM NAME]:[TM NAME]],T$42,TEAMS_GbG[[DATE]:[DATE]],"&lt;="&amp;TODAY(),TEAMS_GbG[[OPP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>-</v>
      </c>
      <c r="U60" s="7" t="str">
        <f ca="1">IFERROR(IF($B60="","",IF(U$42="","",IF($B60=U$7,"-",COUNTIFS(TEAMS_GbG[[TM NAME]:[TM NAME]],U$42,TEAMS_GbG[[DATE]:[DATE]],"&lt;="&amp;TODAY(),TEAMS_GbG[[OPP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0" s="7" t="str">
        <f ca="1">IFERROR(IF($B60="","",IF(V$42="","",IF($B60=V$7,"-",COUNTIFS(TEAMS_GbG[[TM NAME]:[TM NAME]],V$42,TEAMS_GbG[[DATE]:[DATE]],"&lt;="&amp;TODAY(),TEAMS_GbG[[OPP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0" s="7" t="str">
        <f ca="1">IFERROR(IF($B60="","",IF(W$42="","",IF($B60=W$7,"-",COUNTIFS(TEAMS_GbG[[TM NAME]:[TM NAME]],W$42,TEAMS_GbG[[DATE]:[DATE]],"&lt;="&amp;TODAY(),TEAMS_GbG[[OPP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0" s="7" t="str">
        <f ca="1">IFERROR(IF($B60="","",IF(X$42="","",IF($B60=X$7,"-",COUNTIFS(TEAMS_GbG[[TM NAME]:[TM NAME]],X$42,TEAMS_GbG[[DATE]:[DATE]],"&lt;="&amp;TODAY(),TEAMS_GbG[[OPP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0" s="7" t="str">
        <f ca="1">IFERROR(IF($B60="","",IF(Y$42="","",IF($B60=Y$7,"-",COUNTIFS(TEAMS_GbG[[TM NAME]:[TM NAME]],Y$42,TEAMS_GbG[[DATE]:[DATE]],"&lt;="&amp;TODAY(),TEAMS_GbG[[OPP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0" s="7" t="str">
        <f ca="1">IFERROR(IF($B60="","",IF(Z$42="","",IF($B60=Z$7,"-",COUNTIFS(TEAMS_GbG[[TM NAME]:[TM NAME]],Z$42,TEAMS_GbG[[DATE]:[DATE]],"&lt;="&amp;TODAY(),TEAMS_GbG[[OPP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0" s="7" t="str">
        <f ca="1">IFERROR(IF($B60="","",IF(AA$42="","",IF($B60=AA$7,"-",COUNTIFS(TEAMS_GbG[[TM NAME]:[TM NAME]],AA$42,TEAMS_GbG[[DATE]:[DATE]],"&lt;="&amp;TODAY(),TEAMS_GbG[[OPP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0" s="7" t="str">
        <f ca="1">IFERROR(IF($B60="","",IF(AB$42="","",IF($B60=AB$7,"-",COUNTIFS(TEAMS_GbG[[TM NAME]:[TM NAME]],AB$42,TEAMS_GbG[[DATE]:[DATE]],"&lt;="&amp;TODAY(),TEAMS_GbG[[OPP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0" s="7" t="str">
        <f ca="1">IFERROR(IF($B60="","",IF(AC$42="","",IF($B60=AC$7,"-",COUNTIFS(TEAMS_GbG[[TM NAME]:[TM NAME]],AC$42,TEAMS_GbG[[DATE]:[DATE]],"&lt;="&amp;TODAY(),TEAMS_GbG[[OPP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0" s="7" t="str">
        <f ca="1">IFERROR(IF($B60="","",IF(AD$42="","",IF($B60=AD$7,"-",COUNTIFS(TEAMS_GbG[[TM NAME]:[TM NAME]],AD$42,TEAMS_GbG[[DATE]:[DATE]],"&lt;="&amp;TODAY(),TEAMS_GbG[[OPP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0" s="7" t="str">
        <f ca="1">IFERROR(IF($B60="","",IF(AE$42="","",IF($B60=AE$7,"-",COUNTIFS(TEAMS_GbG[[TM NAME]:[TM NAME]],AE$42,TEAMS_GbG[[DATE]:[DATE]],"&lt;="&amp;TODAY(),TEAMS_GbG[[OPP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0" s="7" t="str">
        <f ca="1">IFERROR(IF($B60="","",IF(AF$42="","",IF($B60=AF$7,"-",COUNTIFS(TEAMS_GbG[[TM NAME]:[TM NAME]],AF$42,TEAMS_GbG[[DATE]:[DATE]],"&lt;="&amp;TODAY(),TEAMS_GbG[[OPP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0" s="7" t="str">
        <f ca="1">IFERROR(IF($B60="","",IF(AG$42="","",IF($B60=AG$7,"-",COUNTIFS(TEAMS_GbG[[TM NAME]:[TM NAME]],AG$42,TEAMS_GbG[[DATE]:[DATE]],"&lt;="&amp;TODAY(),TEAMS_GbG[[OPP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0" s="7" t="str">
        <f ca="1">IFERROR(IF($B60="","",IF(AH$42="","",IF($B60=AH$7,"-",COUNTIFS(TEAMS_GbG[[TM NAME]:[TM NAME]],AH$42,TEAMS_GbG[[DATE]:[DATE]],"&lt;="&amp;TODAY(),TEAMS_GbG[[OPP NAME]:[OPP NAME]],"&lt;&gt;"&amp;$B60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0" s="52">
        <f t="shared" ca="1" si="2"/>
        <v>0.51388888888888884</v>
      </c>
    </row>
    <row r="61" spans="2:35" x14ac:dyDescent="0.25">
      <c r="B61" s="1" t="str">
        <f t="shared" si="1"/>
        <v/>
      </c>
      <c r="C61" s="7" t="str">
        <f ca="1">IFERROR(IF($B61="","",IF(C$42="","",IF($B61=C$7,"-",COUNTIFS(TEAMS_GbG[[TM NAME]:[TM NAME]],C$42,TEAMS_GbG[[DATE]:[DATE]],"&lt;="&amp;TODAY(),TEAMS_GbG[[OPP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1" s="7" t="str">
        <f ca="1">IFERROR(IF($B61="","",IF(D$42="","",IF($B61=D$7,"-",COUNTIFS(TEAMS_GbG[[TM NAME]:[TM NAME]],D$42,TEAMS_GbG[[DATE]:[DATE]],"&lt;="&amp;TODAY(),TEAMS_GbG[[OPP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1" s="7" t="str">
        <f ca="1">IFERROR(IF($B61="","",IF(E$42="","",IF($B61=E$7,"-",COUNTIFS(TEAMS_GbG[[TM NAME]:[TM NAME]],E$42,TEAMS_GbG[[DATE]:[DATE]],"&lt;="&amp;TODAY(),TEAMS_GbG[[OPP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1" s="7" t="str">
        <f ca="1">IFERROR(IF($B61="","",IF(F$42="","",IF($B61=F$7,"-",COUNTIFS(TEAMS_GbG[[TM NAME]:[TM NAME]],F$42,TEAMS_GbG[[DATE]:[DATE]],"&lt;="&amp;TODAY(),TEAMS_GbG[[OPP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1" s="7" t="str">
        <f ca="1">IFERROR(IF($B61="","",IF(G$42="","",IF($B61=G$7,"-",COUNTIFS(TEAMS_GbG[[TM NAME]:[TM NAME]],G$42,TEAMS_GbG[[DATE]:[DATE]],"&lt;="&amp;TODAY(),TEAMS_GbG[[OPP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1" s="7" t="str">
        <f ca="1">IFERROR(IF($B61="","",IF(H$42="","",IF($B61=H$7,"-",COUNTIFS(TEAMS_GbG[[TM NAME]:[TM NAME]],H$42,TEAMS_GbG[[DATE]:[DATE]],"&lt;="&amp;TODAY(),TEAMS_GbG[[OPP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1" s="7" t="str">
        <f ca="1">IFERROR(IF($B61="","",IF(I$42="","",IF($B61=I$7,"-",COUNTIFS(TEAMS_GbG[[TM NAME]:[TM NAME]],I$42,TEAMS_GbG[[DATE]:[DATE]],"&lt;="&amp;TODAY(),TEAMS_GbG[[OPP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1" s="7" t="str">
        <f ca="1">IFERROR(IF($B61="","",IF(J$42="","",IF($B61=J$7,"-",COUNTIFS(TEAMS_GbG[[TM NAME]:[TM NAME]],J$42,TEAMS_GbG[[DATE]:[DATE]],"&lt;="&amp;TODAY(),TEAMS_GbG[[OPP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1" s="7" t="str">
        <f ca="1">IFERROR(IF($B61="","",IF(K$42="","",IF($B61=K$7,"-",COUNTIFS(TEAMS_GbG[[TM NAME]:[TM NAME]],K$42,TEAMS_GbG[[DATE]:[DATE]],"&lt;="&amp;TODAY(),TEAMS_GbG[[OPP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1" s="7" t="str">
        <f ca="1">IFERROR(IF($B61="","",IF(L$42="","",IF($B61=L$7,"-",COUNTIFS(TEAMS_GbG[[TM NAME]:[TM NAME]],L$42,TEAMS_GbG[[DATE]:[DATE]],"&lt;="&amp;TODAY(),TEAMS_GbG[[OPP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1" s="7" t="str">
        <f ca="1">IFERROR(IF($B61="","",IF(M$42="","",IF($B61=M$7,"-",COUNTIFS(TEAMS_GbG[[TM NAME]:[TM NAME]],M$42,TEAMS_GbG[[DATE]:[DATE]],"&lt;="&amp;TODAY(),TEAMS_GbG[[OPP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1" s="7" t="str">
        <f ca="1">IFERROR(IF($B61="","",IF(N$42="","",IF($B61=N$7,"-",COUNTIFS(TEAMS_GbG[[TM NAME]:[TM NAME]],N$42,TEAMS_GbG[[DATE]:[DATE]],"&lt;="&amp;TODAY(),TEAMS_GbG[[OPP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1" s="7" t="str">
        <f ca="1">IFERROR(IF($B61="","",IF(O$42="","",IF($B61=O$7,"-",COUNTIFS(TEAMS_GbG[[TM NAME]:[TM NAME]],O$42,TEAMS_GbG[[DATE]:[DATE]],"&lt;="&amp;TODAY(),TEAMS_GbG[[OPP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1" s="7" t="str">
        <f ca="1">IFERROR(IF($B61="","",IF(P$42="","",IF($B61=P$7,"-",COUNTIFS(TEAMS_GbG[[TM NAME]:[TM NAME]],P$42,TEAMS_GbG[[DATE]:[DATE]],"&lt;="&amp;TODAY(),TEAMS_GbG[[OPP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1" s="7" t="str">
        <f ca="1">IFERROR(IF($B61="","",IF(Q$42="","",IF($B61=Q$7,"-",COUNTIFS(TEAMS_GbG[[TM NAME]:[TM NAME]],Q$42,TEAMS_GbG[[DATE]:[DATE]],"&lt;="&amp;TODAY(),TEAMS_GbG[[OPP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1" s="7" t="str">
        <f ca="1">IFERROR(IF($B61="","",IF(R$42="","",IF($B61=R$7,"-",COUNTIFS(TEAMS_GbG[[TM NAME]:[TM NAME]],R$42,TEAMS_GbG[[DATE]:[DATE]],"&lt;="&amp;TODAY(),TEAMS_GbG[[OPP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1" s="7" t="str">
        <f ca="1">IFERROR(IF($B61="","",IF(S$42="","",IF($B61=S$7,"-",COUNTIFS(TEAMS_GbG[[TM NAME]:[TM NAME]],S$42,TEAMS_GbG[[DATE]:[DATE]],"&lt;="&amp;TODAY(),TEAMS_GbG[[OPP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1" s="7" t="str">
        <f ca="1">IFERROR(IF($B61="","",IF(T$42="","",IF($B61=T$7,"-",COUNTIFS(TEAMS_GbG[[TM NAME]:[TM NAME]],T$42,TEAMS_GbG[[DATE]:[DATE]],"&lt;="&amp;TODAY(),TEAMS_GbG[[OPP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1" s="7" t="str">
        <f ca="1">IFERROR(IF($B61="","",IF(U$42="","",IF($B61=U$7,"-",COUNTIFS(TEAMS_GbG[[TM NAME]:[TM NAME]],U$42,TEAMS_GbG[[DATE]:[DATE]],"&lt;="&amp;TODAY(),TEAMS_GbG[[OPP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1" s="7" t="str">
        <f ca="1">IFERROR(IF($B61="","",IF(V$42="","",IF($B61=V$7,"-",COUNTIFS(TEAMS_GbG[[TM NAME]:[TM NAME]],V$42,TEAMS_GbG[[DATE]:[DATE]],"&lt;="&amp;TODAY(),TEAMS_GbG[[OPP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1" s="7" t="str">
        <f ca="1">IFERROR(IF($B61="","",IF(W$42="","",IF($B61=W$7,"-",COUNTIFS(TEAMS_GbG[[TM NAME]:[TM NAME]],W$42,TEAMS_GbG[[DATE]:[DATE]],"&lt;="&amp;TODAY(),TEAMS_GbG[[OPP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1" s="7" t="str">
        <f ca="1">IFERROR(IF($B61="","",IF(X$42="","",IF($B61=X$7,"-",COUNTIFS(TEAMS_GbG[[TM NAME]:[TM NAME]],X$42,TEAMS_GbG[[DATE]:[DATE]],"&lt;="&amp;TODAY(),TEAMS_GbG[[OPP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1" s="7" t="str">
        <f ca="1">IFERROR(IF($B61="","",IF(Y$42="","",IF($B61=Y$7,"-",COUNTIFS(TEAMS_GbG[[TM NAME]:[TM NAME]],Y$42,TEAMS_GbG[[DATE]:[DATE]],"&lt;="&amp;TODAY(),TEAMS_GbG[[OPP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1" s="7" t="str">
        <f ca="1">IFERROR(IF($B61="","",IF(Z$42="","",IF($B61=Z$7,"-",COUNTIFS(TEAMS_GbG[[TM NAME]:[TM NAME]],Z$42,TEAMS_GbG[[DATE]:[DATE]],"&lt;="&amp;TODAY(),TEAMS_GbG[[OPP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1" s="7" t="str">
        <f ca="1">IFERROR(IF($B61="","",IF(AA$42="","",IF($B61=AA$7,"-",COUNTIFS(TEAMS_GbG[[TM NAME]:[TM NAME]],AA$42,TEAMS_GbG[[DATE]:[DATE]],"&lt;="&amp;TODAY(),TEAMS_GbG[[OPP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1" s="7" t="str">
        <f ca="1">IFERROR(IF($B61="","",IF(AB$42="","",IF($B61=AB$7,"-",COUNTIFS(TEAMS_GbG[[TM NAME]:[TM NAME]],AB$42,TEAMS_GbG[[DATE]:[DATE]],"&lt;="&amp;TODAY(),TEAMS_GbG[[OPP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1" s="7" t="str">
        <f ca="1">IFERROR(IF($B61="","",IF(AC$42="","",IF($B61=AC$7,"-",COUNTIFS(TEAMS_GbG[[TM NAME]:[TM NAME]],AC$42,TEAMS_GbG[[DATE]:[DATE]],"&lt;="&amp;TODAY(),TEAMS_GbG[[OPP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1" s="7" t="str">
        <f ca="1">IFERROR(IF($B61="","",IF(AD$42="","",IF($B61=AD$7,"-",COUNTIFS(TEAMS_GbG[[TM NAME]:[TM NAME]],AD$42,TEAMS_GbG[[DATE]:[DATE]],"&lt;="&amp;TODAY(),TEAMS_GbG[[OPP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1" s="7" t="str">
        <f ca="1">IFERROR(IF($B61="","",IF(AE$42="","",IF($B61=AE$7,"-",COUNTIFS(TEAMS_GbG[[TM NAME]:[TM NAME]],AE$42,TEAMS_GbG[[DATE]:[DATE]],"&lt;="&amp;TODAY(),TEAMS_GbG[[OPP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1" s="7" t="str">
        <f ca="1">IFERROR(IF($B61="","",IF(AF$42="","",IF($B61=AF$7,"-",COUNTIFS(TEAMS_GbG[[TM NAME]:[TM NAME]],AF$42,TEAMS_GbG[[DATE]:[DATE]],"&lt;="&amp;TODAY(),TEAMS_GbG[[OPP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1" s="7" t="str">
        <f ca="1">IFERROR(IF($B61="","",IF(AG$42="","",IF($B61=AG$7,"-",COUNTIFS(TEAMS_GbG[[TM NAME]:[TM NAME]],AG$42,TEAMS_GbG[[DATE]:[DATE]],"&lt;="&amp;TODAY(),TEAMS_GbG[[OPP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1" s="7" t="str">
        <f ca="1">IFERROR(IF($B61="","",IF(AH$42="","",IF($B61=AH$7,"-",COUNTIFS(TEAMS_GbG[[TM NAME]:[TM NAME]],AH$42,TEAMS_GbG[[DATE]:[DATE]],"&lt;="&amp;TODAY(),TEAMS_GbG[[OPP NAME]:[OPP NAME]],"&lt;&gt;"&amp;$B61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1" s="52" t="str">
        <f t="shared" ca="1" si="2"/>
        <v>-</v>
      </c>
    </row>
    <row r="62" spans="2:35" x14ac:dyDescent="0.25">
      <c r="B62" s="1" t="str">
        <f t="shared" si="1"/>
        <v/>
      </c>
      <c r="C62" s="7" t="str">
        <f ca="1">IFERROR(IF($B62="","",IF(C$42="","",IF($B62=C$7,"-",COUNTIFS(TEAMS_GbG[[TM NAME]:[TM NAME]],C$42,TEAMS_GbG[[DATE]:[DATE]],"&lt;="&amp;TODAY(),TEAMS_GbG[[OPP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2" s="7" t="str">
        <f ca="1">IFERROR(IF($B62="","",IF(D$42="","",IF($B62=D$7,"-",COUNTIFS(TEAMS_GbG[[TM NAME]:[TM NAME]],D$42,TEAMS_GbG[[DATE]:[DATE]],"&lt;="&amp;TODAY(),TEAMS_GbG[[OPP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2" s="7" t="str">
        <f ca="1">IFERROR(IF($B62="","",IF(E$42="","",IF($B62=E$7,"-",COUNTIFS(TEAMS_GbG[[TM NAME]:[TM NAME]],E$42,TEAMS_GbG[[DATE]:[DATE]],"&lt;="&amp;TODAY(),TEAMS_GbG[[OPP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2" s="7" t="str">
        <f ca="1">IFERROR(IF($B62="","",IF(F$42="","",IF($B62=F$7,"-",COUNTIFS(TEAMS_GbG[[TM NAME]:[TM NAME]],F$42,TEAMS_GbG[[DATE]:[DATE]],"&lt;="&amp;TODAY(),TEAMS_GbG[[OPP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2" s="7" t="str">
        <f ca="1">IFERROR(IF($B62="","",IF(G$42="","",IF($B62=G$7,"-",COUNTIFS(TEAMS_GbG[[TM NAME]:[TM NAME]],G$42,TEAMS_GbG[[DATE]:[DATE]],"&lt;="&amp;TODAY(),TEAMS_GbG[[OPP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2" s="7" t="str">
        <f ca="1">IFERROR(IF($B62="","",IF(H$42="","",IF($B62=H$7,"-",COUNTIFS(TEAMS_GbG[[TM NAME]:[TM NAME]],H$42,TEAMS_GbG[[DATE]:[DATE]],"&lt;="&amp;TODAY(),TEAMS_GbG[[OPP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2" s="7" t="str">
        <f ca="1">IFERROR(IF($B62="","",IF(I$42="","",IF($B62=I$7,"-",COUNTIFS(TEAMS_GbG[[TM NAME]:[TM NAME]],I$42,TEAMS_GbG[[DATE]:[DATE]],"&lt;="&amp;TODAY(),TEAMS_GbG[[OPP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2" s="7" t="str">
        <f ca="1">IFERROR(IF($B62="","",IF(J$42="","",IF($B62=J$7,"-",COUNTIFS(TEAMS_GbG[[TM NAME]:[TM NAME]],J$42,TEAMS_GbG[[DATE]:[DATE]],"&lt;="&amp;TODAY(),TEAMS_GbG[[OPP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2" s="7" t="str">
        <f ca="1">IFERROR(IF($B62="","",IF(K$42="","",IF($B62=K$7,"-",COUNTIFS(TEAMS_GbG[[TM NAME]:[TM NAME]],K$42,TEAMS_GbG[[DATE]:[DATE]],"&lt;="&amp;TODAY(),TEAMS_GbG[[OPP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2" s="7" t="str">
        <f ca="1">IFERROR(IF($B62="","",IF(L$42="","",IF($B62=L$7,"-",COUNTIFS(TEAMS_GbG[[TM NAME]:[TM NAME]],L$42,TEAMS_GbG[[DATE]:[DATE]],"&lt;="&amp;TODAY(),TEAMS_GbG[[OPP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2" s="7" t="str">
        <f ca="1">IFERROR(IF($B62="","",IF(M$42="","",IF($B62=M$7,"-",COUNTIFS(TEAMS_GbG[[TM NAME]:[TM NAME]],M$42,TEAMS_GbG[[DATE]:[DATE]],"&lt;="&amp;TODAY(),TEAMS_GbG[[OPP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2" s="7" t="str">
        <f ca="1">IFERROR(IF($B62="","",IF(N$42="","",IF($B62=N$7,"-",COUNTIFS(TEAMS_GbG[[TM NAME]:[TM NAME]],N$42,TEAMS_GbG[[DATE]:[DATE]],"&lt;="&amp;TODAY(),TEAMS_GbG[[OPP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2" s="7" t="str">
        <f ca="1">IFERROR(IF($B62="","",IF(O$42="","",IF($B62=O$7,"-",COUNTIFS(TEAMS_GbG[[TM NAME]:[TM NAME]],O$42,TEAMS_GbG[[DATE]:[DATE]],"&lt;="&amp;TODAY(),TEAMS_GbG[[OPP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2" s="7" t="str">
        <f ca="1">IFERROR(IF($B62="","",IF(P$42="","",IF($B62=P$7,"-",COUNTIFS(TEAMS_GbG[[TM NAME]:[TM NAME]],P$42,TEAMS_GbG[[DATE]:[DATE]],"&lt;="&amp;TODAY(),TEAMS_GbG[[OPP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2" s="7" t="str">
        <f ca="1">IFERROR(IF($B62="","",IF(Q$42="","",IF($B62=Q$7,"-",COUNTIFS(TEAMS_GbG[[TM NAME]:[TM NAME]],Q$42,TEAMS_GbG[[DATE]:[DATE]],"&lt;="&amp;TODAY(),TEAMS_GbG[[OPP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2" s="7" t="str">
        <f ca="1">IFERROR(IF($B62="","",IF(R$42="","",IF($B62=R$7,"-",COUNTIFS(TEAMS_GbG[[TM NAME]:[TM NAME]],R$42,TEAMS_GbG[[DATE]:[DATE]],"&lt;="&amp;TODAY(),TEAMS_GbG[[OPP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2" s="7" t="str">
        <f ca="1">IFERROR(IF($B62="","",IF(S$42="","",IF($B62=S$7,"-",COUNTIFS(TEAMS_GbG[[TM NAME]:[TM NAME]],S$42,TEAMS_GbG[[DATE]:[DATE]],"&lt;="&amp;TODAY(),TEAMS_GbG[[OPP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2" s="7" t="str">
        <f ca="1">IFERROR(IF($B62="","",IF(T$42="","",IF($B62=T$7,"-",COUNTIFS(TEAMS_GbG[[TM NAME]:[TM NAME]],T$42,TEAMS_GbG[[DATE]:[DATE]],"&lt;="&amp;TODAY(),TEAMS_GbG[[OPP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2" s="7" t="str">
        <f ca="1">IFERROR(IF($B62="","",IF(U$42="","",IF($B62=U$7,"-",COUNTIFS(TEAMS_GbG[[TM NAME]:[TM NAME]],U$42,TEAMS_GbG[[DATE]:[DATE]],"&lt;="&amp;TODAY(),TEAMS_GbG[[OPP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2" s="7" t="str">
        <f ca="1">IFERROR(IF($B62="","",IF(V$42="","",IF($B62=V$7,"-",COUNTIFS(TEAMS_GbG[[TM NAME]:[TM NAME]],V$42,TEAMS_GbG[[DATE]:[DATE]],"&lt;="&amp;TODAY(),TEAMS_GbG[[OPP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2" s="7" t="str">
        <f ca="1">IFERROR(IF($B62="","",IF(W$42="","",IF($B62=W$7,"-",COUNTIFS(TEAMS_GbG[[TM NAME]:[TM NAME]],W$42,TEAMS_GbG[[DATE]:[DATE]],"&lt;="&amp;TODAY(),TEAMS_GbG[[OPP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2" s="7" t="str">
        <f ca="1">IFERROR(IF($B62="","",IF(X$42="","",IF($B62=X$7,"-",COUNTIFS(TEAMS_GbG[[TM NAME]:[TM NAME]],X$42,TEAMS_GbG[[DATE]:[DATE]],"&lt;="&amp;TODAY(),TEAMS_GbG[[OPP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2" s="7" t="str">
        <f ca="1">IFERROR(IF($B62="","",IF(Y$42="","",IF($B62=Y$7,"-",COUNTIFS(TEAMS_GbG[[TM NAME]:[TM NAME]],Y$42,TEAMS_GbG[[DATE]:[DATE]],"&lt;="&amp;TODAY(),TEAMS_GbG[[OPP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2" s="7" t="str">
        <f ca="1">IFERROR(IF($B62="","",IF(Z$42="","",IF($B62=Z$7,"-",COUNTIFS(TEAMS_GbG[[TM NAME]:[TM NAME]],Z$42,TEAMS_GbG[[DATE]:[DATE]],"&lt;="&amp;TODAY(),TEAMS_GbG[[OPP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2" s="7" t="str">
        <f ca="1">IFERROR(IF($B62="","",IF(AA$42="","",IF($B62=AA$7,"-",COUNTIFS(TEAMS_GbG[[TM NAME]:[TM NAME]],AA$42,TEAMS_GbG[[DATE]:[DATE]],"&lt;="&amp;TODAY(),TEAMS_GbG[[OPP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2" s="7" t="str">
        <f ca="1">IFERROR(IF($B62="","",IF(AB$42="","",IF($B62=AB$7,"-",COUNTIFS(TEAMS_GbG[[TM NAME]:[TM NAME]],AB$42,TEAMS_GbG[[DATE]:[DATE]],"&lt;="&amp;TODAY(),TEAMS_GbG[[OPP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2" s="7" t="str">
        <f ca="1">IFERROR(IF($B62="","",IF(AC$42="","",IF($B62=AC$7,"-",COUNTIFS(TEAMS_GbG[[TM NAME]:[TM NAME]],AC$42,TEAMS_GbG[[DATE]:[DATE]],"&lt;="&amp;TODAY(),TEAMS_GbG[[OPP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2" s="7" t="str">
        <f ca="1">IFERROR(IF($B62="","",IF(AD$42="","",IF($B62=AD$7,"-",COUNTIFS(TEAMS_GbG[[TM NAME]:[TM NAME]],AD$42,TEAMS_GbG[[DATE]:[DATE]],"&lt;="&amp;TODAY(),TEAMS_GbG[[OPP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2" s="7" t="str">
        <f ca="1">IFERROR(IF($B62="","",IF(AE$42="","",IF($B62=AE$7,"-",COUNTIFS(TEAMS_GbG[[TM NAME]:[TM NAME]],AE$42,TEAMS_GbG[[DATE]:[DATE]],"&lt;="&amp;TODAY(),TEAMS_GbG[[OPP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2" s="7" t="str">
        <f ca="1">IFERROR(IF($B62="","",IF(AF$42="","",IF($B62=AF$7,"-",COUNTIFS(TEAMS_GbG[[TM NAME]:[TM NAME]],AF$42,TEAMS_GbG[[DATE]:[DATE]],"&lt;="&amp;TODAY(),TEAMS_GbG[[OPP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2" s="7" t="str">
        <f ca="1">IFERROR(IF($B62="","",IF(AG$42="","",IF($B62=AG$7,"-",COUNTIFS(TEAMS_GbG[[TM NAME]:[TM NAME]],AG$42,TEAMS_GbG[[DATE]:[DATE]],"&lt;="&amp;TODAY(),TEAMS_GbG[[OPP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2" s="7" t="str">
        <f ca="1">IFERROR(IF($B62="","",IF(AH$42="","",IF($B62=AH$7,"-",COUNTIFS(TEAMS_GbG[[TM NAME]:[TM NAME]],AH$42,TEAMS_GbG[[DATE]:[DATE]],"&lt;="&amp;TODAY(),TEAMS_GbG[[OPP NAME]:[OPP NAME]],"&lt;&gt;"&amp;$B62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2" s="52" t="str">
        <f t="shared" ca="1" si="2"/>
        <v>-</v>
      </c>
    </row>
    <row r="63" spans="2:35" x14ac:dyDescent="0.25">
      <c r="B63" s="1" t="str">
        <f t="shared" si="1"/>
        <v/>
      </c>
      <c r="C63" s="7" t="str">
        <f ca="1">IFERROR(IF($B63="","",IF(C$42="","",IF($B63=C$7,"-",COUNTIFS(TEAMS_GbG[[TM NAME]:[TM NAME]],C$42,TEAMS_GbG[[DATE]:[DATE]],"&lt;="&amp;TODAY(),TEAMS_GbG[[OPP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3" s="7" t="str">
        <f ca="1">IFERROR(IF($B63="","",IF(D$42="","",IF($B63=D$7,"-",COUNTIFS(TEAMS_GbG[[TM NAME]:[TM NAME]],D$42,TEAMS_GbG[[DATE]:[DATE]],"&lt;="&amp;TODAY(),TEAMS_GbG[[OPP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3" s="7" t="str">
        <f ca="1">IFERROR(IF($B63="","",IF(E$42="","",IF($B63=E$7,"-",COUNTIFS(TEAMS_GbG[[TM NAME]:[TM NAME]],E$42,TEAMS_GbG[[DATE]:[DATE]],"&lt;="&amp;TODAY(),TEAMS_GbG[[OPP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3" s="7" t="str">
        <f ca="1">IFERROR(IF($B63="","",IF(F$42="","",IF($B63=F$7,"-",COUNTIFS(TEAMS_GbG[[TM NAME]:[TM NAME]],F$42,TEAMS_GbG[[DATE]:[DATE]],"&lt;="&amp;TODAY(),TEAMS_GbG[[OPP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3" s="7" t="str">
        <f ca="1">IFERROR(IF($B63="","",IF(G$42="","",IF($B63=G$7,"-",COUNTIFS(TEAMS_GbG[[TM NAME]:[TM NAME]],G$42,TEAMS_GbG[[DATE]:[DATE]],"&lt;="&amp;TODAY(),TEAMS_GbG[[OPP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3" s="7" t="str">
        <f ca="1">IFERROR(IF($B63="","",IF(H$42="","",IF($B63=H$7,"-",COUNTIFS(TEAMS_GbG[[TM NAME]:[TM NAME]],H$42,TEAMS_GbG[[DATE]:[DATE]],"&lt;="&amp;TODAY(),TEAMS_GbG[[OPP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3" s="7" t="str">
        <f ca="1">IFERROR(IF($B63="","",IF(I$42="","",IF($B63=I$7,"-",COUNTIFS(TEAMS_GbG[[TM NAME]:[TM NAME]],I$42,TEAMS_GbG[[DATE]:[DATE]],"&lt;="&amp;TODAY(),TEAMS_GbG[[OPP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3" s="7" t="str">
        <f ca="1">IFERROR(IF($B63="","",IF(J$42="","",IF($B63=J$7,"-",COUNTIFS(TEAMS_GbG[[TM NAME]:[TM NAME]],J$42,TEAMS_GbG[[DATE]:[DATE]],"&lt;="&amp;TODAY(),TEAMS_GbG[[OPP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3" s="7" t="str">
        <f ca="1">IFERROR(IF($B63="","",IF(K$42="","",IF($B63=K$7,"-",COUNTIFS(TEAMS_GbG[[TM NAME]:[TM NAME]],K$42,TEAMS_GbG[[DATE]:[DATE]],"&lt;="&amp;TODAY(),TEAMS_GbG[[OPP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3" s="7" t="str">
        <f ca="1">IFERROR(IF($B63="","",IF(L$42="","",IF($B63=L$7,"-",COUNTIFS(TEAMS_GbG[[TM NAME]:[TM NAME]],L$42,TEAMS_GbG[[DATE]:[DATE]],"&lt;="&amp;TODAY(),TEAMS_GbG[[OPP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3" s="7" t="str">
        <f ca="1">IFERROR(IF($B63="","",IF(M$42="","",IF($B63=M$7,"-",COUNTIFS(TEAMS_GbG[[TM NAME]:[TM NAME]],M$42,TEAMS_GbG[[DATE]:[DATE]],"&lt;="&amp;TODAY(),TEAMS_GbG[[OPP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3" s="7" t="str">
        <f ca="1">IFERROR(IF($B63="","",IF(N$42="","",IF($B63=N$7,"-",COUNTIFS(TEAMS_GbG[[TM NAME]:[TM NAME]],N$42,TEAMS_GbG[[DATE]:[DATE]],"&lt;="&amp;TODAY(),TEAMS_GbG[[OPP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3" s="7" t="str">
        <f ca="1">IFERROR(IF($B63="","",IF(O$42="","",IF($B63=O$7,"-",COUNTIFS(TEAMS_GbG[[TM NAME]:[TM NAME]],O$42,TEAMS_GbG[[DATE]:[DATE]],"&lt;="&amp;TODAY(),TEAMS_GbG[[OPP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3" s="7" t="str">
        <f ca="1">IFERROR(IF($B63="","",IF(P$42="","",IF($B63=P$7,"-",COUNTIFS(TEAMS_GbG[[TM NAME]:[TM NAME]],P$42,TEAMS_GbG[[DATE]:[DATE]],"&lt;="&amp;TODAY(),TEAMS_GbG[[OPP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3" s="7" t="str">
        <f ca="1">IFERROR(IF($B63="","",IF(Q$42="","",IF($B63=Q$7,"-",COUNTIFS(TEAMS_GbG[[TM NAME]:[TM NAME]],Q$42,TEAMS_GbG[[DATE]:[DATE]],"&lt;="&amp;TODAY(),TEAMS_GbG[[OPP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3" s="7" t="str">
        <f ca="1">IFERROR(IF($B63="","",IF(R$42="","",IF($B63=R$7,"-",COUNTIFS(TEAMS_GbG[[TM NAME]:[TM NAME]],R$42,TEAMS_GbG[[DATE]:[DATE]],"&lt;="&amp;TODAY(),TEAMS_GbG[[OPP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3" s="7" t="str">
        <f ca="1">IFERROR(IF($B63="","",IF(S$42="","",IF($B63=S$7,"-",COUNTIFS(TEAMS_GbG[[TM NAME]:[TM NAME]],S$42,TEAMS_GbG[[DATE]:[DATE]],"&lt;="&amp;TODAY(),TEAMS_GbG[[OPP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3" s="7" t="str">
        <f ca="1">IFERROR(IF($B63="","",IF(T$42="","",IF($B63=T$7,"-",COUNTIFS(TEAMS_GbG[[TM NAME]:[TM NAME]],T$42,TEAMS_GbG[[DATE]:[DATE]],"&lt;="&amp;TODAY(),TEAMS_GbG[[OPP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3" s="7" t="str">
        <f ca="1">IFERROR(IF($B63="","",IF(U$42="","",IF($B63=U$7,"-",COUNTIFS(TEAMS_GbG[[TM NAME]:[TM NAME]],U$42,TEAMS_GbG[[DATE]:[DATE]],"&lt;="&amp;TODAY(),TEAMS_GbG[[OPP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3" s="7" t="str">
        <f ca="1">IFERROR(IF($B63="","",IF(V$42="","",IF($B63=V$7,"-",COUNTIFS(TEAMS_GbG[[TM NAME]:[TM NAME]],V$42,TEAMS_GbG[[DATE]:[DATE]],"&lt;="&amp;TODAY(),TEAMS_GbG[[OPP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3" s="7" t="str">
        <f ca="1">IFERROR(IF($B63="","",IF(W$42="","",IF($B63=W$7,"-",COUNTIFS(TEAMS_GbG[[TM NAME]:[TM NAME]],W$42,TEAMS_GbG[[DATE]:[DATE]],"&lt;="&amp;TODAY(),TEAMS_GbG[[OPP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3" s="7" t="str">
        <f ca="1">IFERROR(IF($B63="","",IF(X$42="","",IF($B63=X$7,"-",COUNTIFS(TEAMS_GbG[[TM NAME]:[TM NAME]],X$42,TEAMS_GbG[[DATE]:[DATE]],"&lt;="&amp;TODAY(),TEAMS_GbG[[OPP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3" s="7" t="str">
        <f ca="1">IFERROR(IF($B63="","",IF(Y$42="","",IF($B63=Y$7,"-",COUNTIFS(TEAMS_GbG[[TM NAME]:[TM NAME]],Y$42,TEAMS_GbG[[DATE]:[DATE]],"&lt;="&amp;TODAY(),TEAMS_GbG[[OPP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3" s="7" t="str">
        <f ca="1">IFERROR(IF($B63="","",IF(Z$42="","",IF($B63=Z$7,"-",COUNTIFS(TEAMS_GbG[[TM NAME]:[TM NAME]],Z$42,TEAMS_GbG[[DATE]:[DATE]],"&lt;="&amp;TODAY(),TEAMS_GbG[[OPP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3" s="7" t="str">
        <f ca="1">IFERROR(IF($B63="","",IF(AA$42="","",IF($B63=AA$7,"-",COUNTIFS(TEAMS_GbG[[TM NAME]:[TM NAME]],AA$42,TEAMS_GbG[[DATE]:[DATE]],"&lt;="&amp;TODAY(),TEAMS_GbG[[OPP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3" s="7" t="str">
        <f ca="1">IFERROR(IF($B63="","",IF(AB$42="","",IF($B63=AB$7,"-",COUNTIFS(TEAMS_GbG[[TM NAME]:[TM NAME]],AB$42,TEAMS_GbG[[DATE]:[DATE]],"&lt;="&amp;TODAY(),TEAMS_GbG[[OPP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3" s="7" t="str">
        <f ca="1">IFERROR(IF($B63="","",IF(AC$42="","",IF($B63=AC$7,"-",COUNTIFS(TEAMS_GbG[[TM NAME]:[TM NAME]],AC$42,TEAMS_GbG[[DATE]:[DATE]],"&lt;="&amp;TODAY(),TEAMS_GbG[[OPP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3" s="7" t="str">
        <f ca="1">IFERROR(IF($B63="","",IF(AD$42="","",IF($B63=AD$7,"-",COUNTIFS(TEAMS_GbG[[TM NAME]:[TM NAME]],AD$42,TEAMS_GbG[[DATE]:[DATE]],"&lt;="&amp;TODAY(),TEAMS_GbG[[OPP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3" s="7" t="str">
        <f ca="1">IFERROR(IF($B63="","",IF(AE$42="","",IF($B63=AE$7,"-",COUNTIFS(TEAMS_GbG[[TM NAME]:[TM NAME]],AE$42,TEAMS_GbG[[DATE]:[DATE]],"&lt;="&amp;TODAY(),TEAMS_GbG[[OPP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3" s="7" t="str">
        <f ca="1">IFERROR(IF($B63="","",IF(AF$42="","",IF($B63=AF$7,"-",COUNTIFS(TEAMS_GbG[[TM NAME]:[TM NAME]],AF$42,TEAMS_GbG[[DATE]:[DATE]],"&lt;="&amp;TODAY(),TEAMS_GbG[[OPP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3" s="7" t="str">
        <f ca="1">IFERROR(IF($B63="","",IF(AG$42="","",IF($B63=AG$7,"-",COUNTIFS(TEAMS_GbG[[TM NAME]:[TM NAME]],AG$42,TEAMS_GbG[[DATE]:[DATE]],"&lt;="&amp;TODAY(),TEAMS_GbG[[OPP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3" s="7" t="str">
        <f ca="1">IFERROR(IF($B63="","",IF(AH$42="","",IF($B63=AH$7,"-",COUNTIFS(TEAMS_GbG[[TM NAME]:[TM NAME]],AH$42,TEAMS_GbG[[DATE]:[DATE]],"&lt;="&amp;TODAY(),TEAMS_GbG[[OPP NAME]:[OPP NAME]],"&lt;&gt;"&amp;$B63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3" s="52" t="str">
        <f t="shared" ca="1" si="2"/>
        <v>-</v>
      </c>
    </row>
    <row r="64" spans="2:35" x14ac:dyDescent="0.25">
      <c r="B64" s="1" t="str">
        <f t="shared" si="1"/>
        <v/>
      </c>
      <c r="C64" s="7" t="str">
        <f ca="1">IFERROR(IF($B64="","",IF(C$42="","",IF($B64=C$7,"-",COUNTIFS(TEAMS_GbG[[TM NAME]:[TM NAME]],C$42,TEAMS_GbG[[DATE]:[DATE]],"&lt;="&amp;TODAY(),TEAMS_GbG[[OPP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4" s="7" t="str">
        <f ca="1">IFERROR(IF($B64="","",IF(D$42="","",IF($B64=D$7,"-",COUNTIFS(TEAMS_GbG[[TM NAME]:[TM NAME]],D$42,TEAMS_GbG[[DATE]:[DATE]],"&lt;="&amp;TODAY(),TEAMS_GbG[[OPP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4" s="7" t="str">
        <f ca="1">IFERROR(IF($B64="","",IF(E$42="","",IF($B64=E$7,"-",COUNTIFS(TEAMS_GbG[[TM NAME]:[TM NAME]],E$42,TEAMS_GbG[[DATE]:[DATE]],"&lt;="&amp;TODAY(),TEAMS_GbG[[OPP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4" s="7" t="str">
        <f ca="1">IFERROR(IF($B64="","",IF(F$42="","",IF($B64=F$7,"-",COUNTIFS(TEAMS_GbG[[TM NAME]:[TM NAME]],F$42,TEAMS_GbG[[DATE]:[DATE]],"&lt;="&amp;TODAY(),TEAMS_GbG[[OPP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4" s="7" t="str">
        <f ca="1">IFERROR(IF($B64="","",IF(G$42="","",IF($B64=G$7,"-",COUNTIFS(TEAMS_GbG[[TM NAME]:[TM NAME]],G$42,TEAMS_GbG[[DATE]:[DATE]],"&lt;="&amp;TODAY(),TEAMS_GbG[[OPP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4" s="7" t="str">
        <f ca="1">IFERROR(IF($B64="","",IF(H$42="","",IF($B64=H$7,"-",COUNTIFS(TEAMS_GbG[[TM NAME]:[TM NAME]],H$42,TEAMS_GbG[[DATE]:[DATE]],"&lt;="&amp;TODAY(),TEAMS_GbG[[OPP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4" s="7" t="str">
        <f ca="1">IFERROR(IF($B64="","",IF(I$42="","",IF($B64=I$7,"-",COUNTIFS(TEAMS_GbG[[TM NAME]:[TM NAME]],I$42,TEAMS_GbG[[DATE]:[DATE]],"&lt;="&amp;TODAY(),TEAMS_GbG[[OPP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4" s="7" t="str">
        <f ca="1">IFERROR(IF($B64="","",IF(J$42="","",IF($B64=J$7,"-",COUNTIFS(TEAMS_GbG[[TM NAME]:[TM NAME]],J$42,TEAMS_GbG[[DATE]:[DATE]],"&lt;="&amp;TODAY(),TEAMS_GbG[[OPP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4" s="7" t="str">
        <f ca="1">IFERROR(IF($B64="","",IF(K$42="","",IF($B64=K$7,"-",COUNTIFS(TEAMS_GbG[[TM NAME]:[TM NAME]],K$42,TEAMS_GbG[[DATE]:[DATE]],"&lt;="&amp;TODAY(),TEAMS_GbG[[OPP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4" s="7" t="str">
        <f ca="1">IFERROR(IF($B64="","",IF(L$42="","",IF($B64=L$7,"-",COUNTIFS(TEAMS_GbG[[TM NAME]:[TM NAME]],L$42,TEAMS_GbG[[DATE]:[DATE]],"&lt;="&amp;TODAY(),TEAMS_GbG[[OPP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4" s="7" t="str">
        <f ca="1">IFERROR(IF($B64="","",IF(M$42="","",IF($B64=M$7,"-",COUNTIFS(TEAMS_GbG[[TM NAME]:[TM NAME]],M$42,TEAMS_GbG[[DATE]:[DATE]],"&lt;="&amp;TODAY(),TEAMS_GbG[[OPP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4" s="7" t="str">
        <f ca="1">IFERROR(IF($B64="","",IF(N$42="","",IF($B64=N$7,"-",COUNTIFS(TEAMS_GbG[[TM NAME]:[TM NAME]],N$42,TEAMS_GbG[[DATE]:[DATE]],"&lt;="&amp;TODAY(),TEAMS_GbG[[OPP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4" s="7" t="str">
        <f ca="1">IFERROR(IF($B64="","",IF(O$42="","",IF($B64=O$7,"-",COUNTIFS(TEAMS_GbG[[TM NAME]:[TM NAME]],O$42,TEAMS_GbG[[DATE]:[DATE]],"&lt;="&amp;TODAY(),TEAMS_GbG[[OPP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4" s="7" t="str">
        <f ca="1">IFERROR(IF($B64="","",IF(P$42="","",IF($B64=P$7,"-",COUNTIFS(TEAMS_GbG[[TM NAME]:[TM NAME]],P$42,TEAMS_GbG[[DATE]:[DATE]],"&lt;="&amp;TODAY(),TEAMS_GbG[[OPP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4" s="7" t="str">
        <f ca="1">IFERROR(IF($B64="","",IF(Q$42="","",IF($B64=Q$7,"-",COUNTIFS(TEAMS_GbG[[TM NAME]:[TM NAME]],Q$42,TEAMS_GbG[[DATE]:[DATE]],"&lt;="&amp;TODAY(),TEAMS_GbG[[OPP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4" s="7" t="str">
        <f ca="1">IFERROR(IF($B64="","",IF(R$42="","",IF($B64=R$7,"-",COUNTIFS(TEAMS_GbG[[TM NAME]:[TM NAME]],R$42,TEAMS_GbG[[DATE]:[DATE]],"&lt;="&amp;TODAY(),TEAMS_GbG[[OPP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4" s="7" t="str">
        <f ca="1">IFERROR(IF($B64="","",IF(S$42="","",IF($B64=S$7,"-",COUNTIFS(TEAMS_GbG[[TM NAME]:[TM NAME]],S$42,TEAMS_GbG[[DATE]:[DATE]],"&lt;="&amp;TODAY(),TEAMS_GbG[[OPP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4" s="7" t="str">
        <f ca="1">IFERROR(IF($B64="","",IF(T$42="","",IF($B64=T$7,"-",COUNTIFS(TEAMS_GbG[[TM NAME]:[TM NAME]],T$42,TEAMS_GbG[[DATE]:[DATE]],"&lt;="&amp;TODAY(),TEAMS_GbG[[OPP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4" s="7" t="str">
        <f ca="1">IFERROR(IF($B64="","",IF(U$42="","",IF($B64=U$7,"-",COUNTIFS(TEAMS_GbG[[TM NAME]:[TM NAME]],U$42,TEAMS_GbG[[DATE]:[DATE]],"&lt;="&amp;TODAY(),TEAMS_GbG[[OPP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4" s="7" t="str">
        <f ca="1">IFERROR(IF($B64="","",IF(V$42="","",IF($B64=V$7,"-",COUNTIFS(TEAMS_GbG[[TM NAME]:[TM NAME]],V$42,TEAMS_GbG[[DATE]:[DATE]],"&lt;="&amp;TODAY(),TEAMS_GbG[[OPP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4" s="7" t="str">
        <f ca="1">IFERROR(IF($B64="","",IF(W$42="","",IF($B64=W$7,"-",COUNTIFS(TEAMS_GbG[[TM NAME]:[TM NAME]],W$42,TEAMS_GbG[[DATE]:[DATE]],"&lt;="&amp;TODAY(),TEAMS_GbG[[OPP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4" s="7" t="str">
        <f ca="1">IFERROR(IF($B64="","",IF(X$42="","",IF($B64=X$7,"-",COUNTIFS(TEAMS_GbG[[TM NAME]:[TM NAME]],X$42,TEAMS_GbG[[DATE]:[DATE]],"&lt;="&amp;TODAY(),TEAMS_GbG[[OPP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4" s="7" t="str">
        <f ca="1">IFERROR(IF($B64="","",IF(Y$42="","",IF($B64=Y$7,"-",COUNTIFS(TEAMS_GbG[[TM NAME]:[TM NAME]],Y$42,TEAMS_GbG[[DATE]:[DATE]],"&lt;="&amp;TODAY(),TEAMS_GbG[[OPP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4" s="7" t="str">
        <f ca="1">IFERROR(IF($B64="","",IF(Z$42="","",IF($B64=Z$7,"-",COUNTIFS(TEAMS_GbG[[TM NAME]:[TM NAME]],Z$42,TEAMS_GbG[[DATE]:[DATE]],"&lt;="&amp;TODAY(),TEAMS_GbG[[OPP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4" s="7" t="str">
        <f ca="1">IFERROR(IF($B64="","",IF(AA$42="","",IF($B64=AA$7,"-",COUNTIFS(TEAMS_GbG[[TM NAME]:[TM NAME]],AA$42,TEAMS_GbG[[DATE]:[DATE]],"&lt;="&amp;TODAY(),TEAMS_GbG[[OPP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4" s="7" t="str">
        <f ca="1">IFERROR(IF($B64="","",IF(AB$42="","",IF($B64=AB$7,"-",COUNTIFS(TEAMS_GbG[[TM NAME]:[TM NAME]],AB$42,TEAMS_GbG[[DATE]:[DATE]],"&lt;="&amp;TODAY(),TEAMS_GbG[[OPP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4" s="7" t="str">
        <f ca="1">IFERROR(IF($B64="","",IF(AC$42="","",IF($B64=AC$7,"-",COUNTIFS(TEAMS_GbG[[TM NAME]:[TM NAME]],AC$42,TEAMS_GbG[[DATE]:[DATE]],"&lt;="&amp;TODAY(),TEAMS_GbG[[OPP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4" s="7" t="str">
        <f ca="1">IFERROR(IF($B64="","",IF(AD$42="","",IF($B64=AD$7,"-",COUNTIFS(TEAMS_GbG[[TM NAME]:[TM NAME]],AD$42,TEAMS_GbG[[DATE]:[DATE]],"&lt;="&amp;TODAY(),TEAMS_GbG[[OPP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4" s="7" t="str">
        <f ca="1">IFERROR(IF($B64="","",IF(AE$42="","",IF($B64=AE$7,"-",COUNTIFS(TEAMS_GbG[[TM NAME]:[TM NAME]],AE$42,TEAMS_GbG[[DATE]:[DATE]],"&lt;="&amp;TODAY(),TEAMS_GbG[[OPP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4" s="7" t="str">
        <f ca="1">IFERROR(IF($B64="","",IF(AF$42="","",IF($B64=AF$7,"-",COUNTIFS(TEAMS_GbG[[TM NAME]:[TM NAME]],AF$42,TEAMS_GbG[[DATE]:[DATE]],"&lt;="&amp;TODAY(),TEAMS_GbG[[OPP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4" s="7" t="str">
        <f ca="1">IFERROR(IF($B64="","",IF(AG$42="","",IF($B64=AG$7,"-",COUNTIFS(TEAMS_GbG[[TM NAME]:[TM NAME]],AG$42,TEAMS_GbG[[DATE]:[DATE]],"&lt;="&amp;TODAY(),TEAMS_GbG[[OPP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4" s="7" t="str">
        <f ca="1">IFERROR(IF($B64="","",IF(AH$42="","",IF($B64=AH$7,"-",COUNTIFS(TEAMS_GbG[[TM NAME]:[TM NAME]],AH$42,TEAMS_GbG[[DATE]:[DATE]],"&lt;="&amp;TODAY(),TEAMS_GbG[[OPP NAME]:[OPP NAME]],"&lt;&gt;"&amp;$B64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4" s="52" t="str">
        <f t="shared" ca="1" si="2"/>
        <v>-</v>
      </c>
    </row>
    <row r="65" spans="2:35" x14ac:dyDescent="0.25">
      <c r="B65" s="1" t="str">
        <f t="shared" si="1"/>
        <v/>
      </c>
      <c r="C65" s="7" t="str">
        <f ca="1">IFERROR(IF($B65="","",IF(C$42="","",IF($B65=C$7,"-",COUNTIFS(TEAMS_GbG[[TM NAME]:[TM NAME]],C$42,TEAMS_GbG[[DATE]:[DATE]],"&lt;="&amp;TODAY(),TEAMS_GbG[[OPP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5" s="7" t="str">
        <f ca="1">IFERROR(IF($B65="","",IF(D$42="","",IF($B65=D$7,"-",COUNTIFS(TEAMS_GbG[[TM NAME]:[TM NAME]],D$42,TEAMS_GbG[[DATE]:[DATE]],"&lt;="&amp;TODAY(),TEAMS_GbG[[OPP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5" s="7" t="str">
        <f ca="1">IFERROR(IF($B65="","",IF(E$42="","",IF($B65=E$7,"-",COUNTIFS(TEAMS_GbG[[TM NAME]:[TM NAME]],E$42,TEAMS_GbG[[DATE]:[DATE]],"&lt;="&amp;TODAY(),TEAMS_GbG[[OPP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5" s="7" t="str">
        <f ca="1">IFERROR(IF($B65="","",IF(F$42="","",IF($B65=F$7,"-",COUNTIFS(TEAMS_GbG[[TM NAME]:[TM NAME]],F$42,TEAMS_GbG[[DATE]:[DATE]],"&lt;="&amp;TODAY(),TEAMS_GbG[[OPP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5" s="7" t="str">
        <f ca="1">IFERROR(IF($B65="","",IF(G$42="","",IF($B65=G$7,"-",COUNTIFS(TEAMS_GbG[[TM NAME]:[TM NAME]],G$42,TEAMS_GbG[[DATE]:[DATE]],"&lt;="&amp;TODAY(),TEAMS_GbG[[OPP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5" s="7" t="str">
        <f ca="1">IFERROR(IF($B65="","",IF(H$42="","",IF($B65=H$7,"-",COUNTIFS(TEAMS_GbG[[TM NAME]:[TM NAME]],H$42,TEAMS_GbG[[DATE]:[DATE]],"&lt;="&amp;TODAY(),TEAMS_GbG[[OPP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5" s="7" t="str">
        <f ca="1">IFERROR(IF($B65="","",IF(I$42="","",IF($B65=I$7,"-",COUNTIFS(TEAMS_GbG[[TM NAME]:[TM NAME]],I$42,TEAMS_GbG[[DATE]:[DATE]],"&lt;="&amp;TODAY(),TEAMS_GbG[[OPP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5" s="7" t="str">
        <f ca="1">IFERROR(IF($B65="","",IF(J$42="","",IF($B65=J$7,"-",COUNTIFS(TEAMS_GbG[[TM NAME]:[TM NAME]],J$42,TEAMS_GbG[[DATE]:[DATE]],"&lt;="&amp;TODAY(),TEAMS_GbG[[OPP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5" s="7" t="str">
        <f ca="1">IFERROR(IF($B65="","",IF(K$42="","",IF($B65=K$7,"-",COUNTIFS(TEAMS_GbG[[TM NAME]:[TM NAME]],K$42,TEAMS_GbG[[DATE]:[DATE]],"&lt;="&amp;TODAY(),TEAMS_GbG[[OPP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5" s="7" t="str">
        <f ca="1">IFERROR(IF($B65="","",IF(L$42="","",IF($B65=L$7,"-",COUNTIFS(TEAMS_GbG[[TM NAME]:[TM NAME]],L$42,TEAMS_GbG[[DATE]:[DATE]],"&lt;="&amp;TODAY(),TEAMS_GbG[[OPP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5" s="7" t="str">
        <f ca="1">IFERROR(IF($B65="","",IF(M$42="","",IF($B65=M$7,"-",COUNTIFS(TEAMS_GbG[[TM NAME]:[TM NAME]],M$42,TEAMS_GbG[[DATE]:[DATE]],"&lt;="&amp;TODAY(),TEAMS_GbG[[OPP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5" s="7" t="str">
        <f ca="1">IFERROR(IF($B65="","",IF(N$42="","",IF($B65=N$7,"-",COUNTIFS(TEAMS_GbG[[TM NAME]:[TM NAME]],N$42,TEAMS_GbG[[DATE]:[DATE]],"&lt;="&amp;TODAY(),TEAMS_GbG[[OPP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5" s="7" t="str">
        <f ca="1">IFERROR(IF($B65="","",IF(O$42="","",IF($B65=O$7,"-",COUNTIFS(TEAMS_GbG[[TM NAME]:[TM NAME]],O$42,TEAMS_GbG[[DATE]:[DATE]],"&lt;="&amp;TODAY(),TEAMS_GbG[[OPP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5" s="7" t="str">
        <f ca="1">IFERROR(IF($B65="","",IF(P$42="","",IF($B65=P$7,"-",COUNTIFS(TEAMS_GbG[[TM NAME]:[TM NAME]],P$42,TEAMS_GbG[[DATE]:[DATE]],"&lt;="&amp;TODAY(),TEAMS_GbG[[OPP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5" s="7" t="str">
        <f ca="1">IFERROR(IF($B65="","",IF(Q$42="","",IF($B65=Q$7,"-",COUNTIFS(TEAMS_GbG[[TM NAME]:[TM NAME]],Q$42,TEAMS_GbG[[DATE]:[DATE]],"&lt;="&amp;TODAY(),TEAMS_GbG[[OPP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5" s="7" t="str">
        <f ca="1">IFERROR(IF($B65="","",IF(R$42="","",IF($B65=R$7,"-",COUNTIFS(TEAMS_GbG[[TM NAME]:[TM NAME]],R$42,TEAMS_GbG[[DATE]:[DATE]],"&lt;="&amp;TODAY(),TEAMS_GbG[[OPP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5" s="7" t="str">
        <f ca="1">IFERROR(IF($B65="","",IF(S$42="","",IF($B65=S$7,"-",COUNTIFS(TEAMS_GbG[[TM NAME]:[TM NAME]],S$42,TEAMS_GbG[[DATE]:[DATE]],"&lt;="&amp;TODAY(),TEAMS_GbG[[OPP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5" s="7" t="str">
        <f ca="1">IFERROR(IF($B65="","",IF(T$42="","",IF($B65=T$7,"-",COUNTIFS(TEAMS_GbG[[TM NAME]:[TM NAME]],T$42,TEAMS_GbG[[DATE]:[DATE]],"&lt;="&amp;TODAY(),TEAMS_GbG[[OPP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5" s="7" t="str">
        <f ca="1">IFERROR(IF($B65="","",IF(U$42="","",IF($B65=U$7,"-",COUNTIFS(TEAMS_GbG[[TM NAME]:[TM NAME]],U$42,TEAMS_GbG[[DATE]:[DATE]],"&lt;="&amp;TODAY(),TEAMS_GbG[[OPP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5" s="7" t="str">
        <f ca="1">IFERROR(IF($B65="","",IF(V$42="","",IF($B65=V$7,"-",COUNTIFS(TEAMS_GbG[[TM NAME]:[TM NAME]],V$42,TEAMS_GbG[[DATE]:[DATE]],"&lt;="&amp;TODAY(),TEAMS_GbG[[OPP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5" s="7" t="str">
        <f ca="1">IFERROR(IF($B65="","",IF(W$42="","",IF($B65=W$7,"-",COUNTIFS(TEAMS_GbG[[TM NAME]:[TM NAME]],W$42,TEAMS_GbG[[DATE]:[DATE]],"&lt;="&amp;TODAY(),TEAMS_GbG[[OPP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5" s="7" t="str">
        <f ca="1">IFERROR(IF($B65="","",IF(X$42="","",IF($B65=X$7,"-",COUNTIFS(TEAMS_GbG[[TM NAME]:[TM NAME]],X$42,TEAMS_GbG[[DATE]:[DATE]],"&lt;="&amp;TODAY(),TEAMS_GbG[[OPP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5" s="7" t="str">
        <f ca="1">IFERROR(IF($B65="","",IF(Y$42="","",IF($B65=Y$7,"-",COUNTIFS(TEAMS_GbG[[TM NAME]:[TM NAME]],Y$42,TEAMS_GbG[[DATE]:[DATE]],"&lt;="&amp;TODAY(),TEAMS_GbG[[OPP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5" s="7" t="str">
        <f ca="1">IFERROR(IF($B65="","",IF(Z$42="","",IF($B65=Z$7,"-",COUNTIFS(TEAMS_GbG[[TM NAME]:[TM NAME]],Z$42,TEAMS_GbG[[DATE]:[DATE]],"&lt;="&amp;TODAY(),TEAMS_GbG[[OPP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5" s="7" t="str">
        <f ca="1">IFERROR(IF($B65="","",IF(AA$42="","",IF($B65=AA$7,"-",COUNTIFS(TEAMS_GbG[[TM NAME]:[TM NAME]],AA$42,TEAMS_GbG[[DATE]:[DATE]],"&lt;="&amp;TODAY(),TEAMS_GbG[[OPP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5" s="7" t="str">
        <f ca="1">IFERROR(IF($B65="","",IF(AB$42="","",IF($B65=AB$7,"-",COUNTIFS(TEAMS_GbG[[TM NAME]:[TM NAME]],AB$42,TEAMS_GbG[[DATE]:[DATE]],"&lt;="&amp;TODAY(),TEAMS_GbG[[OPP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5" s="7" t="str">
        <f ca="1">IFERROR(IF($B65="","",IF(AC$42="","",IF($B65=AC$7,"-",COUNTIFS(TEAMS_GbG[[TM NAME]:[TM NAME]],AC$42,TEAMS_GbG[[DATE]:[DATE]],"&lt;="&amp;TODAY(),TEAMS_GbG[[OPP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5" s="7" t="str">
        <f ca="1">IFERROR(IF($B65="","",IF(AD$42="","",IF($B65=AD$7,"-",COUNTIFS(TEAMS_GbG[[TM NAME]:[TM NAME]],AD$42,TEAMS_GbG[[DATE]:[DATE]],"&lt;="&amp;TODAY(),TEAMS_GbG[[OPP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5" s="7" t="str">
        <f ca="1">IFERROR(IF($B65="","",IF(AE$42="","",IF($B65=AE$7,"-",COUNTIFS(TEAMS_GbG[[TM NAME]:[TM NAME]],AE$42,TEAMS_GbG[[DATE]:[DATE]],"&lt;="&amp;TODAY(),TEAMS_GbG[[OPP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5" s="7" t="str">
        <f ca="1">IFERROR(IF($B65="","",IF(AF$42="","",IF($B65=AF$7,"-",COUNTIFS(TEAMS_GbG[[TM NAME]:[TM NAME]],AF$42,TEAMS_GbG[[DATE]:[DATE]],"&lt;="&amp;TODAY(),TEAMS_GbG[[OPP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5" s="7" t="str">
        <f ca="1">IFERROR(IF($B65="","",IF(AG$42="","",IF($B65=AG$7,"-",COUNTIFS(TEAMS_GbG[[TM NAME]:[TM NAME]],AG$42,TEAMS_GbG[[DATE]:[DATE]],"&lt;="&amp;TODAY(),TEAMS_GbG[[OPP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5" s="7" t="str">
        <f ca="1">IFERROR(IF($B65="","",IF(AH$42="","",IF($B65=AH$7,"-",COUNTIFS(TEAMS_GbG[[TM NAME]:[TM NAME]],AH$42,TEAMS_GbG[[DATE]:[DATE]],"&lt;="&amp;TODAY(),TEAMS_GbG[[OPP NAME]:[OPP NAME]],"&lt;&gt;"&amp;$B65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65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5" s="52" t="str">
        <f t="shared" ca="1" si="2"/>
        <v>-</v>
      </c>
    </row>
    <row r="66" spans="2:35" x14ac:dyDescent="0.25">
      <c r="B66" s="1" t="str">
        <f t="shared" si="1"/>
        <v/>
      </c>
      <c r="C66" s="7" t="str">
        <f ca="1">IFERROR(IF($B66="","",IF(C$42="","",IF($B66=C$7,"-",COUNTIFS(TEAMS_GbG[[TM NAME]:[TM NAME]],C$42,TEAMS_GbG[[DATE]:[DATE]],"&lt;="&amp;TODAY(),TEAMS_GbG[[OPP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6" s="7" t="str">
        <f ca="1">IFERROR(IF($B66="","",IF(D$42="","",IF($B66=D$7,"-",COUNTIFS(TEAMS_GbG[[TM NAME]:[TM NAME]],D$42,TEAMS_GbG[[DATE]:[DATE]],"&lt;="&amp;TODAY(),TEAMS_GbG[[OPP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6" s="7" t="str">
        <f ca="1">IFERROR(IF($B66="","",IF(E$42="","",IF($B66=E$7,"-",COUNTIFS(TEAMS_GbG[[TM NAME]:[TM NAME]],E$42,TEAMS_GbG[[DATE]:[DATE]],"&lt;="&amp;TODAY(),TEAMS_GbG[[OPP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6" s="7" t="str">
        <f ca="1">IFERROR(IF($B66="","",IF(F$42="","",IF($B66=F$7,"-",COUNTIFS(TEAMS_GbG[[TM NAME]:[TM NAME]],F$42,TEAMS_GbG[[DATE]:[DATE]],"&lt;="&amp;TODAY(),TEAMS_GbG[[OPP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6" s="7" t="str">
        <f ca="1">IFERROR(IF($B66="","",IF(G$42="","",IF($B66=G$7,"-",COUNTIFS(TEAMS_GbG[[TM NAME]:[TM NAME]],G$42,TEAMS_GbG[[DATE]:[DATE]],"&lt;="&amp;TODAY(),TEAMS_GbG[[OPP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6" s="7" t="str">
        <f ca="1">IFERROR(IF($B66="","",IF(H$42="","",IF($B66=H$7,"-",COUNTIFS(TEAMS_GbG[[TM NAME]:[TM NAME]],H$42,TEAMS_GbG[[DATE]:[DATE]],"&lt;="&amp;TODAY(),TEAMS_GbG[[OPP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6" s="7" t="str">
        <f ca="1">IFERROR(IF($B66="","",IF(I$42="","",IF($B66=I$7,"-",COUNTIFS(TEAMS_GbG[[TM NAME]:[TM NAME]],I$42,TEAMS_GbG[[DATE]:[DATE]],"&lt;="&amp;TODAY(),TEAMS_GbG[[OPP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6" s="7" t="str">
        <f ca="1">IFERROR(IF($B66="","",IF(J$42="","",IF($B66=J$7,"-",COUNTIFS(TEAMS_GbG[[TM NAME]:[TM NAME]],J$42,TEAMS_GbG[[DATE]:[DATE]],"&lt;="&amp;TODAY(),TEAMS_GbG[[OPP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6" s="7" t="str">
        <f ca="1">IFERROR(IF($B66="","",IF(K$42="","",IF($B66=K$7,"-",COUNTIFS(TEAMS_GbG[[TM NAME]:[TM NAME]],K$42,TEAMS_GbG[[DATE]:[DATE]],"&lt;="&amp;TODAY(),TEAMS_GbG[[OPP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6" s="7" t="str">
        <f ca="1">IFERROR(IF($B66="","",IF(L$42="","",IF($B66=L$7,"-",COUNTIFS(TEAMS_GbG[[TM NAME]:[TM NAME]],L$42,TEAMS_GbG[[DATE]:[DATE]],"&lt;="&amp;TODAY(),TEAMS_GbG[[OPP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6" s="7" t="str">
        <f ca="1">IFERROR(IF($B66="","",IF(M$42="","",IF($B66=M$7,"-",COUNTIFS(TEAMS_GbG[[TM NAME]:[TM NAME]],M$42,TEAMS_GbG[[DATE]:[DATE]],"&lt;="&amp;TODAY(),TEAMS_GbG[[OPP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6" s="7" t="str">
        <f ca="1">IFERROR(IF($B66="","",IF(N$42="","",IF($B66=N$7,"-",COUNTIFS(TEAMS_GbG[[TM NAME]:[TM NAME]],N$42,TEAMS_GbG[[DATE]:[DATE]],"&lt;="&amp;TODAY(),TEAMS_GbG[[OPP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6" s="7" t="str">
        <f ca="1">IFERROR(IF($B66="","",IF(O$42="","",IF($B66=O$7,"-",COUNTIFS(TEAMS_GbG[[TM NAME]:[TM NAME]],O$42,TEAMS_GbG[[DATE]:[DATE]],"&lt;="&amp;TODAY(),TEAMS_GbG[[OPP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6" s="7" t="str">
        <f ca="1">IFERROR(IF($B66="","",IF(P$42="","",IF($B66=P$7,"-",COUNTIFS(TEAMS_GbG[[TM NAME]:[TM NAME]],P$42,TEAMS_GbG[[DATE]:[DATE]],"&lt;="&amp;TODAY(),TEAMS_GbG[[OPP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6" s="7" t="str">
        <f ca="1">IFERROR(IF($B66="","",IF(Q$42="","",IF($B66=Q$7,"-",COUNTIFS(TEAMS_GbG[[TM NAME]:[TM NAME]],Q$42,TEAMS_GbG[[DATE]:[DATE]],"&lt;="&amp;TODAY(),TEAMS_GbG[[OPP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6" s="7" t="str">
        <f ca="1">IFERROR(IF($B66="","",IF(R$42="","",IF($B66=R$7,"-",COUNTIFS(TEAMS_GbG[[TM NAME]:[TM NAME]],R$42,TEAMS_GbG[[DATE]:[DATE]],"&lt;="&amp;TODAY(),TEAMS_GbG[[OPP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6" s="7" t="str">
        <f ca="1">IFERROR(IF($B66="","",IF(S$42="","",IF($B66=S$7,"-",COUNTIFS(TEAMS_GbG[[TM NAME]:[TM NAME]],S$42,TEAMS_GbG[[DATE]:[DATE]],"&lt;="&amp;TODAY(),TEAMS_GbG[[OPP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6" s="7" t="str">
        <f ca="1">IFERROR(IF($B66="","",IF(T$42="","",IF($B66=T$7,"-",COUNTIFS(TEAMS_GbG[[TM NAME]:[TM NAME]],T$42,TEAMS_GbG[[DATE]:[DATE]],"&lt;="&amp;TODAY(),TEAMS_GbG[[OPP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6" s="7" t="str">
        <f ca="1">IFERROR(IF($B66="","",IF(U$42="","",IF($B66=U$7,"-",COUNTIFS(TEAMS_GbG[[TM NAME]:[TM NAME]],U$42,TEAMS_GbG[[DATE]:[DATE]],"&lt;="&amp;TODAY(),TEAMS_GbG[[OPP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6" s="7" t="str">
        <f ca="1">IFERROR(IF($B66="","",IF(V$42="","",IF($B66=V$7,"-",COUNTIFS(TEAMS_GbG[[TM NAME]:[TM NAME]],V$42,TEAMS_GbG[[DATE]:[DATE]],"&lt;="&amp;TODAY(),TEAMS_GbG[[OPP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6" s="7" t="str">
        <f ca="1">IFERROR(IF($B66="","",IF(W$42="","",IF($B66=W$7,"-",COUNTIFS(TEAMS_GbG[[TM NAME]:[TM NAME]],W$42,TEAMS_GbG[[DATE]:[DATE]],"&lt;="&amp;TODAY(),TEAMS_GbG[[OPP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6" s="7" t="str">
        <f ca="1">IFERROR(IF($B66="","",IF(X$42="","",IF($B66=X$7,"-",COUNTIFS(TEAMS_GbG[[TM NAME]:[TM NAME]],X$42,TEAMS_GbG[[DATE]:[DATE]],"&lt;="&amp;TODAY(),TEAMS_GbG[[OPP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6" s="7" t="str">
        <f ca="1">IFERROR(IF($B66="","",IF(Y$42="","",IF($B66=Y$7,"-",COUNTIFS(TEAMS_GbG[[TM NAME]:[TM NAME]],Y$42,TEAMS_GbG[[DATE]:[DATE]],"&lt;="&amp;TODAY(),TEAMS_GbG[[OPP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6" s="7" t="str">
        <f ca="1">IFERROR(IF($B66="","",IF(Z$42="","",IF($B66=Z$7,"-",COUNTIFS(TEAMS_GbG[[TM NAME]:[TM NAME]],Z$42,TEAMS_GbG[[DATE]:[DATE]],"&lt;="&amp;TODAY(),TEAMS_GbG[[OPP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6" s="7" t="str">
        <f ca="1">IFERROR(IF($B66="","",IF(AA$42="","",IF($B66=AA$7,"-",COUNTIFS(TEAMS_GbG[[TM NAME]:[TM NAME]],AA$42,TEAMS_GbG[[DATE]:[DATE]],"&lt;="&amp;TODAY(),TEAMS_GbG[[OPP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6" s="7" t="str">
        <f ca="1">IFERROR(IF($B66="","",IF(AB$42="","",IF($B66=AB$7,"-",COUNTIFS(TEAMS_GbG[[TM NAME]:[TM NAME]],AB$42,TEAMS_GbG[[DATE]:[DATE]],"&lt;="&amp;TODAY(),TEAMS_GbG[[OPP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6" s="7" t="str">
        <f ca="1">IFERROR(IF($B66="","",IF(AC$42="","",IF($B66=AC$7,"-",COUNTIFS(TEAMS_GbG[[TM NAME]:[TM NAME]],AC$42,TEAMS_GbG[[DATE]:[DATE]],"&lt;="&amp;TODAY(),TEAMS_GbG[[OPP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6" s="7" t="str">
        <f ca="1">IFERROR(IF($B66="","",IF(AD$42="","",IF($B66=AD$7,"-",COUNTIFS(TEAMS_GbG[[TM NAME]:[TM NAME]],AD$42,TEAMS_GbG[[DATE]:[DATE]],"&lt;="&amp;TODAY(),TEAMS_GbG[[OPP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6" s="7" t="str">
        <f ca="1">IFERROR(IF($B66="","",IF(AE$42="","",IF($B66=AE$7,"-",COUNTIFS(TEAMS_GbG[[TM NAME]:[TM NAME]],AE$42,TEAMS_GbG[[DATE]:[DATE]],"&lt;="&amp;TODAY(),TEAMS_GbG[[OPP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6" s="7" t="str">
        <f ca="1">IFERROR(IF($B66="","",IF(AF$42="","",IF($B66=AF$7,"-",COUNTIFS(TEAMS_GbG[[TM NAME]:[TM NAME]],AF$42,TEAMS_GbG[[DATE]:[DATE]],"&lt;="&amp;TODAY(),TEAMS_GbG[[OPP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6" s="7" t="str">
        <f ca="1">IFERROR(IF($B66="","",IF(AG$42="","",IF($B66=AG$7,"-",COUNTIFS(TEAMS_GbG[[TM NAME]:[TM NAME]],AG$42,TEAMS_GbG[[DATE]:[DATE]],"&lt;="&amp;TODAY(),TEAMS_GbG[[OPP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6" s="7" t="str">
        <f ca="1">IFERROR(IF($B66="","",IF(AH$42="","",IF($B66=AH$7,"-",COUNTIFS(TEAMS_GbG[[TM NAME]:[TM NAME]],AH$42,TEAMS_GbG[[DATE]:[DATE]],"&lt;="&amp;TODAY(),TEAMS_GbG[[OPP NAME]:[OPP NAME]],"&lt;&gt;"&amp;$B66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66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6" s="52" t="str">
        <f t="shared" ca="1" si="2"/>
        <v>-</v>
      </c>
    </row>
    <row r="67" spans="2:35" x14ac:dyDescent="0.25">
      <c r="B67" s="1" t="str">
        <f t="shared" si="1"/>
        <v/>
      </c>
      <c r="C67" s="7" t="str">
        <f ca="1">IFERROR(IF($B67="","",IF(C$42="","",IF($B67=C$7,"-",COUNTIFS(TEAMS_GbG[[TM NAME]:[TM NAME]],C$42,TEAMS_GbG[[DATE]:[DATE]],"&lt;="&amp;TODAY(),TEAMS_GbG[[OPP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7" s="7" t="str">
        <f ca="1">IFERROR(IF($B67="","",IF(D$42="","",IF($B67=D$7,"-",COUNTIFS(TEAMS_GbG[[TM NAME]:[TM NAME]],D$42,TEAMS_GbG[[DATE]:[DATE]],"&lt;="&amp;TODAY(),TEAMS_GbG[[OPP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7" s="7" t="str">
        <f ca="1">IFERROR(IF($B67="","",IF(E$42="","",IF($B67=E$7,"-",COUNTIFS(TEAMS_GbG[[TM NAME]:[TM NAME]],E$42,TEAMS_GbG[[DATE]:[DATE]],"&lt;="&amp;TODAY(),TEAMS_GbG[[OPP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7" s="7" t="str">
        <f ca="1">IFERROR(IF($B67="","",IF(F$42="","",IF($B67=F$7,"-",COUNTIFS(TEAMS_GbG[[TM NAME]:[TM NAME]],F$42,TEAMS_GbG[[DATE]:[DATE]],"&lt;="&amp;TODAY(),TEAMS_GbG[[OPP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7" s="7" t="str">
        <f ca="1">IFERROR(IF($B67="","",IF(G$42="","",IF($B67=G$7,"-",COUNTIFS(TEAMS_GbG[[TM NAME]:[TM NAME]],G$42,TEAMS_GbG[[DATE]:[DATE]],"&lt;="&amp;TODAY(),TEAMS_GbG[[OPP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7" s="7" t="str">
        <f ca="1">IFERROR(IF($B67="","",IF(H$42="","",IF($B67=H$7,"-",COUNTIFS(TEAMS_GbG[[TM NAME]:[TM NAME]],H$42,TEAMS_GbG[[DATE]:[DATE]],"&lt;="&amp;TODAY(),TEAMS_GbG[[OPP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7" s="7" t="str">
        <f ca="1">IFERROR(IF($B67="","",IF(I$42="","",IF($B67=I$7,"-",COUNTIFS(TEAMS_GbG[[TM NAME]:[TM NAME]],I$42,TEAMS_GbG[[DATE]:[DATE]],"&lt;="&amp;TODAY(),TEAMS_GbG[[OPP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7" s="7" t="str">
        <f ca="1">IFERROR(IF($B67="","",IF(J$42="","",IF($B67=J$7,"-",COUNTIFS(TEAMS_GbG[[TM NAME]:[TM NAME]],J$42,TEAMS_GbG[[DATE]:[DATE]],"&lt;="&amp;TODAY(),TEAMS_GbG[[OPP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7" s="7" t="str">
        <f ca="1">IFERROR(IF($B67="","",IF(K$42="","",IF($B67=K$7,"-",COUNTIFS(TEAMS_GbG[[TM NAME]:[TM NAME]],K$42,TEAMS_GbG[[DATE]:[DATE]],"&lt;="&amp;TODAY(),TEAMS_GbG[[OPP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7" s="7" t="str">
        <f ca="1">IFERROR(IF($B67="","",IF(L$42="","",IF($B67=L$7,"-",COUNTIFS(TEAMS_GbG[[TM NAME]:[TM NAME]],L$42,TEAMS_GbG[[DATE]:[DATE]],"&lt;="&amp;TODAY(),TEAMS_GbG[[OPP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7" s="7" t="str">
        <f ca="1">IFERROR(IF($B67="","",IF(M$42="","",IF($B67=M$7,"-",COUNTIFS(TEAMS_GbG[[TM NAME]:[TM NAME]],M$42,TEAMS_GbG[[DATE]:[DATE]],"&lt;="&amp;TODAY(),TEAMS_GbG[[OPP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7" s="7" t="str">
        <f ca="1">IFERROR(IF($B67="","",IF(N$42="","",IF($B67=N$7,"-",COUNTIFS(TEAMS_GbG[[TM NAME]:[TM NAME]],N$42,TEAMS_GbG[[DATE]:[DATE]],"&lt;="&amp;TODAY(),TEAMS_GbG[[OPP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7" s="7" t="str">
        <f ca="1">IFERROR(IF($B67="","",IF(O$42="","",IF($B67=O$7,"-",COUNTIFS(TEAMS_GbG[[TM NAME]:[TM NAME]],O$42,TEAMS_GbG[[DATE]:[DATE]],"&lt;="&amp;TODAY(),TEAMS_GbG[[OPP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7" s="7" t="str">
        <f ca="1">IFERROR(IF($B67="","",IF(P$42="","",IF($B67=P$7,"-",COUNTIFS(TEAMS_GbG[[TM NAME]:[TM NAME]],P$42,TEAMS_GbG[[DATE]:[DATE]],"&lt;="&amp;TODAY(),TEAMS_GbG[[OPP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7" s="7" t="str">
        <f ca="1">IFERROR(IF($B67="","",IF(Q$42="","",IF($B67=Q$7,"-",COUNTIFS(TEAMS_GbG[[TM NAME]:[TM NAME]],Q$42,TEAMS_GbG[[DATE]:[DATE]],"&lt;="&amp;TODAY(),TEAMS_GbG[[OPP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7" s="7" t="str">
        <f ca="1">IFERROR(IF($B67="","",IF(R$42="","",IF($B67=R$7,"-",COUNTIFS(TEAMS_GbG[[TM NAME]:[TM NAME]],R$42,TEAMS_GbG[[DATE]:[DATE]],"&lt;="&amp;TODAY(),TEAMS_GbG[[OPP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7" s="7" t="str">
        <f ca="1">IFERROR(IF($B67="","",IF(S$42="","",IF($B67=S$7,"-",COUNTIFS(TEAMS_GbG[[TM NAME]:[TM NAME]],S$42,TEAMS_GbG[[DATE]:[DATE]],"&lt;="&amp;TODAY(),TEAMS_GbG[[OPP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7" s="7" t="str">
        <f ca="1">IFERROR(IF($B67="","",IF(T$42="","",IF($B67=T$7,"-",COUNTIFS(TEAMS_GbG[[TM NAME]:[TM NAME]],T$42,TEAMS_GbG[[DATE]:[DATE]],"&lt;="&amp;TODAY(),TEAMS_GbG[[OPP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7" s="7" t="str">
        <f ca="1">IFERROR(IF($B67="","",IF(U$42="","",IF($B67=U$7,"-",COUNTIFS(TEAMS_GbG[[TM NAME]:[TM NAME]],U$42,TEAMS_GbG[[DATE]:[DATE]],"&lt;="&amp;TODAY(),TEAMS_GbG[[OPP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7" s="7" t="str">
        <f ca="1">IFERROR(IF($B67="","",IF(V$42="","",IF($B67=V$7,"-",COUNTIFS(TEAMS_GbG[[TM NAME]:[TM NAME]],V$42,TEAMS_GbG[[DATE]:[DATE]],"&lt;="&amp;TODAY(),TEAMS_GbG[[OPP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7" s="7" t="str">
        <f ca="1">IFERROR(IF($B67="","",IF(W$42="","",IF($B67=W$7,"-",COUNTIFS(TEAMS_GbG[[TM NAME]:[TM NAME]],W$42,TEAMS_GbG[[DATE]:[DATE]],"&lt;="&amp;TODAY(),TEAMS_GbG[[OPP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7" s="7" t="str">
        <f ca="1">IFERROR(IF($B67="","",IF(X$42="","",IF($B67=X$7,"-",COUNTIFS(TEAMS_GbG[[TM NAME]:[TM NAME]],X$42,TEAMS_GbG[[DATE]:[DATE]],"&lt;="&amp;TODAY(),TEAMS_GbG[[OPP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7" s="7" t="str">
        <f ca="1">IFERROR(IF($B67="","",IF(Y$42="","",IF($B67=Y$7,"-",COUNTIFS(TEAMS_GbG[[TM NAME]:[TM NAME]],Y$42,TEAMS_GbG[[DATE]:[DATE]],"&lt;="&amp;TODAY(),TEAMS_GbG[[OPP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7" s="7" t="str">
        <f ca="1">IFERROR(IF($B67="","",IF(Z$42="","",IF($B67=Z$7,"-",COUNTIFS(TEAMS_GbG[[TM NAME]:[TM NAME]],Z$42,TEAMS_GbG[[DATE]:[DATE]],"&lt;="&amp;TODAY(),TEAMS_GbG[[OPP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7" s="7" t="str">
        <f ca="1">IFERROR(IF($B67="","",IF(AA$42="","",IF($B67=AA$7,"-",COUNTIFS(TEAMS_GbG[[TM NAME]:[TM NAME]],AA$42,TEAMS_GbG[[DATE]:[DATE]],"&lt;="&amp;TODAY(),TEAMS_GbG[[OPP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7" s="7" t="str">
        <f ca="1">IFERROR(IF($B67="","",IF(AB$42="","",IF($B67=AB$7,"-",COUNTIFS(TEAMS_GbG[[TM NAME]:[TM NAME]],AB$42,TEAMS_GbG[[DATE]:[DATE]],"&lt;="&amp;TODAY(),TEAMS_GbG[[OPP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7" s="7" t="str">
        <f ca="1">IFERROR(IF($B67="","",IF(AC$42="","",IF($B67=AC$7,"-",COUNTIFS(TEAMS_GbG[[TM NAME]:[TM NAME]],AC$42,TEAMS_GbG[[DATE]:[DATE]],"&lt;="&amp;TODAY(),TEAMS_GbG[[OPP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7" s="7" t="str">
        <f ca="1">IFERROR(IF($B67="","",IF(AD$42="","",IF($B67=AD$7,"-",COUNTIFS(TEAMS_GbG[[TM NAME]:[TM NAME]],AD$42,TEAMS_GbG[[DATE]:[DATE]],"&lt;="&amp;TODAY(),TEAMS_GbG[[OPP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7" s="7" t="str">
        <f ca="1">IFERROR(IF($B67="","",IF(AE$42="","",IF($B67=AE$7,"-",COUNTIFS(TEAMS_GbG[[TM NAME]:[TM NAME]],AE$42,TEAMS_GbG[[DATE]:[DATE]],"&lt;="&amp;TODAY(),TEAMS_GbG[[OPP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7" s="7" t="str">
        <f ca="1">IFERROR(IF($B67="","",IF(AF$42="","",IF($B67=AF$7,"-",COUNTIFS(TEAMS_GbG[[TM NAME]:[TM NAME]],AF$42,TEAMS_GbG[[DATE]:[DATE]],"&lt;="&amp;TODAY(),TEAMS_GbG[[OPP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7" s="7" t="str">
        <f ca="1">IFERROR(IF($B67="","",IF(AG$42="","",IF($B67=AG$7,"-",COUNTIFS(TEAMS_GbG[[TM NAME]:[TM NAME]],AG$42,TEAMS_GbG[[DATE]:[DATE]],"&lt;="&amp;TODAY(),TEAMS_GbG[[OPP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7" s="7" t="str">
        <f ca="1">IFERROR(IF($B67="","",IF(AH$42="","",IF($B67=AH$7,"-",COUNTIFS(TEAMS_GbG[[TM NAME]:[TM NAME]],AH$42,TEAMS_GbG[[DATE]:[DATE]],"&lt;="&amp;TODAY(),TEAMS_GbG[[OPP NAME]:[OPP NAME]],"&lt;&gt;"&amp;$B67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67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7" s="52" t="str">
        <f t="shared" ca="1" si="2"/>
        <v>-</v>
      </c>
    </row>
    <row r="68" spans="2:35" x14ac:dyDescent="0.25">
      <c r="B68" s="1" t="str">
        <f t="shared" si="1"/>
        <v/>
      </c>
      <c r="C68" s="7" t="str">
        <f ca="1">IFERROR(IF($B68="","",IF(C$42="","",IF($B68=C$7,"-",COUNTIFS(TEAMS_GbG[[TM NAME]:[TM NAME]],C$42,TEAMS_GbG[[DATE]:[DATE]],"&lt;="&amp;TODAY(),TEAMS_GbG[[OPP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8" s="7" t="str">
        <f ca="1">IFERROR(IF($B68="","",IF(D$42="","",IF($B68=D$7,"-",COUNTIFS(TEAMS_GbG[[TM NAME]:[TM NAME]],D$42,TEAMS_GbG[[DATE]:[DATE]],"&lt;="&amp;TODAY(),TEAMS_GbG[[OPP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8" s="7" t="str">
        <f ca="1">IFERROR(IF($B68="","",IF(E$42="","",IF($B68=E$7,"-",COUNTIFS(TEAMS_GbG[[TM NAME]:[TM NAME]],E$42,TEAMS_GbG[[DATE]:[DATE]],"&lt;="&amp;TODAY(),TEAMS_GbG[[OPP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8" s="7" t="str">
        <f ca="1">IFERROR(IF($B68="","",IF(F$42="","",IF($B68=F$7,"-",COUNTIFS(TEAMS_GbG[[TM NAME]:[TM NAME]],F$42,TEAMS_GbG[[DATE]:[DATE]],"&lt;="&amp;TODAY(),TEAMS_GbG[[OPP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8" s="7" t="str">
        <f ca="1">IFERROR(IF($B68="","",IF(G$42="","",IF($B68=G$7,"-",COUNTIFS(TEAMS_GbG[[TM NAME]:[TM NAME]],G$42,TEAMS_GbG[[DATE]:[DATE]],"&lt;="&amp;TODAY(),TEAMS_GbG[[OPP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8" s="7" t="str">
        <f ca="1">IFERROR(IF($B68="","",IF(H$42="","",IF($B68=H$7,"-",COUNTIFS(TEAMS_GbG[[TM NAME]:[TM NAME]],H$42,TEAMS_GbG[[DATE]:[DATE]],"&lt;="&amp;TODAY(),TEAMS_GbG[[OPP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8" s="7" t="str">
        <f ca="1">IFERROR(IF($B68="","",IF(I$42="","",IF($B68=I$7,"-",COUNTIFS(TEAMS_GbG[[TM NAME]:[TM NAME]],I$42,TEAMS_GbG[[DATE]:[DATE]],"&lt;="&amp;TODAY(),TEAMS_GbG[[OPP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8" s="7" t="str">
        <f ca="1">IFERROR(IF($B68="","",IF(J$42="","",IF($B68=J$7,"-",COUNTIFS(TEAMS_GbG[[TM NAME]:[TM NAME]],J$42,TEAMS_GbG[[DATE]:[DATE]],"&lt;="&amp;TODAY(),TEAMS_GbG[[OPP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8" s="7" t="str">
        <f ca="1">IFERROR(IF($B68="","",IF(K$42="","",IF($B68=K$7,"-",COUNTIFS(TEAMS_GbG[[TM NAME]:[TM NAME]],K$42,TEAMS_GbG[[DATE]:[DATE]],"&lt;="&amp;TODAY(),TEAMS_GbG[[OPP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8" s="7" t="str">
        <f ca="1">IFERROR(IF($B68="","",IF(L$42="","",IF($B68=L$7,"-",COUNTIFS(TEAMS_GbG[[TM NAME]:[TM NAME]],L$42,TEAMS_GbG[[DATE]:[DATE]],"&lt;="&amp;TODAY(),TEAMS_GbG[[OPP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8" s="7" t="str">
        <f ca="1">IFERROR(IF($B68="","",IF(M$42="","",IF($B68=M$7,"-",COUNTIFS(TEAMS_GbG[[TM NAME]:[TM NAME]],M$42,TEAMS_GbG[[DATE]:[DATE]],"&lt;="&amp;TODAY(),TEAMS_GbG[[OPP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8" s="7" t="str">
        <f ca="1">IFERROR(IF($B68="","",IF(N$42="","",IF($B68=N$7,"-",COUNTIFS(TEAMS_GbG[[TM NAME]:[TM NAME]],N$42,TEAMS_GbG[[DATE]:[DATE]],"&lt;="&amp;TODAY(),TEAMS_GbG[[OPP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8" s="7" t="str">
        <f ca="1">IFERROR(IF($B68="","",IF(O$42="","",IF($B68=O$7,"-",COUNTIFS(TEAMS_GbG[[TM NAME]:[TM NAME]],O$42,TEAMS_GbG[[DATE]:[DATE]],"&lt;="&amp;TODAY(),TEAMS_GbG[[OPP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8" s="7" t="str">
        <f ca="1">IFERROR(IF($B68="","",IF(P$42="","",IF($B68=P$7,"-",COUNTIFS(TEAMS_GbG[[TM NAME]:[TM NAME]],P$42,TEAMS_GbG[[DATE]:[DATE]],"&lt;="&amp;TODAY(),TEAMS_GbG[[OPP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8" s="7" t="str">
        <f ca="1">IFERROR(IF($B68="","",IF(Q$42="","",IF($B68=Q$7,"-",COUNTIFS(TEAMS_GbG[[TM NAME]:[TM NAME]],Q$42,TEAMS_GbG[[DATE]:[DATE]],"&lt;="&amp;TODAY(),TEAMS_GbG[[OPP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8" s="7" t="str">
        <f ca="1">IFERROR(IF($B68="","",IF(R$42="","",IF($B68=R$7,"-",COUNTIFS(TEAMS_GbG[[TM NAME]:[TM NAME]],R$42,TEAMS_GbG[[DATE]:[DATE]],"&lt;="&amp;TODAY(),TEAMS_GbG[[OPP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8" s="7" t="str">
        <f ca="1">IFERROR(IF($B68="","",IF(S$42="","",IF($B68=S$7,"-",COUNTIFS(TEAMS_GbG[[TM NAME]:[TM NAME]],S$42,TEAMS_GbG[[DATE]:[DATE]],"&lt;="&amp;TODAY(),TEAMS_GbG[[OPP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8" s="7" t="str">
        <f ca="1">IFERROR(IF($B68="","",IF(T$42="","",IF($B68=T$7,"-",COUNTIFS(TEAMS_GbG[[TM NAME]:[TM NAME]],T$42,TEAMS_GbG[[DATE]:[DATE]],"&lt;="&amp;TODAY(),TEAMS_GbG[[OPP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8" s="7" t="str">
        <f ca="1">IFERROR(IF($B68="","",IF(U$42="","",IF($B68=U$7,"-",COUNTIFS(TEAMS_GbG[[TM NAME]:[TM NAME]],U$42,TEAMS_GbG[[DATE]:[DATE]],"&lt;="&amp;TODAY(),TEAMS_GbG[[OPP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8" s="7" t="str">
        <f ca="1">IFERROR(IF($B68="","",IF(V$42="","",IF($B68=V$7,"-",COUNTIFS(TEAMS_GbG[[TM NAME]:[TM NAME]],V$42,TEAMS_GbG[[DATE]:[DATE]],"&lt;="&amp;TODAY(),TEAMS_GbG[[OPP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8" s="7" t="str">
        <f ca="1">IFERROR(IF($B68="","",IF(W$42="","",IF($B68=W$7,"-",COUNTIFS(TEAMS_GbG[[TM NAME]:[TM NAME]],W$42,TEAMS_GbG[[DATE]:[DATE]],"&lt;="&amp;TODAY(),TEAMS_GbG[[OPP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8" s="7" t="str">
        <f ca="1">IFERROR(IF($B68="","",IF(X$42="","",IF($B68=X$7,"-",COUNTIFS(TEAMS_GbG[[TM NAME]:[TM NAME]],X$42,TEAMS_GbG[[DATE]:[DATE]],"&lt;="&amp;TODAY(),TEAMS_GbG[[OPP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8" s="7" t="str">
        <f ca="1">IFERROR(IF($B68="","",IF(Y$42="","",IF($B68=Y$7,"-",COUNTIFS(TEAMS_GbG[[TM NAME]:[TM NAME]],Y$42,TEAMS_GbG[[DATE]:[DATE]],"&lt;="&amp;TODAY(),TEAMS_GbG[[OPP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8" s="7" t="str">
        <f ca="1">IFERROR(IF($B68="","",IF(Z$42="","",IF($B68=Z$7,"-",COUNTIFS(TEAMS_GbG[[TM NAME]:[TM NAME]],Z$42,TEAMS_GbG[[DATE]:[DATE]],"&lt;="&amp;TODAY(),TEAMS_GbG[[OPP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8" s="7" t="str">
        <f ca="1">IFERROR(IF($B68="","",IF(AA$42="","",IF($B68=AA$7,"-",COUNTIFS(TEAMS_GbG[[TM NAME]:[TM NAME]],AA$42,TEAMS_GbG[[DATE]:[DATE]],"&lt;="&amp;TODAY(),TEAMS_GbG[[OPP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8" s="7" t="str">
        <f ca="1">IFERROR(IF($B68="","",IF(AB$42="","",IF($B68=AB$7,"-",COUNTIFS(TEAMS_GbG[[TM NAME]:[TM NAME]],AB$42,TEAMS_GbG[[DATE]:[DATE]],"&lt;="&amp;TODAY(),TEAMS_GbG[[OPP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8" s="7" t="str">
        <f ca="1">IFERROR(IF($B68="","",IF(AC$42="","",IF($B68=AC$7,"-",COUNTIFS(TEAMS_GbG[[TM NAME]:[TM NAME]],AC$42,TEAMS_GbG[[DATE]:[DATE]],"&lt;="&amp;TODAY(),TEAMS_GbG[[OPP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8" s="7" t="str">
        <f ca="1">IFERROR(IF($B68="","",IF(AD$42="","",IF($B68=AD$7,"-",COUNTIFS(TEAMS_GbG[[TM NAME]:[TM NAME]],AD$42,TEAMS_GbG[[DATE]:[DATE]],"&lt;="&amp;TODAY(),TEAMS_GbG[[OPP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8" s="7" t="str">
        <f ca="1">IFERROR(IF($B68="","",IF(AE$42="","",IF($B68=AE$7,"-",COUNTIFS(TEAMS_GbG[[TM NAME]:[TM NAME]],AE$42,TEAMS_GbG[[DATE]:[DATE]],"&lt;="&amp;TODAY(),TEAMS_GbG[[OPP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8" s="7" t="str">
        <f ca="1">IFERROR(IF($B68="","",IF(AF$42="","",IF($B68=AF$7,"-",COUNTIFS(TEAMS_GbG[[TM NAME]:[TM NAME]],AF$42,TEAMS_GbG[[DATE]:[DATE]],"&lt;="&amp;TODAY(),TEAMS_GbG[[OPP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8" s="7" t="str">
        <f ca="1">IFERROR(IF($B68="","",IF(AG$42="","",IF($B68=AG$7,"-",COUNTIFS(TEAMS_GbG[[TM NAME]:[TM NAME]],AG$42,TEAMS_GbG[[DATE]:[DATE]],"&lt;="&amp;TODAY(),TEAMS_GbG[[OPP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8" s="7" t="str">
        <f ca="1">IFERROR(IF($B68="","",IF(AH$42="","",IF($B68=AH$7,"-",COUNTIFS(TEAMS_GbG[[TM NAME]:[TM NAME]],AH$42,TEAMS_GbG[[DATE]:[DATE]],"&lt;="&amp;TODAY(),TEAMS_GbG[[OPP NAME]:[OPP NAME]],"&lt;&gt;"&amp;$B68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68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8" s="52" t="str">
        <f t="shared" ca="1" si="2"/>
        <v>-</v>
      </c>
    </row>
    <row r="69" spans="2:35" x14ac:dyDescent="0.25">
      <c r="B69" s="1" t="str">
        <f t="shared" si="1"/>
        <v/>
      </c>
      <c r="C69" s="7" t="str">
        <f ca="1">IFERROR(IF($B69="","",IF(C$42="","",IF($B69=C$7,"-",COUNTIFS(TEAMS_GbG[[TM NAME]:[TM NAME]],C$42,TEAMS_GbG[[DATE]:[DATE]],"&lt;="&amp;TODAY(),TEAMS_GbG[[OPP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69" s="7" t="str">
        <f ca="1">IFERROR(IF($B69="","",IF(D$42="","",IF($B69=D$7,"-",COUNTIFS(TEAMS_GbG[[TM NAME]:[TM NAME]],D$42,TEAMS_GbG[[DATE]:[DATE]],"&lt;="&amp;TODAY(),TEAMS_GbG[[OPP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69" s="7" t="str">
        <f ca="1">IFERROR(IF($B69="","",IF(E$42="","",IF($B69=E$7,"-",COUNTIFS(TEAMS_GbG[[TM NAME]:[TM NAME]],E$42,TEAMS_GbG[[DATE]:[DATE]],"&lt;="&amp;TODAY(),TEAMS_GbG[[OPP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69" s="7" t="str">
        <f ca="1">IFERROR(IF($B69="","",IF(F$42="","",IF($B69=F$7,"-",COUNTIFS(TEAMS_GbG[[TM NAME]:[TM NAME]],F$42,TEAMS_GbG[[DATE]:[DATE]],"&lt;="&amp;TODAY(),TEAMS_GbG[[OPP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69" s="7" t="str">
        <f ca="1">IFERROR(IF($B69="","",IF(G$42="","",IF($B69=G$7,"-",COUNTIFS(TEAMS_GbG[[TM NAME]:[TM NAME]],G$42,TEAMS_GbG[[DATE]:[DATE]],"&lt;="&amp;TODAY(),TEAMS_GbG[[OPP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69" s="7" t="str">
        <f ca="1">IFERROR(IF($B69="","",IF(H$42="","",IF($B69=H$7,"-",COUNTIFS(TEAMS_GbG[[TM NAME]:[TM NAME]],H$42,TEAMS_GbG[[DATE]:[DATE]],"&lt;="&amp;TODAY(),TEAMS_GbG[[OPP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69" s="7" t="str">
        <f ca="1">IFERROR(IF($B69="","",IF(I$42="","",IF($B69=I$7,"-",COUNTIFS(TEAMS_GbG[[TM NAME]:[TM NAME]],I$42,TEAMS_GbG[[DATE]:[DATE]],"&lt;="&amp;TODAY(),TEAMS_GbG[[OPP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69" s="7" t="str">
        <f ca="1">IFERROR(IF($B69="","",IF(J$42="","",IF($B69=J$7,"-",COUNTIFS(TEAMS_GbG[[TM NAME]:[TM NAME]],J$42,TEAMS_GbG[[DATE]:[DATE]],"&lt;="&amp;TODAY(),TEAMS_GbG[[OPP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69" s="7" t="str">
        <f ca="1">IFERROR(IF($B69="","",IF(K$42="","",IF($B69=K$7,"-",COUNTIFS(TEAMS_GbG[[TM NAME]:[TM NAME]],K$42,TEAMS_GbG[[DATE]:[DATE]],"&lt;="&amp;TODAY(),TEAMS_GbG[[OPP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69" s="7" t="str">
        <f ca="1">IFERROR(IF($B69="","",IF(L$42="","",IF($B69=L$7,"-",COUNTIFS(TEAMS_GbG[[TM NAME]:[TM NAME]],L$42,TEAMS_GbG[[DATE]:[DATE]],"&lt;="&amp;TODAY(),TEAMS_GbG[[OPP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69" s="7" t="str">
        <f ca="1">IFERROR(IF($B69="","",IF(M$42="","",IF($B69=M$7,"-",COUNTIFS(TEAMS_GbG[[TM NAME]:[TM NAME]],M$42,TEAMS_GbG[[DATE]:[DATE]],"&lt;="&amp;TODAY(),TEAMS_GbG[[OPP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69" s="7" t="str">
        <f ca="1">IFERROR(IF($B69="","",IF(N$42="","",IF($B69=N$7,"-",COUNTIFS(TEAMS_GbG[[TM NAME]:[TM NAME]],N$42,TEAMS_GbG[[DATE]:[DATE]],"&lt;="&amp;TODAY(),TEAMS_GbG[[OPP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69" s="7" t="str">
        <f ca="1">IFERROR(IF($B69="","",IF(O$42="","",IF($B69=O$7,"-",COUNTIFS(TEAMS_GbG[[TM NAME]:[TM NAME]],O$42,TEAMS_GbG[[DATE]:[DATE]],"&lt;="&amp;TODAY(),TEAMS_GbG[[OPP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69" s="7" t="str">
        <f ca="1">IFERROR(IF($B69="","",IF(P$42="","",IF($B69=P$7,"-",COUNTIFS(TEAMS_GbG[[TM NAME]:[TM NAME]],P$42,TEAMS_GbG[[DATE]:[DATE]],"&lt;="&amp;TODAY(),TEAMS_GbG[[OPP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69" s="7" t="str">
        <f ca="1">IFERROR(IF($B69="","",IF(Q$42="","",IF($B69=Q$7,"-",COUNTIFS(TEAMS_GbG[[TM NAME]:[TM NAME]],Q$42,TEAMS_GbG[[DATE]:[DATE]],"&lt;="&amp;TODAY(),TEAMS_GbG[[OPP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69" s="7" t="str">
        <f ca="1">IFERROR(IF($B69="","",IF(R$42="","",IF($B69=R$7,"-",COUNTIFS(TEAMS_GbG[[TM NAME]:[TM NAME]],R$42,TEAMS_GbG[[DATE]:[DATE]],"&lt;="&amp;TODAY(),TEAMS_GbG[[OPP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69" s="7" t="str">
        <f ca="1">IFERROR(IF($B69="","",IF(S$42="","",IF($B69=S$7,"-",COUNTIFS(TEAMS_GbG[[TM NAME]:[TM NAME]],S$42,TEAMS_GbG[[DATE]:[DATE]],"&lt;="&amp;TODAY(),TEAMS_GbG[[OPP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69" s="7" t="str">
        <f ca="1">IFERROR(IF($B69="","",IF(T$42="","",IF($B69=T$7,"-",COUNTIFS(TEAMS_GbG[[TM NAME]:[TM NAME]],T$42,TEAMS_GbG[[DATE]:[DATE]],"&lt;="&amp;TODAY(),TEAMS_GbG[[OPP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69" s="7" t="str">
        <f ca="1">IFERROR(IF($B69="","",IF(U$42="","",IF($B69=U$7,"-",COUNTIFS(TEAMS_GbG[[TM NAME]:[TM NAME]],U$42,TEAMS_GbG[[DATE]:[DATE]],"&lt;="&amp;TODAY(),TEAMS_GbG[[OPP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69" s="7" t="str">
        <f ca="1">IFERROR(IF($B69="","",IF(V$42="","",IF($B69=V$7,"-",COUNTIFS(TEAMS_GbG[[TM NAME]:[TM NAME]],V$42,TEAMS_GbG[[DATE]:[DATE]],"&lt;="&amp;TODAY(),TEAMS_GbG[[OPP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69" s="7" t="str">
        <f ca="1">IFERROR(IF($B69="","",IF(W$42="","",IF($B69=W$7,"-",COUNTIFS(TEAMS_GbG[[TM NAME]:[TM NAME]],W$42,TEAMS_GbG[[DATE]:[DATE]],"&lt;="&amp;TODAY(),TEAMS_GbG[[OPP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69" s="7" t="str">
        <f ca="1">IFERROR(IF($B69="","",IF(X$42="","",IF($B69=X$7,"-",COUNTIFS(TEAMS_GbG[[TM NAME]:[TM NAME]],X$42,TEAMS_GbG[[DATE]:[DATE]],"&lt;="&amp;TODAY(),TEAMS_GbG[[OPP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69" s="7" t="str">
        <f ca="1">IFERROR(IF($B69="","",IF(Y$42="","",IF($B69=Y$7,"-",COUNTIFS(TEAMS_GbG[[TM NAME]:[TM NAME]],Y$42,TEAMS_GbG[[DATE]:[DATE]],"&lt;="&amp;TODAY(),TEAMS_GbG[[OPP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69" s="7" t="str">
        <f ca="1">IFERROR(IF($B69="","",IF(Z$42="","",IF($B69=Z$7,"-",COUNTIFS(TEAMS_GbG[[TM NAME]:[TM NAME]],Z$42,TEAMS_GbG[[DATE]:[DATE]],"&lt;="&amp;TODAY(),TEAMS_GbG[[OPP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69" s="7" t="str">
        <f ca="1">IFERROR(IF($B69="","",IF(AA$42="","",IF($B69=AA$7,"-",COUNTIFS(TEAMS_GbG[[TM NAME]:[TM NAME]],AA$42,TEAMS_GbG[[DATE]:[DATE]],"&lt;="&amp;TODAY(),TEAMS_GbG[[OPP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69" s="7" t="str">
        <f ca="1">IFERROR(IF($B69="","",IF(AB$42="","",IF($B69=AB$7,"-",COUNTIFS(TEAMS_GbG[[TM NAME]:[TM NAME]],AB$42,TEAMS_GbG[[DATE]:[DATE]],"&lt;="&amp;TODAY(),TEAMS_GbG[[OPP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69" s="7" t="str">
        <f ca="1">IFERROR(IF($B69="","",IF(AC$42="","",IF($B69=AC$7,"-",COUNTIFS(TEAMS_GbG[[TM NAME]:[TM NAME]],AC$42,TEAMS_GbG[[DATE]:[DATE]],"&lt;="&amp;TODAY(),TEAMS_GbG[[OPP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69" s="7" t="str">
        <f ca="1">IFERROR(IF($B69="","",IF(AD$42="","",IF($B69=AD$7,"-",COUNTIFS(TEAMS_GbG[[TM NAME]:[TM NAME]],AD$42,TEAMS_GbG[[DATE]:[DATE]],"&lt;="&amp;TODAY(),TEAMS_GbG[[OPP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69" s="7" t="str">
        <f ca="1">IFERROR(IF($B69="","",IF(AE$42="","",IF($B69=AE$7,"-",COUNTIFS(TEAMS_GbG[[TM NAME]:[TM NAME]],AE$42,TEAMS_GbG[[DATE]:[DATE]],"&lt;="&amp;TODAY(),TEAMS_GbG[[OPP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69" s="7" t="str">
        <f ca="1">IFERROR(IF($B69="","",IF(AF$42="","",IF($B69=AF$7,"-",COUNTIFS(TEAMS_GbG[[TM NAME]:[TM NAME]],AF$42,TEAMS_GbG[[DATE]:[DATE]],"&lt;="&amp;TODAY(),TEAMS_GbG[[OPP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69" s="7" t="str">
        <f ca="1">IFERROR(IF($B69="","",IF(AG$42="","",IF($B69=AG$7,"-",COUNTIFS(TEAMS_GbG[[TM NAME]:[TM NAME]],AG$42,TEAMS_GbG[[DATE]:[DATE]],"&lt;="&amp;TODAY(),TEAMS_GbG[[OPP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69" s="7" t="str">
        <f ca="1">IFERROR(IF($B69="","",IF(AH$42="","",IF($B69=AH$7,"-",COUNTIFS(TEAMS_GbG[[TM NAME]:[TM NAME]],AH$42,TEAMS_GbG[[DATE]:[DATE]],"&lt;="&amp;TODAY(),TEAMS_GbG[[OPP NAME]:[OPP NAME]],"&lt;&gt;"&amp;$B69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69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69" s="52" t="str">
        <f t="shared" ca="1" si="2"/>
        <v>-</v>
      </c>
    </row>
    <row r="70" spans="2:35" x14ac:dyDescent="0.25">
      <c r="B70" s="1" t="str">
        <f t="shared" si="1"/>
        <v/>
      </c>
      <c r="C70" s="7" t="str">
        <f ca="1">IFERROR(IF($B70="","",IF(C$42="","",IF($B70=C$7,"-",COUNTIFS(TEAMS_GbG[[TM NAME]:[TM NAME]],C$42,TEAMS_GbG[[DATE]:[DATE]],"&lt;="&amp;TODAY(),TEAMS_GbG[[OPP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70" s="7" t="str">
        <f ca="1">IFERROR(IF($B70="","",IF(D$42="","",IF($B70=D$7,"-",COUNTIFS(TEAMS_GbG[[TM NAME]:[TM NAME]],D$42,TEAMS_GbG[[DATE]:[DATE]],"&lt;="&amp;TODAY(),TEAMS_GbG[[OPP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70" s="7" t="str">
        <f ca="1">IFERROR(IF($B70="","",IF(E$42="","",IF($B70=E$7,"-",COUNTIFS(TEAMS_GbG[[TM NAME]:[TM NAME]],E$42,TEAMS_GbG[[DATE]:[DATE]],"&lt;="&amp;TODAY(),TEAMS_GbG[[OPP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70" s="7" t="str">
        <f ca="1">IFERROR(IF($B70="","",IF(F$42="","",IF($B70=F$7,"-",COUNTIFS(TEAMS_GbG[[TM NAME]:[TM NAME]],F$42,TEAMS_GbG[[DATE]:[DATE]],"&lt;="&amp;TODAY(),TEAMS_GbG[[OPP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70" s="7" t="str">
        <f ca="1">IFERROR(IF($B70="","",IF(G$42="","",IF($B70=G$7,"-",COUNTIFS(TEAMS_GbG[[TM NAME]:[TM NAME]],G$42,TEAMS_GbG[[DATE]:[DATE]],"&lt;="&amp;TODAY(),TEAMS_GbG[[OPP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70" s="7" t="str">
        <f ca="1">IFERROR(IF($B70="","",IF(H$42="","",IF($B70=H$7,"-",COUNTIFS(TEAMS_GbG[[TM NAME]:[TM NAME]],H$42,TEAMS_GbG[[DATE]:[DATE]],"&lt;="&amp;TODAY(),TEAMS_GbG[[OPP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70" s="7" t="str">
        <f ca="1">IFERROR(IF($B70="","",IF(I$42="","",IF($B70=I$7,"-",COUNTIFS(TEAMS_GbG[[TM NAME]:[TM NAME]],I$42,TEAMS_GbG[[DATE]:[DATE]],"&lt;="&amp;TODAY(),TEAMS_GbG[[OPP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70" s="7" t="str">
        <f ca="1">IFERROR(IF($B70="","",IF(J$42="","",IF($B70=J$7,"-",COUNTIFS(TEAMS_GbG[[TM NAME]:[TM NAME]],J$42,TEAMS_GbG[[DATE]:[DATE]],"&lt;="&amp;TODAY(),TEAMS_GbG[[OPP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70" s="7" t="str">
        <f ca="1">IFERROR(IF($B70="","",IF(K$42="","",IF($B70=K$7,"-",COUNTIFS(TEAMS_GbG[[TM NAME]:[TM NAME]],K$42,TEAMS_GbG[[DATE]:[DATE]],"&lt;="&amp;TODAY(),TEAMS_GbG[[OPP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70" s="7" t="str">
        <f ca="1">IFERROR(IF($B70="","",IF(L$42="","",IF($B70=L$7,"-",COUNTIFS(TEAMS_GbG[[TM NAME]:[TM NAME]],L$42,TEAMS_GbG[[DATE]:[DATE]],"&lt;="&amp;TODAY(),TEAMS_GbG[[OPP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70" s="7" t="str">
        <f ca="1">IFERROR(IF($B70="","",IF(M$42="","",IF($B70=M$7,"-",COUNTIFS(TEAMS_GbG[[TM NAME]:[TM NAME]],M$42,TEAMS_GbG[[DATE]:[DATE]],"&lt;="&amp;TODAY(),TEAMS_GbG[[OPP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70" s="7" t="str">
        <f ca="1">IFERROR(IF($B70="","",IF(N$42="","",IF($B70=N$7,"-",COUNTIFS(TEAMS_GbG[[TM NAME]:[TM NAME]],N$42,TEAMS_GbG[[DATE]:[DATE]],"&lt;="&amp;TODAY(),TEAMS_GbG[[OPP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70" s="7" t="str">
        <f ca="1">IFERROR(IF($B70="","",IF(O$42="","",IF($B70=O$7,"-",COUNTIFS(TEAMS_GbG[[TM NAME]:[TM NAME]],O$42,TEAMS_GbG[[DATE]:[DATE]],"&lt;="&amp;TODAY(),TEAMS_GbG[[OPP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70" s="7" t="str">
        <f ca="1">IFERROR(IF($B70="","",IF(P$42="","",IF($B70=P$7,"-",COUNTIFS(TEAMS_GbG[[TM NAME]:[TM NAME]],P$42,TEAMS_GbG[[DATE]:[DATE]],"&lt;="&amp;TODAY(),TEAMS_GbG[[OPP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70" s="7" t="str">
        <f ca="1">IFERROR(IF($B70="","",IF(Q$42="","",IF($B70=Q$7,"-",COUNTIFS(TEAMS_GbG[[TM NAME]:[TM NAME]],Q$42,TEAMS_GbG[[DATE]:[DATE]],"&lt;="&amp;TODAY(),TEAMS_GbG[[OPP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70" s="7" t="str">
        <f ca="1">IFERROR(IF($B70="","",IF(R$42="","",IF($B70=R$7,"-",COUNTIFS(TEAMS_GbG[[TM NAME]:[TM NAME]],R$42,TEAMS_GbG[[DATE]:[DATE]],"&lt;="&amp;TODAY(),TEAMS_GbG[[OPP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70" s="7" t="str">
        <f ca="1">IFERROR(IF($B70="","",IF(S$42="","",IF($B70=S$7,"-",COUNTIFS(TEAMS_GbG[[TM NAME]:[TM NAME]],S$42,TEAMS_GbG[[DATE]:[DATE]],"&lt;="&amp;TODAY(),TEAMS_GbG[[OPP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70" s="7" t="str">
        <f ca="1">IFERROR(IF($B70="","",IF(T$42="","",IF($B70=T$7,"-",COUNTIFS(TEAMS_GbG[[TM NAME]:[TM NAME]],T$42,TEAMS_GbG[[DATE]:[DATE]],"&lt;="&amp;TODAY(),TEAMS_GbG[[OPP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70" s="7" t="str">
        <f ca="1">IFERROR(IF($B70="","",IF(U$42="","",IF($B70=U$7,"-",COUNTIFS(TEAMS_GbG[[TM NAME]:[TM NAME]],U$42,TEAMS_GbG[[DATE]:[DATE]],"&lt;="&amp;TODAY(),TEAMS_GbG[[OPP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70" s="7" t="str">
        <f ca="1">IFERROR(IF($B70="","",IF(V$42="","",IF($B70=V$7,"-",COUNTIFS(TEAMS_GbG[[TM NAME]:[TM NAME]],V$42,TEAMS_GbG[[DATE]:[DATE]],"&lt;="&amp;TODAY(),TEAMS_GbG[[OPP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70" s="7" t="str">
        <f ca="1">IFERROR(IF($B70="","",IF(W$42="","",IF($B70=W$7,"-",COUNTIFS(TEAMS_GbG[[TM NAME]:[TM NAME]],W$42,TEAMS_GbG[[DATE]:[DATE]],"&lt;="&amp;TODAY(),TEAMS_GbG[[OPP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70" s="7" t="str">
        <f ca="1">IFERROR(IF($B70="","",IF(X$42="","",IF($B70=X$7,"-",COUNTIFS(TEAMS_GbG[[TM NAME]:[TM NAME]],X$42,TEAMS_GbG[[DATE]:[DATE]],"&lt;="&amp;TODAY(),TEAMS_GbG[[OPP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70" s="7" t="str">
        <f ca="1">IFERROR(IF($B70="","",IF(Y$42="","",IF($B70=Y$7,"-",COUNTIFS(TEAMS_GbG[[TM NAME]:[TM NAME]],Y$42,TEAMS_GbG[[DATE]:[DATE]],"&lt;="&amp;TODAY(),TEAMS_GbG[[OPP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70" s="7" t="str">
        <f ca="1">IFERROR(IF($B70="","",IF(Z$42="","",IF($B70=Z$7,"-",COUNTIFS(TEAMS_GbG[[TM NAME]:[TM NAME]],Z$42,TEAMS_GbG[[DATE]:[DATE]],"&lt;="&amp;TODAY(),TEAMS_GbG[[OPP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70" s="7" t="str">
        <f ca="1">IFERROR(IF($B70="","",IF(AA$42="","",IF($B70=AA$7,"-",COUNTIFS(TEAMS_GbG[[TM NAME]:[TM NAME]],AA$42,TEAMS_GbG[[DATE]:[DATE]],"&lt;="&amp;TODAY(),TEAMS_GbG[[OPP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70" s="7" t="str">
        <f ca="1">IFERROR(IF($B70="","",IF(AB$42="","",IF($B70=AB$7,"-",COUNTIFS(TEAMS_GbG[[TM NAME]:[TM NAME]],AB$42,TEAMS_GbG[[DATE]:[DATE]],"&lt;="&amp;TODAY(),TEAMS_GbG[[OPP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70" s="7" t="str">
        <f ca="1">IFERROR(IF($B70="","",IF(AC$42="","",IF($B70=AC$7,"-",COUNTIFS(TEAMS_GbG[[TM NAME]:[TM NAME]],AC$42,TEAMS_GbG[[DATE]:[DATE]],"&lt;="&amp;TODAY(),TEAMS_GbG[[OPP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70" s="7" t="str">
        <f ca="1">IFERROR(IF($B70="","",IF(AD$42="","",IF($B70=AD$7,"-",COUNTIFS(TEAMS_GbG[[TM NAME]:[TM NAME]],AD$42,TEAMS_GbG[[DATE]:[DATE]],"&lt;="&amp;TODAY(),TEAMS_GbG[[OPP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70" s="7" t="str">
        <f ca="1">IFERROR(IF($B70="","",IF(AE$42="","",IF($B70=AE$7,"-",COUNTIFS(TEAMS_GbG[[TM NAME]:[TM NAME]],AE$42,TEAMS_GbG[[DATE]:[DATE]],"&lt;="&amp;TODAY(),TEAMS_GbG[[OPP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70" s="7" t="str">
        <f ca="1">IFERROR(IF($B70="","",IF(AF$42="","",IF($B70=AF$7,"-",COUNTIFS(TEAMS_GbG[[TM NAME]:[TM NAME]],AF$42,TEAMS_GbG[[DATE]:[DATE]],"&lt;="&amp;TODAY(),TEAMS_GbG[[OPP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70" s="7" t="str">
        <f ca="1">IFERROR(IF($B70="","",IF(AG$42="","",IF($B70=AG$7,"-",COUNTIFS(TEAMS_GbG[[TM NAME]:[TM NAME]],AG$42,TEAMS_GbG[[DATE]:[DATE]],"&lt;="&amp;TODAY(),TEAMS_GbG[[OPP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70" s="7" t="str">
        <f ca="1">IFERROR(IF($B70="","",IF(AH$42="","",IF($B70=AH$7,"-",COUNTIFS(TEAMS_GbG[[TM NAME]:[TM NAME]],AH$42,TEAMS_GbG[[DATE]:[DATE]],"&lt;="&amp;TODAY(),TEAMS_GbG[[OPP NAME]:[OPP NAME]],"&lt;&gt;"&amp;$B70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70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70" s="52" t="str">
        <f t="shared" ca="1" si="2"/>
        <v>-</v>
      </c>
    </row>
    <row r="71" spans="2:35" x14ac:dyDescent="0.25">
      <c r="B71" s="1" t="str">
        <f t="shared" si="1"/>
        <v/>
      </c>
      <c r="C71" s="7" t="str">
        <f ca="1">IFERROR(IF($B71="","",IF(C$42="","",IF($B71=C$7,"-",COUNTIFS(TEAMS_GbG[[TM NAME]:[TM NAME]],C$42,TEAMS_GbG[[DATE]:[DATE]],"&lt;="&amp;TODAY(),TEAMS_GbG[[OPP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71" s="7" t="str">
        <f ca="1">IFERROR(IF($B71="","",IF(D$42="","",IF($B71=D$7,"-",COUNTIFS(TEAMS_GbG[[TM NAME]:[TM NAME]],D$42,TEAMS_GbG[[DATE]:[DATE]],"&lt;="&amp;TODAY(),TEAMS_GbG[[OPP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71" s="7" t="str">
        <f ca="1">IFERROR(IF($B71="","",IF(E$42="","",IF($B71=E$7,"-",COUNTIFS(TEAMS_GbG[[TM NAME]:[TM NAME]],E$42,TEAMS_GbG[[DATE]:[DATE]],"&lt;="&amp;TODAY(),TEAMS_GbG[[OPP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71" s="7" t="str">
        <f ca="1">IFERROR(IF($B71="","",IF(F$42="","",IF($B71=F$7,"-",COUNTIFS(TEAMS_GbG[[TM NAME]:[TM NAME]],F$42,TEAMS_GbG[[DATE]:[DATE]],"&lt;="&amp;TODAY(),TEAMS_GbG[[OPP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71" s="7" t="str">
        <f ca="1">IFERROR(IF($B71="","",IF(G$42="","",IF($B71=G$7,"-",COUNTIFS(TEAMS_GbG[[TM NAME]:[TM NAME]],G$42,TEAMS_GbG[[DATE]:[DATE]],"&lt;="&amp;TODAY(),TEAMS_GbG[[OPP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71" s="7" t="str">
        <f ca="1">IFERROR(IF($B71="","",IF(H$42="","",IF($B71=H$7,"-",COUNTIFS(TEAMS_GbG[[TM NAME]:[TM NAME]],H$42,TEAMS_GbG[[DATE]:[DATE]],"&lt;="&amp;TODAY(),TEAMS_GbG[[OPP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71" s="7" t="str">
        <f ca="1">IFERROR(IF($B71="","",IF(I$42="","",IF($B71=I$7,"-",COUNTIFS(TEAMS_GbG[[TM NAME]:[TM NAME]],I$42,TEAMS_GbG[[DATE]:[DATE]],"&lt;="&amp;TODAY(),TEAMS_GbG[[OPP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71" s="7" t="str">
        <f ca="1">IFERROR(IF($B71="","",IF(J$42="","",IF($B71=J$7,"-",COUNTIFS(TEAMS_GbG[[TM NAME]:[TM NAME]],J$42,TEAMS_GbG[[DATE]:[DATE]],"&lt;="&amp;TODAY(),TEAMS_GbG[[OPP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71" s="7" t="str">
        <f ca="1">IFERROR(IF($B71="","",IF(K$42="","",IF($B71=K$7,"-",COUNTIFS(TEAMS_GbG[[TM NAME]:[TM NAME]],K$42,TEAMS_GbG[[DATE]:[DATE]],"&lt;="&amp;TODAY(),TEAMS_GbG[[OPP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71" s="7" t="str">
        <f ca="1">IFERROR(IF($B71="","",IF(L$42="","",IF($B71=L$7,"-",COUNTIFS(TEAMS_GbG[[TM NAME]:[TM NAME]],L$42,TEAMS_GbG[[DATE]:[DATE]],"&lt;="&amp;TODAY(),TEAMS_GbG[[OPP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71" s="7" t="str">
        <f ca="1">IFERROR(IF($B71="","",IF(M$42="","",IF($B71=M$7,"-",COUNTIFS(TEAMS_GbG[[TM NAME]:[TM NAME]],M$42,TEAMS_GbG[[DATE]:[DATE]],"&lt;="&amp;TODAY(),TEAMS_GbG[[OPP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71" s="7" t="str">
        <f ca="1">IFERROR(IF($B71="","",IF(N$42="","",IF($B71=N$7,"-",COUNTIFS(TEAMS_GbG[[TM NAME]:[TM NAME]],N$42,TEAMS_GbG[[DATE]:[DATE]],"&lt;="&amp;TODAY(),TEAMS_GbG[[OPP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71" s="7" t="str">
        <f ca="1">IFERROR(IF($B71="","",IF(O$42="","",IF($B71=O$7,"-",COUNTIFS(TEAMS_GbG[[TM NAME]:[TM NAME]],O$42,TEAMS_GbG[[DATE]:[DATE]],"&lt;="&amp;TODAY(),TEAMS_GbG[[OPP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71" s="7" t="str">
        <f ca="1">IFERROR(IF($B71="","",IF(P$42="","",IF($B71=P$7,"-",COUNTIFS(TEAMS_GbG[[TM NAME]:[TM NAME]],P$42,TEAMS_GbG[[DATE]:[DATE]],"&lt;="&amp;TODAY(),TEAMS_GbG[[OPP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71" s="7" t="str">
        <f ca="1">IFERROR(IF($B71="","",IF(Q$42="","",IF($B71=Q$7,"-",COUNTIFS(TEAMS_GbG[[TM NAME]:[TM NAME]],Q$42,TEAMS_GbG[[DATE]:[DATE]],"&lt;="&amp;TODAY(),TEAMS_GbG[[OPP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71" s="7" t="str">
        <f ca="1">IFERROR(IF($B71="","",IF(R$42="","",IF($B71=R$7,"-",COUNTIFS(TEAMS_GbG[[TM NAME]:[TM NAME]],R$42,TEAMS_GbG[[DATE]:[DATE]],"&lt;="&amp;TODAY(),TEAMS_GbG[[OPP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71" s="7" t="str">
        <f ca="1">IFERROR(IF($B71="","",IF(S$42="","",IF($B71=S$7,"-",COUNTIFS(TEAMS_GbG[[TM NAME]:[TM NAME]],S$42,TEAMS_GbG[[DATE]:[DATE]],"&lt;="&amp;TODAY(),TEAMS_GbG[[OPP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71" s="7" t="str">
        <f ca="1">IFERROR(IF($B71="","",IF(T$42="","",IF($B71=T$7,"-",COUNTIFS(TEAMS_GbG[[TM NAME]:[TM NAME]],T$42,TEAMS_GbG[[DATE]:[DATE]],"&lt;="&amp;TODAY(),TEAMS_GbG[[OPP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71" s="7" t="str">
        <f ca="1">IFERROR(IF($B71="","",IF(U$42="","",IF($B71=U$7,"-",COUNTIFS(TEAMS_GbG[[TM NAME]:[TM NAME]],U$42,TEAMS_GbG[[DATE]:[DATE]],"&lt;="&amp;TODAY(),TEAMS_GbG[[OPP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71" s="7" t="str">
        <f ca="1">IFERROR(IF($B71="","",IF(V$42="","",IF($B71=V$7,"-",COUNTIFS(TEAMS_GbG[[TM NAME]:[TM NAME]],V$42,TEAMS_GbG[[DATE]:[DATE]],"&lt;="&amp;TODAY(),TEAMS_GbG[[OPP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71" s="7" t="str">
        <f ca="1">IFERROR(IF($B71="","",IF(W$42="","",IF($B71=W$7,"-",COUNTIFS(TEAMS_GbG[[TM NAME]:[TM NAME]],W$42,TEAMS_GbG[[DATE]:[DATE]],"&lt;="&amp;TODAY(),TEAMS_GbG[[OPP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71" s="7" t="str">
        <f ca="1">IFERROR(IF($B71="","",IF(X$42="","",IF($B71=X$7,"-",COUNTIFS(TEAMS_GbG[[TM NAME]:[TM NAME]],X$42,TEAMS_GbG[[DATE]:[DATE]],"&lt;="&amp;TODAY(),TEAMS_GbG[[OPP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71" s="7" t="str">
        <f ca="1">IFERROR(IF($B71="","",IF(Y$42="","",IF($B71=Y$7,"-",COUNTIFS(TEAMS_GbG[[TM NAME]:[TM NAME]],Y$42,TEAMS_GbG[[DATE]:[DATE]],"&lt;="&amp;TODAY(),TEAMS_GbG[[OPP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71" s="7" t="str">
        <f ca="1">IFERROR(IF($B71="","",IF(Z$42="","",IF($B71=Z$7,"-",COUNTIFS(TEAMS_GbG[[TM NAME]:[TM NAME]],Z$42,TEAMS_GbG[[DATE]:[DATE]],"&lt;="&amp;TODAY(),TEAMS_GbG[[OPP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71" s="7" t="str">
        <f ca="1">IFERROR(IF($B71="","",IF(AA$42="","",IF($B71=AA$7,"-",COUNTIFS(TEAMS_GbG[[TM NAME]:[TM NAME]],AA$42,TEAMS_GbG[[DATE]:[DATE]],"&lt;="&amp;TODAY(),TEAMS_GbG[[OPP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71" s="7" t="str">
        <f ca="1">IFERROR(IF($B71="","",IF(AB$42="","",IF($B71=AB$7,"-",COUNTIFS(TEAMS_GbG[[TM NAME]:[TM NAME]],AB$42,TEAMS_GbG[[DATE]:[DATE]],"&lt;="&amp;TODAY(),TEAMS_GbG[[OPP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71" s="7" t="str">
        <f ca="1">IFERROR(IF($B71="","",IF(AC$42="","",IF($B71=AC$7,"-",COUNTIFS(TEAMS_GbG[[TM NAME]:[TM NAME]],AC$42,TEAMS_GbG[[DATE]:[DATE]],"&lt;="&amp;TODAY(),TEAMS_GbG[[OPP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71" s="7" t="str">
        <f ca="1">IFERROR(IF($B71="","",IF(AD$42="","",IF($B71=AD$7,"-",COUNTIFS(TEAMS_GbG[[TM NAME]:[TM NAME]],AD$42,TEAMS_GbG[[DATE]:[DATE]],"&lt;="&amp;TODAY(),TEAMS_GbG[[OPP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71" s="7" t="str">
        <f ca="1">IFERROR(IF($B71="","",IF(AE$42="","",IF($B71=AE$7,"-",COUNTIFS(TEAMS_GbG[[TM NAME]:[TM NAME]],AE$42,TEAMS_GbG[[DATE]:[DATE]],"&lt;="&amp;TODAY(),TEAMS_GbG[[OPP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71" s="7" t="str">
        <f ca="1">IFERROR(IF($B71="","",IF(AF$42="","",IF($B71=AF$7,"-",COUNTIFS(TEAMS_GbG[[TM NAME]:[TM NAME]],AF$42,TEAMS_GbG[[DATE]:[DATE]],"&lt;="&amp;TODAY(),TEAMS_GbG[[OPP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71" s="7" t="str">
        <f ca="1">IFERROR(IF($B71="","",IF(AG$42="","",IF($B71=AG$7,"-",COUNTIFS(TEAMS_GbG[[TM NAME]:[TM NAME]],AG$42,TEAMS_GbG[[DATE]:[DATE]],"&lt;="&amp;TODAY(),TEAMS_GbG[[OPP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71" s="7" t="str">
        <f ca="1">IFERROR(IF($B71="","",IF(AH$42="","",IF($B71=AH$7,"-",COUNTIFS(TEAMS_GbG[[TM NAME]:[TM NAME]],AH$42,TEAMS_GbG[[DATE]:[DATE]],"&lt;="&amp;TODAY(),TEAMS_GbG[[OPP NAME]:[OPP NAME]],"&lt;&gt;"&amp;$B71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71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71" s="52" t="str">
        <f t="shared" ca="1" si="2"/>
        <v>-</v>
      </c>
    </row>
    <row r="72" spans="2:35" x14ac:dyDescent="0.25">
      <c r="B72" s="1" t="str">
        <f t="shared" si="1"/>
        <v/>
      </c>
      <c r="C72" s="7" t="str">
        <f ca="1">IFERROR(IF($B72="","",IF(C$42="","",IF($B72=C$7,"-",COUNTIFS(TEAMS_GbG[[TM NAME]:[TM NAME]],C$42,TEAMS_GbG[[DATE]:[DATE]],"&lt;="&amp;TODAY(),TEAMS_GbG[[OPP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72" s="7" t="str">
        <f ca="1">IFERROR(IF($B72="","",IF(D$42="","",IF($B72=D$7,"-",COUNTIFS(TEAMS_GbG[[TM NAME]:[TM NAME]],D$42,TEAMS_GbG[[DATE]:[DATE]],"&lt;="&amp;TODAY(),TEAMS_GbG[[OPP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72" s="7" t="str">
        <f ca="1">IFERROR(IF($B72="","",IF(E$42="","",IF($B72=E$7,"-",COUNTIFS(TEAMS_GbG[[TM NAME]:[TM NAME]],E$42,TEAMS_GbG[[DATE]:[DATE]],"&lt;="&amp;TODAY(),TEAMS_GbG[[OPP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72" s="7" t="str">
        <f ca="1">IFERROR(IF($B72="","",IF(F$42="","",IF($B72=F$7,"-",COUNTIFS(TEAMS_GbG[[TM NAME]:[TM NAME]],F$42,TEAMS_GbG[[DATE]:[DATE]],"&lt;="&amp;TODAY(),TEAMS_GbG[[OPP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72" s="7" t="str">
        <f ca="1">IFERROR(IF($B72="","",IF(G$42="","",IF($B72=G$7,"-",COUNTIFS(TEAMS_GbG[[TM NAME]:[TM NAME]],G$42,TEAMS_GbG[[DATE]:[DATE]],"&lt;="&amp;TODAY(),TEAMS_GbG[[OPP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72" s="7" t="str">
        <f ca="1">IFERROR(IF($B72="","",IF(H$42="","",IF($B72=H$7,"-",COUNTIFS(TEAMS_GbG[[TM NAME]:[TM NAME]],H$42,TEAMS_GbG[[DATE]:[DATE]],"&lt;="&amp;TODAY(),TEAMS_GbG[[OPP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72" s="7" t="str">
        <f ca="1">IFERROR(IF($B72="","",IF(I$42="","",IF($B72=I$7,"-",COUNTIFS(TEAMS_GbG[[TM NAME]:[TM NAME]],I$42,TEAMS_GbG[[DATE]:[DATE]],"&lt;="&amp;TODAY(),TEAMS_GbG[[OPP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72" s="7" t="str">
        <f ca="1">IFERROR(IF($B72="","",IF(J$42="","",IF($B72=J$7,"-",COUNTIFS(TEAMS_GbG[[TM NAME]:[TM NAME]],J$42,TEAMS_GbG[[DATE]:[DATE]],"&lt;="&amp;TODAY(),TEAMS_GbG[[OPP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72" s="7" t="str">
        <f ca="1">IFERROR(IF($B72="","",IF(K$42="","",IF($B72=K$7,"-",COUNTIFS(TEAMS_GbG[[TM NAME]:[TM NAME]],K$42,TEAMS_GbG[[DATE]:[DATE]],"&lt;="&amp;TODAY(),TEAMS_GbG[[OPP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72" s="7" t="str">
        <f ca="1">IFERROR(IF($B72="","",IF(L$42="","",IF($B72=L$7,"-",COUNTIFS(TEAMS_GbG[[TM NAME]:[TM NAME]],L$42,TEAMS_GbG[[DATE]:[DATE]],"&lt;="&amp;TODAY(),TEAMS_GbG[[OPP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72" s="7" t="str">
        <f ca="1">IFERROR(IF($B72="","",IF(M$42="","",IF($B72=M$7,"-",COUNTIFS(TEAMS_GbG[[TM NAME]:[TM NAME]],M$42,TEAMS_GbG[[DATE]:[DATE]],"&lt;="&amp;TODAY(),TEAMS_GbG[[OPP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72" s="7" t="str">
        <f ca="1">IFERROR(IF($B72="","",IF(N$42="","",IF($B72=N$7,"-",COUNTIFS(TEAMS_GbG[[TM NAME]:[TM NAME]],N$42,TEAMS_GbG[[DATE]:[DATE]],"&lt;="&amp;TODAY(),TEAMS_GbG[[OPP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72" s="7" t="str">
        <f ca="1">IFERROR(IF($B72="","",IF(O$42="","",IF($B72=O$7,"-",COUNTIFS(TEAMS_GbG[[TM NAME]:[TM NAME]],O$42,TEAMS_GbG[[DATE]:[DATE]],"&lt;="&amp;TODAY(),TEAMS_GbG[[OPP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72" s="7" t="str">
        <f ca="1">IFERROR(IF($B72="","",IF(P$42="","",IF($B72=P$7,"-",COUNTIFS(TEAMS_GbG[[TM NAME]:[TM NAME]],P$42,TEAMS_GbG[[DATE]:[DATE]],"&lt;="&amp;TODAY(),TEAMS_GbG[[OPP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72" s="7" t="str">
        <f ca="1">IFERROR(IF($B72="","",IF(Q$42="","",IF($B72=Q$7,"-",COUNTIFS(TEAMS_GbG[[TM NAME]:[TM NAME]],Q$42,TEAMS_GbG[[DATE]:[DATE]],"&lt;="&amp;TODAY(),TEAMS_GbG[[OPP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72" s="7" t="str">
        <f ca="1">IFERROR(IF($B72="","",IF(R$42="","",IF($B72=R$7,"-",COUNTIFS(TEAMS_GbG[[TM NAME]:[TM NAME]],R$42,TEAMS_GbG[[DATE]:[DATE]],"&lt;="&amp;TODAY(),TEAMS_GbG[[OPP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72" s="7" t="str">
        <f ca="1">IFERROR(IF($B72="","",IF(S$42="","",IF($B72=S$7,"-",COUNTIFS(TEAMS_GbG[[TM NAME]:[TM NAME]],S$42,TEAMS_GbG[[DATE]:[DATE]],"&lt;="&amp;TODAY(),TEAMS_GbG[[OPP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72" s="7" t="str">
        <f ca="1">IFERROR(IF($B72="","",IF(T$42="","",IF($B72=T$7,"-",COUNTIFS(TEAMS_GbG[[TM NAME]:[TM NAME]],T$42,TEAMS_GbG[[DATE]:[DATE]],"&lt;="&amp;TODAY(),TEAMS_GbG[[OPP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72" s="7" t="str">
        <f ca="1">IFERROR(IF($B72="","",IF(U$42="","",IF($B72=U$7,"-",COUNTIFS(TEAMS_GbG[[TM NAME]:[TM NAME]],U$42,TEAMS_GbG[[DATE]:[DATE]],"&lt;="&amp;TODAY(),TEAMS_GbG[[OPP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72" s="7" t="str">
        <f ca="1">IFERROR(IF($B72="","",IF(V$42="","",IF($B72=V$7,"-",COUNTIFS(TEAMS_GbG[[TM NAME]:[TM NAME]],V$42,TEAMS_GbG[[DATE]:[DATE]],"&lt;="&amp;TODAY(),TEAMS_GbG[[OPP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72" s="7" t="str">
        <f ca="1">IFERROR(IF($B72="","",IF(W$42="","",IF($B72=W$7,"-",COUNTIFS(TEAMS_GbG[[TM NAME]:[TM NAME]],W$42,TEAMS_GbG[[DATE]:[DATE]],"&lt;="&amp;TODAY(),TEAMS_GbG[[OPP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72" s="7" t="str">
        <f ca="1">IFERROR(IF($B72="","",IF(X$42="","",IF($B72=X$7,"-",COUNTIFS(TEAMS_GbG[[TM NAME]:[TM NAME]],X$42,TEAMS_GbG[[DATE]:[DATE]],"&lt;="&amp;TODAY(),TEAMS_GbG[[OPP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72" s="7" t="str">
        <f ca="1">IFERROR(IF($B72="","",IF(Y$42="","",IF($B72=Y$7,"-",COUNTIFS(TEAMS_GbG[[TM NAME]:[TM NAME]],Y$42,TEAMS_GbG[[DATE]:[DATE]],"&lt;="&amp;TODAY(),TEAMS_GbG[[OPP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72" s="7" t="str">
        <f ca="1">IFERROR(IF($B72="","",IF(Z$42="","",IF($B72=Z$7,"-",COUNTIFS(TEAMS_GbG[[TM NAME]:[TM NAME]],Z$42,TEAMS_GbG[[DATE]:[DATE]],"&lt;="&amp;TODAY(),TEAMS_GbG[[OPP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72" s="7" t="str">
        <f ca="1">IFERROR(IF($B72="","",IF(AA$42="","",IF($B72=AA$7,"-",COUNTIFS(TEAMS_GbG[[TM NAME]:[TM NAME]],AA$42,TEAMS_GbG[[DATE]:[DATE]],"&lt;="&amp;TODAY(),TEAMS_GbG[[OPP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72" s="7" t="str">
        <f ca="1">IFERROR(IF($B72="","",IF(AB$42="","",IF($B72=AB$7,"-",COUNTIFS(TEAMS_GbG[[TM NAME]:[TM NAME]],AB$42,TEAMS_GbG[[DATE]:[DATE]],"&lt;="&amp;TODAY(),TEAMS_GbG[[OPP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72" s="7" t="str">
        <f ca="1">IFERROR(IF($B72="","",IF(AC$42="","",IF($B72=AC$7,"-",COUNTIFS(TEAMS_GbG[[TM NAME]:[TM NAME]],AC$42,TEAMS_GbG[[DATE]:[DATE]],"&lt;="&amp;TODAY(),TEAMS_GbG[[OPP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72" s="7" t="str">
        <f ca="1">IFERROR(IF($B72="","",IF(AD$42="","",IF($B72=AD$7,"-",COUNTIFS(TEAMS_GbG[[TM NAME]:[TM NAME]],AD$42,TEAMS_GbG[[DATE]:[DATE]],"&lt;="&amp;TODAY(),TEAMS_GbG[[OPP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72" s="7" t="str">
        <f ca="1">IFERROR(IF($B72="","",IF(AE$42="","",IF($B72=AE$7,"-",COUNTIFS(TEAMS_GbG[[TM NAME]:[TM NAME]],AE$42,TEAMS_GbG[[DATE]:[DATE]],"&lt;="&amp;TODAY(),TEAMS_GbG[[OPP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72" s="7" t="str">
        <f ca="1">IFERROR(IF($B72="","",IF(AF$42="","",IF($B72=AF$7,"-",COUNTIFS(TEAMS_GbG[[TM NAME]:[TM NAME]],AF$42,TEAMS_GbG[[DATE]:[DATE]],"&lt;="&amp;TODAY(),TEAMS_GbG[[OPP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72" s="7" t="str">
        <f ca="1">IFERROR(IF($B72="","",IF(AG$42="","",IF($B72=AG$7,"-",COUNTIFS(TEAMS_GbG[[TM NAME]:[TM NAME]],AG$42,TEAMS_GbG[[DATE]:[DATE]],"&lt;="&amp;TODAY(),TEAMS_GbG[[OPP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72" s="7" t="str">
        <f ca="1">IFERROR(IF($B72="","",IF(AH$42="","",IF($B72=AH$7,"-",COUNTIFS(TEAMS_GbG[[TM NAME]:[TM NAME]],AH$42,TEAMS_GbG[[DATE]:[DATE]],"&lt;="&amp;TODAY(),TEAMS_GbG[[OPP NAME]:[OPP NAME]],"&lt;&gt;"&amp;$B72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72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72" s="52" t="str">
        <f t="shared" ca="1" si="2"/>
        <v>-</v>
      </c>
    </row>
    <row r="73" spans="2:35" x14ac:dyDescent="0.25">
      <c r="B73" s="1" t="str">
        <f t="shared" si="1"/>
        <v/>
      </c>
      <c r="C73" s="7" t="str">
        <f ca="1">IFERROR(IF($B73="","",IF(C$42="","",IF($B73=C$7,"-",COUNTIFS(TEAMS_GbG[[TM NAME]:[TM NAME]],C$42,TEAMS_GbG[[DATE]:[DATE]],"&lt;="&amp;TODAY(),TEAMS_GbG[[OPP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73" s="7" t="str">
        <f ca="1">IFERROR(IF($B73="","",IF(D$42="","",IF($B73=D$7,"-",COUNTIFS(TEAMS_GbG[[TM NAME]:[TM NAME]],D$42,TEAMS_GbG[[DATE]:[DATE]],"&lt;="&amp;TODAY(),TEAMS_GbG[[OPP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73" s="7" t="str">
        <f ca="1">IFERROR(IF($B73="","",IF(E$42="","",IF($B73=E$7,"-",COUNTIFS(TEAMS_GbG[[TM NAME]:[TM NAME]],E$42,TEAMS_GbG[[DATE]:[DATE]],"&lt;="&amp;TODAY(),TEAMS_GbG[[OPP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73" s="7" t="str">
        <f ca="1">IFERROR(IF($B73="","",IF(F$42="","",IF($B73=F$7,"-",COUNTIFS(TEAMS_GbG[[TM NAME]:[TM NAME]],F$42,TEAMS_GbG[[DATE]:[DATE]],"&lt;="&amp;TODAY(),TEAMS_GbG[[OPP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73" s="7" t="str">
        <f ca="1">IFERROR(IF($B73="","",IF(G$42="","",IF($B73=G$7,"-",COUNTIFS(TEAMS_GbG[[TM NAME]:[TM NAME]],G$42,TEAMS_GbG[[DATE]:[DATE]],"&lt;="&amp;TODAY(),TEAMS_GbG[[OPP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73" s="7" t="str">
        <f ca="1">IFERROR(IF($B73="","",IF(H$42="","",IF($B73=H$7,"-",COUNTIFS(TEAMS_GbG[[TM NAME]:[TM NAME]],H$42,TEAMS_GbG[[DATE]:[DATE]],"&lt;="&amp;TODAY(),TEAMS_GbG[[OPP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73" s="7" t="str">
        <f ca="1">IFERROR(IF($B73="","",IF(I$42="","",IF($B73=I$7,"-",COUNTIFS(TEAMS_GbG[[TM NAME]:[TM NAME]],I$42,TEAMS_GbG[[DATE]:[DATE]],"&lt;="&amp;TODAY(),TEAMS_GbG[[OPP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73" s="7" t="str">
        <f ca="1">IFERROR(IF($B73="","",IF(J$42="","",IF($B73=J$7,"-",COUNTIFS(TEAMS_GbG[[TM NAME]:[TM NAME]],J$42,TEAMS_GbG[[DATE]:[DATE]],"&lt;="&amp;TODAY(),TEAMS_GbG[[OPP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73" s="7" t="str">
        <f ca="1">IFERROR(IF($B73="","",IF(K$42="","",IF($B73=K$7,"-",COUNTIFS(TEAMS_GbG[[TM NAME]:[TM NAME]],K$42,TEAMS_GbG[[DATE]:[DATE]],"&lt;="&amp;TODAY(),TEAMS_GbG[[OPP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73" s="7" t="str">
        <f ca="1">IFERROR(IF($B73="","",IF(L$42="","",IF($B73=L$7,"-",COUNTIFS(TEAMS_GbG[[TM NAME]:[TM NAME]],L$42,TEAMS_GbG[[DATE]:[DATE]],"&lt;="&amp;TODAY(),TEAMS_GbG[[OPP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73" s="7" t="str">
        <f ca="1">IFERROR(IF($B73="","",IF(M$42="","",IF($B73=M$7,"-",COUNTIFS(TEAMS_GbG[[TM NAME]:[TM NAME]],M$42,TEAMS_GbG[[DATE]:[DATE]],"&lt;="&amp;TODAY(),TEAMS_GbG[[OPP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73" s="7" t="str">
        <f ca="1">IFERROR(IF($B73="","",IF(N$42="","",IF($B73=N$7,"-",COUNTIFS(TEAMS_GbG[[TM NAME]:[TM NAME]],N$42,TEAMS_GbG[[DATE]:[DATE]],"&lt;="&amp;TODAY(),TEAMS_GbG[[OPP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73" s="7" t="str">
        <f ca="1">IFERROR(IF($B73="","",IF(O$42="","",IF($B73=O$7,"-",COUNTIFS(TEAMS_GbG[[TM NAME]:[TM NAME]],O$42,TEAMS_GbG[[DATE]:[DATE]],"&lt;="&amp;TODAY(),TEAMS_GbG[[OPP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73" s="7" t="str">
        <f ca="1">IFERROR(IF($B73="","",IF(P$42="","",IF($B73=P$7,"-",COUNTIFS(TEAMS_GbG[[TM NAME]:[TM NAME]],P$42,TEAMS_GbG[[DATE]:[DATE]],"&lt;="&amp;TODAY(),TEAMS_GbG[[OPP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73" s="7" t="str">
        <f ca="1">IFERROR(IF($B73="","",IF(Q$42="","",IF($B73=Q$7,"-",COUNTIFS(TEAMS_GbG[[TM NAME]:[TM NAME]],Q$42,TEAMS_GbG[[DATE]:[DATE]],"&lt;="&amp;TODAY(),TEAMS_GbG[[OPP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73" s="7" t="str">
        <f ca="1">IFERROR(IF($B73="","",IF(R$42="","",IF($B73=R$7,"-",COUNTIFS(TEAMS_GbG[[TM NAME]:[TM NAME]],R$42,TEAMS_GbG[[DATE]:[DATE]],"&lt;="&amp;TODAY(),TEAMS_GbG[[OPP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73" s="7" t="str">
        <f ca="1">IFERROR(IF($B73="","",IF(S$42="","",IF($B73=S$7,"-",COUNTIFS(TEAMS_GbG[[TM NAME]:[TM NAME]],S$42,TEAMS_GbG[[DATE]:[DATE]],"&lt;="&amp;TODAY(),TEAMS_GbG[[OPP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73" s="7" t="str">
        <f ca="1">IFERROR(IF($B73="","",IF(T$42="","",IF($B73=T$7,"-",COUNTIFS(TEAMS_GbG[[TM NAME]:[TM NAME]],T$42,TEAMS_GbG[[DATE]:[DATE]],"&lt;="&amp;TODAY(),TEAMS_GbG[[OPP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73" s="7" t="str">
        <f ca="1">IFERROR(IF($B73="","",IF(U$42="","",IF($B73=U$7,"-",COUNTIFS(TEAMS_GbG[[TM NAME]:[TM NAME]],U$42,TEAMS_GbG[[DATE]:[DATE]],"&lt;="&amp;TODAY(),TEAMS_GbG[[OPP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73" s="7" t="str">
        <f ca="1">IFERROR(IF($B73="","",IF(V$42="","",IF($B73=V$7,"-",COUNTIFS(TEAMS_GbG[[TM NAME]:[TM NAME]],V$42,TEAMS_GbG[[DATE]:[DATE]],"&lt;="&amp;TODAY(),TEAMS_GbG[[OPP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73" s="7" t="str">
        <f ca="1">IFERROR(IF($B73="","",IF(W$42="","",IF($B73=W$7,"-",COUNTIFS(TEAMS_GbG[[TM NAME]:[TM NAME]],W$42,TEAMS_GbG[[DATE]:[DATE]],"&lt;="&amp;TODAY(),TEAMS_GbG[[OPP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73" s="7" t="str">
        <f ca="1">IFERROR(IF($B73="","",IF(X$42="","",IF($B73=X$7,"-",COUNTIFS(TEAMS_GbG[[TM NAME]:[TM NAME]],X$42,TEAMS_GbG[[DATE]:[DATE]],"&lt;="&amp;TODAY(),TEAMS_GbG[[OPP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73" s="7" t="str">
        <f ca="1">IFERROR(IF($B73="","",IF(Y$42="","",IF($B73=Y$7,"-",COUNTIFS(TEAMS_GbG[[TM NAME]:[TM NAME]],Y$42,TEAMS_GbG[[DATE]:[DATE]],"&lt;="&amp;TODAY(),TEAMS_GbG[[OPP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73" s="7" t="str">
        <f ca="1">IFERROR(IF($B73="","",IF(Z$42="","",IF($B73=Z$7,"-",COUNTIFS(TEAMS_GbG[[TM NAME]:[TM NAME]],Z$42,TEAMS_GbG[[DATE]:[DATE]],"&lt;="&amp;TODAY(),TEAMS_GbG[[OPP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73" s="7" t="str">
        <f ca="1">IFERROR(IF($B73="","",IF(AA$42="","",IF($B73=AA$7,"-",COUNTIFS(TEAMS_GbG[[TM NAME]:[TM NAME]],AA$42,TEAMS_GbG[[DATE]:[DATE]],"&lt;="&amp;TODAY(),TEAMS_GbG[[OPP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73" s="7" t="str">
        <f ca="1">IFERROR(IF($B73="","",IF(AB$42="","",IF($B73=AB$7,"-",COUNTIFS(TEAMS_GbG[[TM NAME]:[TM NAME]],AB$42,TEAMS_GbG[[DATE]:[DATE]],"&lt;="&amp;TODAY(),TEAMS_GbG[[OPP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73" s="7" t="str">
        <f ca="1">IFERROR(IF($B73="","",IF(AC$42="","",IF($B73=AC$7,"-",COUNTIFS(TEAMS_GbG[[TM NAME]:[TM NAME]],AC$42,TEAMS_GbG[[DATE]:[DATE]],"&lt;="&amp;TODAY(),TEAMS_GbG[[OPP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73" s="7" t="str">
        <f ca="1">IFERROR(IF($B73="","",IF(AD$42="","",IF($B73=AD$7,"-",COUNTIFS(TEAMS_GbG[[TM NAME]:[TM NAME]],AD$42,TEAMS_GbG[[DATE]:[DATE]],"&lt;="&amp;TODAY(),TEAMS_GbG[[OPP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73" s="7" t="str">
        <f ca="1">IFERROR(IF($B73="","",IF(AE$42="","",IF($B73=AE$7,"-",COUNTIFS(TEAMS_GbG[[TM NAME]:[TM NAME]],AE$42,TEAMS_GbG[[DATE]:[DATE]],"&lt;="&amp;TODAY(),TEAMS_GbG[[OPP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73" s="7" t="str">
        <f ca="1">IFERROR(IF($B73="","",IF(AF$42="","",IF($B73=AF$7,"-",COUNTIFS(TEAMS_GbG[[TM NAME]:[TM NAME]],AF$42,TEAMS_GbG[[DATE]:[DATE]],"&lt;="&amp;TODAY(),TEAMS_GbG[[OPP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73" s="7" t="str">
        <f ca="1">IFERROR(IF($B73="","",IF(AG$42="","",IF($B73=AG$7,"-",COUNTIFS(TEAMS_GbG[[TM NAME]:[TM NAME]],AG$42,TEAMS_GbG[[DATE]:[DATE]],"&lt;="&amp;TODAY(),TEAMS_GbG[[OPP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73" s="7" t="str">
        <f ca="1">IFERROR(IF($B73="","",IF(AH$42="","",IF($B73=AH$7,"-",COUNTIFS(TEAMS_GbG[[TM NAME]:[TM NAME]],AH$42,TEAMS_GbG[[DATE]:[DATE]],"&lt;="&amp;TODAY(),TEAMS_GbG[[OPP NAME]:[OPP NAME]],"&lt;&gt;"&amp;$B73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73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73" s="52" t="str">
        <f t="shared" ca="1" si="2"/>
        <v>-</v>
      </c>
    </row>
    <row r="74" spans="2:35" x14ac:dyDescent="0.25">
      <c r="B74" s="1" t="str">
        <f t="shared" si="1"/>
        <v/>
      </c>
      <c r="C74" s="7" t="str">
        <f ca="1">IFERROR(IF($B74="","",IF(C$42="","",IF($B74=C$7,"-",COUNTIFS(TEAMS_GbG[[TM NAME]:[TM NAME]],C$42,TEAMS_GbG[[DATE]:[DATE]],"&lt;="&amp;TODAY(),TEAMS_GbG[[OPP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NAME]],C$42,TEAMS_GbG[[DATE]:[DATE]],"&lt;="&amp;TODAY(),TEAMS_GbG[[OPP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D74" s="7" t="str">
        <f ca="1">IFERROR(IF($B74="","",IF(D$42="","",IF($B74=D$7,"-",COUNTIFS(TEAMS_GbG[[TM NAME]:[TM NAME]],D$42,TEAMS_GbG[[DATE]:[DATE]],"&lt;="&amp;TODAY(),TEAMS_GbG[[OPP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NAME]],D$42,TEAMS_GbG[[DATE]:[DATE]],"&lt;="&amp;TODAY(),TEAMS_GbG[[OPP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E74" s="7" t="str">
        <f ca="1">IFERROR(IF($B74="","",IF(E$42="","",IF($B74=E$7,"-",COUNTIFS(TEAMS_GbG[[TM NAME]:[TM NAME]],E$42,TEAMS_GbG[[DATE]:[DATE]],"&lt;="&amp;TODAY(),TEAMS_GbG[[OPP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NAME]],E$42,TEAMS_GbG[[DATE]:[DATE]],"&lt;="&amp;TODAY(),TEAMS_GbG[[OPP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F74" s="7" t="str">
        <f ca="1">IFERROR(IF($B74="","",IF(F$42="","",IF($B74=F$7,"-",COUNTIFS(TEAMS_GbG[[TM NAME]:[TM NAME]],F$42,TEAMS_GbG[[DATE]:[DATE]],"&lt;="&amp;TODAY(),TEAMS_GbG[[OPP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NAME]],F$42,TEAMS_GbG[[DATE]:[DATE]],"&lt;="&amp;TODAY(),TEAMS_GbG[[OPP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G74" s="7" t="str">
        <f ca="1">IFERROR(IF($B74="","",IF(G$42="","",IF($B74=G$7,"-",COUNTIFS(TEAMS_GbG[[TM NAME]:[TM NAME]],G$42,TEAMS_GbG[[DATE]:[DATE]],"&lt;="&amp;TODAY(),TEAMS_GbG[[OPP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NAME]],G$42,TEAMS_GbG[[DATE]:[DATE]],"&lt;="&amp;TODAY(),TEAMS_GbG[[OPP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H74" s="7" t="str">
        <f ca="1">IFERROR(IF($B74="","",IF(H$42="","",IF($B74=H$7,"-",COUNTIFS(TEAMS_GbG[[TM NAME]:[TM NAME]],H$42,TEAMS_GbG[[DATE]:[DATE]],"&lt;="&amp;TODAY(),TEAMS_GbG[[OPP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NAME]],H$42,TEAMS_GbG[[DATE]:[DATE]],"&lt;="&amp;TODAY(),TEAMS_GbG[[OPP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I74" s="7" t="str">
        <f ca="1">IFERROR(IF($B74="","",IF(I$42="","",IF($B74=I$7,"-",COUNTIFS(TEAMS_GbG[[TM NAME]:[TM NAME]],I$42,TEAMS_GbG[[DATE]:[DATE]],"&lt;="&amp;TODAY(),TEAMS_GbG[[OPP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NAME]],I$42,TEAMS_GbG[[DATE]:[DATE]],"&lt;="&amp;TODAY(),TEAMS_GbG[[OPP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J74" s="7" t="str">
        <f ca="1">IFERROR(IF($B74="","",IF(J$42="","",IF($B74=J$7,"-",COUNTIFS(TEAMS_GbG[[TM NAME]:[TM NAME]],J$42,TEAMS_GbG[[DATE]:[DATE]],"&lt;="&amp;TODAY(),TEAMS_GbG[[OPP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NAME]],J$42,TEAMS_GbG[[DATE]:[DATE]],"&lt;="&amp;TODAY(),TEAMS_GbG[[OPP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K74" s="7" t="str">
        <f ca="1">IFERROR(IF($B74="","",IF(K$42="","",IF($B74=K$7,"-",COUNTIFS(TEAMS_GbG[[TM NAME]:[TM NAME]],K$42,TEAMS_GbG[[DATE]:[DATE]],"&lt;="&amp;TODAY(),TEAMS_GbG[[OPP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NAME]],K$42,TEAMS_GbG[[DATE]:[DATE]],"&lt;="&amp;TODAY(),TEAMS_GbG[[OPP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L74" s="7" t="str">
        <f ca="1">IFERROR(IF($B74="","",IF(L$42="","",IF($B74=L$7,"-",COUNTIFS(TEAMS_GbG[[TM NAME]:[TM NAME]],L$42,TEAMS_GbG[[DATE]:[DATE]],"&lt;="&amp;TODAY(),TEAMS_GbG[[OPP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NAME]],L$42,TEAMS_GbG[[DATE]:[DATE]],"&lt;="&amp;TODAY(),TEAMS_GbG[[OPP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M74" s="7" t="str">
        <f ca="1">IFERROR(IF($B74="","",IF(M$42="","",IF($B74=M$7,"-",COUNTIFS(TEAMS_GbG[[TM NAME]:[TM NAME]],M$42,TEAMS_GbG[[DATE]:[DATE]],"&lt;="&amp;TODAY(),TEAMS_GbG[[OPP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NAME]],M$42,TEAMS_GbG[[DATE]:[DATE]],"&lt;="&amp;TODAY(),TEAMS_GbG[[OPP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N74" s="7" t="str">
        <f ca="1">IFERROR(IF($B74="","",IF(N$42="","",IF($B74=N$7,"-",COUNTIFS(TEAMS_GbG[[TM NAME]:[TM NAME]],N$42,TEAMS_GbG[[DATE]:[DATE]],"&lt;="&amp;TODAY(),TEAMS_GbG[[OPP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NAME]],N$42,TEAMS_GbG[[DATE]:[DATE]],"&lt;="&amp;TODAY(),TEAMS_GbG[[OPP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O74" s="7" t="str">
        <f ca="1">IFERROR(IF($B74="","",IF(O$42="","",IF($B74=O$7,"-",COUNTIFS(TEAMS_GbG[[TM NAME]:[TM NAME]],O$42,TEAMS_GbG[[DATE]:[DATE]],"&lt;="&amp;TODAY(),TEAMS_GbG[[OPP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NAME]],O$42,TEAMS_GbG[[DATE]:[DATE]],"&lt;="&amp;TODAY(),TEAMS_GbG[[OPP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P74" s="7" t="str">
        <f ca="1">IFERROR(IF($B74="","",IF(P$42="","",IF($B74=P$7,"-",COUNTIFS(TEAMS_GbG[[TM NAME]:[TM NAME]],P$42,TEAMS_GbG[[DATE]:[DATE]],"&lt;="&amp;TODAY(),TEAMS_GbG[[OPP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NAME]],P$42,TEAMS_GbG[[DATE]:[DATE]],"&lt;="&amp;TODAY(),TEAMS_GbG[[OPP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Q74" s="7" t="str">
        <f ca="1">IFERROR(IF($B74="","",IF(Q$42="","",IF($B74=Q$7,"-",COUNTIFS(TEAMS_GbG[[TM NAME]:[TM NAME]],Q$42,TEAMS_GbG[[DATE]:[DATE]],"&lt;="&amp;TODAY(),TEAMS_GbG[[OPP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NAME]],Q$42,TEAMS_GbG[[DATE]:[DATE]],"&lt;="&amp;TODAY(),TEAMS_GbG[[OPP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R74" s="7" t="str">
        <f ca="1">IFERROR(IF($B74="","",IF(R$42="","",IF($B74=R$7,"-",COUNTIFS(TEAMS_GbG[[TM NAME]:[TM NAME]],R$42,TEAMS_GbG[[DATE]:[DATE]],"&lt;="&amp;TODAY(),TEAMS_GbG[[OPP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NAME]],R$42,TEAMS_GbG[[DATE]:[DATE]],"&lt;="&amp;TODAY(),TEAMS_GbG[[OPP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S74" s="7" t="str">
        <f ca="1">IFERROR(IF($B74="","",IF(S$42="","",IF($B74=S$7,"-",COUNTIFS(TEAMS_GbG[[TM NAME]:[TM NAME]],S$42,TEAMS_GbG[[DATE]:[DATE]],"&lt;="&amp;TODAY(),TEAMS_GbG[[OPP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NAME]],S$42,TEAMS_GbG[[DATE]:[DATE]],"&lt;="&amp;TODAY(),TEAMS_GbG[[OPP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T74" s="7" t="str">
        <f ca="1">IFERROR(IF($B74="","",IF(T$42="","",IF($B74=T$7,"-",COUNTIFS(TEAMS_GbG[[TM NAME]:[TM NAME]],T$42,TEAMS_GbG[[DATE]:[DATE]],"&lt;="&amp;TODAY(),TEAMS_GbG[[OPP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NAME]],T$42,TEAMS_GbG[[DATE]:[DATE]],"&lt;="&amp;TODAY(),TEAMS_GbG[[OPP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U74" s="7" t="str">
        <f ca="1">IFERROR(IF($B74="","",IF(U$42="","",IF($B74=U$7,"-",COUNTIFS(TEAMS_GbG[[TM NAME]:[TM NAME]],U$42,TEAMS_GbG[[DATE]:[DATE]],"&lt;="&amp;TODAY(),TEAMS_GbG[[OPP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NAME]],U$42,TEAMS_GbG[[DATE]:[DATE]],"&lt;="&amp;TODAY(),TEAMS_GbG[[OPP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V74" s="7" t="str">
        <f ca="1">IFERROR(IF($B74="","",IF(V$42="","",IF($B74=V$7,"-",COUNTIFS(TEAMS_GbG[[TM NAME]:[TM NAME]],V$42,TEAMS_GbG[[DATE]:[DATE]],"&lt;="&amp;TODAY(),TEAMS_GbG[[OPP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NAME]],V$42,TEAMS_GbG[[DATE]:[DATE]],"&lt;="&amp;TODAY(),TEAMS_GbG[[OPP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W74" s="7" t="str">
        <f ca="1">IFERROR(IF($B74="","",IF(W$42="","",IF($B74=W$7,"-",COUNTIFS(TEAMS_GbG[[TM NAME]:[TM NAME]],W$42,TEAMS_GbG[[DATE]:[DATE]],"&lt;="&amp;TODAY(),TEAMS_GbG[[OPP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NAME]],W$42,TEAMS_GbG[[DATE]:[DATE]],"&lt;="&amp;TODAY(),TEAMS_GbG[[OPP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X74" s="7" t="str">
        <f ca="1">IFERROR(IF($B74="","",IF(X$42="","",IF($B74=X$7,"-",COUNTIFS(TEAMS_GbG[[TM NAME]:[TM NAME]],X$42,TEAMS_GbG[[DATE]:[DATE]],"&lt;="&amp;TODAY(),TEAMS_GbG[[OPP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NAME]],X$42,TEAMS_GbG[[DATE]:[DATE]],"&lt;="&amp;TODAY(),TEAMS_GbG[[OPP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Y74" s="7" t="str">
        <f ca="1">IFERROR(IF($B74="","",IF(Y$42="","",IF($B74=Y$7,"-",COUNTIFS(TEAMS_GbG[[TM NAME]:[TM NAME]],Y$42,TEAMS_GbG[[DATE]:[DATE]],"&lt;="&amp;TODAY(),TEAMS_GbG[[OPP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NAME]],Y$42,TEAMS_GbG[[DATE]:[DATE]],"&lt;="&amp;TODAY(),TEAMS_GbG[[OPP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Z74" s="7" t="str">
        <f ca="1">IFERROR(IF($B74="","",IF(Z$42="","",IF($B74=Z$7,"-",COUNTIFS(TEAMS_GbG[[TM NAME]:[TM NAME]],Z$42,TEAMS_GbG[[DATE]:[DATE]],"&lt;="&amp;TODAY(),TEAMS_GbG[[OPP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NAME]],Z$42,TEAMS_GbG[[DATE]:[DATE]],"&lt;="&amp;TODAY(),TEAMS_GbG[[OPP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A74" s="7" t="str">
        <f ca="1">IFERROR(IF($B74="","",IF(AA$42="","",IF($B74=AA$7,"-",COUNTIFS(TEAMS_GbG[[TM NAME]:[TM NAME]],AA$42,TEAMS_GbG[[DATE]:[DATE]],"&lt;="&amp;TODAY(),TEAMS_GbG[[OPP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NAME]],AA$42,TEAMS_GbG[[DATE]:[DATE]],"&lt;="&amp;TODAY(),TEAMS_GbG[[OPP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B74" s="7" t="str">
        <f ca="1">IFERROR(IF($B74="","",IF(AB$42="","",IF($B74=AB$7,"-",COUNTIFS(TEAMS_GbG[[TM NAME]:[TM NAME]],AB$42,TEAMS_GbG[[DATE]:[DATE]],"&lt;="&amp;TODAY(),TEAMS_GbG[[OPP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NAME]],AB$42,TEAMS_GbG[[DATE]:[DATE]],"&lt;="&amp;TODAY(),TEAMS_GbG[[OPP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C74" s="7" t="str">
        <f ca="1">IFERROR(IF($B74="","",IF(AC$42="","",IF($B74=AC$7,"-",COUNTIFS(TEAMS_GbG[[TM NAME]:[TM NAME]],AC$42,TEAMS_GbG[[DATE]:[DATE]],"&lt;="&amp;TODAY(),TEAMS_GbG[[OPP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NAME]],AC$42,TEAMS_GbG[[DATE]:[DATE]],"&lt;="&amp;TODAY(),TEAMS_GbG[[OPP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D74" s="7" t="str">
        <f ca="1">IFERROR(IF($B74="","",IF(AD$42="","",IF($B74=AD$7,"-",COUNTIFS(TEAMS_GbG[[TM NAME]:[TM NAME]],AD$42,TEAMS_GbG[[DATE]:[DATE]],"&lt;="&amp;TODAY(),TEAMS_GbG[[OPP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NAME]],AD$42,TEAMS_GbG[[DATE]:[DATE]],"&lt;="&amp;TODAY(),TEAMS_GbG[[OPP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E74" s="7" t="str">
        <f ca="1">IFERROR(IF($B74="","",IF(AE$42="","",IF($B74=AE$7,"-",COUNTIFS(TEAMS_GbG[[TM NAME]:[TM NAME]],AE$42,TEAMS_GbG[[DATE]:[DATE]],"&lt;="&amp;TODAY(),TEAMS_GbG[[OPP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NAME]],AE$42,TEAMS_GbG[[DATE]:[DATE]],"&lt;="&amp;TODAY(),TEAMS_GbG[[OPP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F74" s="7" t="str">
        <f ca="1">IFERROR(IF($B74="","",IF(AF$42="","",IF($B74=AF$7,"-",COUNTIFS(TEAMS_GbG[[TM NAME]:[TM NAME]],AF$42,TEAMS_GbG[[DATE]:[DATE]],"&lt;="&amp;TODAY(),TEAMS_GbG[[OPP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NAME]],AF$42,TEAMS_GbG[[DATE]:[DATE]],"&lt;="&amp;TODAY(),TEAMS_GbG[[OPP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G74" s="7" t="str">
        <f ca="1">IFERROR(IF($B74="","",IF(AG$42="","",IF($B74=AG$7,"-",COUNTIFS(TEAMS_GbG[[TM NAME]:[TM NAME]],AG$42,TEAMS_GbG[[DATE]:[DATE]],"&lt;="&amp;TODAY(),TEAMS_GbG[[OPP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NAME]],AG$42,TEAMS_GbG[[DATE]:[DATE]],"&lt;="&amp;TODAY(),TEAMS_GbG[[OPP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H74" s="7" t="str">
        <f ca="1">IFERROR(IF($B74="","",IF(AH$42="","",IF($B74=AH$7,"-",COUNTIFS(TEAMS_GbG[[TM NAME]:[TM NAME]],AH$42,TEAMS_GbG[[DATE]:[DATE]],"&lt;="&amp;TODAY(),TEAMS_GbG[[OPP NAME]:[OPP NAME]],"&lt;&gt;"&amp;$B74,TEAMS_GbG[[W/L]:[W/L]],"W"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GAMES","&lt;1000",IF($F$3=BASIS_INFO!$T$3,"&lt;"&amp;BASIS_INFO!$B$11,IF($F$3=BASIS_INFO!$T$4,"&lt;"&amp;BASIS_INFO!$B$12,IF($F$3=BASIS_INFO!$T$5,"&lt;"&amp;BASIS_INFO!$B$13,IF($F$3=BASIS_INFO!$T$6,"&lt;"&amp;BASIS_INFO!$B$14))))))/COUNTIFS(TEAMS_GbG[[TM NAME]:[TM NAME]],AH$42,TEAMS_GbG[[DATE]:[DATE]],"&lt;="&amp;TODAY(),TEAMS_GbG[[OPP NAME]:[OPP NAME]],"&lt;&gt;"&amp;$B74,TEAMS_GbG[[ROUND]:[ROUND]],IF($D$5="","&gt;0","&gt;="&amp;$D$5),TEAMS_GbG[[ROUND]:[ROUND]],IF($F$5="","&lt;1000","&lt;="&amp;$F$5),TEAMS_GbG[[DATE]:[DATE]],IF($H$5="","&gt;0","&gt;="&amp;$H$5),TEAMS_GbG[[DATE]:[DATE]],IF($J$5="","&lt;100000000000","&lt;="&amp;$J$5)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GAMES","&lt;1000",IF($F$3=BASIS_INFO!$T$3,"&lt;"&amp;BASIS_INFO!$B$11,IF($F$3=BASIS_INFO!$T$4,"&lt;"&amp;BASIS_INFO!$B$12,IF($F$3=BASIS_INFO!$T$5,"&lt;"&amp;BASIS_INFO!$B$13,IF($F$3=BASIS_INFO!$T$6,"&lt;"&amp;BASIS_INFO!$B$14))))))))),"-")</f>
        <v/>
      </c>
      <c r="AI74" s="52" t="str">
        <f t="shared" ca="1" si="2"/>
        <v>-</v>
      </c>
    </row>
    <row r="77" spans="2:35" ht="120" x14ac:dyDescent="0.25">
      <c r="B77" s="51" t="s">
        <v>65</v>
      </c>
      <c r="C77" s="51" t="str">
        <f>C42</f>
        <v>ALBA Berlin</v>
      </c>
      <c r="D77" s="51" t="str">
        <f t="shared" ref="D77:AH77" si="3">D42</f>
        <v>Anadolu Efes Istanbul</v>
      </c>
      <c r="E77" s="51" t="str">
        <f t="shared" si="3"/>
        <v>AS Monaco</v>
      </c>
      <c r="F77" s="51" t="str">
        <f t="shared" si="3"/>
        <v>Baskonia Vitoria-Gasteiz</v>
      </c>
      <c r="G77" s="51" t="str">
        <f t="shared" si="3"/>
        <v>Crvena Zvezda Meridianbet Belgrade</v>
      </c>
      <c r="H77" s="51" t="str">
        <f t="shared" si="3"/>
        <v>EA7 Emporio Armani Milan</v>
      </c>
      <c r="I77" s="51" t="str">
        <f t="shared" si="3"/>
        <v>FC Barcelona</v>
      </c>
      <c r="J77" s="51" t="str">
        <f t="shared" si="3"/>
        <v>FC Bayern Munich</v>
      </c>
      <c r="K77" s="51" t="str">
        <f t="shared" si="3"/>
        <v>Fenerbahce Beko Istanbul</v>
      </c>
      <c r="L77" s="51" t="str">
        <f t="shared" si="3"/>
        <v>LDLC ASVEL Villeurbanne</v>
      </c>
      <c r="M77" s="51" t="str">
        <f t="shared" si="3"/>
        <v>Maccabi Playtika Tel Aviv</v>
      </c>
      <c r="N77" s="51" t="str">
        <f t="shared" si="3"/>
        <v>Olympiacos Piraeus</v>
      </c>
      <c r="O77" s="51" t="str">
        <f t="shared" si="3"/>
        <v>Panathinaikos Athens</v>
      </c>
      <c r="P77" s="51" t="str">
        <f t="shared" si="3"/>
        <v>Partizan Mozzart Bet Belgrade</v>
      </c>
      <c r="Q77" s="51" t="str">
        <f t="shared" si="3"/>
        <v>Real Madrid</v>
      </c>
      <c r="R77" s="51" t="str">
        <f t="shared" si="3"/>
        <v>Valencia Basket</v>
      </c>
      <c r="S77" s="51" t="str">
        <f t="shared" si="3"/>
        <v>Virtus Segafredo Bologna</v>
      </c>
      <c r="T77" s="51" t="str">
        <f t="shared" si="3"/>
        <v>Zalgiris Kaunas</v>
      </c>
      <c r="U77" s="51" t="str">
        <f t="shared" si="3"/>
        <v/>
      </c>
      <c r="V77" s="51" t="str">
        <f t="shared" si="3"/>
        <v/>
      </c>
      <c r="W77" s="51" t="str">
        <f t="shared" si="3"/>
        <v/>
      </c>
      <c r="X77" s="51" t="str">
        <f t="shared" si="3"/>
        <v/>
      </c>
      <c r="Y77" s="51" t="str">
        <f t="shared" si="3"/>
        <v/>
      </c>
      <c r="Z77" s="51" t="str">
        <f t="shared" si="3"/>
        <v/>
      </c>
      <c r="AA77" s="51" t="str">
        <f t="shared" si="3"/>
        <v/>
      </c>
      <c r="AB77" s="51" t="str">
        <f t="shared" si="3"/>
        <v/>
      </c>
      <c r="AC77" s="51" t="str">
        <f t="shared" si="3"/>
        <v/>
      </c>
      <c r="AD77" s="51" t="str">
        <f t="shared" si="3"/>
        <v/>
      </c>
      <c r="AE77" s="51" t="str">
        <f t="shared" si="3"/>
        <v/>
      </c>
      <c r="AF77" s="51" t="str">
        <f t="shared" si="3"/>
        <v/>
      </c>
      <c r="AG77" s="51" t="str">
        <f t="shared" si="3"/>
        <v/>
      </c>
      <c r="AH77" s="51" t="str">
        <f t="shared" si="3"/>
        <v/>
      </c>
    </row>
    <row r="78" spans="2:35" x14ac:dyDescent="0.25">
      <c r="B78" s="1" t="str">
        <f>B43</f>
        <v>ALBA Berlin</v>
      </c>
      <c r="C78" s="7" t="str">
        <f>IF($B78="","",IF(C$77="","",IF($B78=C$7,"-",IF(C8&gt;0,INDEX($AI$43:$AI$74,MATCH(C$77,$B$43:$B$74,0)),"-"))))</f>
        <v>-</v>
      </c>
      <c r="D78" s="7" t="str">
        <f t="shared" ref="D78:AH86" ca="1" si="4">IF($B78="","",IF(D$77="","",IF($B78=D$7,"-",IF(D8&gt;0,INDEX($AI$43:$AI$74,MATCH(D$77,$B$43:$B$74,0)),"-"))))</f>
        <v>-</v>
      </c>
      <c r="E78" s="7">
        <f t="shared" ca="1" si="4"/>
        <v>0.48214285714285715</v>
      </c>
      <c r="F78" s="7">
        <f t="shared" ca="1" si="4"/>
        <v>0.5</v>
      </c>
      <c r="G78" s="7" t="str">
        <f t="shared" ca="1" si="4"/>
        <v>-</v>
      </c>
      <c r="H78" s="7">
        <f t="shared" ca="1" si="4"/>
        <v>0.54960317460317454</v>
      </c>
      <c r="I78" s="7" t="str">
        <f t="shared" ca="1" si="4"/>
        <v>-</v>
      </c>
      <c r="J78" s="7">
        <f t="shared" ca="1" si="4"/>
        <v>0.46626984126984122</v>
      </c>
      <c r="K78" s="7" t="str">
        <f t="shared" ca="1" si="4"/>
        <v>-</v>
      </c>
      <c r="L78" s="7">
        <f t="shared" ca="1" si="4"/>
        <v>0.41666666666666669</v>
      </c>
      <c r="M78" s="7" t="str">
        <f t="shared" ca="1" si="4"/>
        <v>-</v>
      </c>
      <c r="N78" s="7" t="str">
        <f t="shared" ca="1" si="4"/>
        <v>-</v>
      </c>
      <c r="O78" s="7">
        <f t="shared" ca="1" si="4"/>
        <v>0.52182539682539675</v>
      </c>
      <c r="P78" s="7">
        <f t="shared" ca="1" si="4"/>
        <v>0.43849206349206349</v>
      </c>
      <c r="Q78" s="7" t="str">
        <f t="shared" ca="1" si="4"/>
        <v>-</v>
      </c>
      <c r="R78" s="7">
        <f t="shared" ca="1" si="4"/>
        <v>0.55158730158730163</v>
      </c>
      <c r="S78" s="7">
        <f t="shared" ca="1" si="4"/>
        <v>0.45833333333333331</v>
      </c>
      <c r="T78" s="7" t="str">
        <f t="shared" ca="1" si="4"/>
        <v>-</v>
      </c>
      <c r="U78" s="7" t="str">
        <f t="shared" si="4"/>
        <v/>
      </c>
      <c r="V78" s="7" t="str">
        <f t="shared" si="4"/>
        <v/>
      </c>
      <c r="W78" s="7" t="str">
        <f t="shared" si="4"/>
        <v/>
      </c>
      <c r="X78" s="7" t="str">
        <f t="shared" si="4"/>
        <v/>
      </c>
      <c r="Y78" s="7" t="str">
        <f t="shared" si="4"/>
        <v/>
      </c>
      <c r="Z78" s="7" t="str">
        <f t="shared" si="4"/>
        <v/>
      </c>
      <c r="AA78" s="7" t="str">
        <f t="shared" si="4"/>
        <v/>
      </c>
      <c r="AB78" s="7" t="str">
        <f t="shared" si="4"/>
        <v/>
      </c>
      <c r="AC78" s="7" t="str">
        <f t="shared" si="4"/>
        <v/>
      </c>
      <c r="AD78" s="7" t="str">
        <f t="shared" si="4"/>
        <v/>
      </c>
      <c r="AE78" s="7" t="str">
        <f t="shared" si="4"/>
        <v/>
      </c>
      <c r="AF78" s="7" t="str">
        <f t="shared" si="4"/>
        <v/>
      </c>
      <c r="AG78" s="7" t="str">
        <f t="shared" si="4"/>
        <v/>
      </c>
      <c r="AH78" s="7" t="str">
        <f t="shared" si="4"/>
        <v/>
      </c>
      <c r="AI78" s="52">
        <f ca="1">IFERROR(SUMPRODUCT($C8:$AH8,$C78:$AH78)/SUM($C8:$AH8),"-")</f>
        <v>0.48721340388007051</v>
      </c>
    </row>
    <row r="79" spans="2:35" x14ac:dyDescent="0.25">
      <c r="B79" s="1" t="str">
        <f t="shared" ref="B79:B109" si="5">B44</f>
        <v>Anadolu Efes Istanbul</v>
      </c>
      <c r="C79" s="7" t="str">
        <f t="shared" ref="C79:R109" ca="1" si="6">IF($B79="","",IF(C$77="","",IF($B79=C$7,"-",IF(C9&gt;0,INDEX($AI$43:$AI$74,MATCH(C$77,$B$43:$B$74,0)),"-"))))</f>
        <v>-</v>
      </c>
      <c r="D79" s="7" t="str">
        <f t="shared" si="6"/>
        <v>-</v>
      </c>
      <c r="E79" s="7">
        <f t="shared" ca="1" si="6"/>
        <v>0.48214285714285715</v>
      </c>
      <c r="F79" s="7" t="str">
        <f t="shared" ca="1" si="6"/>
        <v>-</v>
      </c>
      <c r="G79" s="7" t="str">
        <f t="shared" ca="1" si="6"/>
        <v>-</v>
      </c>
      <c r="H79" s="7">
        <f t="shared" ca="1" si="6"/>
        <v>0.54960317460317454</v>
      </c>
      <c r="I79" s="7">
        <f t="shared" ca="1" si="6"/>
        <v>0.56944444444444442</v>
      </c>
      <c r="J79" s="7" t="str">
        <f t="shared" ca="1" si="6"/>
        <v>-</v>
      </c>
      <c r="K79" s="7" t="str">
        <f t="shared" ca="1" si="6"/>
        <v>-</v>
      </c>
      <c r="L79" s="7">
        <f t="shared" ca="1" si="6"/>
        <v>0.41666666666666669</v>
      </c>
      <c r="M79" s="7" t="str">
        <f t="shared" ca="1" si="6"/>
        <v>-</v>
      </c>
      <c r="N79" s="7">
        <f t="shared" ca="1" si="6"/>
        <v>0.52380952380952384</v>
      </c>
      <c r="O79" s="7" t="str">
        <f t="shared" ca="1" si="6"/>
        <v>-</v>
      </c>
      <c r="P79" s="7" t="str">
        <f t="shared" ca="1" si="6"/>
        <v>-</v>
      </c>
      <c r="Q79" s="7">
        <f t="shared" ca="1" si="6"/>
        <v>0.609375</v>
      </c>
      <c r="R79" s="7">
        <f t="shared" ca="1" si="6"/>
        <v>0.55158730158730163</v>
      </c>
      <c r="S79" s="7">
        <f t="shared" ca="1" si="4"/>
        <v>0.45833333333333331</v>
      </c>
      <c r="T79" s="7">
        <f t="shared" ca="1" si="4"/>
        <v>0.51388888888888884</v>
      </c>
      <c r="U79" s="7" t="str">
        <f t="shared" si="4"/>
        <v/>
      </c>
      <c r="V79" s="7" t="str">
        <f t="shared" si="4"/>
        <v/>
      </c>
      <c r="W79" s="7" t="str">
        <f t="shared" si="4"/>
        <v/>
      </c>
      <c r="X79" s="7" t="str">
        <f t="shared" si="4"/>
        <v/>
      </c>
      <c r="Y79" s="7" t="str">
        <f t="shared" si="4"/>
        <v/>
      </c>
      <c r="Z79" s="7" t="str">
        <f t="shared" si="4"/>
        <v/>
      </c>
      <c r="AA79" s="7" t="str">
        <f t="shared" si="4"/>
        <v/>
      </c>
      <c r="AB79" s="7" t="str">
        <f t="shared" si="4"/>
        <v/>
      </c>
      <c r="AC79" s="7" t="str">
        <f t="shared" si="4"/>
        <v/>
      </c>
      <c r="AD79" s="7" t="str">
        <f t="shared" si="4"/>
        <v/>
      </c>
      <c r="AE79" s="7" t="str">
        <f t="shared" si="4"/>
        <v/>
      </c>
      <c r="AF79" s="7" t="str">
        <f t="shared" si="4"/>
        <v/>
      </c>
      <c r="AG79" s="7" t="str">
        <f t="shared" si="4"/>
        <v/>
      </c>
      <c r="AH79" s="7" t="str">
        <f t="shared" si="4"/>
        <v/>
      </c>
      <c r="AI79" s="52">
        <f t="shared" ref="AI79:AI109" ca="1" si="7">IFERROR(SUMPRODUCT($C9:$AH9,$C79:$AH79)/SUM($C9:$AH9),"-")</f>
        <v>0.51942791005291</v>
      </c>
    </row>
    <row r="80" spans="2:35" x14ac:dyDescent="0.25">
      <c r="B80" s="1" t="str">
        <f t="shared" si="5"/>
        <v>AS Monaco</v>
      </c>
      <c r="C80" s="7">
        <f t="shared" ca="1" si="6"/>
        <v>0.41666666666666669</v>
      </c>
      <c r="D80" s="7">
        <f t="shared" ca="1" si="4"/>
        <v>0.56944444444444442</v>
      </c>
      <c r="E80" s="7" t="str">
        <f t="shared" si="4"/>
        <v>-</v>
      </c>
      <c r="F80" s="7" t="str">
        <f t="shared" ca="1" si="4"/>
        <v>-</v>
      </c>
      <c r="G80" s="7">
        <f t="shared" ca="1" si="4"/>
        <v>0.4861111111111111</v>
      </c>
      <c r="H80" s="7">
        <f t="shared" ca="1" si="4"/>
        <v>0.54960317460317454</v>
      </c>
      <c r="I80" s="7" t="str">
        <f t="shared" ca="1" si="4"/>
        <v>-</v>
      </c>
      <c r="J80" s="7" t="str">
        <f t="shared" ca="1" si="4"/>
        <v>-</v>
      </c>
      <c r="K80" s="7" t="str">
        <f t="shared" ca="1" si="4"/>
        <v>-</v>
      </c>
      <c r="L80" s="7">
        <f t="shared" ca="1" si="4"/>
        <v>0.41666666666666669</v>
      </c>
      <c r="M80" s="7">
        <f t="shared" ca="1" si="4"/>
        <v>0.5</v>
      </c>
      <c r="N80" s="7" t="str">
        <f t="shared" ca="1" si="4"/>
        <v>-</v>
      </c>
      <c r="O80" s="7" t="str">
        <f t="shared" ca="1" si="4"/>
        <v>-</v>
      </c>
      <c r="P80" s="7" t="str">
        <f t="shared" ca="1" si="4"/>
        <v>-</v>
      </c>
      <c r="Q80" s="7">
        <f t="shared" ca="1" si="4"/>
        <v>0.609375</v>
      </c>
      <c r="R80" s="7">
        <f t="shared" ca="1" si="4"/>
        <v>0.55158730158730163</v>
      </c>
      <c r="S80" s="7">
        <f t="shared" ca="1" si="4"/>
        <v>0.45833333333333331</v>
      </c>
      <c r="T80" s="7" t="str">
        <f t="shared" ca="1" si="4"/>
        <v>-</v>
      </c>
      <c r="U80" s="7" t="str">
        <f t="shared" si="4"/>
        <v/>
      </c>
      <c r="V80" s="7" t="str">
        <f t="shared" si="4"/>
        <v/>
      </c>
      <c r="W80" s="7" t="str">
        <f t="shared" si="4"/>
        <v/>
      </c>
      <c r="X80" s="7" t="str">
        <f t="shared" si="4"/>
        <v/>
      </c>
      <c r="Y80" s="7" t="str">
        <f t="shared" si="4"/>
        <v/>
      </c>
      <c r="Z80" s="7" t="str">
        <f t="shared" si="4"/>
        <v/>
      </c>
      <c r="AA80" s="7" t="str">
        <f t="shared" si="4"/>
        <v/>
      </c>
      <c r="AB80" s="7" t="str">
        <f t="shared" si="4"/>
        <v/>
      </c>
      <c r="AC80" s="7" t="str">
        <f t="shared" si="4"/>
        <v/>
      </c>
      <c r="AD80" s="7" t="str">
        <f t="shared" si="4"/>
        <v/>
      </c>
      <c r="AE80" s="7" t="str">
        <f t="shared" si="4"/>
        <v/>
      </c>
      <c r="AF80" s="7" t="str">
        <f t="shared" si="4"/>
        <v/>
      </c>
      <c r="AG80" s="7" t="str">
        <f t="shared" si="4"/>
        <v/>
      </c>
      <c r="AH80" s="7" t="str">
        <f t="shared" si="4"/>
        <v/>
      </c>
      <c r="AI80" s="52">
        <f t="shared" ca="1" si="7"/>
        <v>0.50642085537918868</v>
      </c>
    </row>
    <row r="81" spans="2:35" x14ac:dyDescent="0.25">
      <c r="B81" s="1" t="str">
        <f t="shared" si="5"/>
        <v>Baskonia Vitoria-Gasteiz</v>
      </c>
      <c r="C81" s="7">
        <f t="shared" ca="1" si="6"/>
        <v>0.41666666666666669</v>
      </c>
      <c r="D81" s="7" t="str">
        <f t="shared" ca="1" si="4"/>
        <v>-</v>
      </c>
      <c r="E81" s="7" t="str">
        <f t="shared" ca="1" si="4"/>
        <v>-</v>
      </c>
      <c r="F81" s="7" t="str">
        <f t="shared" si="4"/>
        <v>-</v>
      </c>
      <c r="G81" s="7" t="str">
        <f t="shared" ca="1" si="4"/>
        <v>-</v>
      </c>
      <c r="H81" s="7" t="str">
        <f t="shared" ca="1" si="4"/>
        <v>-</v>
      </c>
      <c r="I81" s="7">
        <f t="shared" ca="1" si="4"/>
        <v>0.56944444444444442</v>
      </c>
      <c r="J81" s="7">
        <f t="shared" ca="1" si="4"/>
        <v>0.46626984126984122</v>
      </c>
      <c r="K81" s="7" t="str">
        <f t="shared" ca="1" si="4"/>
        <v>-</v>
      </c>
      <c r="L81" s="7">
        <f t="shared" ca="1" si="4"/>
        <v>0.41666666666666669</v>
      </c>
      <c r="M81" s="7" t="str">
        <f t="shared" ca="1" si="4"/>
        <v>-</v>
      </c>
      <c r="N81" s="7">
        <f t="shared" ca="1" si="4"/>
        <v>0.52380952380952384</v>
      </c>
      <c r="O81" s="7">
        <f t="shared" ca="1" si="4"/>
        <v>0.52182539682539675</v>
      </c>
      <c r="P81" s="7">
        <f t="shared" ca="1" si="4"/>
        <v>0.43849206349206349</v>
      </c>
      <c r="Q81" s="7">
        <f t="shared" ca="1" si="4"/>
        <v>0.609375</v>
      </c>
      <c r="R81" s="7" t="str">
        <f t="shared" ca="1" si="4"/>
        <v>-</v>
      </c>
      <c r="S81" s="7" t="str">
        <f t="shared" ca="1" si="4"/>
        <v>-</v>
      </c>
      <c r="T81" s="7">
        <f t="shared" ca="1" si="4"/>
        <v>0.51388888888888884</v>
      </c>
      <c r="U81" s="7" t="str">
        <f t="shared" si="4"/>
        <v/>
      </c>
      <c r="V81" s="7" t="str">
        <f t="shared" si="4"/>
        <v/>
      </c>
      <c r="W81" s="7" t="str">
        <f t="shared" si="4"/>
        <v/>
      </c>
      <c r="X81" s="7" t="str">
        <f t="shared" si="4"/>
        <v/>
      </c>
      <c r="Y81" s="7" t="str">
        <f t="shared" si="4"/>
        <v/>
      </c>
      <c r="Z81" s="7" t="str">
        <f t="shared" si="4"/>
        <v/>
      </c>
      <c r="AA81" s="7" t="str">
        <f t="shared" si="4"/>
        <v/>
      </c>
      <c r="AB81" s="7" t="str">
        <f t="shared" si="4"/>
        <v/>
      </c>
      <c r="AC81" s="7" t="str">
        <f t="shared" si="4"/>
        <v/>
      </c>
      <c r="AD81" s="7" t="str">
        <f t="shared" si="4"/>
        <v/>
      </c>
      <c r="AE81" s="7" t="str">
        <f t="shared" si="4"/>
        <v/>
      </c>
      <c r="AF81" s="7" t="str">
        <f t="shared" si="4"/>
        <v/>
      </c>
      <c r="AG81" s="7" t="str">
        <f t="shared" si="4"/>
        <v/>
      </c>
      <c r="AH81" s="7" t="str">
        <f t="shared" si="4"/>
        <v/>
      </c>
      <c r="AI81" s="52">
        <f t="shared" ca="1" si="7"/>
        <v>0.49738205467372132</v>
      </c>
    </row>
    <row r="82" spans="2:35" x14ac:dyDescent="0.25">
      <c r="B82" s="1" t="str">
        <f t="shared" si="5"/>
        <v>Crvena Zvezda Meridianbet Belgrade</v>
      </c>
      <c r="C82" s="7" t="str">
        <f t="shared" ca="1" si="6"/>
        <v>-</v>
      </c>
      <c r="D82" s="7" t="str">
        <f t="shared" ca="1" si="4"/>
        <v>-</v>
      </c>
      <c r="E82" s="7">
        <f t="shared" ca="1" si="4"/>
        <v>0.48214285714285715</v>
      </c>
      <c r="F82" s="7" t="str">
        <f t="shared" ca="1" si="4"/>
        <v>-</v>
      </c>
      <c r="G82" s="7" t="str">
        <f t="shared" si="4"/>
        <v>-</v>
      </c>
      <c r="H82" s="7" t="str">
        <f t="shared" ca="1" si="4"/>
        <v>-</v>
      </c>
      <c r="I82" s="7">
        <f t="shared" ca="1" si="4"/>
        <v>0.56944444444444442</v>
      </c>
      <c r="J82" s="7">
        <f t="shared" ca="1" si="4"/>
        <v>0.46626984126984122</v>
      </c>
      <c r="K82" s="7">
        <f t="shared" ca="1" si="4"/>
        <v>0.43849206349206349</v>
      </c>
      <c r="L82" s="7">
        <f t="shared" ca="1" si="4"/>
        <v>0.41666666666666669</v>
      </c>
      <c r="M82" s="7" t="str">
        <f t="shared" ca="1" si="4"/>
        <v>-</v>
      </c>
      <c r="N82" s="7">
        <f t="shared" ca="1" si="4"/>
        <v>0.52380952380952384</v>
      </c>
      <c r="O82" s="7" t="str">
        <f t="shared" ca="1" si="4"/>
        <v>-</v>
      </c>
      <c r="P82" s="7">
        <f t="shared" ca="1" si="4"/>
        <v>0.43849206349206349</v>
      </c>
      <c r="Q82" s="7" t="str">
        <f t="shared" ca="1" si="4"/>
        <v>-</v>
      </c>
      <c r="R82" s="7" t="str">
        <f t="shared" ca="1" si="4"/>
        <v>-</v>
      </c>
      <c r="S82" s="7">
        <f t="shared" ca="1" si="4"/>
        <v>0.45833333333333331</v>
      </c>
      <c r="T82" s="7">
        <f t="shared" ca="1" si="4"/>
        <v>0.51388888888888884</v>
      </c>
      <c r="U82" s="7" t="str">
        <f t="shared" si="4"/>
        <v/>
      </c>
      <c r="V82" s="7" t="str">
        <f t="shared" si="4"/>
        <v/>
      </c>
      <c r="W82" s="7" t="str">
        <f t="shared" si="4"/>
        <v/>
      </c>
      <c r="X82" s="7" t="str">
        <f t="shared" si="4"/>
        <v/>
      </c>
      <c r="Y82" s="7" t="str">
        <f t="shared" si="4"/>
        <v/>
      </c>
      <c r="Z82" s="7" t="str">
        <f t="shared" si="4"/>
        <v/>
      </c>
      <c r="AA82" s="7" t="str">
        <f t="shared" si="4"/>
        <v/>
      </c>
      <c r="AB82" s="7" t="str">
        <f t="shared" si="4"/>
        <v/>
      </c>
      <c r="AC82" s="7" t="str">
        <f t="shared" si="4"/>
        <v/>
      </c>
      <c r="AD82" s="7" t="str">
        <f t="shared" si="4"/>
        <v/>
      </c>
      <c r="AE82" s="7" t="str">
        <f t="shared" si="4"/>
        <v/>
      </c>
      <c r="AF82" s="7" t="str">
        <f t="shared" si="4"/>
        <v/>
      </c>
      <c r="AG82" s="7" t="str">
        <f t="shared" si="4"/>
        <v/>
      </c>
      <c r="AH82" s="7" t="str">
        <f t="shared" si="4"/>
        <v/>
      </c>
      <c r="AI82" s="52">
        <f t="shared" ca="1" si="7"/>
        <v>0.47861552028218696</v>
      </c>
    </row>
    <row r="83" spans="2:35" x14ac:dyDescent="0.25">
      <c r="B83" s="1" t="str">
        <f t="shared" si="5"/>
        <v>EA7 Emporio Armani Milan</v>
      </c>
      <c r="C83" s="7">
        <f t="shared" ca="1" si="6"/>
        <v>0.41666666666666669</v>
      </c>
      <c r="D83" s="7">
        <f t="shared" ca="1" si="4"/>
        <v>0.56944444444444442</v>
      </c>
      <c r="E83" s="7">
        <f t="shared" ca="1" si="4"/>
        <v>0.48214285714285715</v>
      </c>
      <c r="F83" s="7" t="str">
        <f t="shared" ca="1" si="4"/>
        <v>-</v>
      </c>
      <c r="G83" s="7" t="str">
        <f t="shared" ca="1" si="4"/>
        <v>-</v>
      </c>
      <c r="H83" s="7" t="str">
        <f t="shared" si="4"/>
        <v>-</v>
      </c>
      <c r="I83" s="7" t="str">
        <f t="shared" ca="1" si="4"/>
        <v>-</v>
      </c>
      <c r="J83" s="7" t="str">
        <f t="shared" ca="1" si="4"/>
        <v>-</v>
      </c>
      <c r="K83" s="7">
        <f t="shared" ca="1" si="4"/>
        <v>0.43849206349206349</v>
      </c>
      <c r="L83" s="7" t="str">
        <f t="shared" ca="1" si="4"/>
        <v>-</v>
      </c>
      <c r="M83" s="7">
        <f t="shared" ca="1" si="4"/>
        <v>0.5</v>
      </c>
      <c r="N83" s="7">
        <f t="shared" ca="1" si="4"/>
        <v>0.52380952380952384</v>
      </c>
      <c r="O83" s="7" t="str">
        <f t="shared" ca="1" si="4"/>
        <v>-</v>
      </c>
      <c r="P83" s="7" t="str">
        <f t="shared" ca="1" si="4"/>
        <v>-</v>
      </c>
      <c r="Q83" s="7">
        <f t="shared" ca="1" si="4"/>
        <v>0.609375</v>
      </c>
      <c r="R83" s="7">
        <f t="shared" ca="1" si="4"/>
        <v>0.55158730158730163</v>
      </c>
      <c r="S83" s="7">
        <f t="shared" ca="1" si="4"/>
        <v>0.45833333333333331</v>
      </c>
      <c r="T83" s="7" t="str">
        <f t="shared" ca="1" si="4"/>
        <v>-</v>
      </c>
      <c r="U83" s="7" t="str">
        <f t="shared" si="4"/>
        <v/>
      </c>
      <c r="V83" s="7" t="str">
        <f t="shared" si="4"/>
        <v/>
      </c>
      <c r="W83" s="7" t="str">
        <f t="shared" si="4"/>
        <v/>
      </c>
      <c r="X83" s="7" t="str">
        <f t="shared" si="4"/>
        <v/>
      </c>
      <c r="Y83" s="7" t="str">
        <f t="shared" si="4"/>
        <v/>
      </c>
      <c r="Z83" s="7" t="str">
        <f t="shared" si="4"/>
        <v/>
      </c>
      <c r="AA83" s="7" t="str">
        <f t="shared" si="4"/>
        <v/>
      </c>
      <c r="AB83" s="7" t="str">
        <f t="shared" si="4"/>
        <v/>
      </c>
      <c r="AC83" s="7" t="str">
        <f t="shared" si="4"/>
        <v/>
      </c>
      <c r="AD83" s="7" t="str">
        <f t="shared" si="4"/>
        <v/>
      </c>
      <c r="AE83" s="7" t="str">
        <f t="shared" si="4"/>
        <v/>
      </c>
      <c r="AF83" s="7" t="str">
        <f t="shared" si="4"/>
        <v/>
      </c>
      <c r="AG83" s="7" t="str">
        <f t="shared" si="4"/>
        <v/>
      </c>
      <c r="AH83" s="7" t="str">
        <f t="shared" si="4"/>
        <v/>
      </c>
      <c r="AI83" s="52">
        <f t="shared" ca="1" si="7"/>
        <v>0.50553902116402105</v>
      </c>
    </row>
    <row r="84" spans="2:35" x14ac:dyDescent="0.25">
      <c r="B84" s="1" t="str">
        <f t="shared" si="5"/>
        <v>FC Barcelona</v>
      </c>
      <c r="C84" s="7" t="str">
        <f t="shared" ca="1" si="6"/>
        <v>-</v>
      </c>
      <c r="D84" s="7">
        <f t="shared" ca="1" si="4"/>
        <v>0.56944444444444442</v>
      </c>
      <c r="E84" s="7" t="str">
        <f t="shared" ca="1" si="4"/>
        <v>-</v>
      </c>
      <c r="F84" s="7">
        <f t="shared" ca="1" si="4"/>
        <v>0.5</v>
      </c>
      <c r="G84" s="7">
        <f t="shared" ca="1" si="4"/>
        <v>0.4861111111111111</v>
      </c>
      <c r="H84" s="7" t="str">
        <f t="shared" ca="1" si="4"/>
        <v>-</v>
      </c>
      <c r="I84" s="7" t="str">
        <f t="shared" si="4"/>
        <v>-</v>
      </c>
      <c r="J84" s="7">
        <f t="shared" ca="1" si="4"/>
        <v>0.46626984126984122</v>
      </c>
      <c r="K84" s="7" t="str">
        <f t="shared" ca="1" si="4"/>
        <v>-</v>
      </c>
      <c r="L84" s="7" t="str">
        <f t="shared" ca="1" si="4"/>
        <v>-</v>
      </c>
      <c r="M84" s="7" t="str">
        <f t="shared" ca="1" si="4"/>
        <v>-</v>
      </c>
      <c r="N84" s="7">
        <f t="shared" ca="1" si="4"/>
        <v>0.52380952380952384</v>
      </c>
      <c r="O84" s="7">
        <f t="shared" ca="1" si="4"/>
        <v>0.52182539682539675</v>
      </c>
      <c r="P84" s="7">
        <f t="shared" ca="1" si="4"/>
        <v>0.43849206349206349</v>
      </c>
      <c r="Q84" s="7">
        <f t="shared" ca="1" si="4"/>
        <v>0.609375</v>
      </c>
      <c r="R84" s="7">
        <f t="shared" ca="1" si="4"/>
        <v>0.55158730158730163</v>
      </c>
      <c r="S84" s="7" t="str">
        <f t="shared" ca="1" si="4"/>
        <v>-</v>
      </c>
      <c r="T84" s="7" t="str">
        <f t="shared" ca="1" si="4"/>
        <v>-</v>
      </c>
      <c r="U84" s="7" t="str">
        <f t="shared" si="4"/>
        <v/>
      </c>
      <c r="V84" s="7" t="str">
        <f t="shared" si="4"/>
        <v/>
      </c>
      <c r="W84" s="7" t="str">
        <f t="shared" si="4"/>
        <v/>
      </c>
      <c r="X84" s="7" t="str">
        <f t="shared" si="4"/>
        <v/>
      </c>
      <c r="Y84" s="7" t="str">
        <f t="shared" si="4"/>
        <v/>
      </c>
      <c r="Z84" s="7" t="str">
        <f t="shared" si="4"/>
        <v/>
      </c>
      <c r="AA84" s="7" t="str">
        <f t="shared" si="4"/>
        <v/>
      </c>
      <c r="AB84" s="7" t="str">
        <f t="shared" si="4"/>
        <v/>
      </c>
      <c r="AC84" s="7" t="str">
        <f t="shared" si="4"/>
        <v/>
      </c>
      <c r="AD84" s="7" t="str">
        <f t="shared" si="4"/>
        <v/>
      </c>
      <c r="AE84" s="7" t="str">
        <f t="shared" si="4"/>
        <v/>
      </c>
      <c r="AF84" s="7" t="str">
        <f t="shared" si="4"/>
        <v/>
      </c>
      <c r="AG84" s="7" t="str">
        <f t="shared" si="4"/>
        <v/>
      </c>
      <c r="AH84" s="7" t="str">
        <f t="shared" si="4"/>
        <v/>
      </c>
      <c r="AI84" s="52">
        <f t="shared" ca="1" si="7"/>
        <v>0.51854607583774248</v>
      </c>
    </row>
    <row r="85" spans="2:35" x14ac:dyDescent="0.25">
      <c r="B85" s="1" t="str">
        <f t="shared" si="5"/>
        <v>FC Bayern Munich</v>
      </c>
      <c r="C85" s="7">
        <f t="shared" ca="1" si="6"/>
        <v>0.41666666666666669</v>
      </c>
      <c r="D85" s="7" t="str">
        <f t="shared" ca="1" si="4"/>
        <v>-</v>
      </c>
      <c r="E85" s="7" t="str">
        <f t="shared" ca="1" si="4"/>
        <v>-</v>
      </c>
      <c r="F85" s="7">
        <f t="shared" ca="1" si="4"/>
        <v>0.5</v>
      </c>
      <c r="G85" s="7">
        <f t="shared" ca="1" si="4"/>
        <v>0.4861111111111111</v>
      </c>
      <c r="H85" s="7" t="str">
        <f t="shared" ca="1" si="4"/>
        <v>-</v>
      </c>
      <c r="I85" s="7">
        <f t="shared" ca="1" si="4"/>
        <v>0.56944444444444442</v>
      </c>
      <c r="J85" s="7" t="str">
        <f t="shared" si="4"/>
        <v>-</v>
      </c>
      <c r="K85" s="7">
        <f t="shared" ca="1" si="4"/>
        <v>0.43849206349206349</v>
      </c>
      <c r="L85" s="7" t="str">
        <f t="shared" ca="1" si="4"/>
        <v>-</v>
      </c>
      <c r="M85" s="7">
        <f t="shared" ca="1" si="4"/>
        <v>0.5</v>
      </c>
      <c r="N85" s="7" t="str">
        <f t="shared" ca="1" si="4"/>
        <v>-</v>
      </c>
      <c r="O85" s="7">
        <f t="shared" ca="1" si="4"/>
        <v>0.52182539682539675</v>
      </c>
      <c r="P85" s="7">
        <f t="shared" ca="1" si="4"/>
        <v>0.43849206349206349</v>
      </c>
      <c r="Q85" s="7" t="str">
        <f t="shared" ca="1" si="4"/>
        <v>-</v>
      </c>
      <c r="R85" s="7" t="str">
        <f t="shared" ca="1" si="4"/>
        <v>-</v>
      </c>
      <c r="S85" s="7" t="str">
        <f t="shared" ca="1" si="4"/>
        <v>-</v>
      </c>
      <c r="T85" s="7">
        <f t="shared" ca="1" si="4"/>
        <v>0.51388888888888884</v>
      </c>
      <c r="U85" s="7" t="str">
        <f t="shared" si="4"/>
        <v/>
      </c>
      <c r="V85" s="7" t="str">
        <f t="shared" si="4"/>
        <v/>
      </c>
      <c r="W85" s="7" t="str">
        <f t="shared" si="4"/>
        <v/>
      </c>
      <c r="X85" s="7" t="str">
        <f t="shared" si="4"/>
        <v/>
      </c>
      <c r="Y85" s="7" t="str">
        <f t="shared" si="4"/>
        <v/>
      </c>
      <c r="Z85" s="7" t="str">
        <f t="shared" si="4"/>
        <v/>
      </c>
      <c r="AA85" s="7" t="str">
        <f t="shared" si="4"/>
        <v/>
      </c>
      <c r="AB85" s="7" t="str">
        <f t="shared" si="4"/>
        <v/>
      </c>
      <c r="AC85" s="7" t="str">
        <f t="shared" si="4"/>
        <v/>
      </c>
      <c r="AD85" s="7" t="str">
        <f t="shared" si="4"/>
        <v/>
      </c>
      <c r="AE85" s="7" t="str">
        <f t="shared" si="4"/>
        <v/>
      </c>
      <c r="AF85" s="7" t="str">
        <f t="shared" si="4"/>
        <v/>
      </c>
      <c r="AG85" s="7" t="str">
        <f t="shared" si="4"/>
        <v/>
      </c>
      <c r="AH85" s="7" t="str">
        <f t="shared" si="4"/>
        <v/>
      </c>
      <c r="AI85" s="52">
        <f t="shared" ca="1" si="7"/>
        <v>0.48721340388007051</v>
      </c>
    </row>
    <row r="86" spans="2:35" x14ac:dyDescent="0.25">
      <c r="B86" s="1" t="str">
        <f t="shared" si="5"/>
        <v>Fenerbahce Beko Istanbul</v>
      </c>
      <c r="C86" s="7" t="str">
        <f t="shared" ca="1" si="6"/>
        <v>-</v>
      </c>
      <c r="D86" s="7" t="str">
        <f t="shared" ca="1" si="4"/>
        <v>-</v>
      </c>
      <c r="E86" s="7" t="str">
        <f t="shared" ca="1" si="4"/>
        <v>-</v>
      </c>
      <c r="F86" s="7" t="str">
        <f t="shared" ca="1" si="4"/>
        <v>-</v>
      </c>
      <c r="G86" s="7">
        <f t="shared" ca="1" si="4"/>
        <v>0.4861111111111111</v>
      </c>
      <c r="H86" s="7">
        <f t="shared" ca="1" si="4"/>
        <v>0.54960317460317454</v>
      </c>
      <c r="I86" s="7" t="str">
        <f t="shared" ca="1" si="4"/>
        <v>-</v>
      </c>
      <c r="J86" s="7">
        <f t="shared" ca="1" si="4"/>
        <v>0.46626984126984122</v>
      </c>
      <c r="K86" s="7" t="str">
        <f t="shared" si="4"/>
        <v>-</v>
      </c>
      <c r="L86" s="7">
        <f t="shared" ca="1" si="4"/>
        <v>0.41666666666666669</v>
      </c>
      <c r="M86" s="7">
        <f t="shared" ca="1" si="4"/>
        <v>0.5</v>
      </c>
      <c r="N86" s="7">
        <f t="shared" ca="1" si="4"/>
        <v>0.52380952380952384</v>
      </c>
      <c r="O86" s="7">
        <f t="shared" ca="1" si="4"/>
        <v>0.52182539682539675</v>
      </c>
      <c r="P86" s="7">
        <f t="shared" ca="1" si="4"/>
        <v>0.43849206349206349</v>
      </c>
      <c r="Q86" s="7" t="str">
        <f t="shared" ca="1" si="4"/>
        <v>-</v>
      </c>
      <c r="R86" s="7">
        <f t="shared" ca="1" si="4"/>
        <v>0.55158730158730163</v>
      </c>
      <c r="S86" s="7" t="str">
        <f t="shared" ca="1" si="4"/>
        <v>-</v>
      </c>
      <c r="T86" s="7" t="str">
        <f t="shared" ca="1" si="4"/>
        <v>-</v>
      </c>
      <c r="U86" s="7" t="str">
        <f t="shared" si="4"/>
        <v/>
      </c>
      <c r="V86" s="7" t="str">
        <f t="shared" si="4"/>
        <v/>
      </c>
      <c r="W86" s="7" t="str">
        <f t="shared" si="4"/>
        <v/>
      </c>
      <c r="X86" s="7" t="str">
        <f t="shared" si="4"/>
        <v/>
      </c>
      <c r="Y86" s="7" t="str">
        <f t="shared" si="4"/>
        <v/>
      </c>
      <c r="Z86" s="7" t="str">
        <f t="shared" ref="D86:AH94" si="8">IF($B86="","",IF(Z$77="","",IF($B86=Z$7,"-",IF(Z16&gt;0,INDEX($AI$43:$AI$74,MATCH(Z$77,$B$43:$B$74,0)),"-"))))</f>
        <v/>
      </c>
      <c r="AA86" s="7" t="str">
        <f t="shared" si="8"/>
        <v/>
      </c>
      <c r="AB86" s="7" t="str">
        <f t="shared" si="8"/>
        <v/>
      </c>
      <c r="AC86" s="7" t="str">
        <f t="shared" si="8"/>
        <v/>
      </c>
      <c r="AD86" s="7" t="str">
        <f t="shared" si="8"/>
        <v/>
      </c>
      <c r="AE86" s="7" t="str">
        <f t="shared" si="8"/>
        <v/>
      </c>
      <c r="AF86" s="7" t="str">
        <f t="shared" si="8"/>
        <v/>
      </c>
      <c r="AG86" s="7" t="str">
        <f t="shared" si="8"/>
        <v/>
      </c>
      <c r="AH86" s="7" t="str">
        <f t="shared" si="8"/>
        <v/>
      </c>
      <c r="AI86" s="52">
        <f t="shared" ca="1" si="7"/>
        <v>0.49492945326278659</v>
      </c>
    </row>
    <row r="87" spans="2:35" x14ac:dyDescent="0.25">
      <c r="B87" s="1" t="str">
        <f t="shared" si="5"/>
        <v>LDLC ASVEL Villeurbanne</v>
      </c>
      <c r="C87" s="7">
        <f t="shared" ca="1" si="6"/>
        <v>0.41666666666666669</v>
      </c>
      <c r="D87" s="7">
        <f t="shared" ca="1" si="8"/>
        <v>0.56944444444444442</v>
      </c>
      <c r="E87" s="7">
        <f t="shared" ca="1" si="8"/>
        <v>0.48214285714285715</v>
      </c>
      <c r="F87" s="7">
        <f t="shared" ca="1" si="8"/>
        <v>0.5</v>
      </c>
      <c r="G87" s="7">
        <f t="shared" ca="1" si="8"/>
        <v>0.4861111111111111</v>
      </c>
      <c r="H87" s="7" t="str">
        <f t="shared" ca="1" si="8"/>
        <v>-</v>
      </c>
      <c r="I87" s="7" t="str">
        <f t="shared" ca="1" si="8"/>
        <v>-</v>
      </c>
      <c r="J87" s="7" t="str">
        <f t="shared" ca="1" si="8"/>
        <v>-</v>
      </c>
      <c r="K87" s="7">
        <f t="shared" ca="1" si="8"/>
        <v>0.43849206349206349</v>
      </c>
      <c r="L87" s="7" t="str">
        <f t="shared" si="8"/>
        <v>-</v>
      </c>
      <c r="M87" s="7" t="str">
        <f t="shared" ca="1" si="8"/>
        <v>-</v>
      </c>
      <c r="N87" s="7" t="str">
        <f t="shared" ca="1" si="8"/>
        <v>-</v>
      </c>
      <c r="O87" s="7" t="str">
        <f t="shared" ca="1" si="8"/>
        <v>-</v>
      </c>
      <c r="P87" s="7">
        <f t="shared" ca="1" si="8"/>
        <v>0.43849206349206349</v>
      </c>
      <c r="Q87" s="7" t="str">
        <f t="shared" ca="1" si="8"/>
        <v>-</v>
      </c>
      <c r="R87" s="7" t="str">
        <f t="shared" ca="1" si="8"/>
        <v>-</v>
      </c>
      <c r="S87" s="7">
        <f t="shared" ca="1" si="8"/>
        <v>0.45833333333333331</v>
      </c>
      <c r="T87" s="7">
        <f t="shared" ca="1" si="8"/>
        <v>0.51388888888888884</v>
      </c>
      <c r="U87" s="7" t="str">
        <f t="shared" si="8"/>
        <v/>
      </c>
      <c r="V87" s="7" t="str">
        <f t="shared" si="8"/>
        <v/>
      </c>
      <c r="W87" s="7" t="str">
        <f t="shared" si="8"/>
        <v/>
      </c>
      <c r="X87" s="7" t="str">
        <f t="shared" si="8"/>
        <v/>
      </c>
      <c r="Y87" s="7" t="str">
        <f t="shared" si="8"/>
        <v/>
      </c>
      <c r="Z87" s="7" t="str">
        <f t="shared" si="8"/>
        <v/>
      </c>
      <c r="AA87" s="7" t="str">
        <f t="shared" si="8"/>
        <v/>
      </c>
      <c r="AB87" s="7" t="str">
        <f t="shared" si="8"/>
        <v/>
      </c>
      <c r="AC87" s="7" t="str">
        <f t="shared" si="8"/>
        <v/>
      </c>
      <c r="AD87" s="7" t="str">
        <f t="shared" si="8"/>
        <v/>
      </c>
      <c r="AE87" s="7" t="str">
        <f t="shared" si="8"/>
        <v/>
      </c>
      <c r="AF87" s="7" t="str">
        <f t="shared" si="8"/>
        <v/>
      </c>
      <c r="AG87" s="7" t="str">
        <f t="shared" si="8"/>
        <v/>
      </c>
      <c r="AH87" s="7" t="str">
        <f t="shared" si="8"/>
        <v/>
      </c>
      <c r="AI87" s="52">
        <f t="shared" ca="1" si="7"/>
        <v>0.4781746031746032</v>
      </c>
    </row>
    <row r="88" spans="2:35" x14ac:dyDescent="0.25">
      <c r="B88" s="1" t="str">
        <f t="shared" si="5"/>
        <v>Maccabi Playtika Tel Aviv</v>
      </c>
      <c r="C88" s="7" t="str">
        <f t="shared" ca="1" si="6"/>
        <v>-</v>
      </c>
      <c r="D88" s="7" t="str">
        <f t="shared" ca="1" si="8"/>
        <v>-</v>
      </c>
      <c r="E88" s="7">
        <f t="shared" ca="1" si="8"/>
        <v>0.48214285714285715</v>
      </c>
      <c r="F88" s="7" t="str">
        <f t="shared" ca="1" si="8"/>
        <v>-</v>
      </c>
      <c r="G88" s="7" t="str">
        <f t="shared" ca="1" si="8"/>
        <v>-</v>
      </c>
      <c r="H88" s="7">
        <f t="shared" ca="1" si="8"/>
        <v>0.54960317460317454</v>
      </c>
      <c r="I88" s="7" t="str">
        <f t="shared" ca="1" si="8"/>
        <v>-</v>
      </c>
      <c r="J88" s="7">
        <f t="shared" ca="1" si="8"/>
        <v>0.46626984126984122</v>
      </c>
      <c r="K88" s="7">
        <f t="shared" ca="1" si="8"/>
        <v>0.43849206349206349</v>
      </c>
      <c r="L88" s="7" t="str">
        <f t="shared" ca="1" si="8"/>
        <v>-</v>
      </c>
      <c r="M88" s="7" t="str">
        <f t="shared" si="8"/>
        <v>-</v>
      </c>
      <c r="N88" s="7">
        <f t="shared" ca="1" si="8"/>
        <v>0.52380952380952384</v>
      </c>
      <c r="O88" s="7">
        <f t="shared" ca="1" si="8"/>
        <v>0.52182539682539675</v>
      </c>
      <c r="P88" s="7">
        <f t="shared" ca="1" si="8"/>
        <v>0.43849206349206349</v>
      </c>
      <c r="Q88" s="7" t="str">
        <f t="shared" ca="1" si="8"/>
        <v>-</v>
      </c>
      <c r="R88" s="7">
        <f t="shared" ca="1" si="8"/>
        <v>0.55158730158730163</v>
      </c>
      <c r="S88" s="7" t="str">
        <f t="shared" ca="1" si="8"/>
        <v>-</v>
      </c>
      <c r="T88" s="7" t="str">
        <f t="shared" ca="1" si="8"/>
        <v>-</v>
      </c>
      <c r="U88" s="7" t="str">
        <f t="shared" si="8"/>
        <v/>
      </c>
      <c r="V88" s="7" t="str">
        <f t="shared" si="8"/>
        <v/>
      </c>
      <c r="W88" s="7" t="str">
        <f t="shared" si="8"/>
        <v/>
      </c>
      <c r="X88" s="7" t="str">
        <f t="shared" si="8"/>
        <v/>
      </c>
      <c r="Y88" s="7" t="str">
        <f t="shared" si="8"/>
        <v/>
      </c>
      <c r="Z88" s="7" t="str">
        <f t="shared" si="8"/>
        <v/>
      </c>
      <c r="AA88" s="7" t="str">
        <f t="shared" si="8"/>
        <v/>
      </c>
      <c r="AB88" s="7" t="str">
        <f t="shared" si="8"/>
        <v/>
      </c>
      <c r="AC88" s="7" t="str">
        <f t="shared" si="8"/>
        <v/>
      </c>
      <c r="AD88" s="7" t="str">
        <f t="shared" si="8"/>
        <v/>
      </c>
      <c r="AE88" s="7" t="str">
        <f t="shared" si="8"/>
        <v/>
      </c>
      <c r="AF88" s="7" t="str">
        <f t="shared" si="8"/>
        <v/>
      </c>
      <c r="AG88" s="7" t="str">
        <f t="shared" si="8"/>
        <v/>
      </c>
      <c r="AH88" s="7" t="str">
        <f t="shared" si="8"/>
        <v/>
      </c>
      <c r="AI88" s="52">
        <f t="shared" ca="1" si="7"/>
        <v>0.49652777777777768</v>
      </c>
    </row>
    <row r="89" spans="2:35" x14ac:dyDescent="0.25">
      <c r="B89" s="1" t="str">
        <f t="shared" si="5"/>
        <v>Olympiacos Piraeus</v>
      </c>
      <c r="C89" s="7" t="str">
        <f t="shared" ca="1" si="6"/>
        <v>-</v>
      </c>
      <c r="D89" s="7">
        <f t="shared" ca="1" si="8"/>
        <v>0.56944444444444442</v>
      </c>
      <c r="E89" s="7" t="str">
        <f t="shared" ca="1" si="8"/>
        <v>-</v>
      </c>
      <c r="F89" s="7">
        <f t="shared" ca="1" si="8"/>
        <v>0.5</v>
      </c>
      <c r="G89" s="7">
        <f t="shared" ca="1" si="8"/>
        <v>0.4861111111111111</v>
      </c>
      <c r="H89" s="7">
        <f t="shared" ca="1" si="8"/>
        <v>0.54960317460317454</v>
      </c>
      <c r="I89" s="7">
        <f t="shared" ca="1" si="8"/>
        <v>0.56944444444444442</v>
      </c>
      <c r="J89" s="7" t="str">
        <f t="shared" ca="1" si="8"/>
        <v>-</v>
      </c>
      <c r="K89" s="7">
        <f t="shared" ca="1" si="8"/>
        <v>0.43849206349206349</v>
      </c>
      <c r="L89" s="7" t="str">
        <f t="shared" ca="1" si="8"/>
        <v>-</v>
      </c>
      <c r="M89" s="7">
        <f t="shared" ca="1" si="8"/>
        <v>0.5</v>
      </c>
      <c r="N89" s="7" t="str">
        <f t="shared" si="8"/>
        <v>-</v>
      </c>
      <c r="O89" s="7">
        <f t="shared" ca="1" si="8"/>
        <v>0.52182539682539675</v>
      </c>
      <c r="P89" s="7">
        <f t="shared" ca="1" si="8"/>
        <v>0.43849206349206349</v>
      </c>
      <c r="Q89" s="7" t="str">
        <f t="shared" ca="1" si="8"/>
        <v>-</v>
      </c>
      <c r="R89" s="7" t="str">
        <f t="shared" ca="1" si="8"/>
        <v>-</v>
      </c>
      <c r="S89" s="7" t="str">
        <f t="shared" ca="1" si="8"/>
        <v>-</v>
      </c>
      <c r="T89" s="7" t="str">
        <f t="shared" ca="1" si="8"/>
        <v>-</v>
      </c>
      <c r="U89" s="7" t="str">
        <f t="shared" si="8"/>
        <v/>
      </c>
      <c r="V89" s="7" t="str">
        <f t="shared" si="8"/>
        <v/>
      </c>
      <c r="W89" s="7" t="str">
        <f t="shared" si="8"/>
        <v/>
      </c>
      <c r="X89" s="7" t="str">
        <f t="shared" si="8"/>
        <v/>
      </c>
      <c r="Y89" s="7" t="str">
        <f t="shared" si="8"/>
        <v/>
      </c>
      <c r="Z89" s="7" t="str">
        <f t="shared" si="8"/>
        <v/>
      </c>
      <c r="AA89" s="7" t="str">
        <f t="shared" si="8"/>
        <v/>
      </c>
      <c r="AB89" s="7" t="str">
        <f t="shared" si="8"/>
        <v/>
      </c>
      <c r="AC89" s="7" t="str">
        <f t="shared" si="8"/>
        <v/>
      </c>
      <c r="AD89" s="7" t="str">
        <f t="shared" si="8"/>
        <v/>
      </c>
      <c r="AE89" s="7" t="str">
        <f t="shared" si="8"/>
        <v/>
      </c>
      <c r="AF89" s="7" t="str">
        <f t="shared" si="8"/>
        <v/>
      </c>
      <c r="AG89" s="7" t="str">
        <f t="shared" si="8"/>
        <v/>
      </c>
      <c r="AH89" s="7" t="str">
        <f t="shared" si="8"/>
        <v/>
      </c>
      <c r="AI89" s="52">
        <f t="shared" ca="1" si="7"/>
        <v>0.50815696649029973</v>
      </c>
    </row>
    <row r="90" spans="2:35" x14ac:dyDescent="0.25">
      <c r="B90" s="1" t="str">
        <f t="shared" si="5"/>
        <v>Panathinaikos Athens</v>
      </c>
      <c r="C90" s="7">
        <f t="shared" ca="1" si="6"/>
        <v>0.41666666666666669</v>
      </c>
      <c r="D90" s="7" t="str">
        <f t="shared" ca="1" si="8"/>
        <v>-</v>
      </c>
      <c r="E90" s="7" t="str">
        <f t="shared" ca="1" si="8"/>
        <v>-</v>
      </c>
      <c r="F90" s="7">
        <f t="shared" ca="1" si="8"/>
        <v>0.5</v>
      </c>
      <c r="G90" s="7" t="str">
        <f t="shared" ca="1" si="8"/>
        <v>-</v>
      </c>
      <c r="H90" s="7" t="str">
        <f t="shared" ca="1" si="8"/>
        <v>-</v>
      </c>
      <c r="I90" s="7">
        <f t="shared" ca="1" si="8"/>
        <v>0.56944444444444442</v>
      </c>
      <c r="J90" s="7">
        <f t="shared" ca="1" si="8"/>
        <v>0.46626984126984122</v>
      </c>
      <c r="K90" s="7">
        <f t="shared" ca="1" si="8"/>
        <v>0.43849206349206349</v>
      </c>
      <c r="L90" s="7" t="str">
        <f t="shared" ca="1" si="8"/>
        <v>-</v>
      </c>
      <c r="M90" s="7">
        <f t="shared" ca="1" si="8"/>
        <v>0.5</v>
      </c>
      <c r="N90" s="7">
        <f t="shared" ca="1" si="8"/>
        <v>0.52380952380952384</v>
      </c>
      <c r="O90" s="7" t="str">
        <f t="shared" si="8"/>
        <v>-</v>
      </c>
      <c r="P90" s="7" t="str">
        <f t="shared" ca="1" si="8"/>
        <v>-</v>
      </c>
      <c r="Q90" s="7" t="str">
        <f t="shared" ca="1" si="8"/>
        <v>-</v>
      </c>
      <c r="R90" s="7" t="str">
        <f t="shared" ca="1" si="8"/>
        <v>-</v>
      </c>
      <c r="S90" s="7">
        <f t="shared" ca="1" si="8"/>
        <v>0.45833333333333331</v>
      </c>
      <c r="T90" s="7">
        <f t="shared" ca="1" si="8"/>
        <v>0.51388888888888884</v>
      </c>
      <c r="U90" s="7" t="str">
        <f t="shared" si="8"/>
        <v/>
      </c>
      <c r="V90" s="7" t="str">
        <f t="shared" si="8"/>
        <v/>
      </c>
      <c r="W90" s="7" t="str">
        <f t="shared" si="8"/>
        <v/>
      </c>
      <c r="X90" s="7" t="str">
        <f t="shared" si="8"/>
        <v/>
      </c>
      <c r="Y90" s="7" t="str">
        <f t="shared" si="8"/>
        <v/>
      </c>
      <c r="Z90" s="7" t="str">
        <f t="shared" si="8"/>
        <v/>
      </c>
      <c r="AA90" s="7" t="str">
        <f t="shared" si="8"/>
        <v/>
      </c>
      <c r="AB90" s="7" t="str">
        <f t="shared" si="8"/>
        <v/>
      </c>
      <c r="AC90" s="7" t="str">
        <f t="shared" si="8"/>
        <v/>
      </c>
      <c r="AD90" s="7" t="str">
        <f t="shared" si="8"/>
        <v/>
      </c>
      <c r="AE90" s="7" t="str">
        <f t="shared" si="8"/>
        <v/>
      </c>
      <c r="AF90" s="7" t="str">
        <f t="shared" si="8"/>
        <v/>
      </c>
      <c r="AG90" s="7" t="str">
        <f t="shared" si="8"/>
        <v/>
      </c>
      <c r="AH90" s="7" t="str">
        <f t="shared" si="8"/>
        <v/>
      </c>
      <c r="AI90" s="52">
        <f t="shared" ca="1" si="7"/>
        <v>0.48743386243386244</v>
      </c>
    </row>
    <row r="91" spans="2:35" x14ac:dyDescent="0.25">
      <c r="B91" s="1" t="str">
        <f t="shared" si="5"/>
        <v>Partizan Mozzart Bet Belgrade</v>
      </c>
      <c r="C91" s="7">
        <f t="shared" ca="1" si="6"/>
        <v>0.41666666666666669</v>
      </c>
      <c r="D91" s="7" t="str">
        <f t="shared" ca="1" si="8"/>
        <v>-</v>
      </c>
      <c r="E91" s="7" t="str">
        <f t="shared" ca="1" si="8"/>
        <v>-</v>
      </c>
      <c r="F91" s="7">
        <f t="shared" ca="1" si="8"/>
        <v>0.5</v>
      </c>
      <c r="G91" s="7">
        <f t="shared" ca="1" si="8"/>
        <v>0.4861111111111111</v>
      </c>
      <c r="H91" s="7" t="str">
        <f t="shared" ca="1" si="8"/>
        <v>-</v>
      </c>
      <c r="I91" s="7">
        <f t="shared" ca="1" si="8"/>
        <v>0.56944444444444442</v>
      </c>
      <c r="J91" s="7">
        <f t="shared" ca="1" si="8"/>
        <v>0.46626984126984122</v>
      </c>
      <c r="K91" s="7">
        <f t="shared" ca="1" si="8"/>
        <v>0.43849206349206349</v>
      </c>
      <c r="L91" s="7">
        <f t="shared" ca="1" si="8"/>
        <v>0.41666666666666669</v>
      </c>
      <c r="M91" s="7">
        <f t="shared" ca="1" si="8"/>
        <v>0.5</v>
      </c>
      <c r="N91" s="7">
        <f t="shared" ca="1" si="8"/>
        <v>0.52380952380952384</v>
      </c>
      <c r="O91" s="7" t="str">
        <f t="shared" ca="1" si="8"/>
        <v>-</v>
      </c>
      <c r="P91" s="7" t="str">
        <f t="shared" si="8"/>
        <v>-</v>
      </c>
      <c r="Q91" s="7" t="str">
        <f t="shared" ca="1" si="8"/>
        <v>-</v>
      </c>
      <c r="R91" s="7" t="str">
        <f t="shared" ca="1" si="8"/>
        <v>-</v>
      </c>
      <c r="S91" s="7" t="str">
        <f t="shared" ca="1" si="8"/>
        <v>-</v>
      </c>
      <c r="T91" s="7" t="str">
        <f t="shared" ca="1" si="8"/>
        <v>-</v>
      </c>
      <c r="U91" s="7" t="str">
        <f t="shared" si="8"/>
        <v/>
      </c>
      <c r="V91" s="7" t="str">
        <f t="shared" si="8"/>
        <v/>
      </c>
      <c r="W91" s="7" t="str">
        <f t="shared" si="8"/>
        <v/>
      </c>
      <c r="X91" s="7" t="str">
        <f t="shared" si="8"/>
        <v/>
      </c>
      <c r="Y91" s="7" t="str">
        <f t="shared" si="8"/>
        <v/>
      </c>
      <c r="Z91" s="7" t="str">
        <f t="shared" si="8"/>
        <v/>
      </c>
      <c r="AA91" s="7" t="str">
        <f t="shared" si="8"/>
        <v/>
      </c>
      <c r="AB91" s="7" t="str">
        <f t="shared" si="8"/>
        <v/>
      </c>
      <c r="AC91" s="7" t="str">
        <f t="shared" si="8"/>
        <v/>
      </c>
      <c r="AD91" s="7" t="str">
        <f t="shared" si="8"/>
        <v/>
      </c>
      <c r="AE91" s="7" t="str">
        <f t="shared" si="8"/>
        <v/>
      </c>
      <c r="AF91" s="7" t="str">
        <f t="shared" si="8"/>
        <v/>
      </c>
      <c r="AG91" s="7" t="str">
        <f t="shared" si="8"/>
        <v/>
      </c>
      <c r="AH91" s="7" t="str">
        <f t="shared" si="8"/>
        <v/>
      </c>
      <c r="AI91" s="52">
        <f t="shared" ca="1" si="7"/>
        <v>0.47971781305114647</v>
      </c>
    </row>
    <row r="92" spans="2:35" x14ac:dyDescent="0.25">
      <c r="B92" s="1" t="str">
        <f t="shared" si="5"/>
        <v>Real Madrid</v>
      </c>
      <c r="C92" s="7" t="str">
        <f t="shared" ca="1" si="6"/>
        <v>-</v>
      </c>
      <c r="D92" s="7">
        <f t="shared" ca="1" si="8"/>
        <v>0.56944444444444442</v>
      </c>
      <c r="E92" s="7">
        <f t="shared" ca="1" si="8"/>
        <v>0.48214285714285715</v>
      </c>
      <c r="F92" s="7">
        <f t="shared" ca="1" si="8"/>
        <v>0.5</v>
      </c>
      <c r="G92" s="7" t="str">
        <f t="shared" ca="1" si="8"/>
        <v>-</v>
      </c>
      <c r="H92" s="7">
        <f t="shared" ca="1" si="8"/>
        <v>0.54960317460317454</v>
      </c>
      <c r="I92" s="7">
        <f t="shared" ca="1" si="8"/>
        <v>0.56944444444444442</v>
      </c>
      <c r="J92" s="7" t="str">
        <f t="shared" ca="1" si="8"/>
        <v>-</v>
      </c>
      <c r="K92" s="7" t="str">
        <f t="shared" ca="1" si="8"/>
        <v>-</v>
      </c>
      <c r="L92" s="7" t="str">
        <f t="shared" ca="1" si="8"/>
        <v>-</v>
      </c>
      <c r="M92" s="7" t="str">
        <f t="shared" ca="1" si="8"/>
        <v>-</v>
      </c>
      <c r="N92" s="7" t="str">
        <f t="shared" ca="1" si="8"/>
        <v>-</v>
      </c>
      <c r="O92" s="7" t="str">
        <f t="shared" ca="1" si="8"/>
        <v>-</v>
      </c>
      <c r="P92" s="7" t="str">
        <f t="shared" ca="1" si="8"/>
        <v>-</v>
      </c>
      <c r="Q92" s="7" t="str">
        <f t="shared" si="8"/>
        <v>-</v>
      </c>
      <c r="R92" s="7">
        <f t="shared" ca="1" si="8"/>
        <v>0.55158730158730163</v>
      </c>
      <c r="S92" s="7">
        <f t="shared" ca="1" si="8"/>
        <v>0.45833333333333331</v>
      </c>
      <c r="T92" s="7">
        <f t="shared" ca="1" si="8"/>
        <v>0.51388888888888884</v>
      </c>
      <c r="U92" s="7" t="str">
        <f t="shared" si="8"/>
        <v/>
      </c>
      <c r="V92" s="7" t="str">
        <f t="shared" si="8"/>
        <v/>
      </c>
      <c r="W92" s="7" t="str">
        <f t="shared" si="8"/>
        <v/>
      </c>
      <c r="X92" s="7" t="str">
        <f t="shared" si="8"/>
        <v/>
      </c>
      <c r="Y92" s="7" t="str">
        <f t="shared" si="8"/>
        <v/>
      </c>
      <c r="Z92" s="7" t="str">
        <f t="shared" si="8"/>
        <v/>
      </c>
      <c r="AA92" s="7" t="str">
        <f t="shared" si="8"/>
        <v/>
      </c>
      <c r="AB92" s="7" t="str">
        <f t="shared" si="8"/>
        <v/>
      </c>
      <c r="AC92" s="7" t="str">
        <f t="shared" si="8"/>
        <v/>
      </c>
      <c r="AD92" s="7" t="str">
        <f t="shared" si="8"/>
        <v/>
      </c>
      <c r="AE92" s="7" t="str">
        <f t="shared" si="8"/>
        <v/>
      </c>
      <c r="AF92" s="7" t="str">
        <f t="shared" si="8"/>
        <v/>
      </c>
      <c r="AG92" s="7" t="str">
        <f t="shared" si="8"/>
        <v/>
      </c>
      <c r="AH92" s="7" t="str">
        <f t="shared" si="8"/>
        <v/>
      </c>
      <c r="AI92" s="52">
        <f t="shared" ca="1" si="7"/>
        <v>0.52430555555555558</v>
      </c>
    </row>
    <row r="93" spans="2:35" x14ac:dyDescent="0.25">
      <c r="B93" s="1" t="str">
        <f t="shared" si="5"/>
        <v>Valencia Basket</v>
      </c>
      <c r="C93" s="7">
        <f t="shared" ca="1" si="6"/>
        <v>0.41666666666666669</v>
      </c>
      <c r="D93" s="7">
        <f t="shared" ca="1" si="8"/>
        <v>0.56944444444444442</v>
      </c>
      <c r="E93" s="7">
        <f t="shared" ca="1" si="8"/>
        <v>0.48214285714285715</v>
      </c>
      <c r="F93" s="7" t="str">
        <f t="shared" ca="1" si="8"/>
        <v>-</v>
      </c>
      <c r="G93" s="7" t="str">
        <f t="shared" ca="1" si="8"/>
        <v>-</v>
      </c>
      <c r="H93" s="7">
        <f t="shared" ca="1" si="8"/>
        <v>0.54960317460317454</v>
      </c>
      <c r="I93" s="7">
        <f t="shared" ca="1" si="8"/>
        <v>0.56944444444444442</v>
      </c>
      <c r="J93" s="7" t="str">
        <f t="shared" ca="1" si="8"/>
        <v>-</v>
      </c>
      <c r="K93" s="7">
        <f t="shared" ca="1" si="8"/>
        <v>0.43849206349206349</v>
      </c>
      <c r="L93" s="7" t="str">
        <f t="shared" ca="1" si="8"/>
        <v>-</v>
      </c>
      <c r="M93" s="7">
        <f t="shared" ca="1" si="8"/>
        <v>0.5</v>
      </c>
      <c r="N93" s="7" t="str">
        <f t="shared" ca="1" si="8"/>
        <v>-</v>
      </c>
      <c r="O93" s="7" t="str">
        <f t="shared" ca="1" si="8"/>
        <v>-</v>
      </c>
      <c r="P93" s="7" t="str">
        <f t="shared" ca="1" si="8"/>
        <v>-</v>
      </c>
      <c r="Q93" s="7">
        <f t="shared" ca="1" si="8"/>
        <v>0.609375</v>
      </c>
      <c r="R93" s="7" t="str">
        <f t="shared" si="8"/>
        <v>-</v>
      </c>
      <c r="S93" s="7" t="str">
        <f t="shared" ca="1" si="8"/>
        <v>-</v>
      </c>
      <c r="T93" s="7">
        <f t="shared" ca="1" si="8"/>
        <v>0.51388888888888884</v>
      </c>
      <c r="U93" s="7" t="str">
        <f t="shared" si="8"/>
        <v/>
      </c>
      <c r="V93" s="7" t="str">
        <f t="shared" si="8"/>
        <v/>
      </c>
      <c r="W93" s="7" t="str">
        <f t="shared" si="8"/>
        <v/>
      </c>
      <c r="X93" s="7" t="str">
        <f t="shared" si="8"/>
        <v/>
      </c>
      <c r="Y93" s="7" t="str">
        <f t="shared" si="8"/>
        <v/>
      </c>
      <c r="Z93" s="7" t="str">
        <f t="shared" si="8"/>
        <v/>
      </c>
      <c r="AA93" s="7" t="str">
        <f t="shared" si="8"/>
        <v/>
      </c>
      <c r="AB93" s="7" t="str">
        <f t="shared" si="8"/>
        <v/>
      </c>
      <c r="AC93" s="7" t="str">
        <f t="shared" si="8"/>
        <v/>
      </c>
      <c r="AD93" s="7" t="str">
        <f t="shared" si="8"/>
        <v/>
      </c>
      <c r="AE93" s="7" t="str">
        <f t="shared" si="8"/>
        <v/>
      </c>
      <c r="AF93" s="7" t="str">
        <f t="shared" si="8"/>
        <v/>
      </c>
      <c r="AG93" s="7" t="str">
        <f t="shared" si="8"/>
        <v/>
      </c>
      <c r="AH93" s="7" t="str">
        <f t="shared" si="8"/>
        <v/>
      </c>
      <c r="AI93" s="52">
        <f t="shared" ca="1" si="7"/>
        <v>0.5165619488536155</v>
      </c>
    </row>
    <row r="94" spans="2:35" x14ac:dyDescent="0.25">
      <c r="B94" s="1" t="str">
        <f t="shared" si="5"/>
        <v>Virtus Segafredo Bologna</v>
      </c>
      <c r="C94" s="7">
        <f t="shared" ca="1" si="6"/>
        <v>0.41666666666666669</v>
      </c>
      <c r="D94" s="7">
        <f t="shared" ca="1" si="8"/>
        <v>0.56944444444444442</v>
      </c>
      <c r="E94" s="7">
        <f t="shared" ca="1" si="8"/>
        <v>0.48214285714285715</v>
      </c>
      <c r="F94" s="7" t="str">
        <f t="shared" ca="1" si="8"/>
        <v>-</v>
      </c>
      <c r="G94" s="7">
        <f t="shared" ca="1" si="8"/>
        <v>0.4861111111111111</v>
      </c>
      <c r="H94" s="7">
        <f t="shared" ca="1" si="8"/>
        <v>0.54960317460317454</v>
      </c>
      <c r="I94" s="7" t="str">
        <f t="shared" ca="1" si="8"/>
        <v>-</v>
      </c>
      <c r="J94" s="7" t="str">
        <f t="shared" ca="1" si="8"/>
        <v>-</v>
      </c>
      <c r="K94" s="7" t="str">
        <f t="shared" ca="1" si="8"/>
        <v>-</v>
      </c>
      <c r="L94" s="7">
        <f t="shared" ca="1" si="8"/>
        <v>0.41666666666666669</v>
      </c>
      <c r="M94" s="7" t="str">
        <f t="shared" ca="1" si="8"/>
        <v>-</v>
      </c>
      <c r="N94" s="7" t="str">
        <f t="shared" ca="1" si="8"/>
        <v>-</v>
      </c>
      <c r="O94" s="7">
        <f t="shared" ca="1" si="8"/>
        <v>0.52182539682539675</v>
      </c>
      <c r="P94" s="7" t="str">
        <f t="shared" ca="1" si="8"/>
        <v>-</v>
      </c>
      <c r="Q94" s="7">
        <f t="shared" ca="1" si="8"/>
        <v>0.609375</v>
      </c>
      <c r="R94" s="7" t="str">
        <f t="shared" ca="1" si="8"/>
        <v>-</v>
      </c>
      <c r="S94" s="7" t="str">
        <f t="shared" si="8"/>
        <v>-</v>
      </c>
      <c r="T94" s="7">
        <f t="shared" ca="1" si="8"/>
        <v>0.51388888888888884</v>
      </c>
      <c r="U94" s="7" t="str">
        <f t="shared" si="8"/>
        <v/>
      </c>
      <c r="V94" s="7" t="str">
        <f t="shared" si="8"/>
        <v/>
      </c>
      <c r="W94" s="7" t="str">
        <f t="shared" si="8"/>
        <v/>
      </c>
      <c r="X94" s="7" t="str">
        <f t="shared" si="8"/>
        <v/>
      </c>
      <c r="Y94" s="7" t="str">
        <f t="shared" si="8"/>
        <v/>
      </c>
      <c r="Z94" s="7" t="str">
        <f t="shared" si="8"/>
        <v/>
      </c>
      <c r="AA94" s="7" t="str">
        <f t="shared" si="8"/>
        <v/>
      </c>
      <c r="AB94" s="7" t="str">
        <f t="shared" si="8"/>
        <v/>
      </c>
      <c r="AC94" s="7" t="str">
        <f t="shared" si="8"/>
        <v/>
      </c>
      <c r="AD94" s="7" t="str">
        <f t="shared" si="8"/>
        <v/>
      </c>
      <c r="AE94" s="7" t="str">
        <f t="shared" si="8"/>
        <v/>
      </c>
      <c r="AF94" s="7" t="str">
        <f t="shared" si="8"/>
        <v/>
      </c>
      <c r="AG94" s="7" t="str">
        <f t="shared" ref="D94:AH103" si="9">IF($B94="","",IF(AG$77="","",IF($B94=AG$7,"-",IF(AG24&gt;0,INDEX($AI$43:$AI$74,MATCH(AG$77,$B$43:$B$74,0)),"-"))))</f>
        <v/>
      </c>
      <c r="AH94" s="7" t="str">
        <f t="shared" si="9"/>
        <v/>
      </c>
      <c r="AI94" s="52">
        <f t="shared" ca="1" si="7"/>
        <v>0.5073026895943562</v>
      </c>
    </row>
    <row r="95" spans="2:35" x14ac:dyDescent="0.25">
      <c r="B95" s="1" t="str">
        <f t="shared" si="5"/>
        <v>Zalgiris Kaunas</v>
      </c>
      <c r="C95" s="7" t="str">
        <f t="shared" ca="1" si="6"/>
        <v>-</v>
      </c>
      <c r="D95" s="7">
        <f t="shared" ca="1" si="9"/>
        <v>0.56944444444444442</v>
      </c>
      <c r="E95" s="7" t="str">
        <f t="shared" ca="1" si="9"/>
        <v>-</v>
      </c>
      <c r="F95" s="7">
        <f t="shared" ca="1" si="9"/>
        <v>0.5</v>
      </c>
      <c r="G95" s="7">
        <f t="shared" ca="1" si="9"/>
        <v>0.4861111111111111</v>
      </c>
      <c r="H95" s="7" t="str">
        <f t="shared" ca="1" si="9"/>
        <v>-</v>
      </c>
      <c r="I95" s="7" t="str">
        <f t="shared" ca="1" si="9"/>
        <v>-</v>
      </c>
      <c r="J95" s="7">
        <f t="shared" ca="1" si="9"/>
        <v>0.46626984126984122</v>
      </c>
      <c r="K95" s="7" t="str">
        <f t="shared" ca="1" si="9"/>
        <v>-</v>
      </c>
      <c r="L95" s="7">
        <f t="shared" ca="1" si="9"/>
        <v>0.41666666666666669</v>
      </c>
      <c r="M95" s="7" t="str">
        <f t="shared" ca="1" si="9"/>
        <v>-</v>
      </c>
      <c r="N95" s="7" t="str">
        <f t="shared" ca="1" si="9"/>
        <v>-</v>
      </c>
      <c r="O95" s="7">
        <f t="shared" ca="1" si="9"/>
        <v>0.52182539682539675</v>
      </c>
      <c r="P95" s="7" t="str">
        <f t="shared" ca="1" si="9"/>
        <v>-</v>
      </c>
      <c r="Q95" s="7">
        <f t="shared" ca="1" si="9"/>
        <v>0.609375</v>
      </c>
      <c r="R95" s="7">
        <f t="shared" ca="1" si="9"/>
        <v>0.55158730158730163</v>
      </c>
      <c r="S95" s="7">
        <f t="shared" ca="1" si="9"/>
        <v>0.45833333333333331</v>
      </c>
      <c r="T95" s="7" t="str">
        <f t="shared" si="9"/>
        <v>-</v>
      </c>
      <c r="U95" s="7" t="str">
        <f t="shared" si="9"/>
        <v/>
      </c>
      <c r="V95" s="7" t="str">
        <f t="shared" si="9"/>
        <v/>
      </c>
      <c r="W95" s="7" t="str">
        <f t="shared" si="9"/>
        <v/>
      </c>
      <c r="X95" s="7" t="str">
        <f t="shared" si="9"/>
        <v/>
      </c>
      <c r="Y95" s="7" t="str">
        <f t="shared" si="9"/>
        <v/>
      </c>
      <c r="Z95" s="7" t="str">
        <f t="shared" si="9"/>
        <v/>
      </c>
      <c r="AA95" s="7" t="str">
        <f t="shared" si="9"/>
        <v/>
      </c>
      <c r="AB95" s="7" t="str">
        <f t="shared" si="9"/>
        <v/>
      </c>
      <c r="AC95" s="7" t="str">
        <f t="shared" si="9"/>
        <v/>
      </c>
      <c r="AD95" s="7" t="str">
        <f t="shared" si="9"/>
        <v/>
      </c>
      <c r="AE95" s="7" t="str">
        <f t="shared" si="9"/>
        <v/>
      </c>
      <c r="AF95" s="7" t="str">
        <f t="shared" si="9"/>
        <v/>
      </c>
      <c r="AG95" s="7" t="str">
        <f t="shared" si="9"/>
        <v/>
      </c>
      <c r="AH95" s="7" t="str">
        <f t="shared" si="9"/>
        <v/>
      </c>
      <c r="AI95" s="52">
        <f t="shared" ca="1" si="7"/>
        <v>0.50884589947089942</v>
      </c>
    </row>
    <row r="96" spans="2:35" x14ac:dyDescent="0.25">
      <c r="B96" s="1" t="str">
        <f t="shared" si="5"/>
        <v/>
      </c>
      <c r="C96" s="7" t="str">
        <f t="shared" si="6"/>
        <v/>
      </c>
      <c r="D96" s="7" t="str">
        <f t="shared" si="9"/>
        <v/>
      </c>
      <c r="E96" s="7" t="str">
        <f t="shared" si="9"/>
        <v/>
      </c>
      <c r="F96" s="7" t="str">
        <f t="shared" si="9"/>
        <v/>
      </c>
      <c r="G96" s="7" t="str">
        <f t="shared" si="9"/>
        <v/>
      </c>
      <c r="H96" s="7" t="str">
        <f t="shared" si="9"/>
        <v/>
      </c>
      <c r="I96" s="7" t="str">
        <f t="shared" si="9"/>
        <v/>
      </c>
      <c r="J96" s="7" t="str">
        <f t="shared" si="9"/>
        <v/>
      </c>
      <c r="K96" s="7" t="str">
        <f t="shared" si="9"/>
        <v/>
      </c>
      <c r="L96" s="7" t="str">
        <f t="shared" si="9"/>
        <v/>
      </c>
      <c r="M96" s="7" t="str">
        <f t="shared" si="9"/>
        <v/>
      </c>
      <c r="N96" s="7" t="str">
        <f t="shared" si="9"/>
        <v/>
      </c>
      <c r="O96" s="7" t="str">
        <f t="shared" si="9"/>
        <v/>
      </c>
      <c r="P96" s="7" t="str">
        <f t="shared" si="9"/>
        <v/>
      </c>
      <c r="Q96" s="7" t="str">
        <f t="shared" si="9"/>
        <v/>
      </c>
      <c r="R96" s="7" t="str">
        <f t="shared" si="9"/>
        <v/>
      </c>
      <c r="S96" s="7" t="str">
        <f t="shared" si="9"/>
        <v/>
      </c>
      <c r="T96" s="7" t="str">
        <f t="shared" si="9"/>
        <v/>
      </c>
      <c r="U96" s="7" t="str">
        <f t="shared" si="9"/>
        <v/>
      </c>
      <c r="V96" s="7" t="str">
        <f t="shared" si="9"/>
        <v/>
      </c>
      <c r="W96" s="7" t="str">
        <f t="shared" si="9"/>
        <v/>
      </c>
      <c r="X96" s="7" t="str">
        <f t="shared" si="9"/>
        <v/>
      </c>
      <c r="Y96" s="7" t="str">
        <f t="shared" si="9"/>
        <v/>
      </c>
      <c r="Z96" s="7" t="str">
        <f t="shared" si="9"/>
        <v/>
      </c>
      <c r="AA96" s="7" t="str">
        <f t="shared" si="9"/>
        <v/>
      </c>
      <c r="AB96" s="7" t="str">
        <f t="shared" si="9"/>
        <v/>
      </c>
      <c r="AC96" s="7" t="str">
        <f t="shared" si="9"/>
        <v/>
      </c>
      <c r="AD96" s="7" t="str">
        <f t="shared" si="9"/>
        <v/>
      </c>
      <c r="AE96" s="7" t="str">
        <f t="shared" si="9"/>
        <v/>
      </c>
      <c r="AF96" s="7" t="str">
        <f t="shared" si="9"/>
        <v/>
      </c>
      <c r="AG96" s="7" t="str">
        <f t="shared" si="9"/>
        <v/>
      </c>
      <c r="AH96" s="7" t="str">
        <f t="shared" si="9"/>
        <v/>
      </c>
      <c r="AI96" s="52" t="str">
        <f t="shared" ca="1" si="7"/>
        <v>-</v>
      </c>
    </row>
    <row r="97" spans="2:35" x14ac:dyDescent="0.25">
      <c r="B97" s="1" t="str">
        <f t="shared" si="5"/>
        <v/>
      </c>
      <c r="C97" s="7" t="str">
        <f t="shared" si="6"/>
        <v/>
      </c>
      <c r="D97" s="7" t="str">
        <f t="shared" si="9"/>
        <v/>
      </c>
      <c r="E97" s="7" t="str">
        <f t="shared" si="9"/>
        <v/>
      </c>
      <c r="F97" s="7" t="str">
        <f t="shared" si="9"/>
        <v/>
      </c>
      <c r="G97" s="7" t="str">
        <f t="shared" si="9"/>
        <v/>
      </c>
      <c r="H97" s="7" t="str">
        <f t="shared" si="9"/>
        <v/>
      </c>
      <c r="I97" s="7" t="str">
        <f t="shared" si="9"/>
        <v/>
      </c>
      <c r="J97" s="7" t="str">
        <f t="shared" si="9"/>
        <v/>
      </c>
      <c r="K97" s="7" t="str">
        <f t="shared" si="9"/>
        <v/>
      </c>
      <c r="L97" s="7" t="str">
        <f t="shared" si="9"/>
        <v/>
      </c>
      <c r="M97" s="7" t="str">
        <f t="shared" si="9"/>
        <v/>
      </c>
      <c r="N97" s="7" t="str">
        <f t="shared" si="9"/>
        <v/>
      </c>
      <c r="O97" s="7" t="str">
        <f t="shared" si="9"/>
        <v/>
      </c>
      <c r="P97" s="7" t="str">
        <f t="shared" si="9"/>
        <v/>
      </c>
      <c r="Q97" s="7" t="str">
        <f t="shared" si="9"/>
        <v/>
      </c>
      <c r="R97" s="7" t="str">
        <f t="shared" si="9"/>
        <v/>
      </c>
      <c r="S97" s="7" t="str">
        <f t="shared" si="9"/>
        <v/>
      </c>
      <c r="T97" s="7" t="str">
        <f t="shared" si="9"/>
        <v/>
      </c>
      <c r="U97" s="7" t="str">
        <f t="shared" si="9"/>
        <v/>
      </c>
      <c r="V97" s="7" t="str">
        <f t="shared" si="9"/>
        <v/>
      </c>
      <c r="W97" s="7" t="str">
        <f t="shared" si="9"/>
        <v/>
      </c>
      <c r="X97" s="7" t="str">
        <f t="shared" si="9"/>
        <v/>
      </c>
      <c r="Y97" s="7" t="str">
        <f t="shared" si="9"/>
        <v/>
      </c>
      <c r="Z97" s="7" t="str">
        <f t="shared" si="9"/>
        <v/>
      </c>
      <c r="AA97" s="7" t="str">
        <f t="shared" si="9"/>
        <v/>
      </c>
      <c r="AB97" s="7" t="str">
        <f t="shared" si="9"/>
        <v/>
      </c>
      <c r="AC97" s="7" t="str">
        <f t="shared" si="9"/>
        <v/>
      </c>
      <c r="AD97" s="7" t="str">
        <f t="shared" si="9"/>
        <v/>
      </c>
      <c r="AE97" s="7" t="str">
        <f t="shared" si="9"/>
        <v/>
      </c>
      <c r="AF97" s="7" t="str">
        <f t="shared" si="9"/>
        <v/>
      </c>
      <c r="AG97" s="7" t="str">
        <f t="shared" si="9"/>
        <v/>
      </c>
      <c r="AH97" s="7" t="str">
        <f t="shared" si="9"/>
        <v/>
      </c>
      <c r="AI97" s="52" t="str">
        <f t="shared" ca="1" si="7"/>
        <v>-</v>
      </c>
    </row>
    <row r="98" spans="2:35" x14ac:dyDescent="0.25">
      <c r="B98" s="1" t="str">
        <f t="shared" si="5"/>
        <v/>
      </c>
      <c r="C98" s="7" t="str">
        <f t="shared" si="6"/>
        <v/>
      </c>
      <c r="D98" s="7" t="str">
        <f t="shared" si="9"/>
        <v/>
      </c>
      <c r="E98" s="7" t="str">
        <f t="shared" si="9"/>
        <v/>
      </c>
      <c r="F98" s="7" t="str">
        <f t="shared" si="9"/>
        <v/>
      </c>
      <c r="G98" s="7" t="str">
        <f t="shared" si="9"/>
        <v/>
      </c>
      <c r="H98" s="7" t="str">
        <f t="shared" si="9"/>
        <v/>
      </c>
      <c r="I98" s="7" t="str">
        <f t="shared" si="9"/>
        <v/>
      </c>
      <c r="J98" s="7" t="str">
        <f t="shared" si="9"/>
        <v/>
      </c>
      <c r="K98" s="7" t="str">
        <f t="shared" si="9"/>
        <v/>
      </c>
      <c r="L98" s="7" t="str">
        <f t="shared" si="9"/>
        <v/>
      </c>
      <c r="M98" s="7" t="str">
        <f t="shared" si="9"/>
        <v/>
      </c>
      <c r="N98" s="7" t="str">
        <f t="shared" si="9"/>
        <v/>
      </c>
      <c r="O98" s="7" t="str">
        <f t="shared" si="9"/>
        <v/>
      </c>
      <c r="P98" s="7" t="str">
        <f t="shared" si="9"/>
        <v/>
      </c>
      <c r="Q98" s="7" t="str">
        <f t="shared" si="9"/>
        <v/>
      </c>
      <c r="R98" s="7" t="str">
        <f t="shared" si="9"/>
        <v/>
      </c>
      <c r="S98" s="7" t="str">
        <f t="shared" si="9"/>
        <v/>
      </c>
      <c r="T98" s="7" t="str">
        <f t="shared" si="9"/>
        <v/>
      </c>
      <c r="U98" s="7" t="str">
        <f t="shared" si="9"/>
        <v/>
      </c>
      <c r="V98" s="7" t="str">
        <f t="shared" si="9"/>
        <v/>
      </c>
      <c r="W98" s="7" t="str">
        <f t="shared" si="9"/>
        <v/>
      </c>
      <c r="X98" s="7" t="str">
        <f t="shared" si="9"/>
        <v/>
      </c>
      <c r="Y98" s="7" t="str">
        <f t="shared" si="9"/>
        <v/>
      </c>
      <c r="Z98" s="7" t="str">
        <f t="shared" si="9"/>
        <v/>
      </c>
      <c r="AA98" s="7" t="str">
        <f t="shared" si="9"/>
        <v/>
      </c>
      <c r="AB98" s="7" t="str">
        <f t="shared" si="9"/>
        <v/>
      </c>
      <c r="AC98" s="7" t="str">
        <f t="shared" si="9"/>
        <v/>
      </c>
      <c r="AD98" s="7" t="str">
        <f t="shared" si="9"/>
        <v/>
      </c>
      <c r="AE98" s="7" t="str">
        <f t="shared" si="9"/>
        <v/>
      </c>
      <c r="AF98" s="7" t="str">
        <f t="shared" si="9"/>
        <v/>
      </c>
      <c r="AG98" s="7" t="str">
        <f t="shared" si="9"/>
        <v/>
      </c>
      <c r="AH98" s="7" t="str">
        <f t="shared" si="9"/>
        <v/>
      </c>
      <c r="AI98" s="52" t="str">
        <f t="shared" ca="1" si="7"/>
        <v>-</v>
      </c>
    </row>
    <row r="99" spans="2:35" x14ac:dyDescent="0.25">
      <c r="B99" s="1" t="str">
        <f t="shared" si="5"/>
        <v/>
      </c>
      <c r="C99" s="7" t="str">
        <f t="shared" si="6"/>
        <v/>
      </c>
      <c r="D99" s="7" t="str">
        <f t="shared" si="9"/>
        <v/>
      </c>
      <c r="E99" s="7" t="str">
        <f t="shared" si="9"/>
        <v/>
      </c>
      <c r="F99" s="7" t="str">
        <f t="shared" si="9"/>
        <v/>
      </c>
      <c r="G99" s="7" t="str">
        <f t="shared" si="9"/>
        <v/>
      </c>
      <c r="H99" s="7" t="str">
        <f t="shared" si="9"/>
        <v/>
      </c>
      <c r="I99" s="7" t="str">
        <f t="shared" si="9"/>
        <v/>
      </c>
      <c r="J99" s="7" t="str">
        <f t="shared" si="9"/>
        <v/>
      </c>
      <c r="K99" s="7" t="str">
        <f t="shared" si="9"/>
        <v/>
      </c>
      <c r="L99" s="7" t="str">
        <f t="shared" si="9"/>
        <v/>
      </c>
      <c r="M99" s="7" t="str">
        <f t="shared" si="9"/>
        <v/>
      </c>
      <c r="N99" s="7" t="str">
        <f t="shared" si="9"/>
        <v/>
      </c>
      <c r="O99" s="7" t="str">
        <f t="shared" si="9"/>
        <v/>
      </c>
      <c r="P99" s="7" t="str">
        <f t="shared" si="9"/>
        <v/>
      </c>
      <c r="Q99" s="7" t="str">
        <f t="shared" si="9"/>
        <v/>
      </c>
      <c r="R99" s="7" t="str">
        <f t="shared" si="9"/>
        <v/>
      </c>
      <c r="S99" s="7" t="str">
        <f t="shared" si="9"/>
        <v/>
      </c>
      <c r="T99" s="7" t="str">
        <f t="shared" si="9"/>
        <v/>
      </c>
      <c r="U99" s="7" t="str">
        <f t="shared" si="9"/>
        <v/>
      </c>
      <c r="V99" s="7" t="str">
        <f t="shared" si="9"/>
        <v/>
      </c>
      <c r="W99" s="7" t="str">
        <f t="shared" si="9"/>
        <v/>
      </c>
      <c r="X99" s="7" t="str">
        <f t="shared" si="9"/>
        <v/>
      </c>
      <c r="Y99" s="7" t="str">
        <f t="shared" si="9"/>
        <v/>
      </c>
      <c r="Z99" s="7" t="str">
        <f t="shared" si="9"/>
        <v/>
      </c>
      <c r="AA99" s="7" t="str">
        <f t="shared" si="9"/>
        <v/>
      </c>
      <c r="AB99" s="7" t="str">
        <f t="shared" si="9"/>
        <v/>
      </c>
      <c r="AC99" s="7" t="str">
        <f t="shared" si="9"/>
        <v/>
      </c>
      <c r="AD99" s="7" t="str">
        <f t="shared" si="9"/>
        <v/>
      </c>
      <c r="AE99" s="7" t="str">
        <f t="shared" si="9"/>
        <v/>
      </c>
      <c r="AF99" s="7" t="str">
        <f t="shared" si="9"/>
        <v/>
      </c>
      <c r="AG99" s="7" t="str">
        <f t="shared" si="9"/>
        <v/>
      </c>
      <c r="AH99" s="7" t="str">
        <f t="shared" si="9"/>
        <v/>
      </c>
      <c r="AI99" s="52" t="str">
        <f t="shared" ca="1" si="7"/>
        <v>-</v>
      </c>
    </row>
    <row r="100" spans="2:35" x14ac:dyDescent="0.25">
      <c r="B100" s="1" t="str">
        <f t="shared" si="5"/>
        <v/>
      </c>
      <c r="C100" s="7" t="str">
        <f t="shared" si="6"/>
        <v/>
      </c>
      <c r="D100" s="7" t="str">
        <f t="shared" si="9"/>
        <v/>
      </c>
      <c r="E100" s="7" t="str">
        <f t="shared" si="9"/>
        <v/>
      </c>
      <c r="F100" s="7" t="str">
        <f t="shared" si="9"/>
        <v/>
      </c>
      <c r="G100" s="7" t="str">
        <f t="shared" si="9"/>
        <v/>
      </c>
      <c r="H100" s="7" t="str">
        <f t="shared" si="9"/>
        <v/>
      </c>
      <c r="I100" s="7" t="str">
        <f t="shared" si="9"/>
        <v/>
      </c>
      <c r="J100" s="7" t="str">
        <f t="shared" si="9"/>
        <v/>
      </c>
      <c r="K100" s="7" t="str">
        <f t="shared" si="9"/>
        <v/>
      </c>
      <c r="L100" s="7" t="str">
        <f t="shared" si="9"/>
        <v/>
      </c>
      <c r="M100" s="7" t="str">
        <f t="shared" si="9"/>
        <v/>
      </c>
      <c r="N100" s="7" t="str">
        <f t="shared" si="9"/>
        <v/>
      </c>
      <c r="O100" s="7" t="str">
        <f t="shared" si="9"/>
        <v/>
      </c>
      <c r="P100" s="7" t="str">
        <f t="shared" si="9"/>
        <v/>
      </c>
      <c r="Q100" s="7" t="str">
        <f t="shared" si="9"/>
        <v/>
      </c>
      <c r="R100" s="7" t="str">
        <f t="shared" si="9"/>
        <v/>
      </c>
      <c r="S100" s="7" t="str">
        <f t="shared" si="9"/>
        <v/>
      </c>
      <c r="T100" s="7" t="str">
        <f t="shared" si="9"/>
        <v/>
      </c>
      <c r="U100" s="7" t="str">
        <f t="shared" si="9"/>
        <v/>
      </c>
      <c r="V100" s="7" t="str">
        <f t="shared" si="9"/>
        <v/>
      </c>
      <c r="W100" s="7" t="str">
        <f t="shared" si="9"/>
        <v/>
      </c>
      <c r="X100" s="7" t="str">
        <f t="shared" si="9"/>
        <v/>
      </c>
      <c r="Y100" s="7" t="str">
        <f t="shared" si="9"/>
        <v/>
      </c>
      <c r="Z100" s="7" t="str">
        <f t="shared" si="9"/>
        <v/>
      </c>
      <c r="AA100" s="7" t="str">
        <f t="shared" si="9"/>
        <v/>
      </c>
      <c r="AB100" s="7" t="str">
        <f t="shared" si="9"/>
        <v/>
      </c>
      <c r="AC100" s="7" t="str">
        <f t="shared" si="9"/>
        <v/>
      </c>
      <c r="AD100" s="7" t="str">
        <f t="shared" si="9"/>
        <v/>
      </c>
      <c r="AE100" s="7" t="str">
        <f t="shared" si="9"/>
        <v/>
      </c>
      <c r="AF100" s="7" t="str">
        <f t="shared" si="9"/>
        <v/>
      </c>
      <c r="AG100" s="7" t="str">
        <f t="shared" si="9"/>
        <v/>
      </c>
      <c r="AH100" s="7" t="str">
        <f t="shared" si="9"/>
        <v/>
      </c>
      <c r="AI100" s="52" t="str">
        <f t="shared" ca="1" si="7"/>
        <v>-</v>
      </c>
    </row>
    <row r="101" spans="2:35" x14ac:dyDescent="0.25">
      <c r="B101" s="1" t="str">
        <f t="shared" si="5"/>
        <v/>
      </c>
      <c r="C101" s="7" t="str">
        <f t="shared" si="6"/>
        <v/>
      </c>
      <c r="D101" s="7" t="str">
        <f t="shared" si="9"/>
        <v/>
      </c>
      <c r="E101" s="7" t="str">
        <f t="shared" si="9"/>
        <v/>
      </c>
      <c r="F101" s="7" t="str">
        <f t="shared" si="9"/>
        <v/>
      </c>
      <c r="G101" s="7" t="str">
        <f t="shared" si="9"/>
        <v/>
      </c>
      <c r="H101" s="7" t="str">
        <f t="shared" si="9"/>
        <v/>
      </c>
      <c r="I101" s="7" t="str">
        <f t="shared" si="9"/>
        <v/>
      </c>
      <c r="J101" s="7" t="str">
        <f t="shared" si="9"/>
        <v/>
      </c>
      <c r="K101" s="7" t="str">
        <f t="shared" si="9"/>
        <v/>
      </c>
      <c r="L101" s="7" t="str">
        <f t="shared" si="9"/>
        <v/>
      </c>
      <c r="M101" s="7" t="str">
        <f t="shared" si="9"/>
        <v/>
      </c>
      <c r="N101" s="7" t="str">
        <f t="shared" si="9"/>
        <v/>
      </c>
      <c r="O101" s="7" t="str">
        <f t="shared" si="9"/>
        <v/>
      </c>
      <c r="P101" s="7" t="str">
        <f t="shared" si="9"/>
        <v/>
      </c>
      <c r="Q101" s="7" t="str">
        <f t="shared" si="9"/>
        <v/>
      </c>
      <c r="R101" s="7" t="str">
        <f t="shared" si="9"/>
        <v/>
      </c>
      <c r="S101" s="7" t="str">
        <f t="shared" si="9"/>
        <v/>
      </c>
      <c r="T101" s="7" t="str">
        <f t="shared" si="9"/>
        <v/>
      </c>
      <c r="U101" s="7" t="str">
        <f t="shared" si="9"/>
        <v/>
      </c>
      <c r="V101" s="7" t="str">
        <f t="shared" si="9"/>
        <v/>
      </c>
      <c r="W101" s="7" t="str">
        <f t="shared" si="9"/>
        <v/>
      </c>
      <c r="X101" s="7" t="str">
        <f t="shared" si="9"/>
        <v/>
      </c>
      <c r="Y101" s="7" t="str">
        <f t="shared" si="9"/>
        <v/>
      </c>
      <c r="Z101" s="7" t="str">
        <f t="shared" si="9"/>
        <v/>
      </c>
      <c r="AA101" s="7" t="str">
        <f t="shared" si="9"/>
        <v/>
      </c>
      <c r="AB101" s="7" t="str">
        <f t="shared" si="9"/>
        <v/>
      </c>
      <c r="AC101" s="7" t="str">
        <f t="shared" si="9"/>
        <v/>
      </c>
      <c r="AD101" s="7" t="str">
        <f t="shared" si="9"/>
        <v/>
      </c>
      <c r="AE101" s="7" t="str">
        <f t="shared" si="9"/>
        <v/>
      </c>
      <c r="AF101" s="7" t="str">
        <f t="shared" si="9"/>
        <v/>
      </c>
      <c r="AG101" s="7" t="str">
        <f t="shared" si="9"/>
        <v/>
      </c>
      <c r="AH101" s="7" t="str">
        <f t="shared" si="9"/>
        <v/>
      </c>
      <c r="AI101" s="52" t="str">
        <f t="shared" ca="1" si="7"/>
        <v>-</v>
      </c>
    </row>
    <row r="102" spans="2:35" x14ac:dyDescent="0.25">
      <c r="B102" s="1" t="str">
        <f t="shared" si="5"/>
        <v/>
      </c>
      <c r="C102" s="7" t="str">
        <f t="shared" si="6"/>
        <v/>
      </c>
      <c r="D102" s="7" t="str">
        <f t="shared" si="9"/>
        <v/>
      </c>
      <c r="E102" s="7" t="str">
        <f t="shared" si="9"/>
        <v/>
      </c>
      <c r="F102" s="7" t="str">
        <f t="shared" si="9"/>
        <v/>
      </c>
      <c r="G102" s="7" t="str">
        <f t="shared" si="9"/>
        <v/>
      </c>
      <c r="H102" s="7" t="str">
        <f t="shared" si="9"/>
        <v/>
      </c>
      <c r="I102" s="7" t="str">
        <f t="shared" si="9"/>
        <v/>
      </c>
      <c r="J102" s="7" t="str">
        <f t="shared" si="9"/>
        <v/>
      </c>
      <c r="K102" s="7" t="str">
        <f t="shared" si="9"/>
        <v/>
      </c>
      <c r="L102" s="7" t="str">
        <f t="shared" si="9"/>
        <v/>
      </c>
      <c r="M102" s="7" t="str">
        <f t="shared" si="9"/>
        <v/>
      </c>
      <c r="N102" s="7" t="str">
        <f t="shared" si="9"/>
        <v/>
      </c>
      <c r="O102" s="7" t="str">
        <f t="shared" si="9"/>
        <v/>
      </c>
      <c r="P102" s="7" t="str">
        <f t="shared" si="9"/>
        <v/>
      </c>
      <c r="Q102" s="7" t="str">
        <f t="shared" si="9"/>
        <v/>
      </c>
      <c r="R102" s="7" t="str">
        <f t="shared" si="9"/>
        <v/>
      </c>
      <c r="S102" s="7" t="str">
        <f t="shared" si="9"/>
        <v/>
      </c>
      <c r="T102" s="7" t="str">
        <f t="shared" si="9"/>
        <v/>
      </c>
      <c r="U102" s="7" t="str">
        <f t="shared" si="9"/>
        <v/>
      </c>
      <c r="V102" s="7" t="str">
        <f t="shared" si="9"/>
        <v/>
      </c>
      <c r="W102" s="7" t="str">
        <f t="shared" si="9"/>
        <v/>
      </c>
      <c r="X102" s="7" t="str">
        <f t="shared" si="9"/>
        <v/>
      </c>
      <c r="Y102" s="7" t="str">
        <f t="shared" si="9"/>
        <v/>
      </c>
      <c r="Z102" s="7" t="str">
        <f t="shared" si="9"/>
        <v/>
      </c>
      <c r="AA102" s="7" t="str">
        <f t="shared" si="9"/>
        <v/>
      </c>
      <c r="AB102" s="7" t="str">
        <f t="shared" si="9"/>
        <v/>
      </c>
      <c r="AC102" s="7" t="str">
        <f t="shared" si="9"/>
        <v/>
      </c>
      <c r="AD102" s="7" t="str">
        <f t="shared" si="9"/>
        <v/>
      </c>
      <c r="AE102" s="7" t="str">
        <f t="shared" si="9"/>
        <v/>
      </c>
      <c r="AF102" s="7" t="str">
        <f t="shared" si="9"/>
        <v/>
      </c>
      <c r="AG102" s="7" t="str">
        <f t="shared" si="9"/>
        <v/>
      </c>
      <c r="AH102" s="7" t="str">
        <f t="shared" si="9"/>
        <v/>
      </c>
      <c r="AI102" s="52" t="str">
        <f t="shared" ca="1" si="7"/>
        <v>-</v>
      </c>
    </row>
    <row r="103" spans="2:35" x14ac:dyDescent="0.25">
      <c r="B103" s="1" t="str">
        <f t="shared" si="5"/>
        <v/>
      </c>
      <c r="C103" s="7" t="str">
        <f t="shared" si="6"/>
        <v/>
      </c>
      <c r="D103" s="7" t="str">
        <f t="shared" si="9"/>
        <v/>
      </c>
      <c r="E103" s="7" t="str">
        <f t="shared" si="9"/>
        <v/>
      </c>
      <c r="F103" s="7" t="str">
        <f t="shared" si="9"/>
        <v/>
      </c>
      <c r="G103" s="7" t="str">
        <f t="shared" si="9"/>
        <v/>
      </c>
      <c r="H103" s="7" t="str">
        <f t="shared" si="9"/>
        <v/>
      </c>
      <c r="I103" s="7" t="str">
        <f t="shared" ref="D103:AH109" si="10">IF($B103="","",IF(I$77="","",IF($B103=I$7,"-",IF(I33&gt;0,INDEX($AI$43:$AI$74,MATCH(I$77,$B$43:$B$74,0)),"-"))))</f>
        <v/>
      </c>
      <c r="J103" s="7" t="str">
        <f t="shared" si="10"/>
        <v/>
      </c>
      <c r="K103" s="7" t="str">
        <f t="shared" si="10"/>
        <v/>
      </c>
      <c r="L103" s="7" t="str">
        <f t="shared" si="10"/>
        <v/>
      </c>
      <c r="M103" s="7" t="str">
        <f t="shared" si="10"/>
        <v/>
      </c>
      <c r="N103" s="7" t="str">
        <f t="shared" si="10"/>
        <v/>
      </c>
      <c r="O103" s="7" t="str">
        <f t="shared" si="10"/>
        <v/>
      </c>
      <c r="P103" s="7" t="str">
        <f t="shared" si="10"/>
        <v/>
      </c>
      <c r="Q103" s="7" t="str">
        <f t="shared" si="10"/>
        <v/>
      </c>
      <c r="R103" s="7" t="str">
        <f t="shared" si="10"/>
        <v/>
      </c>
      <c r="S103" s="7" t="str">
        <f t="shared" si="10"/>
        <v/>
      </c>
      <c r="T103" s="7" t="str">
        <f t="shared" si="10"/>
        <v/>
      </c>
      <c r="U103" s="7" t="str">
        <f t="shared" si="10"/>
        <v/>
      </c>
      <c r="V103" s="7" t="str">
        <f t="shared" si="10"/>
        <v/>
      </c>
      <c r="W103" s="7" t="str">
        <f t="shared" si="10"/>
        <v/>
      </c>
      <c r="X103" s="7" t="str">
        <f t="shared" si="10"/>
        <v/>
      </c>
      <c r="Y103" s="7" t="str">
        <f t="shared" si="10"/>
        <v/>
      </c>
      <c r="Z103" s="7" t="str">
        <f t="shared" si="10"/>
        <v/>
      </c>
      <c r="AA103" s="7" t="str">
        <f t="shared" si="10"/>
        <v/>
      </c>
      <c r="AB103" s="7" t="str">
        <f t="shared" si="10"/>
        <v/>
      </c>
      <c r="AC103" s="7" t="str">
        <f t="shared" si="10"/>
        <v/>
      </c>
      <c r="AD103" s="7" t="str">
        <f t="shared" si="10"/>
        <v/>
      </c>
      <c r="AE103" s="7" t="str">
        <f t="shared" si="10"/>
        <v/>
      </c>
      <c r="AF103" s="7" t="str">
        <f t="shared" si="10"/>
        <v/>
      </c>
      <c r="AG103" s="7" t="str">
        <f t="shared" si="10"/>
        <v/>
      </c>
      <c r="AH103" s="7" t="str">
        <f t="shared" si="10"/>
        <v/>
      </c>
      <c r="AI103" s="52" t="str">
        <f t="shared" ca="1" si="7"/>
        <v>-</v>
      </c>
    </row>
    <row r="104" spans="2:35" x14ac:dyDescent="0.25">
      <c r="B104" s="1" t="str">
        <f t="shared" si="5"/>
        <v/>
      </c>
      <c r="C104" s="7" t="str">
        <f t="shared" si="6"/>
        <v/>
      </c>
      <c r="D104" s="7" t="str">
        <f t="shared" si="10"/>
        <v/>
      </c>
      <c r="E104" s="7" t="str">
        <f t="shared" si="10"/>
        <v/>
      </c>
      <c r="F104" s="7" t="str">
        <f t="shared" si="10"/>
        <v/>
      </c>
      <c r="G104" s="7" t="str">
        <f t="shared" si="10"/>
        <v/>
      </c>
      <c r="H104" s="7" t="str">
        <f t="shared" si="10"/>
        <v/>
      </c>
      <c r="I104" s="7" t="str">
        <f t="shared" si="10"/>
        <v/>
      </c>
      <c r="J104" s="7" t="str">
        <f t="shared" si="10"/>
        <v/>
      </c>
      <c r="K104" s="7" t="str">
        <f t="shared" si="10"/>
        <v/>
      </c>
      <c r="L104" s="7" t="str">
        <f t="shared" si="10"/>
        <v/>
      </c>
      <c r="M104" s="7" t="str">
        <f t="shared" si="10"/>
        <v/>
      </c>
      <c r="N104" s="7" t="str">
        <f t="shared" si="10"/>
        <v/>
      </c>
      <c r="O104" s="7" t="str">
        <f t="shared" si="10"/>
        <v/>
      </c>
      <c r="P104" s="7" t="str">
        <f t="shared" si="10"/>
        <v/>
      </c>
      <c r="Q104" s="7" t="str">
        <f t="shared" si="10"/>
        <v/>
      </c>
      <c r="R104" s="7" t="str">
        <f t="shared" si="10"/>
        <v/>
      </c>
      <c r="S104" s="7" t="str">
        <f t="shared" si="10"/>
        <v/>
      </c>
      <c r="T104" s="7" t="str">
        <f t="shared" si="10"/>
        <v/>
      </c>
      <c r="U104" s="7" t="str">
        <f t="shared" si="10"/>
        <v/>
      </c>
      <c r="V104" s="7" t="str">
        <f t="shared" si="10"/>
        <v/>
      </c>
      <c r="W104" s="7" t="str">
        <f t="shared" si="10"/>
        <v/>
      </c>
      <c r="X104" s="7" t="str">
        <f t="shared" si="10"/>
        <v/>
      </c>
      <c r="Y104" s="7" t="str">
        <f t="shared" si="10"/>
        <v/>
      </c>
      <c r="Z104" s="7" t="str">
        <f t="shared" si="10"/>
        <v/>
      </c>
      <c r="AA104" s="7" t="str">
        <f t="shared" si="10"/>
        <v/>
      </c>
      <c r="AB104" s="7" t="str">
        <f t="shared" si="10"/>
        <v/>
      </c>
      <c r="AC104" s="7" t="str">
        <f t="shared" si="10"/>
        <v/>
      </c>
      <c r="AD104" s="7" t="str">
        <f t="shared" si="10"/>
        <v/>
      </c>
      <c r="AE104" s="7" t="str">
        <f t="shared" si="10"/>
        <v/>
      </c>
      <c r="AF104" s="7" t="str">
        <f t="shared" si="10"/>
        <v/>
      </c>
      <c r="AG104" s="7" t="str">
        <f t="shared" si="10"/>
        <v/>
      </c>
      <c r="AH104" s="7" t="str">
        <f t="shared" si="10"/>
        <v/>
      </c>
      <c r="AI104" s="52" t="str">
        <f t="shared" ca="1" si="7"/>
        <v>-</v>
      </c>
    </row>
    <row r="105" spans="2:35" x14ac:dyDescent="0.25">
      <c r="B105" s="1" t="str">
        <f t="shared" si="5"/>
        <v/>
      </c>
      <c r="C105" s="7" t="str">
        <f t="shared" si="6"/>
        <v/>
      </c>
      <c r="D105" s="7" t="str">
        <f t="shared" si="10"/>
        <v/>
      </c>
      <c r="E105" s="7" t="str">
        <f t="shared" si="10"/>
        <v/>
      </c>
      <c r="F105" s="7" t="str">
        <f t="shared" si="10"/>
        <v/>
      </c>
      <c r="G105" s="7" t="str">
        <f t="shared" si="10"/>
        <v/>
      </c>
      <c r="H105" s="7" t="str">
        <f t="shared" si="10"/>
        <v/>
      </c>
      <c r="I105" s="7" t="str">
        <f t="shared" si="10"/>
        <v/>
      </c>
      <c r="J105" s="7" t="str">
        <f t="shared" si="10"/>
        <v/>
      </c>
      <c r="K105" s="7" t="str">
        <f t="shared" si="10"/>
        <v/>
      </c>
      <c r="L105" s="7" t="str">
        <f t="shared" si="10"/>
        <v/>
      </c>
      <c r="M105" s="7" t="str">
        <f t="shared" si="10"/>
        <v/>
      </c>
      <c r="N105" s="7" t="str">
        <f t="shared" si="10"/>
        <v/>
      </c>
      <c r="O105" s="7" t="str">
        <f t="shared" si="10"/>
        <v/>
      </c>
      <c r="P105" s="7" t="str">
        <f t="shared" si="10"/>
        <v/>
      </c>
      <c r="Q105" s="7" t="str">
        <f t="shared" si="10"/>
        <v/>
      </c>
      <c r="R105" s="7" t="str">
        <f t="shared" si="10"/>
        <v/>
      </c>
      <c r="S105" s="7" t="str">
        <f t="shared" si="10"/>
        <v/>
      </c>
      <c r="T105" s="7" t="str">
        <f t="shared" si="10"/>
        <v/>
      </c>
      <c r="U105" s="7" t="str">
        <f t="shared" si="10"/>
        <v/>
      </c>
      <c r="V105" s="7" t="str">
        <f t="shared" si="10"/>
        <v/>
      </c>
      <c r="W105" s="7" t="str">
        <f t="shared" si="10"/>
        <v/>
      </c>
      <c r="X105" s="7" t="str">
        <f t="shared" si="10"/>
        <v/>
      </c>
      <c r="Y105" s="7" t="str">
        <f t="shared" si="10"/>
        <v/>
      </c>
      <c r="Z105" s="7" t="str">
        <f t="shared" si="10"/>
        <v/>
      </c>
      <c r="AA105" s="7" t="str">
        <f t="shared" si="10"/>
        <v/>
      </c>
      <c r="AB105" s="7" t="str">
        <f t="shared" si="10"/>
        <v/>
      </c>
      <c r="AC105" s="7" t="str">
        <f t="shared" si="10"/>
        <v/>
      </c>
      <c r="AD105" s="7" t="str">
        <f t="shared" si="10"/>
        <v/>
      </c>
      <c r="AE105" s="7" t="str">
        <f t="shared" si="10"/>
        <v/>
      </c>
      <c r="AF105" s="7" t="str">
        <f t="shared" si="10"/>
        <v/>
      </c>
      <c r="AG105" s="7" t="str">
        <f t="shared" si="10"/>
        <v/>
      </c>
      <c r="AH105" s="7" t="str">
        <f t="shared" si="10"/>
        <v/>
      </c>
      <c r="AI105" s="52" t="str">
        <f t="shared" ca="1" si="7"/>
        <v>-</v>
      </c>
    </row>
    <row r="106" spans="2:35" x14ac:dyDescent="0.25">
      <c r="B106" s="1" t="str">
        <f t="shared" si="5"/>
        <v/>
      </c>
      <c r="C106" s="7" t="str">
        <f t="shared" si="6"/>
        <v/>
      </c>
      <c r="D106" s="7" t="str">
        <f t="shared" si="10"/>
        <v/>
      </c>
      <c r="E106" s="7" t="str">
        <f t="shared" si="10"/>
        <v/>
      </c>
      <c r="F106" s="7" t="str">
        <f t="shared" si="10"/>
        <v/>
      </c>
      <c r="G106" s="7" t="str">
        <f t="shared" si="10"/>
        <v/>
      </c>
      <c r="H106" s="7" t="str">
        <f t="shared" si="10"/>
        <v/>
      </c>
      <c r="I106" s="7" t="str">
        <f t="shared" si="10"/>
        <v/>
      </c>
      <c r="J106" s="7" t="str">
        <f t="shared" si="10"/>
        <v/>
      </c>
      <c r="K106" s="7" t="str">
        <f t="shared" si="10"/>
        <v/>
      </c>
      <c r="L106" s="7" t="str">
        <f t="shared" si="10"/>
        <v/>
      </c>
      <c r="M106" s="7" t="str">
        <f t="shared" si="10"/>
        <v/>
      </c>
      <c r="N106" s="7" t="str">
        <f t="shared" si="10"/>
        <v/>
      </c>
      <c r="O106" s="7" t="str">
        <f t="shared" si="10"/>
        <v/>
      </c>
      <c r="P106" s="7" t="str">
        <f t="shared" si="10"/>
        <v/>
      </c>
      <c r="Q106" s="7" t="str">
        <f t="shared" si="10"/>
        <v/>
      </c>
      <c r="R106" s="7" t="str">
        <f t="shared" si="10"/>
        <v/>
      </c>
      <c r="S106" s="7" t="str">
        <f t="shared" si="10"/>
        <v/>
      </c>
      <c r="T106" s="7" t="str">
        <f t="shared" si="10"/>
        <v/>
      </c>
      <c r="U106" s="7" t="str">
        <f t="shared" si="10"/>
        <v/>
      </c>
      <c r="V106" s="7" t="str">
        <f t="shared" si="10"/>
        <v/>
      </c>
      <c r="W106" s="7" t="str">
        <f t="shared" si="10"/>
        <v/>
      </c>
      <c r="X106" s="7" t="str">
        <f t="shared" si="10"/>
        <v/>
      </c>
      <c r="Y106" s="7" t="str">
        <f t="shared" si="10"/>
        <v/>
      </c>
      <c r="Z106" s="7" t="str">
        <f t="shared" si="10"/>
        <v/>
      </c>
      <c r="AA106" s="7" t="str">
        <f t="shared" si="10"/>
        <v/>
      </c>
      <c r="AB106" s="7" t="str">
        <f t="shared" si="10"/>
        <v/>
      </c>
      <c r="AC106" s="7" t="str">
        <f t="shared" si="10"/>
        <v/>
      </c>
      <c r="AD106" s="7" t="str">
        <f t="shared" si="10"/>
        <v/>
      </c>
      <c r="AE106" s="7" t="str">
        <f t="shared" si="10"/>
        <v/>
      </c>
      <c r="AF106" s="7" t="str">
        <f t="shared" si="10"/>
        <v/>
      </c>
      <c r="AG106" s="7" t="str">
        <f t="shared" si="10"/>
        <v/>
      </c>
      <c r="AH106" s="7" t="str">
        <f t="shared" si="10"/>
        <v/>
      </c>
      <c r="AI106" s="52" t="str">
        <f t="shared" ca="1" si="7"/>
        <v>-</v>
      </c>
    </row>
    <row r="107" spans="2:35" x14ac:dyDescent="0.25">
      <c r="B107" s="1" t="str">
        <f t="shared" si="5"/>
        <v/>
      </c>
      <c r="C107" s="7" t="str">
        <f t="shared" si="6"/>
        <v/>
      </c>
      <c r="D107" s="7" t="str">
        <f t="shared" si="10"/>
        <v/>
      </c>
      <c r="E107" s="7" t="str">
        <f t="shared" si="10"/>
        <v/>
      </c>
      <c r="F107" s="7" t="str">
        <f t="shared" si="10"/>
        <v/>
      </c>
      <c r="G107" s="7" t="str">
        <f t="shared" si="10"/>
        <v/>
      </c>
      <c r="H107" s="7" t="str">
        <f t="shared" si="10"/>
        <v/>
      </c>
      <c r="I107" s="7" t="str">
        <f t="shared" si="10"/>
        <v/>
      </c>
      <c r="J107" s="7" t="str">
        <f t="shared" si="10"/>
        <v/>
      </c>
      <c r="K107" s="7" t="str">
        <f t="shared" si="10"/>
        <v/>
      </c>
      <c r="L107" s="7" t="str">
        <f t="shared" si="10"/>
        <v/>
      </c>
      <c r="M107" s="7" t="str">
        <f t="shared" si="10"/>
        <v/>
      </c>
      <c r="N107" s="7" t="str">
        <f t="shared" si="10"/>
        <v/>
      </c>
      <c r="O107" s="7" t="str">
        <f t="shared" si="10"/>
        <v/>
      </c>
      <c r="P107" s="7" t="str">
        <f t="shared" si="10"/>
        <v/>
      </c>
      <c r="Q107" s="7" t="str">
        <f t="shared" si="10"/>
        <v/>
      </c>
      <c r="R107" s="7" t="str">
        <f t="shared" si="10"/>
        <v/>
      </c>
      <c r="S107" s="7" t="str">
        <f t="shared" si="10"/>
        <v/>
      </c>
      <c r="T107" s="7" t="str">
        <f t="shared" si="10"/>
        <v/>
      </c>
      <c r="U107" s="7" t="str">
        <f t="shared" si="10"/>
        <v/>
      </c>
      <c r="V107" s="7" t="str">
        <f t="shared" si="10"/>
        <v/>
      </c>
      <c r="W107" s="7" t="str">
        <f t="shared" si="10"/>
        <v/>
      </c>
      <c r="X107" s="7" t="str">
        <f t="shared" si="10"/>
        <v/>
      </c>
      <c r="Y107" s="7" t="str">
        <f t="shared" si="10"/>
        <v/>
      </c>
      <c r="Z107" s="7" t="str">
        <f t="shared" si="10"/>
        <v/>
      </c>
      <c r="AA107" s="7" t="str">
        <f t="shared" si="10"/>
        <v/>
      </c>
      <c r="AB107" s="7" t="str">
        <f t="shared" si="10"/>
        <v/>
      </c>
      <c r="AC107" s="7" t="str">
        <f t="shared" si="10"/>
        <v/>
      </c>
      <c r="AD107" s="7" t="str">
        <f t="shared" si="10"/>
        <v/>
      </c>
      <c r="AE107" s="7" t="str">
        <f t="shared" si="10"/>
        <v/>
      </c>
      <c r="AF107" s="7" t="str">
        <f t="shared" si="10"/>
        <v/>
      </c>
      <c r="AG107" s="7" t="str">
        <f t="shared" si="10"/>
        <v/>
      </c>
      <c r="AH107" s="7" t="str">
        <f t="shared" si="10"/>
        <v/>
      </c>
      <c r="AI107" s="52" t="str">
        <f t="shared" ca="1" si="7"/>
        <v>-</v>
      </c>
    </row>
    <row r="108" spans="2:35" x14ac:dyDescent="0.25">
      <c r="B108" s="1" t="str">
        <f t="shared" si="5"/>
        <v/>
      </c>
      <c r="C108" s="7" t="str">
        <f t="shared" si="6"/>
        <v/>
      </c>
      <c r="D108" s="7" t="str">
        <f t="shared" si="10"/>
        <v/>
      </c>
      <c r="E108" s="7" t="str">
        <f t="shared" si="10"/>
        <v/>
      </c>
      <c r="F108" s="7" t="str">
        <f t="shared" si="10"/>
        <v/>
      </c>
      <c r="G108" s="7" t="str">
        <f t="shared" si="10"/>
        <v/>
      </c>
      <c r="H108" s="7" t="str">
        <f t="shared" si="10"/>
        <v/>
      </c>
      <c r="I108" s="7" t="str">
        <f t="shared" si="10"/>
        <v/>
      </c>
      <c r="J108" s="7" t="str">
        <f t="shared" si="10"/>
        <v/>
      </c>
      <c r="K108" s="7" t="str">
        <f t="shared" si="10"/>
        <v/>
      </c>
      <c r="L108" s="7" t="str">
        <f t="shared" si="10"/>
        <v/>
      </c>
      <c r="M108" s="7" t="str">
        <f t="shared" si="10"/>
        <v/>
      </c>
      <c r="N108" s="7" t="str">
        <f t="shared" si="10"/>
        <v/>
      </c>
      <c r="O108" s="7" t="str">
        <f t="shared" si="10"/>
        <v/>
      </c>
      <c r="P108" s="7" t="str">
        <f t="shared" si="10"/>
        <v/>
      </c>
      <c r="Q108" s="7" t="str">
        <f t="shared" si="10"/>
        <v/>
      </c>
      <c r="R108" s="7" t="str">
        <f t="shared" si="10"/>
        <v/>
      </c>
      <c r="S108" s="7" t="str">
        <f t="shared" si="10"/>
        <v/>
      </c>
      <c r="T108" s="7" t="str">
        <f t="shared" si="10"/>
        <v/>
      </c>
      <c r="U108" s="7" t="str">
        <f t="shared" si="10"/>
        <v/>
      </c>
      <c r="V108" s="7" t="str">
        <f t="shared" si="10"/>
        <v/>
      </c>
      <c r="W108" s="7" t="str">
        <f t="shared" si="10"/>
        <v/>
      </c>
      <c r="X108" s="7" t="str">
        <f t="shared" si="10"/>
        <v/>
      </c>
      <c r="Y108" s="7" t="str">
        <f t="shared" si="10"/>
        <v/>
      </c>
      <c r="Z108" s="7" t="str">
        <f t="shared" si="10"/>
        <v/>
      </c>
      <c r="AA108" s="7" t="str">
        <f t="shared" si="10"/>
        <v/>
      </c>
      <c r="AB108" s="7" t="str">
        <f t="shared" si="10"/>
        <v/>
      </c>
      <c r="AC108" s="7" t="str">
        <f t="shared" si="10"/>
        <v/>
      </c>
      <c r="AD108" s="7" t="str">
        <f t="shared" si="10"/>
        <v/>
      </c>
      <c r="AE108" s="7" t="str">
        <f t="shared" si="10"/>
        <v/>
      </c>
      <c r="AF108" s="7" t="str">
        <f t="shared" si="10"/>
        <v/>
      </c>
      <c r="AG108" s="7" t="str">
        <f t="shared" si="10"/>
        <v/>
      </c>
      <c r="AH108" s="7" t="str">
        <f t="shared" si="10"/>
        <v/>
      </c>
      <c r="AI108" s="52" t="str">
        <f t="shared" ca="1" si="7"/>
        <v>-</v>
      </c>
    </row>
    <row r="109" spans="2:35" x14ac:dyDescent="0.25">
      <c r="B109" s="1" t="str">
        <f t="shared" si="5"/>
        <v/>
      </c>
      <c r="C109" s="7" t="str">
        <f t="shared" si="6"/>
        <v/>
      </c>
      <c r="D109" s="7" t="str">
        <f t="shared" si="10"/>
        <v/>
      </c>
      <c r="E109" s="7" t="str">
        <f t="shared" si="10"/>
        <v/>
      </c>
      <c r="F109" s="7" t="str">
        <f t="shared" si="10"/>
        <v/>
      </c>
      <c r="G109" s="7" t="str">
        <f t="shared" si="10"/>
        <v/>
      </c>
      <c r="H109" s="7" t="str">
        <f t="shared" si="10"/>
        <v/>
      </c>
      <c r="I109" s="7" t="str">
        <f t="shared" si="10"/>
        <v/>
      </c>
      <c r="J109" s="7" t="str">
        <f t="shared" si="10"/>
        <v/>
      </c>
      <c r="K109" s="7" t="str">
        <f t="shared" si="10"/>
        <v/>
      </c>
      <c r="L109" s="7" t="str">
        <f t="shared" si="10"/>
        <v/>
      </c>
      <c r="M109" s="7" t="str">
        <f t="shared" si="10"/>
        <v/>
      </c>
      <c r="N109" s="7" t="str">
        <f t="shared" si="10"/>
        <v/>
      </c>
      <c r="O109" s="7" t="str">
        <f t="shared" si="10"/>
        <v/>
      </c>
      <c r="P109" s="7" t="str">
        <f t="shared" si="10"/>
        <v/>
      </c>
      <c r="Q109" s="7" t="str">
        <f t="shared" si="10"/>
        <v/>
      </c>
      <c r="R109" s="7" t="str">
        <f t="shared" si="10"/>
        <v/>
      </c>
      <c r="S109" s="7" t="str">
        <f t="shared" si="10"/>
        <v/>
      </c>
      <c r="T109" s="7" t="str">
        <f t="shared" si="10"/>
        <v/>
      </c>
      <c r="U109" s="7" t="str">
        <f t="shared" si="10"/>
        <v/>
      </c>
      <c r="V109" s="7" t="str">
        <f t="shared" si="10"/>
        <v/>
      </c>
      <c r="W109" s="7" t="str">
        <f t="shared" si="10"/>
        <v/>
      </c>
      <c r="X109" s="7" t="str">
        <f t="shared" si="10"/>
        <v/>
      </c>
      <c r="Y109" s="7" t="str">
        <f t="shared" si="10"/>
        <v/>
      </c>
      <c r="Z109" s="7" t="str">
        <f t="shared" si="10"/>
        <v/>
      </c>
      <c r="AA109" s="7" t="str">
        <f t="shared" si="10"/>
        <v/>
      </c>
      <c r="AB109" s="7" t="str">
        <f t="shared" si="10"/>
        <v/>
      </c>
      <c r="AC109" s="7" t="str">
        <f t="shared" si="10"/>
        <v/>
      </c>
      <c r="AD109" s="7" t="str">
        <f t="shared" si="10"/>
        <v/>
      </c>
      <c r="AE109" s="7" t="str">
        <f t="shared" si="10"/>
        <v/>
      </c>
      <c r="AF109" s="7" t="str">
        <f t="shared" si="10"/>
        <v/>
      </c>
      <c r="AG109" s="7" t="str">
        <f t="shared" si="10"/>
        <v/>
      </c>
      <c r="AH109" s="7" t="str">
        <f t="shared" si="10"/>
        <v/>
      </c>
      <c r="AI109" s="52" t="str">
        <f t="shared" ca="1" si="7"/>
        <v>-</v>
      </c>
    </row>
    <row r="112" spans="2:35" x14ac:dyDescent="0.25">
      <c r="B112" s="51" t="s">
        <v>66</v>
      </c>
    </row>
    <row r="113" spans="2:3" x14ac:dyDescent="0.25">
      <c r="B113" s="1" t="str">
        <f>B78</f>
        <v>ALBA Berlin</v>
      </c>
      <c r="C113" s="7">
        <f ca="1">IFERROR((2*AI43+AI78)/3,"-")</f>
        <v>0.44018224573780129</v>
      </c>
    </row>
    <row r="114" spans="2:3" x14ac:dyDescent="0.25">
      <c r="B114" s="1" t="str">
        <f t="shared" ref="B114:B144" si="11">B79</f>
        <v>Anadolu Efes Istanbul</v>
      </c>
      <c r="C114" s="7">
        <f t="shared" ref="C114:C144" ca="1" si="12">IFERROR((2*AI44+AI79)/3,"-")</f>
        <v>0.55277226631393295</v>
      </c>
    </row>
    <row r="115" spans="2:3" x14ac:dyDescent="0.25">
      <c r="B115" s="1" t="str">
        <f t="shared" si="11"/>
        <v>AS Monaco</v>
      </c>
      <c r="C115" s="7">
        <f t="shared" ca="1" si="12"/>
        <v>0.49023552322163438</v>
      </c>
    </row>
    <row r="116" spans="2:3" x14ac:dyDescent="0.25">
      <c r="B116" s="1" t="str">
        <f t="shared" si="11"/>
        <v>Baskonia Vitoria-Gasteiz</v>
      </c>
      <c r="C116" s="7">
        <f t="shared" ca="1" si="12"/>
        <v>0.49912735155790711</v>
      </c>
    </row>
    <row r="117" spans="2:3" x14ac:dyDescent="0.25">
      <c r="B117" s="1" t="str">
        <f t="shared" si="11"/>
        <v>Crvena Zvezda Meridianbet Belgrade</v>
      </c>
      <c r="C117" s="7">
        <f t="shared" ca="1" si="12"/>
        <v>0.48361258083480307</v>
      </c>
    </row>
    <row r="118" spans="2:3" x14ac:dyDescent="0.25">
      <c r="B118" s="1" t="str">
        <f t="shared" si="11"/>
        <v>EA7 Emporio Armani Milan</v>
      </c>
      <c r="C118" s="7">
        <f t="shared" ca="1" si="12"/>
        <v>0.53491512345679004</v>
      </c>
    </row>
    <row r="119" spans="2:3" x14ac:dyDescent="0.25">
      <c r="B119" s="1" t="str">
        <f t="shared" si="11"/>
        <v>FC Barcelona</v>
      </c>
      <c r="C119" s="7">
        <f t="shared" ca="1" si="12"/>
        <v>0.55247832157554377</v>
      </c>
    </row>
    <row r="120" spans="2:3" x14ac:dyDescent="0.25">
      <c r="B120" s="1" t="str">
        <f t="shared" si="11"/>
        <v>FC Bayern Munich</v>
      </c>
      <c r="C120" s="7">
        <f t="shared" ca="1" si="12"/>
        <v>0.47325102880658432</v>
      </c>
    </row>
    <row r="121" spans="2:3" x14ac:dyDescent="0.25">
      <c r="B121" s="1" t="str">
        <f t="shared" si="11"/>
        <v>Fenerbahce Beko Istanbul</v>
      </c>
      <c r="C121" s="7">
        <f t="shared" ca="1" si="12"/>
        <v>0.45730452674897121</v>
      </c>
    </row>
    <row r="122" spans="2:3" x14ac:dyDescent="0.25">
      <c r="B122" s="1" t="str">
        <f t="shared" si="11"/>
        <v>LDLC ASVEL Villeurbanne</v>
      </c>
      <c r="C122" s="7">
        <f t="shared" ca="1" si="12"/>
        <v>0.43716931216931215</v>
      </c>
    </row>
    <row r="123" spans="2:3" x14ac:dyDescent="0.25">
      <c r="B123" s="1" t="str">
        <f t="shared" si="11"/>
        <v>Maccabi Playtika Tel Aviv</v>
      </c>
      <c r="C123" s="7">
        <f t="shared" ca="1" si="12"/>
        <v>0.49884259259259256</v>
      </c>
    </row>
    <row r="124" spans="2:3" x14ac:dyDescent="0.25">
      <c r="B124" s="1" t="str">
        <f t="shared" si="11"/>
        <v>Olympiacos Piraeus</v>
      </c>
      <c r="C124" s="7">
        <f t="shared" ca="1" si="12"/>
        <v>0.51859200470311573</v>
      </c>
    </row>
    <row r="125" spans="2:3" x14ac:dyDescent="0.25">
      <c r="B125" s="1" t="str">
        <f t="shared" si="11"/>
        <v>Panathinaikos Athens</v>
      </c>
      <c r="C125" s="7">
        <f t="shared" ca="1" si="12"/>
        <v>0.51036155202821865</v>
      </c>
    </row>
    <row r="126" spans="2:3" x14ac:dyDescent="0.25">
      <c r="B126" s="1" t="str">
        <f t="shared" si="11"/>
        <v>Partizan Mozzart Bet Belgrade</v>
      </c>
      <c r="C126" s="7">
        <f t="shared" ca="1" si="12"/>
        <v>0.4522339800117578</v>
      </c>
    </row>
    <row r="127" spans="2:3" x14ac:dyDescent="0.25">
      <c r="B127" s="1" t="str">
        <f t="shared" si="11"/>
        <v>Real Madrid</v>
      </c>
      <c r="C127" s="7">
        <f t="shared" ca="1" si="12"/>
        <v>0.58101851851851849</v>
      </c>
    </row>
    <row r="128" spans="2:3" x14ac:dyDescent="0.25">
      <c r="B128" s="1" t="str">
        <f t="shared" si="11"/>
        <v>Valencia Basket</v>
      </c>
      <c r="C128" s="7">
        <f t="shared" ca="1" si="12"/>
        <v>0.53991218400940622</v>
      </c>
    </row>
    <row r="129" spans="2:3" x14ac:dyDescent="0.25">
      <c r="B129" s="1" t="str">
        <f t="shared" si="11"/>
        <v>Virtus Segafredo Bologna</v>
      </c>
      <c r="C129" s="7">
        <f t="shared" ca="1" si="12"/>
        <v>0.47465645208700763</v>
      </c>
    </row>
    <row r="130" spans="2:3" x14ac:dyDescent="0.25">
      <c r="B130" s="1" t="str">
        <f t="shared" si="11"/>
        <v>Zalgiris Kaunas</v>
      </c>
      <c r="C130" s="7">
        <f t="shared" ca="1" si="12"/>
        <v>0.51220789241622577</v>
      </c>
    </row>
    <row r="131" spans="2:3" x14ac:dyDescent="0.25">
      <c r="B131" s="1" t="str">
        <f t="shared" si="11"/>
        <v/>
      </c>
      <c r="C131" s="7" t="str">
        <f t="shared" ca="1" si="12"/>
        <v>-</v>
      </c>
    </row>
    <row r="132" spans="2:3" x14ac:dyDescent="0.25">
      <c r="B132" s="1" t="str">
        <f t="shared" si="11"/>
        <v/>
      </c>
      <c r="C132" s="7" t="str">
        <f t="shared" ca="1" si="12"/>
        <v>-</v>
      </c>
    </row>
    <row r="133" spans="2:3" x14ac:dyDescent="0.25">
      <c r="B133" s="1" t="str">
        <f t="shared" si="11"/>
        <v/>
      </c>
      <c r="C133" s="7" t="str">
        <f t="shared" ca="1" si="12"/>
        <v>-</v>
      </c>
    </row>
    <row r="134" spans="2:3" x14ac:dyDescent="0.25">
      <c r="B134" s="1" t="str">
        <f t="shared" si="11"/>
        <v/>
      </c>
      <c r="C134" s="7" t="str">
        <f t="shared" ca="1" si="12"/>
        <v>-</v>
      </c>
    </row>
    <row r="135" spans="2:3" x14ac:dyDescent="0.25">
      <c r="B135" s="1" t="str">
        <f t="shared" si="11"/>
        <v/>
      </c>
      <c r="C135" s="7" t="str">
        <f t="shared" ca="1" si="12"/>
        <v>-</v>
      </c>
    </row>
    <row r="136" spans="2:3" x14ac:dyDescent="0.25">
      <c r="B136" s="1" t="str">
        <f t="shared" si="11"/>
        <v/>
      </c>
      <c r="C136" s="7" t="str">
        <f t="shared" ca="1" si="12"/>
        <v>-</v>
      </c>
    </row>
    <row r="137" spans="2:3" x14ac:dyDescent="0.25">
      <c r="B137" s="1" t="str">
        <f t="shared" si="11"/>
        <v/>
      </c>
      <c r="C137" s="7" t="str">
        <f t="shared" ca="1" si="12"/>
        <v>-</v>
      </c>
    </row>
    <row r="138" spans="2:3" x14ac:dyDescent="0.25">
      <c r="B138" s="1" t="str">
        <f t="shared" si="11"/>
        <v/>
      </c>
      <c r="C138" s="7" t="str">
        <f t="shared" ca="1" si="12"/>
        <v>-</v>
      </c>
    </row>
    <row r="139" spans="2:3" x14ac:dyDescent="0.25">
      <c r="B139" s="1" t="str">
        <f t="shared" si="11"/>
        <v/>
      </c>
      <c r="C139" s="7" t="str">
        <f t="shared" ca="1" si="12"/>
        <v>-</v>
      </c>
    </row>
    <row r="140" spans="2:3" x14ac:dyDescent="0.25">
      <c r="B140" s="1" t="str">
        <f t="shared" si="11"/>
        <v/>
      </c>
      <c r="C140" s="7" t="str">
        <f t="shared" ca="1" si="12"/>
        <v>-</v>
      </c>
    </row>
    <row r="141" spans="2:3" x14ac:dyDescent="0.25">
      <c r="B141" s="1" t="str">
        <f t="shared" si="11"/>
        <v/>
      </c>
      <c r="C141" s="7" t="str">
        <f t="shared" ca="1" si="12"/>
        <v>-</v>
      </c>
    </row>
    <row r="142" spans="2:3" x14ac:dyDescent="0.25">
      <c r="B142" s="1" t="str">
        <f t="shared" si="11"/>
        <v/>
      </c>
      <c r="C142" s="7" t="str">
        <f t="shared" ca="1" si="12"/>
        <v>-</v>
      </c>
    </row>
    <row r="143" spans="2:3" x14ac:dyDescent="0.25">
      <c r="B143" s="1" t="str">
        <f t="shared" si="11"/>
        <v/>
      </c>
      <c r="C143" s="7" t="str">
        <f t="shared" ca="1" si="12"/>
        <v>-</v>
      </c>
    </row>
    <row r="144" spans="2:3" x14ac:dyDescent="0.25">
      <c r="B144" s="1" t="str">
        <f t="shared" si="11"/>
        <v/>
      </c>
      <c r="C144" s="7" t="str">
        <f t="shared" ca="1" si="12"/>
        <v>-</v>
      </c>
    </row>
  </sheetData>
  <mergeCells count="10">
    <mergeCell ref="F2:G2"/>
    <mergeCell ref="F3:G3"/>
    <mergeCell ref="D4:E4"/>
    <mergeCell ref="F4:G4"/>
    <mergeCell ref="H4:I4"/>
    <mergeCell ref="J4:K4"/>
    <mergeCell ref="D5:E5"/>
    <mergeCell ref="F5:G5"/>
    <mergeCell ref="H5:I5"/>
    <mergeCell ref="J5:K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E43D1-3DD1-4F50-A6CC-29B9BB59592D}">
  <dimension ref="B2:GY167"/>
  <sheetViews>
    <sheetView showGridLines="0" topLeftCell="A3" workbookViewId="0">
      <selection activeCell="B3" sqref="B3"/>
    </sheetView>
  </sheetViews>
  <sheetFormatPr defaultColWidth="7.28515625" defaultRowHeight="15" customHeight="1" x14ac:dyDescent="0.25"/>
  <cols>
    <col min="1" max="1" width="9.140625" style="14" customWidth="1"/>
    <col min="2" max="4" width="7.28515625" style="14" customWidth="1"/>
    <col min="5" max="6" width="35.7109375" style="14" customWidth="1"/>
    <col min="7" max="7" width="10.7109375" style="12" customWidth="1"/>
    <col min="8" max="9" width="7.28515625" style="14" customWidth="1"/>
    <col min="10" max="16384" width="7.28515625" style="14"/>
  </cols>
  <sheetData>
    <row r="2" spans="2:207" s="12" customFormat="1" ht="15" customHeight="1" x14ac:dyDescent="0.25"/>
    <row r="3" spans="2:207" s="13" customFormat="1" ht="45" customHeight="1" x14ac:dyDescent="0.25">
      <c r="B3" s="13" t="s">
        <v>51</v>
      </c>
      <c r="C3" s="13" t="s">
        <v>3</v>
      </c>
      <c r="D3" s="13" t="s">
        <v>55</v>
      </c>
      <c r="E3" s="13" t="s">
        <v>2</v>
      </c>
      <c r="F3" s="13" t="s">
        <v>67</v>
      </c>
      <c r="G3" s="13" t="s">
        <v>53</v>
      </c>
      <c r="H3" s="13" t="s">
        <v>54</v>
      </c>
      <c r="I3" s="13" t="s">
        <v>68</v>
      </c>
      <c r="J3" s="13" t="s">
        <v>69</v>
      </c>
      <c r="K3" s="13" t="s">
        <v>70</v>
      </c>
      <c r="L3" s="13" t="s">
        <v>71</v>
      </c>
      <c r="M3" s="13" t="s">
        <v>72</v>
      </c>
      <c r="N3" s="13" t="s">
        <v>73</v>
      </c>
      <c r="O3" s="13" t="s">
        <v>74</v>
      </c>
      <c r="P3" s="13" t="s">
        <v>75</v>
      </c>
      <c r="Q3" s="13" t="s">
        <v>76</v>
      </c>
      <c r="R3" s="13" t="s">
        <v>77</v>
      </c>
      <c r="S3" s="13" t="s">
        <v>78</v>
      </c>
      <c r="T3" s="13" t="s">
        <v>79</v>
      </c>
      <c r="U3" s="13" t="s">
        <v>80</v>
      </c>
      <c r="V3" s="13" t="s">
        <v>81</v>
      </c>
      <c r="W3" s="13" t="s">
        <v>82</v>
      </c>
      <c r="X3" s="13" t="s">
        <v>83</v>
      </c>
      <c r="Y3" s="13" t="s">
        <v>84</v>
      </c>
      <c r="Z3" s="13" t="s">
        <v>85</v>
      </c>
      <c r="AA3" s="13" t="s">
        <v>86</v>
      </c>
      <c r="AB3" s="13" t="s">
        <v>87</v>
      </c>
      <c r="AC3" s="13" t="s">
        <v>88</v>
      </c>
      <c r="AD3" s="13" t="s">
        <v>89</v>
      </c>
      <c r="AE3" s="13" t="s">
        <v>90</v>
      </c>
      <c r="AF3" s="13" t="s">
        <v>91</v>
      </c>
      <c r="AG3" s="13" t="s">
        <v>30</v>
      </c>
      <c r="AH3" s="13" t="s">
        <v>92</v>
      </c>
      <c r="AI3" s="13" t="s">
        <v>93</v>
      </c>
      <c r="AJ3" s="13" t="s">
        <v>94</v>
      </c>
      <c r="AK3" s="13" t="s">
        <v>95</v>
      </c>
      <c r="AL3" s="13" t="s">
        <v>96</v>
      </c>
      <c r="AM3" s="13" t="s">
        <v>97</v>
      </c>
      <c r="AN3" s="13" t="s">
        <v>98</v>
      </c>
      <c r="AO3" s="13" t="s">
        <v>99</v>
      </c>
      <c r="AP3" s="13" t="s">
        <v>100</v>
      </c>
      <c r="AQ3" s="13" t="s">
        <v>101</v>
      </c>
      <c r="AR3" s="13" t="s">
        <v>102</v>
      </c>
      <c r="AS3" s="13" t="s">
        <v>103</v>
      </c>
      <c r="AT3" s="13" t="s">
        <v>104</v>
      </c>
      <c r="AU3" s="13" t="s">
        <v>105</v>
      </c>
      <c r="AV3" s="13" t="s">
        <v>106</v>
      </c>
      <c r="AW3" s="13" t="s">
        <v>107</v>
      </c>
      <c r="AX3" s="13" t="s">
        <v>108</v>
      </c>
      <c r="AY3" s="13" t="s">
        <v>109</v>
      </c>
      <c r="AZ3" s="13" t="s">
        <v>110</v>
      </c>
      <c r="BA3" s="13" t="s">
        <v>111</v>
      </c>
      <c r="BB3" s="13" t="s">
        <v>112</v>
      </c>
      <c r="BC3" s="13" t="s">
        <v>113</v>
      </c>
      <c r="BD3" s="13" t="s">
        <v>114</v>
      </c>
      <c r="BE3" s="13" t="s">
        <v>115</v>
      </c>
      <c r="BF3" s="13" t="s">
        <v>116</v>
      </c>
      <c r="BG3" s="13" t="s">
        <v>117</v>
      </c>
      <c r="BH3" s="13" t="s">
        <v>118</v>
      </c>
      <c r="BI3" s="13" t="s">
        <v>119</v>
      </c>
      <c r="BJ3" s="13" t="s">
        <v>120</v>
      </c>
      <c r="BK3" s="13" t="s">
        <v>121</v>
      </c>
      <c r="BL3" s="13" t="s">
        <v>122</v>
      </c>
      <c r="BM3" s="13" t="s">
        <v>123</v>
      </c>
      <c r="BN3" s="13" t="s">
        <v>124</v>
      </c>
      <c r="BO3" s="13" t="s">
        <v>125</v>
      </c>
      <c r="BP3" s="13" t="s">
        <v>126</v>
      </c>
      <c r="BQ3" s="13" t="s">
        <v>127</v>
      </c>
      <c r="BR3" s="13" t="s">
        <v>128</v>
      </c>
      <c r="BS3" s="13" t="s">
        <v>129</v>
      </c>
      <c r="BT3" s="13" t="s">
        <v>130</v>
      </c>
      <c r="BU3" s="13" t="s">
        <v>131</v>
      </c>
      <c r="BV3" s="13" t="s">
        <v>132</v>
      </c>
      <c r="BW3" s="13" t="s">
        <v>133</v>
      </c>
      <c r="BX3" s="22" t="s">
        <v>134</v>
      </c>
      <c r="BY3" s="22" t="s">
        <v>135</v>
      </c>
      <c r="BZ3" s="13" t="s">
        <v>136</v>
      </c>
      <c r="CA3" s="13" t="s">
        <v>137</v>
      </c>
      <c r="CB3" s="13" t="s">
        <v>138</v>
      </c>
      <c r="CC3" s="13" t="s">
        <v>139</v>
      </c>
      <c r="CD3" s="13" t="s">
        <v>140</v>
      </c>
      <c r="CE3" s="13" t="s">
        <v>141</v>
      </c>
      <c r="CF3" s="13" t="s">
        <v>142</v>
      </c>
      <c r="CG3" s="13" t="s">
        <v>143</v>
      </c>
      <c r="CH3" s="13" t="s">
        <v>144</v>
      </c>
      <c r="CI3" s="13" t="s">
        <v>145</v>
      </c>
      <c r="CJ3" s="13" t="s">
        <v>146</v>
      </c>
      <c r="CK3" s="13" t="s">
        <v>147</v>
      </c>
      <c r="CL3" s="13" t="s">
        <v>148</v>
      </c>
      <c r="CM3" s="13" t="s">
        <v>149</v>
      </c>
      <c r="CN3" s="13" t="s">
        <v>150</v>
      </c>
      <c r="CO3" s="13" t="s">
        <v>151</v>
      </c>
      <c r="CP3" s="13" t="s">
        <v>152</v>
      </c>
      <c r="CQ3" s="13" t="s">
        <v>153</v>
      </c>
      <c r="CR3" s="13" t="s">
        <v>154</v>
      </c>
      <c r="CS3" s="13" t="s">
        <v>155</v>
      </c>
      <c r="CT3" s="13" t="s">
        <v>156</v>
      </c>
      <c r="CU3" s="13" t="s">
        <v>157</v>
      </c>
      <c r="CV3" s="13" t="s">
        <v>158</v>
      </c>
      <c r="CW3" s="13" t="s">
        <v>159</v>
      </c>
      <c r="CX3" s="13" t="s">
        <v>160</v>
      </c>
      <c r="CY3" s="13" t="s">
        <v>161</v>
      </c>
      <c r="CZ3" s="13" t="s">
        <v>162</v>
      </c>
      <c r="DA3" s="13" t="s">
        <v>163</v>
      </c>
      <c r="DB3" s="13" t="s">
        <v>164</v>
      </c>
      <c r="DC3" s="13" t="s">
        <v>165</v>
      </c>
      <c r="DD3" s="13" t="s">
        <v>166</v>
      </c>
      <c r="DE3" s="13" t="s">
        <v>167</v>
      </c>
      <c r="DF3" s="13" t="s">
        <v>168</v>
      </c>
      <c r="DG3" s="13" t="s">
        <v>169</v>
      </c>
      <c r="DH3" s="13" t="s">
        <v>170</v>
      </c>
      <c r="DI3" s="13" t="s">
        <v>171</v>
      </c>
      <c r="DJ3" s="13" t="s">
        <v>172</v>
      </c>
      <c r="DK3" s="13" t="s">
        <v>173</v>
      </c>
      <c r="DL3" s="13" t="s">
        <v>174</v>
      </c>
      <c r="DM3" s="13" t="s">
        <v>175</v>
      </c>
      <c r="DN3" s="13" t="s">
        <v>176</v>
      </c>
      <c r="DO3" s="13" t="s">
        <v>177</v>
      </c>
      <c r="DP3" s="13" t="s">
        <v>178</v>
      </c>
      <c r="DQ3" s="13" t="s">
        <v>179</v>
      </c>
      <c r="DR3" s="13" t="s">
        <v>180</v>
      </c>
      <c r="DS3" s="13" t="s">
        <v>181</v>
      </c>
      <c r="DT3" s="13" t="s">
        <v>182</v>
      </c>
      <c r="DU3" s="13" t="s">
        <v>183</v>
      </c>
      <c r="DV3" s="13" t="s">
        <v>184</v>
      </c>
      <c r="DW3" s="13" t="s">
        <v>185</v>
      </c>
      <c r="DX3" s="13" t="s">
        <v>186</v>
      </c>
      <c r="DY3" s="13" t="s">
        <v>187</v>
      </c>
      <c r="DZ3" s="13" t="s">
        <v>188</v>
      </c>
      <c r="EA3" s="13" t="s">
        <v>189</v>
      </c>
      <c r="EB3" s="13" t="s">
        <v>190</v>
      </c>
      <c r="EC3" s="13" t="s">
        <v>191</v>
      </c>
      <c r="ED3" s="13" t="s">
        <v>192</v>
      </c>
      <c r="EE3" s="13" t="s">
        <v>193</v>
      </c>
      <c r="EF3" s="13" t="s">
        <v>194</v>
      </c>
      <c r="EG3" s="13" t="s">
        <v>195</v>
      </c>
      <c r="EH3" s="13" t="s">
        <v>196</v>
      </c>
      <c r="EI3" s="13" t="s">
        <v>197</v>
      </c>
      <c r="EJ3" s="13" t="s">
        <v>198</v>
      </c>
      <c r="EK3" s="13" t="s">
        <v>199</v>
      </c>
      <c r="EL3" s="13" t="s">
        <v>200</v>
      </c>
      <c r="EM3" s="13" t="s">
        <v>201</v>
      </c>
      <c r="EN3" s="13" t="s">
        <v>202</v>
      </c>
      <c r="EO3" s="13" t="s">
        <v>203</v>
      </c>
      <c r="EP3" s="13" t="s">
        <v>204</v>
      </c>
      <c r="EQ3" s="13" t="s">
        <v>205</v>
      </c>
      <c r="ER3" s="13" t="s">
        <v>206</v>
      </c>
      <c r="ES3" s="13" t="s">
        <v>207</v>
      </c>
      <c r="ET3" s="13" t="s">
        <v>208</v>
      </c>
      <c r="EU3" s="13" t="s">
        <v>209</v>
      </c>
      <c r="EV3" s="13" t="s">
        <v>210</v>
      </c>
      <c r="EW3" s="13" t="s">
        <v>211</v>
      </c>
      <c r="EX3" s="13" t="s">
        <v>212</v>
      </c>
      <c r="EY3" s="13" t="s">
        <v>213</v>
      </c>
      <c r="EZ3" s="13" t="s">
        <v>214</v>
      </c>
      <c r="FA3" s="13" t="s">
        <v>215</v>
      </c>
      <c r="FB3" s="13" t="s">
        <v>216</v>
      </c>
      <c r="FC3" s="13" t="s">
        <v>217</v>
      </c>
      <c r="FD3" s="13" t="s">
        <v>218</v>
      </c>
      <c r="FE3" s="13" t="s">
        <v>219</v>
      </c>
      <c r="FF3" s="13" t="s">
        <v>220</v>
      </c>
      <c r="FG3" s="13" t="s">
        <v>221</v>
      </c>
      <c r="FH3" s="13" t="s">
        <v>222</v>
      </c>
      <c r="FI3" s="13" t="s">
        <v>223</v>
      </c>
      <c r="FJ3" s="13" t="s">
        <v>224</v>
      </c>
      <c r="FK3" s="13" t="s">
        <v>225</v>
      </c>
      <c r="FL3" s="13" t="s">
        <v>226</v>
      </c>
      <c r="FM3" s="13" t="s">
        <v>227</v>
      </c>
      <c r="FN3" s="13" t="s">
        <v>228</v>
      </c>
      <c r="FO3" s="13" t="s">
        <v>229</v>
      </c>
      <c r="FP3" s="13" t="s">
        <v>230</v>
      </c>
      <c r="FQ3" s="13" t="s">
        <v>231</v>
      </c>
      <c r="FR3" s="13" t="s">
        <v>232</v>
      </c>
      <c r="FS3" s="13" t="s">
        <v>233</v>
      </c>
      <c r="FT3" s="13" t="s">
        <v>234</v>
      </c>
      <c r="FU3" s="13" t="s">
        <v>235</v>
      </c>
      <c r="FV3" s="13" t="s">
        <v>236</v>
      </c>
      <c r="FW3" s="13" t="s">
        <v>237</v>
      </c>
      <c r="FX3" s="13" t="s">
        <v>238</v>
      </c>
      <c r="FY3" s="13" t="s">
        <v>239</v>
      </c>
      <c r="FZ3" s="13" t="s">
        <v>240</v>
      </c>
      <c r="GA3" s="13" t="s">
        <v>241</v>
      </c>
      <c r="GB3" s="13" t="s">
        <v>242</v>
      </c>
      <c r="GC3" s="13" t="s">
        <v>243</v>
      </c>
      <c r="GD3" s="13" t="s">
        <v>244</v>
      </c>
      <c r="GE3" s="13" t="s">
        <v>245</v>
      </c>
      <c r="GF3" s="13" t="s">
        <v>246</v>
      </c>
      <c r="GG3" s="13" t="s">
        <v>247</v>
      </c>
      <c r="GH3" s="13" t="s">
        <v>248</v>
      </c>
      <c r="GI3" s="13" t="s">
        <v>249</v>
      </c>
      <c r="GJ3" s="13" t="s">
        <v>250</v>
      </c>
      <c r="GK3" s="13" t="s">
        <v>251</v>
      </c>
      <c r="GL3" s="13" t="s">
        <v>252</v>
      </c>
      <c r="GM3" s="13" t="s">
        <v>253</v>
      </c>
      <c r="GN3" s="13" t="s">
        <v>254</v>
      </c>
      <c r="GO3" s="13" t="s">
        <v>255</v>
      </c>
      <c r="GP3" s="13" t="s">
        <v>256</v>
      </c>
      <c r="GQ3" s="13" t="s">
        <v>257</v>
      </c>
      <c r="GR3" s="13" t="s">
        <v>258</v>
      </c>
      <c r="GS3" s="13" t="s">
        <v>259</v>
      </c>
      <c r="GT3" s="13" t="s">
        <v>260</v>
      </c>
      <c r="GU3" s="13" t="s">
        <v>261</v>
      </c>
      <c r="GV3" s="13" t="s">
        <v>262</v>
      </c>
      <c r="GW3" s="13" t="s">
        <v>263</v>
      </c>
    </row>
    <row r="4" spans="2:207" ht="15" customHeight="1" x14ac:dyDescent="0.2">
      <c r="B4" s="12">
        <v>1</v>
      </c>
      <c r="C4" s="12" t="s">
        <v>264</v>
      </c>
      <c r="D4" s="12" t="s">
        <v>265</v>
      </c>
      <c r="E4" s="14" t="s">
        <v>266</v>
      </c>
      <c r="F4" s="14" t="s">
        <v>267</v>
      </c>
      <c r="G4" s="15">
        <v>45204</v>
      </c>
      <c r="H4" s="15" t="s">
        <v>268</v>
      </c>
      <c r="I4" s="12" t="s">
        <v>269</v>
      </c>
      <c r="J4" s="12" t="s">
        <v>270</v>
      </c>
      <c r="K4" s="12">
        <v>200</v>
      </c>
      <c r="L4" s="12">
        <v>94</v>
      </c>
      <c r="M4" s="12">
        <v>16</v>
      </c>
      <c r="N4" s="12">
        <v>37</v>
      </c>
      <c r="O4" s="16">
        <v>0.43243243243243246</v>
      </c>
      <c r="P4" s="12">
        <v>17</v>
      </c>
      <c r="Q4" s="12">
        <v>34</v>
      </c>
      <c r="R4" s="16">
        <v>0.5</v>
      </c>
      <c r="S4" s="12">
        <v>33</v>
      </c>
      <c r="T4" s="12">
        <v>71</v>
      </c>
      <c r="U4" s="16">
        <v>0.46478873239436619</v>
      </c>
      <c r="V4" s="12">
        <v>11</v>
      </c>
      <c r="W4" s="12">
        <v>13</v>
      </c>
      <c r="X4" s="16">
        <v>0.84615384615384615</v>
      </c>
      <c r="Y4" s="12">
        <v>17</v>
      </c>
      <c r="Z4" s="12">
        <v>23</v>
      </c>
      <c r="AA4" s="12">
        <v>40</v>
      </c>
      <c r="AB4" s="12">
        <v>19</v>
      </c>
      <c r="AC4" s="12">
        <v>10</v>
      </c>
      <c r="AD4" s="12">
        <v>10</v>
      </c>
      <c r="AE4" s="12">
        <v>2</v>
      </c>
      <c r="AF4" s="12">
        <v>3</v>
      </c>
      <c r="AG4" s="12">
        <v>21</v>
      </c>
      <c r="AH4" s="12">
        <v>14</v>
      </c>
      <c r="AI4" s="17">
        <v>105</v>
      </c>
      <c r="AJ4" s="12">
        <v>21</v>
      </c>
      <c r="AK4" s="12">
        <v>70</v>
      </c>
      <c r="AL4" s="12">
        <v>87</v>
      </c>
      <c r="AM4" s="19">
        <v>1.0804597701149425</v>
      </c>
      <c r="AN4" s="19">
        <v>0.9358974358974359</v>
      </c>
      <c r="AO4" s="18">
        <v>134.28571428571428</v>
      </c>
      <c r="AP4" s="18">
        <v>105.79710144927536</v>
      </c>
      <c r="AQ4" s="18">
        <v>28.488612836438918</v>
      </c>
      <c r="AR4" s="16">
        <v>0.58450704225352113</v>
      </c>
      <c r="AS4" s="16">
        <v>0.61038961038961037</v>
      </c>
      <c r="AT4" s="16">
        <v>6.8965517241379309E-2</v>
      </c>
      <c r="AU4" s="19">
        <v>1.3333333333333333</v>
      </c>
      <c r="AV4" s="16">
        <v>0.2988505747126437</v>
      </c>
      <c r="AW4" s="19">
        <v>0.76923076923076927</v>
      </c>
      <c r="AX4" s="16">
        <v>5.7471264367816091E-2</v>
      </c>
      <c r="AY4" s="19">
        <v>0.8</v>
      </c>
      <c r="AZ4" s="16">
        <v>1.1494252873563218E-2</v>
      </c>
      <c r="BA4" s="19">
        <v>3</v>
      </c>
      <c r="BB4" s="16">
        <v>0.37931034482758619</v>
      </c>
      <c r="BC4" s="21">
        <v>1.4545454545454546</v>
      </c>
      <c r="BD4" s="16">
        <v>6.8965517241379309E-2</v>
      </c>
      <c r="BE4" s="16">
        <v>0.11494252873563218</v>
      </c>
      <c r="BF4" s="16">
        <v>0.46153846153846156</v>
      </c>
      <c r="BG4" s="16">
        <v>0.375</v>
      </c>
      <c r="BH4" s="16">
        <v>0.58823529411764708</v>
      </c>
      <c r="BI4" s="16">
        <v>0.33333333333333331</v>
      </c>
      <c r="BJ4" s="16">
        <v>0.21839080459770116</v>
      </c>
      <c r="BK4" s="19">
        <v>1.9</v>
      </c>
      <c r="BL4" s="16">
        <v>0.4358974358974359</v>
      </c>
      <c r="BM4" s="16">
        <v>0.48</v>
      </c>
      <c r="BN4" s="16">
        <v>0.33333333333333331</v>
      </c>
      <c r="BO4" s="16">
        <v>0.5</v>
      </c>
      <c r="BP4" s="16">
        <v>0.71875</v>
      </c>
      <c r="BQ4" s="16">
        <v>0.66666666666666663</v>
      </c>
      <c r="BR4" s="16">
        <v>0.75</v>
      </c>
      <c r="BS4" s="16">
        <v>1</v>
      </c>
      <c r="BT4" s="16">
        <v>0.56338028169014087</v>
      </c>
      <c r="BU4" s="16">
        <v>0.14492753623188406</v>
      </c>
      <c r="BV4" s="16">
        <v>3.7037037037037035E-2</v>
      </c>
      <c r="BW4" s="20">
        <v>4</v>
      </c>
      <c r="BX4" s="16">
        <v>0.42857142857142855</v>
      </c>
      <c r="BY4" s="16">
        <v>0.5</v>
      </c>
      <c r="BZ4" s="12">
        <v>6</v>
      </c>
      <c r="CA4" s="12">
        <v>10</v>
      </c>
      <c r="CB4" s="12">
        <v>2</v>
      </c>
      <c r="CC4" s="12">
        <v>2</v>
      </c>
      <c r="CD4" s="12">
        <v>2</v>
      </c>
      <c r="CE4" s="12">
        <v>0</v>
      </c>
      <c r="CF4" s="12">
        <v>7</v>
      </c>
      <c r="CG4" s="12">
        <v>0</v>
      </c>
      <c r="CH4" s="12">
        <v>2</v>
      </c>
      <c r="CI4" s="12">
        <v>1</v>
      </c>
      <c r="CJ4" s="12">
        <v>0</v>
      </c>
      <c r="CK4" s="12">
        <v>0</v>
      </c>
      <c r="CL4" s="12">
        <v>5</v>
      </c>
      <c r="CM4" s="12">
        <v>1</v>
      </c>
      <c r="CN4" s="12">
        <v>1</v>
      </c>
      <c r="CO4" s="12">
        <v>0</v>
      </c>
      <c r="CP4" s="12">
        <v>0</v>
      </c>
      <c r="CQ4" s="12">
        <v>0</v>
      </c>
      <c r="CR4" s="12">
        <v>5</v>
      </c>
      <c r="CS4" s="12">
        <v>0</v>
      </c>
      <c r="CT4" s="12">
        <v>2</v>
      </c>
      <c r="CU4" s="12">
        <v>1</v>
      </c>
      <c r="CV4" s="12">
        <v>2</v>
      </c>
      <c r="CW4" s="12">
        <v>0</v>
      </c>
      <c r="CX4" s="12">
        <v>10</v>
      </c>
      <c r="CY4" s="12">
        <v>0</v>
      </c>
      <c r="CZ4" s="12">
        <v>4</v>
      </c>
      <c r="DA4" s="12">
        <v>0</v>
      </c>
      <c r="DB4" s="12">
        <v>0</v>
      </c>
      <c r="DC4" s="12">
        <v>0</v>
      </c>
      <c r="DD4" s="12">
        <v>1</v>
      </c>
      <c r="DE4" s="12">
        <v>1</v>
      </c>
      <c r="DF4" s="12">
        <v>10</v>
      </c>
      <c r="DG4" s="12">
        <v>12</v>
      </c>
      <c r="DH4" s="12">
        <v>0</v>
      </c>
      <c r="DI4" s="12">
        <v>0</v>
      </c>
      <c r="DJ4" s="12">
        <v>0</v>
      </c>
      <c r="DK4" s="12">
        <v>0</v>
      </c>
      <c r="DL4" s="12">
        <v>4</v>
      </c>
      <c r="DM4" s="12">
        <v>6</v>
      </c>
      <c r="DN4" s="12">
        <v>10</v>
      </c>
      <c r="DO4" s="12">
        <v>26</v>
      </c>
      <c r="DP4" s="12">
        <v>2</v>
      </c>
      <c r="DQ4" s="12">
        <v>5</v>
      </c>
      <c r="DR4" s="12">
        <v>1</v>
      </c>
      <c r="DS4" s="12">
        <v>1</v>
      </c>
      <c r="DT4" s="12">
        <v>16</v>
      </c>
      <c r="DU4" s="12">
        <v>33</v>
      </c>
      <c r="DV4" s="12">
        <v>0</v>
      </c>
      <c r="DW4" s="12">
        <v>0</v>
      </c>
      <c r="DX4" s="12">
        <v>73</v>
      </c>
      <c r="DY4" s="12">
        <v>17</v>
      </c>
      <c r="DZ4" s="12">
        <v>29</v>
      </c>
      <c r="EA4" s="16">
        <v>0.58620689655172409</v>
      </c>
      <c r="EB4" s="12">
        <v>9</v>
      </c>
      <c r="EC4" s="12">
        <v>25</v>
      </c>
      <c r="ED4" s="16">
        <v>0.36</v>
      </c>
      <c r="EE4" s="12">
        <v>26</v>
      </c>
      <c r="EF4" s="12">
        <v>54</v>
      </c>
      <c r="EG4" s="16">
        <v>0.48148148148148145</v>
      </c>
      <c r="EH4" s="12">
        <v>12</v>
      </c>
      <c r="EI4" s="12">
        <v>21</v>
      </c>
      <c r="EJ4" s="16">
        <v>0.5714285714285714</v>
      </c>
      <c r="EK4" s="12">
        <v>9</v>
      </c>
      <c r="EL4" s="12">
        <v>22</v>
      </c>
      <c r="EM4" s="12">
        <v>31</v>
      </c>
      <c r="EN4" s="12">
        <v>17</v>
      </c>
      <c r="EO4" s="12">
        <v>14</v>
      </c>
      <c r="EP4" s="12">
        <v>21</v>
      </c>
      <c r="EQ4" s="12">
        <v>5</v>
      </c>
      <c r="ER4" s="12">
        <v>16</v>
      </c>
      <c r="ES4" s="12">
        <v>3</v>
      </c>
      <c r="ET4" s="12">
        <v>2</v>
      </c>
      <c r="EU4" s="12">
        <v>81</v>
      </c>
      <c r="EV4" s="12">
        <v>-21</v>
      </c>
      <c r="EW4" s="12">
        <v>69</v>
      </c>
      <c r="EX4" s="12">
        <v>78</v>
      </c>
      <c r="EY4" s="12">
        <v>3</v>
      </c>
      <c r="EZ4" s="12">
        <v>7</v>
      </c>
      <c r="FA4" s="12">
        <v>7</v>
      </c>
      <c r="FB4" s="12">
        <v>3</v>
      </c>
      <c r="FC4" s="12">
        <v>4</v>
      </c>
      <c r="FD4" s="12">
        <v>1</v>
      </c>
      <c r="FE4" s="12">
        <v>0</v>
      </c>
      <c r="FF4" s="12">
        <v>3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4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9</v>
      </c>
      <c r="FS4" s="12">
        <v>3</v>
      </c>
      <c r="FT4" s="12">
        <v>1</v>
      </c>
      <c r="FU4" s="12">
        <v>0</v>
      </c>
      <c r="FV4" s="12">
        <v>0</v>
      </c>
      <c r="FW4" s="12">
        <v>0</v>
      </c>
      <c r="FX4" s="12">
        <v>11</v>
      </c>
      <c r="FY4" s="12">
        <v>1</v>
      </c>
      <c r="FZ4" s="12">
        <v>1</v>
      </c>
      <c r="GA4" s="12">
        <v>0</v>
      </c>
      <c r="GB4" s="12">
        <v>0</v>
      </c>
      <c r="GC4" s="12">
        <v>0</v>
      </c>
      <c r="GD4" s="12">
        <v>1</v>
      </c>
      <c r="GE4" s="12">
        <v>1</v>
      </c>
      <c r="GF4" s="12">
        <v>5</v>
      </c>
      <c r="GG4" s="12">
        <v>10</v>
      </c>
      <c r="GH4" s="12">
        <v>1</v>
      </c>
      <c r="GI4" s="12">
        <v>6</v>
      </c>
      <c r="GJ4" s="12">
        <v>9</v>
      </c>
      <c r="GK4" s="12">
        <v>0</v>
      </c>
      <c r="GL4" s="12">
        <v>7</v>
      </c>
      <c r="GM4" s="12">
        <v>8</v>
      </c>
      <c r="GN4" s="12">
        <v>6</v>
      </c>
      <c r="GO4" s="12">
        <v>15</v>
      </c>
      <c r="GP4" s="12">
        <v>4</v>
      </c>
      <c r="GQ4" s="12">
        <v>6</v>
      </c>
      <c r="GR4" s="12">
        <v>2</v>
      </c>
      <c r="GS4" s="12">
        <v>4</v>
      </c>
      <c r="GT4" s="12">
        <v>7</v>
      </c>
      <c r="GU4" s="12">
        <v>21</v>
      </c>
      <c r="GV4" s="12">
        <v>0</v>
      </c>
      <c r="GW4" s="12">
        <v>0</v>
      </c>
      <c r="GY4" s="16"/>
    </row>
    <row r="5" spans="2:207" ht="15" customHeight="1" x14ac:dyDescent="0.2">
      <c r="B5" s="12">
        <v>1</v>
      </c>
      <c r="C5" s="12" t="s">
        <v>265</v>
      </c>
      <c r="D5" s="12" t="s">
        <v>264</v>
      </c>
      <c r="E5" s="14" t="s">
        <v>267</v>
      </c>
      <c r="F5" s="14" t="s">
        <v>266</v>
      </c>
      <c r="G5" s="15">
        <v>45204</v>
      </c>
      <c r="H5" s="15" t="s">
        <v>271</v>
      </c>
      <c r="I5" s="12" t="s">
        <v>269</v>
      </c>
      <c r="J5" s="12" t="s">
        <v>272</v>
      </c>
      <c r="K5" s="12">
        <v>200</v>
      </c>
      <c r="L5" s="12">
        <v>73</v>
      </c>
      <c r="M5" s="12">
        <v>17</v>
      </c>
      <c r="N5" s="12">
        <v>29</v>
      </c>
      <c r="O5" s="16">
        <v>0.58620689655172409</v>
      </c>
      <c r="P5" s="12">
        <v>9</v>
      </c>
      <c r="Q5" s="12">
        <v>25</v>
      </c>
      <c r="R5" s="16">
        <v>0.36</v>
      </c>
      <c r="S5" s="12">
        <v>26</v>
      </c>
      <c r="T5" s="12">
        <v>54</v>
      </c>
      <c r="U5" s="16">
        <v>0.48148148148148145</v>
      </c>
      <c r="V5" s="12">
        <v>12</v>
      </c>
      <c r="W5" s="12">
        <v>21</v>
      </c>
      <c r="X5" s="16">
        <v>0.5714285714285714</v>
      </c>
      <c r="Y5" s="12">
        <v>9</v>
      </c>
      <c r="Z5" s="12">
        <v>22</v>
      </c>
      <c r="AA5" s="12">
        <v>31</v>
      </c>
      <c r="AB5" s="12">
        <v>17</v>
      </c>
      <c r="AC5" s="12">
        <v>16</v>
      </c>
      <c r="AD5" s="12">
        <v>5</v>
      </c>
      <c r="AE5" s="12">
        <v>3</v>
      </c>
      <c r="AF5" s="12">
        <v>2</v>
      </c>
      <c r="AG5" s="12">
        <v>14</v>
      </c>
      <c r="AH5" s="12">
        <v>21</v>
      </c>
      <c r="AI5" s="17">
        <v>81</v>
      </c>
      <c r="AJ5" s="12">
        <v>-21</v>
      </c>
      <c r="AK5" s="12">
        <v>69</v>
      </c>
      <c r="AL5" s="12">
        <v>78</v>
      </c>
      <c r="AM5" s="19">
        <v>0.9358974358974359</v>
      </c>
      <c r="AN5" s="19">
        <v>1.0804597701149425</v>
      </c>
      <c r="AO5" s="18">
        <v>105.79710144927536</v>
      </c>
      <c r="AP5" s="18">
        <v>134.28571428571428</v>
      </c>
      <c r="AQ5" s="18">
        <v>-28.488612836438918</v>
      </c>
      <c r="AR5" s="53">
        <v>0.56481481481481477</v>
      </c>
      <c r="AS5" s="53">
        <v>0.58870967741935487</v>
      </c>
      <c r="AT5" s="16">
        <v>0.10256410256410256</v>
      </c>
      <c r="AU5" s="19">
        <v>1.75</v>
      </c>
      <c r="AV5" s="16">
        <v>0.19230769230769232</v>
      </c>
      <c r="AW5" s="19">
        <v>0.8</v>
      </c>
      <c r="AX5" s="16">
        <v>7.6923076923076927E-2</v>
      </c>
      <c r="AY5" s="19">
        <v>1.3333333333333333</v>
      </c>
      <c r="AZ5" s="16">
        <v>5.128205128205128E-2</v>
      </c>
      <c r="BA5" s="19">
        <v>1.5</v>
      </c>
      <c r="BB5" s="16">
        <v>0.26923076923076922</v>
      </c>
      <c r="BC5" s="21">
        <v>1</v>
      </c>
      <c r="BD5" s="16">
        <v>0.10256410256410256</v>
      </c>
      <c r="BE5" s="16">
        <v>0.20512820512820512</v>
      </c>
      <c r="BF5" s="16">
        <v>0.51515151515151514</v>
      </c>
      <c r="BG5" s="16">
        <v>0.41176470588235292</v>
      </c>
      <c r="BH5" s="16">
        <v>0.77777777777777779</v>
      </c>
      <c r="BI5" s="16">
        <v>0.42857142857142855</v>
      </c>
      <c r="BJ5" s="16">
        <v>0.21794871794871795</v>
      </c>
      <c r="BK5" s="21">
        <v>1.0625</v>
      </c>
      <c r="BL5" s="16">
        <v>0.28125</v>
      </c>
      <c r="BM5" s="16">
        <v>0.33333333333333331</v>
      </c>
      <c r="BN5" s="16">
        <v>0.25</v>
      </c>
      <c r="BO5" s="16">
        <v>0</v>
      </c>
      <c r="BP5" s="16">
        <v>0.5641025641025641</v>
      </c>
      <c r="BQ5" s="16">
        <v>0.52</v>
      </c>
      <c r="BR5" s="16">
        <v>0.66666666666666663</v>
      </c>
      <c r="BS5" s="16">
        <v>0.5</v>
      </c>
      <c r="BT5" s="16">
        <v>0.43661971830985913</v>
      </c>
      <c r="BU5" s="16">
        <v>7.1428571428571425E-2</v>
      </c>
      <c r="BV5" s="16">
        <v>4.2253521126760563E-2</v>
      </c>
      <c r="BW5" s="54">
        <v>3</v>
      </c>
      <c r="BX5" s="54">
        <v>0.5</v>
      </c>
      <c r="BY5" s="54">
        <v>0.47619047619047616</v>
      </c>
      <c r="BZ5" s="12">
        <v>7</v>
      </c>
      <c r="CA5" s="12">
        <v>7</v>
      </c>
      <c r="CB5" s="12">
        <v>3</v>
      </c>
      <c r="CC5" s="12">
        <v>4</v>
      </c>
      <c r="CD5" s="12">
        <v>1</v>
      </c>
      <c r="CE5" s="12">
        <v>0</v>
      </c>
      <c r="CF5" s="12">
        <v>3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4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9</v>
      </c>
      <c r="CS5" s="12">
        <v>3</v>
      </c>
      <c r="CT5" s="12">
        <v>1</v>
      </c>
      <c r="CU5" s="12">
        <v>0</v>
      </c>
      <c r="CV5" s="12">
        <v>0</v>
      </c>
      <c r="CW5" s="12">
        <v>0</v>
      </c>
      <c r="CX5" s="12">
        <v>11</v>
      </c>
      <c r="CY5" s="12">
        <v>1</v>
      </c>
      <c r="CZ5" s="12">
        <v>1</v>
      </c>
      <c r="DA5" s="12">
        <v>0</v>
      </c>
      <c r="DB5" s="12">
        <v>0</v>
      </c>
      <c r="DC5" s="12">
        <v>0</v>
      </c>
      <c r="DD5" s="12">
        <v>1</v>
      </c>
      <c r="DE5" s="12">
        <v>2</v>
      </c>
      <c r="DF5" s="12">
        <v>5</v>
      </c>
      <c r="DG5" s="12">
        <v>10</v>
      </c>
      <c r="DH5" s="12">
        <v>1</v>
      </c>
      <c r="DI5" s="12">
        <v>6</v>
      </c>
      <c r="DJ5" s="12">
        <v>9</v>
      </c>
      <c r="DK5" s="12">
        <v>0</v>
      </c>
      <c r="DL5" s="12">
        <v>7</v>
      </c>
      <c r="DM5" s="12">
        <v>8</v>
      </c>
      <c r="DN5" s="12">
        <v>6</v>
      </c>
      <c r="DO5" s="12">
        <v>15</v>
      </c>
      <c r="DP5" s="12">
        <v>4</v>
      </c>
      <c r="DQ5" s="12">
        <v>6</v>
      </c>
      <c r="DR5" s="12">
        <v>2</v>
      </c>
      <c r="DS5" s="12">
        <v>4</v>
      </c>
      <c r="DT5" s="12">
        <v>7</v>
      </c>
      <c r="DU5" s="12">
        <v>21</v>
      </c>
      <c r="DV5" s="12">
        <v>0</v>
      </c>
      <c r="DW5" s="12">
        <v>0</v>
      </c>
      <c r="DX5" s="12">
        <v>94</v>
      </c>
      <c r="DY5" s="12">
        <v>16</v>
      </c>
      <c r="DZ5" s="12">
        <v>37</v>
      </c>
      <c r="EA5" s="16">
        <v>0.43243243243243246</v>
      </c>
      <c r="EB5" s="12">
        <v>17</v>
      </c>
      <c r="EC5" s="12">
        <v>34</v>
      </c>
      <c r="ED5" s="16">
        <v>0.5</v>
      </c>
      <c r="EE5" s="12">
        <v>33</v>
      </c>
      <c r="EF5" s="12">
        <v>71</v>
      </c>
      <c r="EG5" s="16">
        <v>0.46478873239436619</v>
      </c>
      <c r="EH5" s="12">
        <v>11</v>
      </c>
      <c r="EI5" s="12">
        <v>13</v>
      </c>
      <c r="EJ5" s="16">
        <v>0.84615384615384615</v>
      </c>
      <c r="EK5" s="12">
        <v>17</v>
      </c>
      <c r="EL5" s="12">
        <v>23</v>
      </c>
      <c r="EM5" s="12">
        <v>40</v>
      </c>
      <c r="EN5" s="12">
        <v>19</v>
      </c>
      <c r="EO5" s="12">
        <v>21</v>
      </c>
      <c r="EP5" s="12">
        <v>14</v>
      </c>
      <c r="EQ5" s="12">
        <v>10</v>
      </c>
      <c r="ER5" s="12">
        <v>10</v>
      </c>
      <c r="ES5" s="12">
        <v>2</v>
      </c>
      <c r="ET5" s="12">
        <v>3</v>
      </c>
      <c r="EU5" s="12">
        <v>105</v>
      </c>
      <c r="EV5" s="12">
        <v>21</v>
      </c>
      <c r="EW5" s="12">
        <v>70</v>
      </c>
      <c r="EX5" s="12">
        <v>87</v>
      </c>
      <c r="EY5" s="12">
        <v>4</v>
      </c>
      <c r="EZ5" s="12">
        <v>6</v>
      </c>
      <c r="FA5" s="12">
        <v>10</v>
      </c>
      <c r="FB5" s="12">
        <v>2</v>
      </c>
      <c r="FC5" s="12">
        <v>2</v>
      </c>
      <c r="FD5" s="12">
        <v>2</v>
      </c>
      <c r="FE5" s="12">
        <v>0</v>
      </c>
      <c r="FF5" s="12">
        <v>7</v>
      </c>
      <c r="FG5" s="12">
        <v>0</v>
      </c>
      <c r="FH5" s="12">
        <v>2</v>
      </c>
      <c r="FI5" s="12">
        <v>1</v>
      </c>
      <c r="FJ5" s="12">
        <v>0</v>
      </c>
      <c r="FK5" s="12">
        <v>0</v>
      </c>
      <c r="FL5" s="12">
        <v>5</v>
      </c>
      <c r="FM5" s="12">
        <v>1</v>
      </c>
      <c r="FN5" s="12">
        <v>1</v>
      </c>
      <c r="FO5" s="12">
        <v>0</v>
      </c>
      <c r="FP5" s="12">
        <v>0</v>
      </c>
      <c r="FQ5" s="12">
        <v>0</v>
      </c>
      <c r="FR5" s="12">
        <v>5</v>
      </c>
      <c r="FS5" s="12">
        <v>0</v>
      </c>
      <c r="FT5" s="12">
        <v>2</v>
      </c>
      <c r="FU5" s="12">
        <v>1</v>
      </c>
      <c r="FV5" s="12">
        <v>2</v>
      </c>
      <c r="FW5" s="12">
        <v>0</v>
      </c>
      <c r="FX5" s="12">
        <v>10</v>
      </c>
      <c r="FY5" s="12">
        <v>0</v>
      </c>
      <c r="FZ5" s="12">
        <v>4</v>
      </c>
      <c r="GA5" s="12">
        <v>0</v>
      </c>
      <c r="GB5" s="12">
        <v>0</v>
      </c>
      <c r="GC5" s="12">
        <v>0</v>
      </c>
      <c r="GD5" s="12">
        <v>1</v>
      </c>
      <c r="GE5" s="12">
        <v>1</v>
      </c>
      <c r="GF5" s="12">
        <v>10</v>
      </c>
      <c r="GG5" s="12">
        <v>12</v>
      </c>
      <c r="GH5" s="12">
        <v>0</v>
      </c>
      <c r="GI5" s="12">
        <v>0</v>
      </c>
      <c r="GJ5" s="12">
        <v>0</v>
      </c>
      <c r="GK5" s="12">
        <v>0</v>
      </c>
      <c r="GL5" s="12">
        <v>4</v>
      </c>
      <c r="GM5" s="12">
        <v>6</v>
      </c>
      <c r="GN5" s="12">
        <v>10</v>
      </c>
      <c r="GO5" s="12">
        <v>26</v>
      </c>
      <c r="GP5" s="12">
        <v>2</v>
      </c>
      <c r="GQ5" s="12">
        <v>5</v>
      </c>
      <c r="GR5" s="12">
        <v>1</v>
      </c>
      <c r="GS5" s="12">
        <v>1</v>
      </c>
      <c r="GT5" s="12">
        <v>16</v>
      </c>
      <c r="GU5" s="12">
        <v>33</v>
      </c>
      <c r="GV5" s="12">
        <v>0</v>
      </c>
      <c r="GW5" s="12">
        <v>0</v>
      </c>
      <c r="GY5" s="16"/>
    </row>
    <row r="6" spans="2:207" ht="15" customHeight="1" x14ac:dyDescent="0.2">
      <c r="B6" s="12">
        <v>1</v>
      </c>
      <c r="C6" s="12" t="s">
        <v>273</v>
      </c>
      <c r="D6" s="12" t="s">
        <v>274</v>
      </c>
      <c r="E6" s="14" t="s">
        <v>275</v>
      </c>
      <c r="F6" s="14" t="s">
        <v>276</v>
      </c>
      <c r="G6" s="15">
        <v>45204</v>
      </c>
      <c r="H6" s="15" t="s">
        <v>268</v>
      </c>
      <c r="I6" s="12" t="s">
        <v>269</v>
      </c>
      <c r="J6" s="12" t="s">
        <v>270</v>
      </c>
      <c r="K6" s="12">
        <v>200</v>
      </c>
      <c r="L6" s="12">
        <v>96</v>
      </c>
      <c r="M6" s="12">
        <v>27</v>
      </c>
      <c r="N6" s="12">
        <v>43</v>
      </c>
      <c r="O6" s="16">
        <v>0.62790697674418605</v>
      </c>
      <c r="P6" s="12">
        <v>9</v>
      </c>
      <c r="Q6" s="12">
        <v>26</v>
      </c>
      <c r="R6" s="16">
        <v>0.34615384615384615</v>
      </c>
      <c r="S6" s="12">
        <v>36</v>
      </c>
      <c r="T6" s="12">
        <v>69</v>
      </c>
      <c r="U6" s="16">
        <v>0.52173913043478259</v>
      </c>
      <c r="V6" s="12">
        <v>15</v>
      </c>
      <c r="W6" s="12">
        <v>20</v>
      </c>
      <c r="X6" s="16">
        <v>0.75</v>
      </c>
      <c r="Y6" s="12">
        <v>15</v>
      </c>
      <c r="Z6" s="12">
        <v>19</v>
      </c>
      <c r="AA6" s="12">
        <v>34</v>
      </c>
      <c r="AB6" s="12">
        <v>31</v>
      </c>
      <c r="AC6" s="12">
        <v>12</v>
      </c>
      <c r="AD6" s="12">
        <v>11</v>
      </c>
      <c r="AE6" s="12">
        <v>2</v>
      </c>
      <c r="AF6" s="12">
        <v>2</v>
      </c>
      <c r="AG6" s="12">
        <v>19</v>
      </c>
      <c r="AH6" s="12">
        <v>18</v>
      </c>
      <c r="AI6" s="17">
        <v>121</v>
      </c>
      <c r="AJ6" s="12">
        <v>15</v>
      </c>
      <c r="AK6" s="12">
        <v>75</v>
      </c>
      <c r="AL6" s="12">
        <v>90</v>
      </c>
      <c r="AM6" s="19">
        <v>1.0666666666666667</v>
      </c>
      <c r="AN6" s="19">
        <v>1.0125</v>
      </c>
      <c r="AO6" s="18">
        <v>128</v>
      </c>
      <c r="AP6" s="18">
        <v>110.95890410958904</v>
      </c>
      <c r="AQ6" s="18">
        <v>17.041095890410958</v>
      </c>
      <c r="AR6" s="53">
        <v>0.58695652173913049</v>
      </c>
      <c r="AS6" s="53">
        <v>0.61538461538461542</v>
      </c>
      <c r="AT6" s="16">
        <v>0.1111111111111111</v>
      </c>
      <c r="AU6" s="19">
        <v>1.8</v>
      </c>
      <c r="AV6" s="16">
        <v>0.31111111111111112</v>
      </c>
      <c r="AW6" s="19">
        <v>1.0714285714285714</v>
      </c>
      <c r="AX6" s="16">
        <v>5.5555555555555552E-2</v>
      </c>
      <c r="AY6" s="19">
        <v>1.2</v>
      </c>
      <c r="AZ6" s="16">
        <v>4.4444444444444446E-2</v>
      </c>
      <c r="BA6" s="19">
        <v>0</v>
      </c>
      <c r="BB6" s="16">
        <v>0.24444444444444444</v>
      </c>
      <c r="BC6" s="21">
        <v>1.2272727272727273</v>
      </c>
      <c r="BD6" s="16">
        <v>0.1</v>
      </c>
      <c r="BE6" s="16">
        <v>0.13333333333333333</v>
      </c>
      <c r="BF6" s="16">
        <v>0.68888888888888888</v>
      </c>
      <c r="BG6" s="16">
        <v>0.7407407407407407</v>
      </c>
      <c r="BH6" s="16">
        <v>0.55555555555555558</v>
      </c>
      <c r="BI6" s="16">
        <v>0.66666666666666663</v>
      </c>
      <c r="BJ6" s="16">
        <v>0.34444444444444444</v>
      </c>
      <c r="BK6" s="21">
        <v>2.5833333333333335</v>
      </c>
      <c r="BL6" s="16">
        <v>0.44117647058823528</v>
      </c>
      <c r="BM6" s="16">
        <v>0.47368421052631576</v>
      </c>
      <c r="BN6" s="16">
        <v>0.55000000000000004</v>
      </c>
      <c r="BO6" s="16">
        <v>0</v>
      </c>
      <c r="BP6" s="16">
        <v>0.73076923076923073</v>
      </c>
      <c r="BQ6" s="16">
        <v>0.66666666666666663</v>
      </c>
      <c r="BR6" s="16">
        <v>0.69230769230769229</v>
      </c>
      <c r="BS6" s="16">
        <v>1</v>
      </c>
      <c r="BT6" s="16">
        <v>0.56666666666666665</v>
      </c>
      <c r="BU6" s="16">
        <v>0.15068493150684931</v>
      </c>
      <c r="BV6" s="16">
        <v>3.5714285714285712E-2</v>
      </c>
      <c r="BW6" s="54">
        <v>5</v>
      </c>
      <c r="BX6" s="54">
        <v>0.52631578947368418</v>
      </c>
      <c r="BY6" s="54">
        <v>0.61111111111111116</v>
      </c>
      <c r="BZ6" s="12">
        <v>20</v>
      </c>
      <c r="CA6" s="12">
        <v>5</v>
      </c>
      <c r="CB6" s="12">
        <v>6</v>
      </c>
      <c r="CC6" s="12">
        <v>10</v>
      </c>
      <c r="CD6" s="12">
        <v>0</v>
      </c>
      <c r="CE6" s="12">
        <v>0</v>
      </c>
      <c r="CF6" s="12">
        <v>6</v>
      </c>
      <c r="CG6" s="12">
        <v>3</v>
      </c>
      <c r="CH6" s="12">
        <v>0</v>
      </c>
      <c r="CI6" s="12">
        <v>0</v>
      </c>
      <c r="CJ6" s="12">
        <v>1</v>
      </c>
      <c r="CK6" s="12">
        <v>0</v>
      </c>
      <c r="CL6" s="12">
        <v>8</v>
      </c>
      <c r="CM6" s="12">
        <v>2</v>
      </c>
      <c r="CN6" s="12">
        <v>0</v>
      </c>
      <c r="CO6" s="12">
        <v>0</v>
      </c>
      <c r="CP6" s="12">
        <v>0</v>
      </c>
      <c r="CQ6" s="12">
        <v>0</v>
      </c>
      <c r="CR6" s="12">
        <v>7</v>
      </c>
      <c r="CS6" s="12">
        <v>1</v>
      </c>
      <c r="CT6" s="12">
        <v>2</v>
      </c>
      <c r="CU6" s="12">
        <v>0</v>
      </c>
      <c r="CV6" s="12">
        <v>1</v>
      </c>
      <c r="CW6" s="12">
        <v>0</v>
      </c>
      <c r="CX6" s="12">
        <v>8</v>
      </c>
      <c r="CY6" s="12">
        <v>0</v>
      </c>
      <c r="CZ6" s="12">
        <v>1</v>
      </c>
      <c r="DA6" s="12">
        <v>0</v>
      </c>
      <c r="DB6" s="12">
        <v>0</v>
      </c>
      <c r="DC6" s="12">
        <v>0</v>
      </c>
      <c r="DD6" s="12">
        <v>2</v>
      </c>
      <c r="DE6" s="12">
        <v>2</v>
      </c>
      <c r="DF6" s="12">
        <v>13</v>
      </c>
      <c r="DG6" s="12">
        <v>18</v>
      </c>
      <c r="DH6" s="12">
        <v>0</v>
      </c>
      <c r="DI6" s="12">
        <v>0</v>
      </c>
      <c r="DJ6" s="12">
        <v>0</v>
      </c>
      <c r="DK6" s="12">
        <v>0</v>
      </c>
      <c r="DL6" s="12">
        <v>9</v>
      </c>
      <c r="DM6" s="12">
        <v>10</v>
      </c>
      <c r="DN6" s="12">
        <v>15</v>
      </c>
      <c r="DO6" s="12">
        <v>28</v>
      </c>
      <c r="DP6" s="12">
        <v>3</v>
      </c>
      <c r="DQ6" s="12">
        <v>5</v>
      </c>
      <c r="DR6" s="12">
        <v>0</v>
      </c>
      <c r="DS6" s="12">
        <v>4</v>
      </c>
      <c r="DT6" s="12">
        <v>9</v>
      </c>
      <c r="DU6" s="12">
        <v>22</v>
      </c>
      <c r="DV6" s="12">
        <v>0</v>
      </c>
      <c r="DW6" s="12">
        <v>0</v>
      </c>
      <c r="DX6" s="12">
        <v>81</v>
      </c>
      <c r="DY6" s="12">
        <v>26</v>
      </c>
      <c r="DZ6" s="12">
        <v>39</v>
      </c>
      <c r="EA6" s="16">
        <v>0.66666666666666663</v>
      </c>
      <c r="EB6" s="12">
        <v>5</v>
      </c>
      <c r="EC6" s="12">
        <v>17</v>
      </c>
      <c r="ED6" s="16">
        <v>0.29411764705882354</v>
      </c>
      <c r="EE6" s="12">
        <v>31</v>
      </c>
      <c r="EF6" s="12">
        <v>56</v>
      </c>
      <c r="EG6" s="16">
        <v>0.5535714285714286</v>
      </c>
      <c r="EH6" s="12">
        <v>14</v>
      </c>
      <c r="EI6" s="12">
        <v>18</v>
      </c>
      <c r="EJ6" s="16">
        <v>0.77777777777777779</v>
      </c>
      <c r="EK6" s="12">
        <v>7</v>
      </c>
      <c r="EL6" s="12">
        <v>19</v>
      </c>
      <c r="EM6" s="12">
        <v>26</v>
      </c>
      <c r="EN6" s="12">
        <v>18</v>
      </c>
      <c r="EO6" s="12">
        <v>18</v>
      </c>
      <c r="EP6" s="12">
        <v>19</v>
      </c>
      <c r="EQ6" s="12">
        <v>7</v>
      </c>
      <c r="ER6" s="12">
        <v>16</v>
      </c>
      <c r="ES6" s="12">
        <v>2</v>
      </c>
      <c r="ET6" s="12">
        <v>2</v>
      </c>
      <c r="EU6" s="12">
        <v>88</v>
      </c>
      <c r="EV6" s="12">
        <v>-15</v>
      </c>
      <c r="EW6" s="12">
        <v>73</v>
      </c>
      <c r="EX6" s="12">
        <v>80</v>
      </c>
      <c r="EY6" s="12">
        <v>4</v>
      </c>
      <c r="EZ6" s="12">
        <v>11</v>
      </c>
      <c r="FA6" s="12">
        <v>4</v>
      </c>
      <c r="FB6" s="12">
        <v>3</v>
      </c>
      <c r="FC6" s="12">
        <v>6</v>
      </c>
      <c r="FD6" s="12">
        <v>1</v>
      </c>
      <c r="FE6" s="12">
        <v>0</v>
      </c>
      <c r="FF6" s="12">
        <v>2</v>
      </c>
      <c r="FG6" s="12">
        <v>1</v>
      </c>
      <c r="FH6" s="12">
        <v>1</v>
      </c>
      <c r="FI6" s="12">
        <v>0</v>
      </c>
      <c r="FJ6" s="12">
        <v>1</v>
      </c>
      <c r="FK6" s="12">
        <v>0</v>
      </c>
      <c r="FL6" s="12">
        <v>2</v>
      </c>
      <c r="FM6" s="12">
        <v>1</v>
      </c>
      <c r="FN6" s="12">
        <v>0</v>
      </c>
      <c r="FO6" s="12">
        <v>0</v>
      </c>
      <c r="FP6" s="12">
        <v>1</v>
      </c>
      <c r="FQ6" s="12">
        <v>1</v>
      </c>
      <c r="FR6" s="12">
        <v>6</v>
      </c>
      <c r="FS6" s="12">
        <v>0</v>
      </c>
      <c r="FT6" s="12">
        <v>2</v>
      </c>
      <c r="FU6" s="12">
        <v>0</v>
      </c>
      <c r="FV6" s="12">
        <v>3</v>
      </c>
      <c r="FW6" s="12">
        <v>0</v>
      </c>
      <c r="FX6" s="12">
        <v>5</v>
      </c>
      <c r="FY6" s="12">
        <v>1</v>
      </c>
      <c r="FZ6" s="12">
        <v>2</v>
      </c>
      <c r="GA6" s="12">
        <v>0</v>
      </c>
      <c r="GB6" s="12">
        <v>0</v>
      </c>
      <c r="GC6" s="12">
        <v>0</v>
      </c>
      <c r="GD6" s="12">
        <v>2</v>
      </c>
      <c r="GE6" s="12">
        <v>2</v>
      </c>
      <c r="GF6" s="12">
        <v>12</v>
      </c>
      <c r="GG6" s="12">
        <v>16</v>
      </c>
      <c r="GH6" s="12">
        <v>1</v>
      </c>
      <c r="GI6" s="12">
        <v>0</v>
      </c>
      <c r="GJ6" s="12">
        <v>0</v>
      </c>
      <c r="GK6" s="12">
        <v>0</v>
      </c>
      <c r="GL6" s="12">
        <v>6</v>
      </c>
      <c r="GM6" s="12">
        <v>7</v>
      </c>
      <c r="GN6" s="12">
        <v>18</v>
      </c>
      <c r="GO6" s="12">
        <v>27</v>
      </c>
      <c r="GP6" s="12">
        <v>2</v>
      </c>
      <c r="GQ6" s="12">
        <v>5</v>
      </c>
      <c r="GR6" s="12">
        <v>0</v>
      </c>
      <c r="GS6" s="12">
        <v>2</v>
      </c>
      <c r="GT6" s="12">
        <v>5</v>
      </c>
      <c r="GU6" s="12">
        <v>15</v>
      </c>
      <c r="GV6" s="12">
        <v>0</v>
      </c>
      <c r="GW6" s="12">
        <v>0</v>
      </c>
      <c r="GY6" s="16"/>
    </row>
    <row r="7" spans="2:207" ht="15" customHeight="1" x14ac:dyDescent="0.2">
      <c r="B7" s="12">
        <v>1</v>
      </c>
      <c r="C7" s="12" t="s">
        <v>274</v>
      </c>
      <c r="D7" s="12" t="s">
        <v>273</v>
      </c>
      <c r="E7" s="14" t="s">
        <v>276</v>
      </c>
      <c r="F7" s="14" t="s">
        <v>275</v>
      </c>
      <c r="G7" s="15">
        <v>45204</v>
      </c>
      <c r="H7" s="15" t="s">
        <v>271</v>
      </c>
      <c r="I7" s="12" t="s">
        <v>269</v>
      </c>
      <c r="J7" s="12" t="s">
        <v>272</v>
      </c>
      <c r="K7" s="12">
        <v>200</v>
      </c>
      <c r="L7" s="12">
        <v>81</v>
      </c>
      <c r="M7" s="12">
        <v>26</v>
      </c>
      <c r="N7" s="12">
        <v>39</v>
      </c>
      <c r="O7" s="16">
        <v>0.66666666666666663</v>
      </c>
      <c r="P7" s="12">
        <v>5</v>
      </c>
      <c r="Q7" s="12">
        <v>17</v>
      </c>
      <c r="R7" s="16">
        <v>0.29411764705882354</v>
      </c>
      <c r="S7" s="12">
        <v>31</v>
      </c>
      <c r="T7" s="12">
        <v>56</v>
      </c>
      <c r="U7" s="16">
        <v>0.5535714285714286</v>
      </c>
      <c r="V7" s="12">
        <v>14</v>
      </c>
      <c r="W7" s="12">
        <v>18</v>
      </c>
      <c r="X7" s="16">
        <v>0.77777777777777779</v>
      </c>
      <c r="Y7" s="12">
        <v>7</v>
      </c>
      <c r="Z7" s="12">
        <v>19</v>
      </c>
      <c r="AA7" s="12">
        <v>26</v>
      </c>
      <c r="AB7" s="12">
        <v>18</v>
      </c>
      <c r="AC7" s="12">
        <v>16</v>
      </c>
      <c r="AD7" s="12">
        <v>7</v>
      </c>
      <c r="AE7" s="12">
        <v>2</v>
      </c>
      <c r="AF7" s="12">
        <v>2</v>
      </c>
      <c r="AG7" s="12">
        <v>18</v>
      </c>
      <c r="AH7" s="12">
        <v>19</v>
      </c>
      <c r="AI7" s="17">
        <v>88</v>
      </c>
      <c r="AJ7" s="12">
        <v>-15</v>
      </c>
      <c r="AK7" s="12">
        <v>73</v>
      </c>
      <c r="AL7" s="12">
        <v>80</v>
      </c>
      <c r="AM7" s="19">
        <v>1.0125</v>
      </c>
      <c r="AN7" s="19">
        <v>1.0666666666666667</v>
      </c>
      <c r="AO7" s="18">
        <v>110.95890410958904</v>
      </c>
      <c r="AP7" s="18">
        <v>128</v>
      </c>
      <c r="AQ7" s="18">
        <v>-17.041095890410958</v>
      </c>
      <c r="AR7" s="53">
        <v>0.5982142857142857</v>
      </c>
      <c r="AS7" s="53">
        <v>0.6328125</v>
      </c>
      <c r="AT7" s="16">
        <v>8.7499999999999994E-2</v>
      </c>
      <c r="AU7" s="19">
        <v>1.7142857142857142</v>
      </c>
      <c r="AV7" s="16">
        <v>0.33750000000000002</v>
      </c>
      <c r="AW7" s="19">
        <v>1.3333333333333333</v>
      </c>
      <c r="AX7" s="16">
        <v>6.25E-2</v>
      </c>
      <c r="AY7" s="19">
        <v>0.8</v>
      </c>
      <c r="AZ7" s="16">
        <v>2.5000000000000001E-2</v>
      </c>
      <c r="BA7" s="19">
        <v>0</v>
      </c>
      <c r="BB7" s="16">
        <v>0.1875</v>
      </c>
      <c r="BC7" s="21">
        <v>1</v>
      </c>
      <c r="BD7" s="16">
        <v>0.1</v>
      </c>
      <c r="BE7" s="16">
        <v>0.2</v>
      </c>
      <c r="BF7" s="16">
        <v>0.47368421052631576</v>
      </c>
      <c r="BG7" s="16">
        <v>0.42307692307692307</v>
      </c>
      <c r="BH7" s="16">
        <v>0.8</v>
      </c>
      <c r="BI7" s="16">
        <v>0.42857142857142855</v>
      </c>
      <c r="BJ7" s="16">
        <v>0.22500000000000001</v>
      </c>
      <c r="BK7" s="21">
        <v>1.125</v>
      </c>
      <c r="BL7" s="16">
        <v>0.26923076923076922</v>
      </c>
      <c r="BM7" s="16">
        <v>0.33333333333333331</v>
      </c>
      <c r="BN7" s="16">
        <v>0.30769230769230771</v>
      </c>
      <c r="BO7" s="16">
        <v>0</v>
      </c>
      <c r="BP7" s="16">
        <v>0.55882352941176472</v>
      </c>
      <c r="BQ7" s="16">
        <v>0.52631578947368418</v>
      </c>
      <c r="BR7" s="16">
        <v>0.45</v>
      </c>
      <c r="BS7" s="16">
        <v>1</v>
      </c>
      <c r="BT7" s="16">
        <v>0.43333333333333335</v>
      </c>
      <c r="BU7" s="16">
        <v>9.3333333333333338E-2</v>
      </c>
      <c r="BV7" s="16">
        <v>2.8985507246376812E-2</v>
      </c>
      <c r="BW7" s="54">
        <v>4</v>
      </c>
      <c r="BX7" s="54">
        <v>0.61111111111111116</v>
      </c>
      <c r="BY7" s="54">
        <v>0.52631578947368418</v>
      </c>
      <c r="BZ7" s="12">
        <v>11</v>
      </c>
      <c r="CA7" s="12">
        <v>4</v>
      </c>
      <c r="CB7" s="12">
        <v>3</v>
      </c>
      <c r="CC7" s="12">
        <v>6</v>
      </c>
      <c r="CD7" s="12">
        <v>1</v>
      </c>
      <c r="CE7" s="12">
        <v>0</v>
      </c>
      <c r="CF7" s="12">
        <v>2</v>
      </c>
      <c r="CG7" s="12">
        <v>1</v>
      </c>
      <c r="CH7" s="12">
        <v>1</v>
      </c>
      <c r="CI7" s="12">
        <v>0</v>
      </c>
      <c r="CJ7" s="12">
        <v>1</v>
      </c>
      <c r="CK7" s="12">
        <v>0</v>
      </c>
      <c r="CL7" s="12">
        <v>2</v>
      </c>
      <c r="CM7" s="12">
        <v>1</v>
      </c>
      <c r="CN7" s="12">
        <v>0</v>
      </c>
      <c r="CO7" s="12">
        <v>0</v>
      </c>
      <c r="CP7" s="12">
        <v>1</v>
      </c>
      <c r="CQ7" s="12">
        <v>1</v>
      </c>
      <c r="CR7" s="12">
        <v>6</v>
      </c>
      <c r="CS7" s="12">
        <v>0</v>
      </c>
      <c r="CT7" s="12">
        <v>2</v>
      </c>
      <c r="CU7" s="12">
        <v>0</v>
      </c>
      <c r="CV7" s="12">
        <v>3</v>
      </c>
      <c r="CW7" s="12">
        <v>0</v>
      </c>
      <c r="CX7" s="12">
        <v>5</v>
      </c>
      <c r="CY7" s="12">
        <v>1</v>
      </c>
      <c r="CZ7" s="12">
        <v>2</v>
      </c>
      <c r="DA7" s="12">
        <v>0</v>
      </c>
      <c r="DB7" s="12">
        <v>0</v>
      </c>
      <c r="DC7" s="12">
        <v>0</v>
      </c>
      <c r="DD7" s="12">
        <v>2</v>
      </c>
      <c r="DE7" s="12">
        <v>2</v>
      </c>
      <c r="DF7" s="12">
        <v>12</v>
      </c>
      <c r="DG7" s="12">
        <v>16</v>
      </c>
      <c r="DH7" s="12">
        <v>1</v>
      </c>
      <c r="DI7" s="12">
        <v>0</v>
      </c>
      <c r="DJ7" s="12">
        <v>0</v>
      </c>
      <c r="DK7" s="12">
        <v>0</v>
      </c>
      <c r="DL7" s="12">
        <v>6</v>
      </c>
      <c r="DM7" s="12">
        <v>7</v>
      </c>
      <c r="DN7" s="12">
        <v>18</v>
      </c>
      <c r="DO7" s="12">
        <v>27</v>
      </c>
      <c r="DP7" s="12">
        <v>2</v>
      </c>
      <c r="DQ7" s="12">
        <v>5</v>
      </c>
      <c r="DR7" s="12">
        <v>0</v>
      </c>
      <c r="DS7" s="12">
        <v>2</v>
      </c>
      <c r="DT7" s="12">
        <v>5</v>
      </c>
      <c r="DU7" s="12">
        <v>15</v>
      </c>
      <c r="DV7" s="12">
        <v>0</v>
      </c>
      <c r="DW7" s="12">
        <v>0</v>
      </c>
      <c r="DX7" s="12">
        <v>96</v>
      </c>
      <c r="DY7" s="12">
        <v>27</v>
      </c>
      <c r="DZ7" s="12">
        <v>43</v>
      </c>
      <c r="EA7" s="16">
        <v>0.62790697674418605</v>
      </c>
      <c r="EB7" s="12">
        <v>9</v>
      </c>
      <c r="EC7" s="12">
        <v>26</v>
      </c>
      <c r="ED7" s="16">
        <v>0.34615384615384615</v>
      </c>
      <c r="EE7" s="12">
        <v>36</v>
      </c>
      <c r="EF7" s="12">
        <v>69</v>
      </c>
      <c r="EG7" s="16">
        <v>0.52173913043478259</v>
      </c>
      <c r="EH7" s="12">
        <v>15</v>
      </c>
      <c r="EI7" s="12">
        <v>20</v>
      </c>
      <c r="EJ7" s="16">
        <v>0.75</v>
      </c>
      <c r="EK7" s="12">
        <v>15</v>
      </c>
      <c r="EL7" s="12">
        <v>19</v>
      </c>
      <c r="EM7" s="12">
        <v>34</v>
      </c>
      <c r="EN7" s="12">
        <v>31</v>
      </c>
      <c r="EO7" s="12">
        <v>19</v>
      </c>
      <c r="EP7" s="12">
        <v>18</v>
      </c>
      <c r="EQ7" s="12">
        <v>11</v>
      </c>
      <c r="ER7" s="12">
        <v>12</v>
      </c>
      <c r="ES7" s="12">
        <v>2</v>
      </c>
      <c r="ET7" s="12">
        <v>2</v>
      </c>
      <c r="EU7" s="12">
        <v>121</v>
      </c>
      <c r="EV7" s="12">
        <v>15</v>
      </c>
      <c r="EW7" s="12">
        <v>75</v>
      </c>
      <c r="EX7" s="12">
        <v>90</v>
      </c>
      <c r="EY7" s="12">
        <v>5</v>
      </c>
      <c r="EZ7" s="12">
        <v>20</v>
      </c>
      <c r="FA7" s="12">
        <v>5</v>
      </c>
      <c r="FB7" s="12">
        <v>6</v>
      </c>
      <c r="FC7" s="12">
        <v>10</v>
      </c>
      <c r="FD7" s="12">
        <v>0</v>
      </c>
      <c r="FE7" s="12">
        <v>0</v>
      </c>
      <c r="FF7" s="12">
        <v>6</v>
      </c>
      <c r="FG7" s="12">
        <v>3</v>
      </c>
      <c r="FH7" s="12">
        <v>0</v>
      </c>
      <c r="FI7" s="12">
        <v>0</v>
      </c>
      <c r="FJ7" s="12">
        <v>1</v>
      </c>
      <c r="FK7" s="12">
        <v>0</v>
      </c>
      <c r="FL7" s="12">
        <v>8</v>
      </c>
      <c r="FM7" s="12">
        <v>2</v>
      </c>
      <c r="FN7" s="12">
        <v>0</v>
      </c>
      <c r="FO7" s="12">
        <v>0</v>
      </c>
      <c r="FP7" s="12">
        <v>0</v>
      </c>
      <c r="FQ7" s="12">
        <v>0</v>
      </c>
      <c r="FR7" s="12">
        <v>7</v>
      </c>
      <c r="FS7" s="12">
        <v>1</v>
      </c>
      <c r="FT7" s="12">
        <v>2</v>
      </c>
      <c r="FU7" s="12">
        <v>0</v>
      </c>
      <c r="FV7" s="12">
        <v>1</v>
      </c>
      <c r="FW7" s="12">
        <v>0</v>
      </c>
      <c r="FX7" s="12">
        <v>8</v>
      </c>
      <c r="FY7" s="12">
        <v>0</v>
      </c>
      <c r="FZ7" s="12">
        <v>1</v>
      </c>
      <c r="GA7" s="12">
        <v>0</v>
      </c>
      <c r="GB7" s="12">
        <v>0</v>
      </c>
      <c r="GC7" s="12">
        <v>0</v>
      </c>
      <c r="GD7" s="12">
        <v>2</v>
      </c>
      <c r="GE7" s="12">
        <v>2</v>
      </c>
      <c r="GF7" s="12">
        <v>13</v>
      </c>
      <c r="GG7" s="12">
        <v>18</v>
      </c>
      <c r="GH7" s="12">
        <v>0</v>
      </c>
      <c r="GI7" s="12">
        <v>0</v>
      </c>
      <c r="GJ7" s="12">
        <v>0</v>
      </c>
      <c r="GK7" s="12">
        <v>0</v>
      </c>
      <c r="GL7" s="12">
        <v>9</v>
      </c>
      <c r="GM7" s="12">
        <v>10</v>
      </c>
      <c r="GN7" s="12">
        <v>15</v>
      </c>
      <c r="GO7" s="12">
        <v>28</v>
      </c>
      <c r="GP7" s="12">
        <v>3</v>
      </c>
      <c r="GQ7" s="12">
        <v>5</v>
      </c>
      <c r="GR7" s="12">
        <v>0</v>
      </c>
      <c r="GS7" s="12">
        <v>4</v>
      </c>
      <c r="GT7" s="12">
        <v>9</v>
      </c>
      <c r="GU7" s="12">
        <v>22</v>
      </c>
      <c r="GV7" s="12">
        <v>0</v>
      </c>
      <c r="GW7" s="12">
        <v>0</v>
      </c>
      <c r="GY7" s="16"/>
    </row>
    <row r="8" spans="2:207" ht="15" customHeight="1" x14ac:dyDescent="0.2">
      <c r="B8" s="12">
        <v>1</v>
      </c>
      <c r="C8" s="12" t="s">
        <v>277</v>
      </c>
      <c r="D8" s="12" t="s">
        <v>278</v>
      </c>
      <c r="E8" s="14" t="s">
        <v>279</v>
      </c>
      <c r="F8" s="14" t="s">
        <v>280</v>
      </c>
      <c r="G8" s="15">
        <v>45204</v>
      </c>
      <c r="H8" s="15" t="s">
        <v>271</v>
      </c>
      <c r="I8" s="12" t="s">
        <v>269</v>
      </c>
      <c r="J8" s="12" t="s">
        <v>272</v>
      </c>
      <c r="K8" s="12">
        <v>200</v>
      </c>
      <c r="L8" s="12">
        <v>74</v>
      </c>
      <c r="M8" s="12">
        <v>22</v>
      </c>
      <c r="N8" s="12">
        <v>40</v>
      </c>
      <c r="O8" s="16">
        <v>0.55000000000000004</v>
      </c>
      <c r="P8" s="12">
        <v>9</v>
      </c>
      <c r="Q8" s="12">
        <v>27</v>
      </c>
      <c r="R8" s="16">
        <v>0.33333333333333331</v>
      </c>
      <c r="S8" s="12">
        <v>31</v>
      </c>
      <c r="T8" s="12">
        <v>67</v>
      </c>
      <c r="U8" s="16">
        <v>0.46268656716417911</v>
      </c>
      <c r="V8" s="12">
        <v>3</v>
      </c>
      <c r="W8" s="12">
        <v>6</v>
      </c>
      <c r="X8" s="16">
        <v>0.5</v>
      </c>
      <c r="Y8" s="12">
        <v>9</v>
      </c>
      <c r="Z8" s="12">
        <v>16</v>
      </c>
      <c r="AA8" s="12">
        <v>25</v>
      </c>
      <c r="AB8" s="12">
        <v>24</v>
      </c>
      <c r="AC8" s="12">
        <v>10</v>
      </c>
      <c r="AD8" s="12">
        <v>9</v>
      </c>
      <c r="AE8" s="12">
        <v>1</v>
      </c>
      <c r="AF8" s="12">
        <v>3</v>
      </c>
      <c r="AG8" s="12">
        <v>15</v>
      </c>
      <c r="AH8" s="12">
        <v>15</v>
      </c>
      <c r="AI8" s="17">
        <v>81</v>
      </c>
      <c r="AJ8" s="12">
        <v>-17</v>
      </c>
      <c r="AK8" s="12">
        <v>70</v>
      </c>
      <c r="AL8" s="12">
        <v>79</v>
      </c>
      <c r="AM8" s="19">
        <v>0.93670886075949367</v>
      </c>
      <c r="AN8" s="19">
        <v>1.1375</v>
      </c>
      <c r="AO8" s="18">
        <v>105.71428571428572</v>
      </c>
      <c r="AP8" s="18">
        <v>128.16901408450704</v>
      </c>
      <c r="AQ8" s="18">
        <v>-22.454728370221318</v>
      </c>
      <c r="AR8" s="53">
        <v>0.52985074626865669</v>
      </c>
      <c r="AS8" s="53">
        <v>0.53623188405797106</v>
      </c>
      <c r="AT8" s="16">
        <v>6.3291139240506333E-2</v>
      </c>
      <c r="AU8" s="19">
        <v>1.6</v>
      </c>
      <c r="AV8" s="16">
        <v>0.36708860759493672</v>
      </c>
      <c r="AW8" s="19">
        <v>1.103448275862069</v>
      </c>
      <c r="AX8" s="16">
        <v>7.5949367088607597E-2</v>
      </c>
      <c r="AY8" s="19">
        <v>0.66666666666666663</v>
      </c>
      <c r="AZ8" s="16">
        <v>7.5949367088607597E-2</v>
      </c>
      <c r="BA8" s="19">
        <v>1.5</v>
      </c>
      <c r="BB8" s="16">
        <v>0.26582278481012656</v>
      </c>
      <c r="BC8" s="21">
        <v>0.8571428571428571</v>
      </c>
      <c r="BD8" s="16">
        <v>2.5316455696202531E-2</v>
      </c>
      <c r="BE8" s="16">
        <v>0.12658227848101267</v>
      </c>
      <c r="BF8" s="16">
        <v>0.72727272727272729</v>
      </c>
      <c r="BG8" s="16">
        <v>0.68181818181818177</v>
      </c>
      <c r="BH8" s="16">
        <v>0.88888888888888884</v>
      </c>
      <c r="BI8" s="16">
        <v>0.5</v>
      </c>
      <c r="BJ8" s="16">
        <v>0.30379746835443039</v>
      </c>
      <c r="BK8" s="21">
        <v>2.4</v>
      </c>
      <c r="BL8" s="16">
        <v>0.25714285714285712</v>
      </c>
      <c r="BM8" s="16">
        <v>0.4</v>
      </c>
      <c r="BN8" s="16">
        <v>0.2</v>
      </c>
      <c r="BO8" s="16" t="s">
        <v>269</v>
      </c>
      <c r="BP8" s="16">
        <v>0.64</v>
      </c>
      <c r="BQ8" s="16">
        <v>0.5</v>
      </c>
      <c r="BR8" s="16">
        <v>0.7142857142857143</v>
      </c>
      <c r="BS8" s="16">
        <v>1</v>
      </c>
      <c r="BT8" s="16">
        <v>0.41666666666666669</v>
      </c>
      <c r="BU8" s="16">
        <v>0.12676056338028169</v>
      </c>
      <c r="BV8" s="16">
        <v>1.6129032258064516E-2</v>
      </c>
      <c r="BW8" s="54">
        <v>1</v>
      </c>
      <c r="BX8" s="54">
        <v>0.46666666666666667</v>
      </c>
      <c r="BY8" s="54">
        <v>0.2</v>
      </c>
      <c r="BZ8" s="12">
        <v>15</v>
      </c>
      <c r="CA8" s="12">
        <v>8</v>
      </c>
      <c r="CB8" s="12">
        <v>1</v>
      </c>
      <c r="CC8" s="12">
        <v>2</v>
      </c>
      <c r="CD8" s="12">
        <v>0</v>
      </c>
      <c r="CE8" s="12">
        <v>0</v>
      </c>
      <c r="CF8" s="12">
        <v>6</v>
      </c>
      <c r="CG8" s="12">
        <v>1</v>
      </c>
      <c r="CH8" s="12">
        <v>1</v>
      </c>
      <c r="CI8" s="12">
        <v>0</v>
      </c>
      <c r="CJ8" s="12">
        <v>0</v>
      </c>
      <c r="CK8" s="12">
        <v>0</v>
      </c>
      <c r="CL8" s="12">
        <v>2</v>
      </c>
      <c r="CM8" s="12">
        <v>2</v>
      </c>
      <c r="CN8" s="12">
        <v>0</v>
      </c>
      <c r="CO8" s="12">
        <v>0</v>
      </c>
      <c r="CP8" s="12">
        <v>0</v>
      </c>
      <c r="CQ8" s="12">
        <v>0</v>
      </c>
      <c r="CR8" s="12">
        <v>5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9</v>
      </c>
      <c r="CY8" s="12">
        <v>1</v>
      </c>
      <c r="CZ8" s="12">
        <v>2</v>
      </c>
      <c r="DA8" s="12">
        <v>0</v>
      </c>
      <c r="DB8" s="12">
        <v>0</v>
      </c>
      <c r="DC8" s="12">
        <v>0</v>
      </c>
      <c r="DD8" s="12">
        <v>1</v>
      </c>
      <c r="DE8" s="12">
        <v>1</v>
      </c>
      <c r="DF8" s="12">
        <v>1</v>
      </c>
      <c r="DG8" s="12">
        <v>2</v>
      </c>
      <c r="DH8" s="12">
        <v>0</v>
      </c>
      <c r="DI8" s="12">
        <v>1</v>
      </c>
      <c r="DJ8" s="12">
        <v>3</v>
      </c>
      <c r="DK8" s="12">
        <v>0</v>
      </c>
      <c r="DL8" s="12">
        <v>4</v>
      </c>
      <c r="DM8" s="12">
        <v>5</v>
      </c>
      <c r="DN8" s="12">
        <v>16</v>
      </c>
      <c r="DO8" s="12">
        <v>29</v>
      </c>
      <c r="DP8" s="12">
        <v>2</v>
      </c>
      <c r="DQ8" s="12">
        <v>6</v>
      </c>
      <c r="DR8" s="12">
        <v>3</v>
      </c>
      <c r="DS8" s="12">
        <v>6</v>
      </c>
      <c r="DT8" s="12">
        <v>6</v>
      </c>
      <c r="DU8" s="12">
        <v>21</v>
      </c>
      <c r="DV8" s="12">
        <v>0</v>
      </c>
      <c r="DW8" s="12">
        <v>0</v>
      </c>
      <c r="DX8" s="12">
        <v>91</v>
      </c>
      <c r="DY8" s="12">
        <v>32</v>
      </c>
      <c r="DZ8" s="12">
        <v>42</v>
      </c>
      <c r="EA8" s="16">
        <v>0.76190476190476186</v>
      </c>
      <c r="EB8" s="12">
        <v>6</v>
      </c>
      <c r="EC8" s="12">
        <v>20</v>
      </c>
      <c r="ED8" s="16">
        <v>0.3</v>
      </c>
      <c r="EE8" s="12">
        <v>38</v>
      </c>
      <c r="EF8" s="12">
        <v>62</v>
      </c>
      <c r="EG8" s="16">
        <v>0.61290322580645162</v>
      </c>
      <c r="EH8" s="12">
        <v>9</v>
      </c>
      <c r="EI8" s="12">
        <v>12</v>
      </c>
      <c r="EJ8" s="16">
        <v>0.75</v>
      </c>
      <c r="EK8" s="12">
        <v>9</v>
      </c>
      <c r="EL8" s="12">
        <v>26</v>
      </c>
      <c r="EM8" s="12">
        <v>35</v>
      </c>
      <c r="EN8" s="12">
        <v>21</v>
      </c>
      <c r="EO8" s="12">
        <v>15</v>
      </c>
      <c r="EP8" s="12">
        <v>15</v>
      </c>
      <c r="EQ8" s="12">
        <v>5</v>
      </c>
      <c r="ER8" s="12">
        <v>13</v>
      </c>
      <c r="ES8" s="12">
        <v>3</v>
      </c>
      <c r="ET8" s="12">
        <v>1</v>
      </c>
      <c r="EU8" s="12">
        <v>114</v>
      </c>
      <c r="EV8" s="12">
        <v>17</v>
      </c>
      <c r="EW8" s="12">
        <v>71</v>
      </c>
      <c r="EX8" s="12">
        <v>80</v>
      </c>
      <c r="EY8" s="12">
        <v>5</v>
      </c>
      <c r="EZ8" s="12">
        <v>17</v>
      </c>
      <c r="FA8" s="12">
        <v>4</v>
      </c>
      <c r="FB8" s="12">
        <v>0</v>
      </c>
      <c r="FC8" s="12">
        <v>0</v>
      </c>
      <c r="FD8" s="12">
        <v>1</v>
      </c>
      <c r="FE8" s="12">
        <v>0</v>
      </c>
      <c r="FF8" s="12">
        <v>3</v>
      </c>
      <c r="FG8" s="12">
        <v>0</v>
      </c>
      <c r="FH8" s="12">
        <v>1</v>
      </c>
      <c r="FI8" s="12">
        <v>0</v>
      </c>
      <c r="FJ8" s="12">
        <v>0</v>
      </c>
      <c r="FK8" s="12">
        <v>0</v>
      </c>
      <c r="FL8" s="12">
        <v>4</v>
      </c>
      <c r="FM8" s="12">
        <v>0</v>
      </c>
      <c r="FN8" s="12">
        <v>0</v>
      </c>
      <c r="FO8" s="12">
        <v>0</v>
      </c>
      <c r="FP8" s="12">
        <v>1</v>
      </c>
      <c r="FQ8" s="12">
        <v>0</v>
      </c>
      <c r="FR8" s="12">
        <v>7</v>
      </c>
      <c r="FS8" s="12">
        <v>1</v>
      </c>
      <c r="FT8" s="12">
        <v>3</v>
      </c>
      <c r="FU8" s="12">
        <v>0</v>
      </c>
      <c r="FV8" s="12">
        <v>3</v>
      </c>
      <c r="FW8" s="12">
        <v>0</v>
      </c>
      <c r="FX8" s="12">
        <v>12</v>
      </c>
      <c r="FY8" s="12">
        <v>1</v>
      </c>
      <c r="FZ8" s="12">
        <v>0</v>
      </c>
      <c r="GA8" s="12">
        <v>0</v>
      </c>
      <c r="GB8" s="12">
        <v>0</v>
      </c>
      <c r="GC8" s="12">
        <v>0</v>
      </c>
      <c r="GD8" s="12">
        <v>1</v>
      </c>
      <c r="GE8" s="12">
        <v>2</v>
      </c>
      <c r="GF8" s="12">
        <v>8</v>
      </c>
      <c r="GG8" s="12">
        <v>10</v>
      </c>
      <c r="GH8" s="12">
        <v>0</v>
      </c>
      <c r="GI8" s="12">
        <v>0</v>
      </c>
      <c r="GJ8" s="12">
        <v>0</v>
      </c>
      <c r="GK8" s="12">
        <v>0</v>
      </c>
      <c r="GL8" s="12">
        <v>10</v>
      </c>
      <c r="GM8" s="12">
        <v>11</v>
      </c>
      <c r="GN8" s="12">
        <v>20</v>
      </c>
      <c r="GO8" s="12">
        <v>28</v>
      </c>
      <c r="GP8" s="12">
        <v>2</v>
      </c>
      <c r="GQ8" s="12">
        <v>3</v>
      </c>
      <c r="GR8" s="12">
        <v>2</v>
      </c>
      <c r="GS8" s="12">
        <v>2</v>
      </c>
      <c r="GT8" s="12">
        <v>4</v>
      </c>
      <c r="GU8" s="12">
        <v>18</v>
      </c>
      <c r="GV8" s="12">
        <v>0</v>
      </c>
      <c r="GW8" s="12">
        <v>0</v>
      </c>
      <c r="GY8" s="16"/>
    </row>
    <row r="9" spans="2:207" ht="15" customHeight="1" x14ac:dyDescent="0.2">
      <c r="B9" s="12">
        <v>1</v>
      </c>
      <c r="C9" s="12" t="s">
        <v>278</v>
      </c>
      <c r="D9" s="12" t="s">
        <v>277</v>
      </c>
      <c r="E9" s="14" t="s">
        <v>280</v>
      </c>
      <c r="F9" s="14" t="s">
        <v>279</v>
      </c>
      <c r="G9" s="15">
        <v>45204</v>
      </c>
      <c r="H9" s="15" t="s">
        <v>268</v>
      </c>
      <c r="I9" s="12" t="s">
        <v>269</v>
      </c>
      <c r="J9" s="12" t="s">
        <v>270</v>
      </c>
      <c r="K9" s="12">
        <v>200</v>
      </c>
      <c r="L9" s="12">
        <v>91</v>
      </c>
      <c r="M9" s="12">
        <v>32</v>
      </c>
      <c r="N9" s="12">
        <v>42</v>
      </c>
      <c r="O9" s="16">
        <v>0.76190476190476186</v>
      </c>
      <c r="P9" s="12">
        <v>6</v>
      </c>
      <c r="Q9" s="12">
        <v>20</v>
      </c>
      <c r="R9" s="16">
        <v>0.3</v>
      </c>
      <c r="S9" s="12">
        <v>38</v>
      </c>
      <c r="T9" s="12">
        <v>62</v>
      </c>
      <c r="U9" s="16">
        <v>0.61290322580645162</v>
      </c>
      <c r="V9" s="12">
        <v>9</v>
      </c>
      <c r="W9" s="12">
        <v>12</v>
      </c>
      <c r="X9" s="16">
        <v>0.75</v>
      </c>
      <c r="Y9" s="12">
        <v>9</v>
      </c>
      <c r="Z9" s="12">
        <v>26</v>
      </c>
      <c r="AA9" s="12">
        <v>35</v>
      </c>
      <c r="AB9" s="12">
        <v>21</v>
      </c>
      <c r="AC9" s="12">
        <v>13</v>
      </c>
      <c r="AD9" s="12">
        <v>5</v>
      </c>
      <c r="AE9" s="12">
        <v>3</v>
      </c>
      <c r="AF9" s="12">
        <v>1</v>
      </c>
      <c r="AG9" s="12">
        <v>15</v>
      </c>
      <c r="AH9" s="12">
        <v>15</v>
      </c>
      <c r="AI9" s="17">
        <v>114</v>
      </c>
      <c r="AJ9" s="12">
        <v>17</v>
      </c>
      <c r="AK9" s="12">
        <v>71</v>
      </c>
      <c r="AL9" s="12">
        <v>80</v>
      </c>
      <c r="AM9" s="19">
        <v>1.1375</v>
      </c>
      <c r="AN9" s="19">
        <v>0.93670886075949367</v>
      </c>
      <c r="AO9" s="18">
        <v>128.16901408450704</v>
      </c>
      <c r="AP9" s="18">
        <v>105.71428571428572</v>
      </c>
      <c r="AQ9" s="18">
        <v>22.454728370221318</v>
      </c>
      <c r="AR9" s="53">
        <v>0.66129032258064513</v>
      </c>
      <c r="AS9" s="53">
        <v>0.67910447761194026</v>
      </c>
      <c r="AT9" s="16">
        <v>0.13750000000000001</v>
      </c>
      <c r="AU9" s="19">
        <v>1.8181818181818181</v>
      </c>
      <c r="AV9" s="16">
        <v>0.35</v>
      </c>
      <c r="AW9" s="19">
        <v>1.4285714285714286</v>
      </c>
      <c r="AX9" s="16">
        <v>3.7499999999999999E-2</v>
      </c>
      <c r="AY9" s="19">
        <v>1.3333333333333333</v>
      </c>
      <c r="AZ9" s="16">
        <v>2.5000000000000001E-2</v>
      </c>
      <c r="BA9" s="19">
        <v>3</v>
      </c>
      <c r="BB9" s="16">
        <v>0.22500000000000001</v>
      </c>
      <c r="BC9" s="21">
        <v>0.66666666666666663</v>
      </c>
      <c r="BD9" s="16">
        <v>6.25E-2</v>
      </c>
      <c r="BE9" s="16">
        <v>0.16250000000000001</v>
      </c>
      <c r="BF9" s="16">
        <v>0.48837209302325579</v>
      </c>
      <c r="BG9" s="16">
        <v>0.53125</v>
      </c>
      <c r="BH9" s="16">
        <v>0.66666666666666663</v>
      </c>
      <c r="BI9" s="16">
        <v>0</v>
      </c>
      <c r="BJ9" s="16">
        <v>0.26250000000000001</v>
      </c>
      <c r="BK9" s="21">
        <v>1.6153846153846154</v>
      </c>
      <c r="BL9" s="16">
        <v>0.36</v>
      </c>
      <c r="BM9" s="16">
        <v>0.5</v>
      </c>
      <c r="BN9" s="16">
        <v>0.2857142857142857</v>
      </c>
      <c r="BO9" s="16">
        <v>0</v>
      </c>
      <c r="BP9" s="16">
        <v>0.74285714285714288</v>
      </c>
      <c r="BQ9" s="16">
        <v>0.6</v>
      </c>
      <c r="BR9" s="16">
        <v>0.8</v>
      </c>
      <c r="BS9" s="16" t="s">
        <v>269</v>
      </c>
      <c r="BT9" s="16">
        <v>0.58333333333333337</v>
      </c>
      <c r="BU9" s="16">
        <v>7.1428571428571425E-2</v>
      </c>
      <c r="BV9" s="16">
        <v>4.4776119402985072E-2</v>
      </c>
      <c r="BW9" s="54">
        <v>5</v>
      </c>
      <c r="BX9" s="54">
        <v>0.2</v>
      </c>
      <c r="BY9" s="54">
        <v>0.46666666666666667</v>
      </c>
      <c r="BZ9" s="12">
        <v>17</v>
      </c>
      <c r="CA9" s="12">
        <v>4</v>
      </c>
      <c r="CB9" s="12">
        <v>0</v>
      </c>
      <c r="CC9" s="12">
        <v>0</v>
      </c>
      <c r="CD9" s="12">
        <v>1</v>
      </c>
      <c r="CE9" s="12">
        <v>0</v>
      </c>
      <c r="CF9" s="12">
        <v>3</v>
      </c>
      <c r="CG9" s="12">
        <v>0</v>
      </c>
      <c r="CH9" s="12">
        <v>1</v>
      </c>
      <c r="CI9" s="12">
        <v>0</v>
      </c>
      <c r="CJ9" s="12">
        <v>0</v>
      </c>
      <c r="CK9" s="12">
        <v>0</v>
      </c>
      <c r="CL9" s="12">
        <v>4</v>
      </c>
      <c r="CM9" s="12">
        <v>0</v>
      </c>
      <c r="CN9" s="12">
        <v>0</v>
      </c>
      <c r="CO9" s="12">
        <v>0</v>
      </c>
      <c r="CP9" s="12">
        <v>1</v>
      </c>
      <c r="CQ9" s="12">
        <v>0</v>
      </c>
      <c r="CR9" s="12">
        <v>7</v>
      </c>
      <c r="CS9" s="12">
        <v>1</v>
      </c>
      <c r="CT9" s="12">
        <v>3</v>
      </c>
      <c r="CU9" s="12">
        <v>0</v>
      </c>
      <c r="CV9" s="12">
        <v>3</v>
      </c>
      <c r="CW9" s="12">
        <v>0</v>
      </c>
      <c r="CX9" s="12">
        <v>12</v>
      </c>
      <c r="CY9" s="12">
        <v>1</v>
      </c>
      <c r="CZ9" s="12">
        <v>0</v>
      </c>
      <c r="DA9" s="12">
        <v>0</v>
      </c>
      <c r="DB9" s="12">
        <v>0</v>
      </c>
      <c r="DC9" s="12">
        <v>0</v>
      </c>
      <c r="DD9" s="12">
        <v>1</v>
      </c>
      <c r="DE9" s="12">
        <v>2</v>
      </c>
      <c r="DF9" s="12">
        <v>8</v>
      </c>
      <c r="DG9" s="12">
        <v>10</v>
      </c>
      <c r="DH9" s="12">
        <v>0</v>
      </c>
      <c r="DI9" s="12">
        <v>0</v>
      </c>
      <c r="DJ9" s="12">
        <v>0</v>
      </c>
      <c r="DK9" s="12">
        <v>0</v>
      </c>
      <c r="DL9" s="12">
        <v>10</v>
      </c>
      <c r="DM9" s="12">
        <v>11</v>
      </c>
      <c r="DN9" s="12">
        <v>20</v>
      </c>
      <c r="DO9" s="12">
        <v>28</v>
      </c>
      <c r="DP9" s="12">
        <v>2</v>
      </c>
      <c r="DQ9" s="12">
        <v>3</v>
      </c>
      <c r="DR9" s="12">
        <v>2</v>
      </c>
      <c r="DS9" s="12">
        <v>2</v>
      </c>
      <c r="DT9" s="12">
        <v>4</v>
      </c>
      <c r="DU9" s="12">
        <v>18</v>
      </c>
      <c r="DV9" s="12">
        <v>0</v>
      </c>
      <c r="DW9" s="12">
        <v>0</v>
      </c>
      <c r="DX9" s="12">
        <v>74</v>
      </c>
      <c r="DY9" s="12">
        <v>22</v>
      </c>
      <c r="DZ9" s="12">
        <v>40</v>
      </c>
      <c r="EA9" s="16">
        <v>0.55000000000000004</v>
      </c>
      <c r="EB9" s="12">
        <v>9</v>
      </c>
      <c r="EC9" s="12">
        <v>27</v>
      </c>
      <c r="ED9" s="16">
        <v>0.33333333333333331</v>
      </c>
      <c r="EE9" s="12">
        <v>31</v>
      </c>
      <c r="EF9" s="12">
        <v>67</v>
      </c>
      <c r="EG9" s="16">
        <v>0.46268656716417911</v>
      </c>
      <c r="EH9" s="12">
        <v>3</v>
      </c>
      <c r="EI9" s="12">
        <v>6</v>
      </c>
      <c r="EJ9" s="16">
        <v>0.5</v>
      </c>
      <c r="EK9" s="12">
        <v>9</v>
      </c>
      <c r="EL9" s="12">
        <v>16</v>
      </c>
      <c r="EM9" s="12">
        <v>25</v>
      </c>
      <c r="EN9" s="12">
        <v>24</v>
      </c>
      <c r="EO9" s="12">
        <v>15</v>
      </c>
      <c r="EP9" s="12">
        <v>15</v>
      </c>
      <c r="EQ9" s="12">
        <v>9</v>
      </c>
      <c r="ER9" s="12">
        <v>10</v>
      </c>
      <c r="ES9" s="12">
        <v>1</v>
      </c>
      <c r="ET9" s="12">
        <v>3</v>
      </c>
      <c r="EU9" s="12">
        <v>81</v>
      </c>
      <c r="EV9" s="12">
        <v>-17</v>
      </c>
      <c r="EW9" s="12">
        <v>70</v>
      </c>
      <c r="EX9" s="12">
        <v>79</v>
      </c>
      <c r="EY9" s="12">
        <v>1</v>
      </c>
      <c r="EZ9" s="12">
        <v>15</v>
      </c>
      <c r="FA9" s="12">
        <v>8</v>
      </c>
      <c r="FB9" s="12">
        <v>1</v>
      </c>
      <c r="FC9" s="12">
        <v>2</v>
      </c>
      <c r="FD9" s="12">
        <v>0</v>
      </c>
      <c r="FE9" s="12">
        <v>0</v>
      </c>
      <c r="FF9" s="12">
        <v>6</v>
      </c>
      <c r="FG9" s="12">
        <v>1</v>
      </c>
      <c r="FH9" s="12">
        <v>1</v>
      </c>
      <c r="FI9" s="12">
        <v>0</v>
      </c>
      <c r="FJ9" s="12">
        <v>0</v>
      </c>
      <c r="FK9" s="12">
        <v>0</v>
      </c>
      <c r="FL9" s="12">
        <v>2</v>
      </c>
      <c r="FM9" s="12">
        <v>2</v>
      </c>
      <c r="FN9" s="12">
        <v>0</v>
      </c>
      <c r="FO9" s="12">
        <v>0</v>
      </c>
      <c r="FP9" s="12">
        <v>0</v>
      </c>
      <c r="FQ9" s="12">
        <v>0</v>
      </c>
      <c r="FR9" s="12">
        <v>5</v>
      </c>
      <c r="FS9" s="12">
        <v>0</v>
      </c>
      <c r="FT9" s="12">
        <v>0</v>
      </c>
      <c r="FU9" s="12">
        <v>0</v>
      </c>
      <c r="FV9" s="12">
        <v>0</v>
      </c>
      <c r="FW9" s="12">
        <v>0</v>
      </c>
      <c r="FX9" s="12">
        <v>9</v>
      </c>
      <c r="FY9" s="12">
        <v>1</v>
      </c>
      <c r="FZ9" s="12">
        <v>2</v>
      </c>
      <c r="GA9" s="12">
        <v>0</v>
      </c>
      <c r="GB9" s="12">
        <v>0</v>
      </c>
      <c r="GC9" s="12">
        <v>0</v>
      </c>
      <c r="GD9" s="12">
        <v>1</v>
      </c>
      <c r="GE9" s="12">
        <v>1</v>
      </c>
      <c r="GF9" s="12">
        <v>1</v>
      </c>
      <c r="GG9" s="12">
        <v>2</v>
      </c>
      <c r="GH9" s="12">
        <v>0</v>
      </c>
      <c r="GI9" s="12">
        <v>1</v>
      </c>
      <c r="GJ9" s="12">
        <v>3</v>
      </c>
      <c r="GK9" s="12">
        <v>0</v>
      </c>
      <c r="GL9" s="12">
        <v>4</v>
      </c>
      <c r="GM9" s="12">
        <v>5</v>
      </c>
      <c r="GN9" s="12">
        <v>16</v>
      </c>
      <c r="GO9" s="12">
        <v>29</v>
      </c>
      <c r="GP9" s="12">
        <v>2</v>
      </c>
      <c r="GQ9" s="12">
        <v>6</v>
      </c>
      <c r="GR9" s="12">
        <v>3</v>
      </c>
      <c r="GS9" s="12">
        <v>6</v>
      </c>
      <c r="GT9" s="12">
        <v>6</v>
      </c>
      <c r="GU9" s="12">
        <v>21</v>
      </c>
      <c r="GV9" s="12">
        <v>0</v>
      </c>
      <c r="GW9" s="12">
        <v>0</v>
      </c>
      <c r="GY9" s="16"/>
    </row>
    <row r="10" spans="2:207" ht="15" customHeight="1" x14ac:dyDescent="0.2">
      <c r="B10" s="12">
        <v>1</v>
      </c>
      <c r="C10" s="12" t="s">
        <v>281</v>
      </c>
      <c r="D10" s="12" t="s">
        <v>282</v>
      </c>
      <c r="E10" s="14" t="s">
        <v>283</v>
      </c>
      <c r="F10" s="14" t="s">
        <v>284</v>
      </c>
      <c r="G10" s="15">
        <v>45204</v>
      </c>
      <c r="H10" s="15" t="s">
        <v>271</v>
      </c>
      <c r="I10" s="12" t="s">
        <v>269</v>
      </c>
      <c r="J10" s="12" t="s">
        <v>272</v>
      </c>
      <c r="K10" s="12">
        <v>200</v>
      </c>
      <c r="L10" s="12">
        <v>68</v>
      </c>
      <c r="M10" s="12">
        <v>16</v>
      </c>
      <c r="N10" s="12">
        <v>30</v>
      </c>
      <c r="O10" s="16">
        <v>0.53333333333333333</v>
      </c>
      <c r="P10" s="12">
        <v>7</v>
      </c>
      <c r="Q10" s="12">
        <v>24</v>
      </c>
      <c r="R10" s="16">
        <v>0.29166666666666669</v>
      </c>
      <c r="S10" s="12">
        <v>23</v>
      </c>
      <c r="T10" s="12">
        <v>54</v>
      </c>
      <c r="U10" s="16">
        <v>0.42592592592592593</v>
      </c>
      <c r="V10" s="12">
        <v>15</v>
      </c>
      <c r="W10" s="12">
        <v>19</v>
      </c>
      <c r="X10" s="16">
        <v>0.78947368421052633</v>
      </c>
      <c r="Y10" s="12">
        <v>3</v>
      </c>
      <c r="Z10" s="12">
        <v>14</v>
      </c>
      <c r="AA10" s="12">
        <v>17</v>
      </c>
      <c r="AB10" s="12">
        <v>14</v>
      </c>
      <c r="AC10" s="12">
        <v>9</v>
      </c>
      <c r="AD10" s="12">
        <v>10</v>
      </c>
      <c r="AE10" s="12">
        <v>3</v>
      </c>
      <c r="AF10" s="12">
        <v>3</v>
      </c>
      <c r="AG10" s="12">
        <v>17</v>
      </c>
      <c r="AH10" s="12">
        <v>21</v>
      </c>
      <c r="AI10" s="17">
        <v>69</v>
      </c>
      <c r="AJ10" s="12">
        <v>-12</v>
      </c>
      <c r="AK10" s="12">
        <v>68</v>
      </c>
      <c r="AL10" s="12">
        <v>71</v>
      </c>
      <c r="AM10" s="19">
        <v>0.95774647887323938</v>
      </c>
      <c r="AN10" s="19">
        <v>0.90909090909090906</v>
      </c>
      <c r="AO10" s="18">
        <v>100</v>
      </c>
      <c r="AP10" s="18">
        <v>117.64705882352942</v>
      </c>
      <c r="AQ10" s="18">
        <v>-17.64705882352942</v>
      </c>
      <c r="AR10" s="53">
        <v>0.49074074074074076</v>
      </c>
      <c r="AS10" s="53">
        <v>0.54838709677419351</v>
      </c>
      <c r="AT10" s="16">
        <v>4.2253521126760563E-2</v>
      </c>
      <c r="AU10" s="19">
        <v>0.66666666666666663</v>
      </c>
      <c r="AV10" s="16">
        <v>0.26760563380281688</v>
      </c>
      <c r="AW10" s="19">
        <v>1.263157894736842</v>
      </c>
      <c r="AX10" s="16">
        <v>0.11267605633802817</v>
      </c>
      <c r="AY10" s="19">
        <v>0.75</v>
      </c>
      <c r="AZ10" s="16">
        <v>2.8169014084507043E-2</v>
      </c>
      <c r="BA10" s="19">
        <v>0</v>
      </c>
      <c r="BB10" s="16">
        <v>0.30985915492957744</v>
      </c>
      <c r="BC10" s="21">
        <v>0.95454545454545459</v>
      </c>
      <c r="BD10" s="16">
        <v>0.11267605633802817</v>
      </c>
      <c r="BE10" s="16">
        <v>0.12676056338028169</v>
      </c>
      <c r="BF10" s="16">
        <v>0.46666666666666667</v>
      </c>
      <c r="BG10" s="16">
        <v>0.5</v>
      </c>
      <c r="BH10" s="16">
        <v>0.7142857142857143</v>
      </c>
      <c r="BI10" s="16">
        <v>0.14285714285714285</v>
      </c>
      <c r="BJ10" s="16">
        <v>0.19718309859154928</v>
      </c>
      <c r="BK10" s="21">
        <v>1.5555555555555556</v>
      </c>
      <c r="BL10" s="16">
        <v>9.375E-2</v>
      </c>
      <c r="BM10" s="16">
        <v>0</v>
      </c>
      <c r="BN10" s="16">
        <v>0.19047619047619047</v>
      </c>
      <c r="BO10" s="16">
        <v>0</v>
      </c>
      <c r="BP10" s="16">
        <v>0.41176470588235292</v>
      </c>
      <c r="BQ10" s="16">
        <v>0.5</v>
      </c>
      <c r="BR10" s="16">
        <v>0.2608695652173913</v>
      </c>
      <c r="BS10" s="16" t="s">
        <v>269</v>
      </c>
      <c r="BT10" s="16">
        <v>0.25757575757575757</v>
      </c>
      <c r="BU10" s="16">
        <v>0.14705882352941177</v>
      </c>
      <c r="BV10" s="16">
        <v>4.4776119402985072E-2</v>
      </c>
      <c r="BW10" s="54">
        <v>5</v>
      </c>
      <c r="BX10" s="54">
        <v>0.29411764705882354</v>
      </c>
      <c r="BY10" s="54">
        <v>0.47619047619047616</v>
      </c>
      <c r="BZ10" s="12">
        <v>8</v>
      </c>
      <c r="CA10" s="12">
        <v>5</v>
      </c>
      <c r="CB10" s="12">
        <v>1</v>
      </c>
      <c r="CC10" s="12">
        <v>2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3</v>
      </c>
      <c r="CM10" s="12">
        <v>1</v>
      </c>
      <c r="CN10" s="12">
        <v>0</v>
      </c>
      <c r="CO10" s="12">
        <v>0</v>
      </c>
      <c r="CP10" s="12">
        <v>1</v>
      </c>
      <c r="CQ10" s="12">
        <v>0</v>
      </c>
      <c r="CR10" s="12">
        <v>4</v>
      </c>
      <c r="CS10" s="12">
        <v>0</v>
      </c>
      <c r="CT10" s="12">
        <v>2</v>
      </c>
      <c r="CU10" s="12">
        <v>0</v>
      </c>
      <c r="CV10" s="12">
        <v>2</v>
      </c>
      <c r="CW10" s="12">
        <v>0</v>
      </c>
      <c r="CX10" s="12">
        <v>4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2</v>
      </c>
      <c r="DE10" s="12">
        <v>2</v>
      </c>
      <c r="DF10" s="12">
        <v>10</v>
      </c>
      <c r="DG10" s="12">
        <v>14</v>
      </c>
      <c r="DH10" s="12">
        <v>1</v>
      </c>
      <c r="DI10" s="12">
        <v>3</v>
      </c>
      <c r="DJ10" s="12">
        <v>3</v>
      </c>
      <c r="DK10" s="12">
        <v>0</v>
      </c>
      <c r="DL10" s="12">
        <v>1</v>
      </c>
      <c r="DM10" s="12">
        <v>3</v>
      </c>
      <c r="DN10" s="12">
        <v>12</v>
      </c>
      <c r="DO10" s="12">
        <v>19</v>
      </c>
      <c r="DP10" s="12">
        <v>3</v>
      </c>
      <c r="DQ10" s="12">
        <v>8</v>
      </c>
      <c r="DR10" s="12">
        <v>0</v>
      </c>
      <c r="DS10" s="12">
        <v>2</v>
      </c>
      <c r="DT10" s="12">
        <v>7</v>
      </c>
      <c r="DU10" s="12">
        <v>22</v>
      </c>
      <c r="DV10" s="12">
        <v>0</v>
      </c>
      <c r="DW10" s="12">
        <v>0</v>
      </c>
      <c r="DX10" s="12">
        <v>80</v>
      </c>
      <c r="DY10" s="12">
        <v>23</v>
      </c>
      <c r="DZ10" s="12">
        <v>36</v>
      </c>
      <c r="EA10" s="16">
        <v>0.63888888888888884</v>
      </c>
      <c r="EB10" s="12">
        <v>9</v>
      </c>
      <c r="EC10" s="12">
        <v>31</v>
      </c>
      <c r="ED10" s="16">
        <v>0.29032258064516131</v>
      </c>
      <c r="EE10" s="12">
        <v>32</v>
      </c>
      <c r="EF10" s="12">
        <v>67</v>
      </c>
      <c r="EG10" s="16">
        <v>0.47761194029850745</v>
      </c>
      <c r="EH10" s="12">
        <v>7</v>
      </c>
      <c r="EI10" s="12">
        <v>10</v>
      </c>
      <c r="EJ10" s="16">
        <v>0.7</v>
      </c>
      <c r="EK10" s="12">
        <v>20</v>
      </c>
      <c r="EL10" s="12">
        <v>29</v>
      </c>
      <c r="EM10" s="12">
        <v>49</v>
      </c>
      <c r="EN10" s="12">
        <v>12</v>
      </c>
      <c r="EO10" s="12">
        <v>21</v>
      </c>
      <c r="EP10" s="12">
        <v>17</v>
      </c>
      <c r="EQ10" s="12">
        <v>5</v>
      </c>
      <c r="ER10" s="12">
        <v>16</v>
      </c>
      <c r="ES10" s="12">
        <v>3</v>
      </c>
      <c r="ET10" s="12">
        <v>3</v>
      </c>
      <c r="EU10" s="12">
        <v>88</v>
      </c>
      <c r="EV10" s="12">
        <v>12</v>
      </c>
      <c r="EW10" s="12">
        <v>68</v>
      </c>
      <c r="EX10" s="12">
        <v>88</v>
      </c>
      <c r="EY10" s="12">
        <v>7</v>
      </c>
      <c r="EZ10" s="12">
        <v>5</v>
      </c>
      <c r="FA10" s="12">
        <v>6</v>
      </c>
      <c r="FB10" s="12">
        <v>1</v>
      </c>
      <c r="FC10" s="12">
        <v>2</v>
      </c>
      <c r="FD10" s="12">
        <v>1</v>
      </c>
      <c r="FE10" s="12">
        <v>0</v>
      </c>
      <c r="FF10" s="12">
        <v>4</v>
      </c>
      <c r="FG10" s="12">
        <v>1</v>
      </c>
      <c r="FH10" s="12">
        <v>1</v>
      </c>
      <c r="FI10" s="12">
        <v>0</v>
      </c>
      <c r="FJ10" s="12">
        <v>3</v>
      </c>
      <c r="FK10" s="12">
        <v>1</v>
      </c>
      <c r="FL10" s="12">
        <v>11</v>
      </c>
      <c r="FM10" s="12">
        <v>2</v>
      </c>
      <c r="FN10" s="12">
        <v>0</v>
      </c>
      <c r="FO10" s="12">
        <v>0</v>
      </c>
      <c r="FP10" s="12">
        <v>2</v>
      </c>
      <c r="FQ10" s="12">
        <v>0</v>
      </c>
      <c r="FR10" s="12">
        <v>7</v>
      </c>
      <c r="FS10" s="12">
        <v>0</v>
      </c>
      <c r="FT10" s="12">
        <v>5</v>
      </c>
      <c r="FU10" s="12">
        <v>0</v>
      </c>
      <c r="FV10" s="12">
        <v>2</v>
      </c>
      <c r="FW10" s="12">
        <v>0</v>
      </c>
      <c r="FX10" s="12">
        <v>12</v>
      </c>
      <c r="FY10" s="12">
        <v>3</v>
      </c>
      <c r="FZ10" s="12">
        <v>1</v>
      </c>
      <c r="GA10" s="12">
        <v>0</v>
      </c>
      <c r="GB10" s="12">
        <v>0</v>
      </c>
      <c r="GC10" s="12">
        <v>0</v>
      </c>
      <c r="GD10" s="12">
        <v>0</v>
      </c>
      <c r="GE10" s="12">
        <v>0</v>
      </c>
      <c r="GF10" s="12">
        <v>7</v>
      </c>
      <c r="GG10" s="12">
        <v>10</v>
      </c>
      <c r="GH10" s="12">
        <v>1</v>
      </c>
      <c r="GI10" s="12">
        <v>0</v>
      </c>
      <c r="GJ10" s="12">
        <v>0</v>
      </c>
      <c r="GK10" s="12">
        <v>0</v>
      </c>
      <c r="GL10" s="12">
        <v>9</v>
      </c>
      <c r="GM10" s="12">
        <v>11</v>
      </c>
      <c r="GN10" s="12">
        <v>9</v>
      </c>
      <c r="GO10" s="12">
        <v>17</v>
      </c>
      <c r="GP10" s="12">
        <v>5</v>
      </c>
      <c r="GQ10" s="12">
        <v>8</v>
      </c>
      <c r="GR10" s="12">
        <v>0</v>
      </c>
      <c r="GS10" s="12">
        <v>5</v>
      </c>
      <c r="GT10" s="12">
        <v>9</v>
      </c>
      <c r="GU10" s="12">
        <v>26</v>
      </c>
      <c r="GV10" s="12">
        <v>0</v>
      </c>
      <c r="GW10" s="12">
        <v>0</v>
      </c>
      <c r="GY10" s="16"/>
    </row>
    <row r="11" spans="2:207" ht="15" customHeight="1" x14ac:dyDescent="0.2">
      <c r="B11" s="12">
        <v>1</v>
      </c>
      <c r="C11" s="12" t="s">
        <v>282</v>
      </c>
      <c r="D11" s="12" t="s">
        <v>281</v>
      </c>
      <c r="E11" s="14" t="s">
        <v>284</v>
      </c>
      <c r="F11" s="14" t="s">
        <v>283</v>
      </c>
      <c r="G11" s="15">
        <v>45204</v>
      </c>
      <c r="H11" s="15" t="s">
        <v>268</v>
      </c>
      <c r="I11" s="12" t="s">
        <v>269</v>
      </c>
      <c r="J11" s="12" t="s">
        <v>270</v>
      </c>
      <c r="K11" s="12">
        <v>200</v>
      </c>
      <c r="L11" s="12">
        <v>80</v>
      </c>
      <c r="M11" s="12">
        <v>23</v>
      </c>
      <c r="N11" s="12">
        <v>36</v>
      </c>
      <c r="O11" s="16">
        <v>0.63888888888888884</v>
      </c>
      <c r="P11" s="12">
        <v>9</v>
      </c>
      <c r="Q11" s="12">
        <v>31</v>
      </c>
      <c r="R11" s="16">
        <v>0.29032258064516131</v>
      </c>
      <c r="S11" s="12">
        <v>32</v>
      </c>
      <c r="T11" s="12">
        <v>67</v>
      </c>
      <c r="U11" s="16">
        <v>0.47761194029850745</v>
      </c>
      <c r="V11" s="12">
        <v>7</v>
      </c>
      <c r="W11" s="12">
        <v>10</v>
      </c>
      <c r="X11" s="16">
        <v>0.7</v>
      </c>
      <c r="Y11" s="12">
        <v>20</v>
      </c>
      <c r="Z11" s="12">
        <v>29</v>
      </c>
      <c r="AA11" s="12">
        <v>49</v>
      </c>
      <c r="AB11" s="12">
        <v>12</v>
      </c>
      <c r="AC11" s="12">
        <v>16</v>
      </c>
      <c r="AD11" s="12">
        <v>5</v>
      </c>
      <c r="AE11" s="12">
        <v>3</v>
      </c>
      <c r="AF11" s="12">
        <v>3</v>
      </c>
      <c r="AG11" s="12">
        <v>21</v>
      </c>
      <c r="AH11" s="12">
        <v>17</v>
      </c>
      <c r="AI11" s="17">
        <v>88</v>
      </c>
      <c r="AJ11" s="12">
        <v>12</v>
      </c>
      <c r="AK11" s="12">
        <v>68</v>
      </c>
      <c r="AL11" s="12">
        <v>88</v>
      </c>
      <c r="AM11" s="19">
        <v>0.90909090909090906</v>
      </c>
      <c r="AN11" s="19">
        <v>0.95774647887323938</v>
      </c>
      <c r="AO11" s="18">
        <v>117.64705882352942</v>
      </c>
      <c r="AP11" s="18">
        <v>100</v>
      </c>
      <c r="AQ11" s="18">
        <v>17.64705882352942</v>
      </c>
      <c r="AR11" s="53">
        <v>0.54477611940298509</v>
      </c>
      <c r="AS11" s="53">
        <v>0.55555555555555558</v>
      </c>
      <c r="AT11" s="16">
        <v>0.125</v>
      </c>
      <c r="AU11" s="19">
        <v>1.6363636363636365</v>
      </c>
      <c r="AV11" s="16">
        <v>0.19318181818181818</v>
      </c>
      <c r="AW11" s="19">
        <v>1.0588235294117647</v>
      </c>
      <c r="AX11" s="16">
        <v>9.0909090909090912E-2</v>
      </c>
      <c r="AY11" s="19">
        <v>1.25</v>
      </c>
      <c r="AZ11" s="16">
        <v>5.6818181818181816E-2</v>
      </c>
      <c r="BA11" s="19">
        <v>0</v>
      </c>
      <c r="BB11" s="16">
        <v>0.29545454545454547</v>
      </c>
      <c r="BC11" s="21">
        <v>1.0384615384615385</v>
      </c>
      <c r="BD11" s="16">
        <v>5.6818181818181816E-2</v>
      </c>
      <c r="BE11" s="16">
        <v>0.18181818181818182</v>
      </c>
      <c r="BF11" s="16">
        <v>0.33333333333333331</v>
      </c>
      <c r="BG11" s="16">
        <v>0.21739130434782608</v>
      </c>
      <c r="BH11" s="16">
        <v>0.66666666666666663</v>
      </c>
      <c r="BI11" s="16">
        <v>0.25</v>
      </c>
      <c r="BJ11" s="16">
        <v>0.13636363636363635</v>
      </c>
      <c r="BK11" s="21">
        <v>0.75</v>
      </c>
      <c r="BL11" s="16">
        <v>0.58823529411764708</v>
      </c>
      <c r="BM11" s="16">
        <v>0.5</v>
      </c>
      <c r="BN11" s="16">
        <v>0.73913043478260865</v>
      </c>
      <c r="BO11" s="16" t="s">
        <v>269</v>
      </c>
      <c r="BP11" s="16">
        <v>0.90625</v>
      </c>
      <c r="BQ11" s="16">
        <v>1</v>
      </c>
      <c r="BR11" s="16">
        <v>0.80952380952380953</v>
      </c>
      <c r="BS11" s="16">
        <v>1</v>
      </c>
      <c r="BT11" s="16">
        <v>0.74242424242424243</v>
      </c>
      <c r="BU11" s="16">
        <v>7.3529411764705885E-2</v>
      </c>
      <c r="BV11" s="16">
        <v>5.5555555555555552E-2</v>
      </c>
      <c r="BW11" s="54">
        <v>7</v>
      </c>
      <c r="BX11" s="54">
        <v>0.47619047619047616</v>
      </c>
      <c r="BY11" s="54">
        <v>0.29411764705882354</v>
      </c>
      <c r="BZ11" s="12">
        <v>5</v>
      </c>
      <c r="CA11" s="12">
        <v>6</v>
      </c>
      <c r="CB11" s="12">
        <v>1</v>
      </c>
      <c r="CC11" s="12">
        <v>2</v>
      </c>
      <c r="CD11" s="12">
        <v>1</v>
      </c>
      <c r="CE11" s="12">
        <v>0</v>
      </c>
      <c r="CF11" s="12">
        <v>4</v>
      </c>
      <c r="CG11" s="12">
        <v>1</v>
      </c>
      <c r="CH11" s="12">
        <v>1</v>
      </c>
      <c r="CI11" s="12">
        <v>0</v>
      </c>
      <c r="CJ11" s="12">
        <v>3</v>
      </c>
      <c r="CK11" s="12">
        <v>1</v>
      </c>
      <c r="CL11" s="12">
        <v>11</v>
      </c>
      <c r="CM11" s="12">
        <v>2</v>
      </c>
      <c r="CN11" s="12">
        <v>0</v>
      </c>
      <c r="CO11" s="12">
        <v>0</v>
      </c>
      <c r="CP11" s="12">
        <v>2</v>
      </c>
      <c r="CQ11" s="12">
        <v>0</v>
      </c>
      <c r="CR11" s="12">
        <v>7</v>
      </c>
      <c r="CS11" s="12">
        <v>0</v>
      </c>
      <c r="CT11" s="12">
        <v>5</v>
      </c>
      <c r="CU11" s="12">
        <v>0</v>
      </c>
      <c r="CV11" s="12">
        <v>2</v>
      </c>
      <c r="CW11" s="12">
        <v>0</v>
      </c>
      <c r="CX11" s="12">
        <v>12</v>
      </c>
      <c r="CY11" s="12">
        <v>3</v>
      </c>
      <c r="CZ11" s="12">
        <v>1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7</v>
      </c>
      <c r="DG11" s="12">
        <v>10</v>
      </c>
      <c r="DH11" s="12">
        <v>1</v>
      </c>
      <c r="DI11" s="12">
        <v>0</v>
      </c>
      <c r="DJ11" s="12">
        <v>0</v>
      </c>
      <c r="DK11" s="12">
        <v>0</v>
      </c>
      <c r="DL11" s="12">
        <v>9</v>
      </c>
      <c r="DM11" s="12">
        <v>11</v>
      </c>
      <c r="DN11" s="12">
        <v>9</v>
      </c>
      <c r="DO11" s="12">
        <v>17</v>
      </c>
      <c r="DP11" s="12">
        <v>5</v>
      </c>
      <c r="DQ11" s="12">
        <v>8</v>
      </c>
      <c r="DR11" s="12">
        <v>0</v>
      </c>
      <c r="DS11" s="12">
        <v>5</v>
      </c>
      <c r="DT11" s="12">
        <v>9</v>
      </c>
      <c r="DU11" s="12">
        <v>26</v>
      </c>
      <c r="DV11" s="12">
        <v>0</v>
      </c>
      <c r="DW11" s="12">
        <v>0</v>
      </c>
      <c r="DX11" s="12">
        <v>68</v>
      </c>
      <c r="DY11" s="12">
        <v>16</v>
      </c>
      <c r="DZ11" s="12">
        <v>30</v>
      </c>
      <c r="EA11" s="16">
        <v>0.53333333333333333</v>
      </c>
      <c r="EB11" s="12">
        <v>7</v>
      </c>
      <c r="EC11" s="12">
        <v>24</v>
      </c>
      <c r="ED11" s="16">
        <v>0.29166666666666669</v>
      </c>
      <c r="EE11" s="12">
        <v>23</v>
      </c>
      <c r="EF11" s="12">
        <v>54</v>
      </c>
      <c r="EG11" s="16">
        <v>0.42592592592592593</v>
      </c>
      <c r="EH11" s="12">
        <v>15</v>
      </c>
      <c r="EI11" s="12">
        <v>19</v>
      </c>
      <c r="EJ11" s="16">
        <v>0.78947368421052633</v>
      </c>
      <c r="EK11" s="12">
        <v>3</v>
      </c>
      <c r="EL11" s="12">
        <v>14</v>
      </c>
      <c r="EM11" s="12">
        <v>17</v>
      </c>
      <c r="EN11" s="12">
        <v>14</v>
      </c>
      <c r="EO11" s="12">
        <v>17</v>
      </c>
      <c r="EP11" s="12">
        <v>21</v>
      </c>
      <c r="EQ11" s="12">
        <v>10</v>
      </c>
      <c r="ER11" s="12">
        <v>9</v>
      </c>
      <c r="ES11" s="12">
        <v>3</v>
      </c>
      <c r="ET11" s="12">
        <v>3</v>
      </c>
      <c r="EU11" s="12">
        <v>69</v>
      </c>
      <c r="EV11" s="12">
        <v>-12</v>
      </c>
      <c r="EW11" s="12">
        <v>68</v>
      </c>
      <c r="EX11" s="12">
        <v>71</v>
      </c>
      <c r="EY11" s="12">
        <v>5</v>
      </c>
      <c r="EZ11" s="12">
        <v>8</v>
      </c>
      <c r="FA11" s="12">
        <v>5</v>
      </c>
      <c r="FB11" s="12">
        <v>1</v>
      </c>
      <c r="FC11" s="12">
        <v>2</v>
      </c>
      <c r="FD11" s="12">
        <v>0</v>
      </c>
      <c r="FE11" s="12">
        <v>0</v>
      </c>
      <c r="FF11" s="12">
        <v>0</v>
      </c>
      <c r="FG11" s="12">
        <v>0</v>
      </c>
      <c r="FH11" s="12">
        <v>0</v>
      </c>
      <c r="FI11" s="12">
        <v>0</v>
      </c>
      <c r="FJ11" s="12">
        <v>0</v>
      </c>
      <c r="FK11" s="12">
        <v>0</v>
      </c>
      <c r="FL11" s="12">
        <v>3</v>
      </c>
      <c r="FM11" s="12">
        <v>1</v>
      </c>
      <c r="FN11" s="12">
        <v>0</v>
      </c>
      <c r="FO11" s="12">
        <v>0</v>
      </c>
      <c r="FP11" s="12">
        <v>1</v>
      </c>
      <c r="FQ11" s="12">
        <v>0</v>
      </c>
      <c r="FR11" s="12">
        <v>4</v>
      </c>
      <c r="FS11" s="12">
        <v>0</v>
      </c>
      <c r="FT11" s="12">
        <v>2</v>
      </c>
      <c r="FU11" s="12">
        <v>0</v>
      </c>
      <c r="FV11" s="12">
        <v>2</v>
      </c>
      <c r="FW11" s="12">
        <v>0</v>
      </c>
      <c r="FX11" s="12">
        <v>4</v>
      </c>
      <c r="FY11" s="12">
        <v>0</v>
      </c>
      <c r="FZ11" s="12">
        <v>0</v>
      </c>
      <c r="GA11" s="12">
        <v>0</v>
      </c>
      <c r="GB11" s="12">
        <v>0</v>
      </c>
      <c r="GC11" s="12">
        <v>0</v>
      </c>
      <c r="GD11" s="12">
        <v>2</v>
      </c>
      <c r="GE11" s="12">
        <v>2</v>
      </c>
      <c r="GF11" s="12">
        <v>10</v>
      </c>
      <c r="GG11" s="12">
        <v>14</v>
      </c>
      <c r="GH11" s="12">
        <v>1</v>
      </c>
      <c r="GI11" s="12">
        <v>3</v>
      </c>
      <c r="GJ11" s="12">
        <v>3</v>
      </c>
      <c r="GK11" s="12">
        <v>0</v>
      </c>
      <c r="GL11" s="12">
        <v>1</v>
      </c>
      <c r="GM11" s="12">
        <v>3</v>
      </c>
      <c r="GN11" s="12">
        <v>12</v>
      </c>
      <c r="GO11" s="12">
        <v>19</v>
      </c>
      <c r="GP11" s="12">
        <v>3</v>
      </c>
      <c r="GQ11" s="12">
        <v>8</v>
      </c>
      <c r="GR11" s="12">
        <v>0</v>
      </c>
      <c r="GS11" s="12">
        <v>2</v>
      </c>
      <c r="GT11" s="12">
        <v>7</v>
      </c>
      <c r="GU11" s="12">
        <v>22</v>
      </c>
      <c r="GV11" s="12">
        <v>0</v>
      </c>
      <c r="GW11" s="12">
        <v>0</v>
      </c>
      <c r="GY11" s="16"/>
    </row>
    <row r="12" spans="2:207" ht="15" customHeight="1" x14ac:dyDescent="0.2">
      <c r="B12" s="12">
        <v>1</v>
      </c>
      <c r="C12" s="12" t="s">
        <v>285</v>
      </c>
      <c r="D12" s="12" t="s">
        <v>286</v>
      </c>
      <c r="E12" s="14" t="s">
        <v>287</v>
      </c>
      <c r="F12" s="14" t="s">
        <v>288</v>
      </c>
      <c r="G12" s="15">
        <v>45204</v>
      </c>
      <c r="H12" s="15" t="s">
        <v>268</v>
      </c>
      <c r="I12" s="12" t="s">
        <v>269</v>
      </c>
      <c r="J12" s="12" t="s">
        <v>272</v>
      </c>
      <c r="K12" s="12">
        <v>200</v>
      </c>
      <c r="L12" s="12">
        <v>79</v>
      </c>
      <c r="M12" s="12">
        <v>23</v>
      </c>
      <c r="N12" s="12">
        <v>39</v>
      </c>
      <c r="O12" s="16">
        <v>0.58974358974358976</v>
      </c>
      <c r="P12" s="12">
        <v>8</v>
      </c>
      <c r="Q12" s="12">
        <v>25</v>
      </c>
      <c r="R12" s="16">
        <v>0.32</v>
      </c>
      <c r="S12" s="12">
        <v>31</v>
      </c>
      <c r="T12" s="12">
        <v>64</v>
      </c>
      <c r="U12" s="16">
        <v>0.484375</v>
      </c>
      <c r="V12" s="12">
        <v>9</v>
      </c>
      <c r="W12" s="12">
        <v>11</v>
      </c>
      <c r="X12" s="16">
        <v>0.81818181818181823</v>
      </c>
      <c r="Y12" s="12">
        <v>10</v>
      </c>
      <c r="Z12" s="12">
        <v>22</v>
      </c>
      <c r="AA12" s="12">
        <v>32</v>
      </c>
      <c r="AB12" s="12">
        <v>21</v>
      </c>
      <c r="AC12" s="12">
        <v>14</v>
      </c>
      <c r="AD12" s="12">
        <v>8</v>
      </c>
      <c r="AE12" s="12">
        <v>1</v>
      </c>
      <c r="AF12" s="12">
        <v>3</v>
      </c>
      <c r="AG12" s="12">
        <v>18</v>
      </c>
      <c r="AH12" s="12">
        <v>19</v>
      </c>
      <c r="AI12" s="17">
        <v>90</v>
      </c>
      <c r="AJ12" s="12">
        <v>-3</v>
      </c>
      <c r="AK12" s="12">
        <v>72</v>
      </c>
      <c r="AL12" s="12">
        <v>82</v>
      </c>
      <c r="AM12" s="19">
        <v>0.96341463414634143</v>
      </c>
      <c r="AN12" s="19">
        <v>1.0379746835443038</v>
      </c>
      <c r="AO12" s="18">
        <v>109.72222222222223</v>
      </c>
      <c r="AP12" s="18">
        <v>115.49295774647888</v>
      </c>
      <c r="AQ12" s="18">
        <v>-5.7707355242566507</v>
      </c>
      <c r="AR12" s="53">
        <v>0.546875</v>
      </c>
      <c r="AS12" s="53">
        <v>0.58088235294117652</v>
      </c>
      <c r="AT12" s="16">
        <v>0.12195121951219512</v>
      </c>
      <c r="AU12" s="19">
        <v>1.6</v>
      </c>
      <c r="AV12" s="16">
        <v>0.26829268292682928</v>
      </c>
      <c r="AW12" s="19">
        <v>1.1818181818181819</v>
      </c>
      <c r="AX12" s="16">
        <v>8.5365853658536592E-2</v>
      </c>
      <c r="AY12" s="19">
        <v>0.5714285714285714</v>
      </c>
      <c r="AZ12" s="16">
        <v>0</v>
      </c>
      <c r="BA12" s="19" t="s">
        <v>269</v>
      </c>
      <c r="BB12" s="16">
        <v>0.29268292682926828</v>
      </c>
      <c r="BC12" s="21">
        <v>1</v>
      </c>
      <c r="BD12" s="16">
        <v>4.878048780487805E-2</v>
      </c>
      <c r="BE12" s="16">
        <v>0.17073170731707318</v>
      </c>
      <c r="BF12" s="16">
        <v>0.6</v>
      </c>
      <c r="BG12" s="16">
        <v>0.52173913043478259</v>
      </c>
      <c r="BH12" s="16">
        <v>1</v>
      </c>
      <c r="BI12" s="16">
        <v>0.25</v>
      </c>
      <c r="BJ12" s="16">
        <v>0.25609756097560976</v>
      </c>
      <c r="BK12" s="21">
        <v>1.5</v>
      </c>
      <c r="BL12" s="16">
        <v>0.3125</v>
      </c>
      <c r="BM12" s="16">
        <v>0.1875</v>
      </c>
      <c r="BN12" s="16">
        <v>0.4375</v>
      </c>
      <c r="BO12" s="16">
        <v>0.5</v>
      </c>
      <c r="BP12" s="16">
        <v>0.73333333333333328</v>
      </c>
      <c r="BQ12" s="16">
        <v>0.69565217391304346</v>
      </c>
      <c r="BR12" s="16">
        <v>0.875</v>
      </c>
      <c r="BS12" s="16">
        <v>0.5</v>
      </c>
      <c r="BT12" s="16">
        <v>0.5161290322580645</v>
      </c>
      <c r="BU12" s="16">
        <v>0.11267605633802817</v>
      </c>
      <c r="BV12" s="16">
        <v>1.7241379310344827E-2</v>
      </c>
      <c r="BW12" s="54">
        <v>6</v>
      </c>
      <c r="BX12" s="54">
        <v>0.55555555555555558</v>
      </c>
      <c r="BY12" s="54">
        <v>0.31578947368421051</v>
      </c>
      <c r="BZ12" s="12">
        <v>12</v>
      </c>
      <c r="CA12" s="12">
        <v>8</v>
      </c>
      <c r="CB12" s="12">
        <v>1</v>
      </c>
      <c r="CC12" s="12">
        <v>0</v>
      </c>
      <c r="CD12" s="12">
        <v>0</v>
      </c>
      <c r="CE12" s="12">
        <v>0</v>
      </c>
      <c r="CF12" s="12">
        <v>1</v>
      </c>
      <c r="CG12" s="12">
        <v>0</v>
      </c>
      <c r="CH12" s="12">
        <v>2</v>
      </c>
      <c r="CI12" s="12">
        <v>0</v>
      </c>
      <c r="CJ12" s="12">
        <v>0</v>
      </c>
      <c r="CK12" s="12">
        <v>0</v>
      </c>
      <c r="CL12" s="12">
        <v>6</v>
      </c>
      <c r="CM12" s="12">
        <v>1</v>
      </c>
      <c r="CN12" s="12">
        <v>1</v>
      </c>
      <c r="CO12" s="12">
        <v>0</v>
      </c>
      <c r="CP12" s="12">
        <v>2</v>
      </c>
      <c r="CQ12" s="12">
        <v>0</v>
      </c>
      <c r="CR12" s="12">
        <v>10</v>
      </c>
      <c r="CS12" s="12">
        <v>1</v>
      </c>
      <c r="CT12" s="12">
        <v>3</v>
      </c>
      <c r="CU12" s="12">
        <v>0</v>
      </c>
      <c r="CV12" s="12">
        <v>0</v>
      </c>
      <c r="CW12" s="12">
        <v>0</v>
      </c>
      <c r="CX12" s="12">
        <v>6</v>
      </c>
      <c r="CY12" s="12">
        <v>1</v>
      </c>
      <c r="CZ12" s="12">
        <v>1</v>
      </c>
      <c r="DA12" s="12">
        <v>0</v>
      </c>
      <c r="DB12" s="12">
        <v>1</v>
      </c>
      <c r="DC12" s="12">
        <v>1</v>
      </c>
      <c r="DD12" s="12">
        <v>2</v>
      </c>
      <c r="DE12" s="12">
        <v>2</v>
      </c>
      <c r="DF12" s="12">
        <v>6</v>
      </c>
      <c r="DG12" s="12">
        <v>8</v>
      </c>
      <c r="DH12" s="12">
        <v>0</v>
      </c>
      <c r="DI12" s="12">
        <v>0</v>
      </c>
      <c r="DJ12" s="12">
        <v>0</v>
      </c>
      <c r="DK12" s="12">
        <v>0</v>
      </c>
      <c r="DL12" s="12">
        <v>8</v>
      </c>
      <c r="DM12" s="12">
        <v>10</v>
      </c>
      <c r="DN12" s="12">
        <v>13</v>
      </c>
      <c r="DO12" s="12">
        <v>22</v>
      </c>
      <c r="DP12" s="12">
        <v>2</v>
      </c>
      <c r="DQ12" s="12">
        <v>7</v>
      </c>
      <c r="DR12" s="12">
        <v>0</v>
      </c>
      <c r="DS12" s="12">
        <v>0</v>
      </c>
      <c r="DT12" s="12">
        <v>8</v>
      </c>
      <c r="DU12" s="12">
        <v>24</v>
      </c>
      <c r="DV12" s="12">
        <v>0</v>
      </c>
      <c r="DW12" s="12">
        <v>1</v>
      </c>
      <c r="DX12" s="12">
        <v>82</v>
      </c>
      <c r="DY12" s="12">
        <v>18</v>
      </c>
      <c r="DZ12" s="12">
        <v>39</v>
      </c>
      <c r="EA12" s="16">
        <v>0.46153846153846156</v>
      </c>
      <c r="EB12" s="12">
        <v>11</v>
      </c>
      <c r="EC12" s="12">
        <v>19</v>
      </c>
      <c r="ED12" s="16">
        <v>0.57894736842105265</v>
      </c>
      <c r="EE12" s="12">
        <v>29</v>
      </c>
      <c r="EF12" s="12">
        <v>58</v>
      </c>
      <c r="EG12" s="16">
        <v>0.5</v>
      </c>
      <c r="EH12" s="12">
        <v>13</v>
      </c>
      <c r="EI12" s="12">
        <v>18</v>
      </c>
      <c r="EJ12" s="16">
        <v>0.72222222222222221</v>
      </c>
      <c r="EK12" s="12">
        <v>8</v>
      </c>
      <c r="EL12" s="12">
        <v>22</v>
      </c>
      <c r="EM12" s="12">
        <v>30</v>
      </c>
      <c r="EN12" s="12">
        <v>11</v>
      </c>
      <c r="EO12" s="12">
        <v>19</v>
      </c>
      <c r="EP12" s="12">
        <v>17</v>
      </c>
      <c r="EQ12" s="12">
        <v>6</v>
      </c>
      <c r="ER12" s="12">
        <v>15</v>
      </c>
      <c r="ES12" s="12">
        <v>3</v>
      </c>
      <c r="ET12" s="12">
        <v>1</v>
      </c>
      <c r="EU12" s="12">
        <v>80</v>
      </c>
      <c r="EV12" s="12">
        <v>3</v>
      </c>
      <c r="EW12" s="12">
        <v>71</v>
      </c>
      <c r="EX12" s="12">
        <v>79</v>
      </c>
      <c r="EY12" s="12">
        <v>5</v>
      </c>
      <c r="EZ12" s="12">
        <v>5</v>
      </c>
      <c r="FA12" s="12">
        <v>6</v>
      </c>
      <c r="FB12" s="12">
        <v>0</v>
      </c>
      <c r="FC12" s="12">
        <v>0</v>
      </c>
      <c r="FD12" s="12">
        <v>3</v>
      </c>
      <c r="FE12" s="12">
        <v>0</v>
      </c>
      <c r="FF12" s="12">
        <v>3</v>
      </c>
      <c r="FG12" s="12">
        <v>1</v>
      </c>
      <c r="FH12" s="12">
        <v>0</v>
      </c>
      <c r="FI12" s="12">
        <v>0</v>
      </c>
      <c r="FJ12" s="12">
        <v>0</v>
      </c>
      <c r="FK12" s="12">
        <v>0</v>
      </c>
      <c r="FL12" s="12">
        <v>1</v>
      </c>
      <c r="FM12" s="12">
        <v>0</v>
      </c>
      <c r="FN12" s="12">
        <v>1</v>
      </c>
      <c r="FO12" s="12">
        <v>0</v>
      </c>
      <c r="FP12" s="12">
        <v>2</v>
      </c>
      <c r="FQ12" s="12">
        <v>0</v>
      </c>
      <c r="FR12" s="12">
        <v>8</v>
      </c>
      <c r="FS12" s="12">
        <v>0</v>
      </c>
      <c r="FT12" s="12">
        <v>2</v>
      </c>
      <c r="FU12" s="12">
        <v>1</v>
      </c>
      <c r="FV12" s="12">
        <v>0</v>
      </c>
      <c r="FW12" s="12">
        <v>0</v>
      </c>
      <c r="FX12" s="12">
        <v>9</v>
      </c>
      <c r="FY12" s="12">
        <v>0</v>
      </c>
      <c r="FZ12" s="12">
        <v>1</v>
      </c>
      <c r="GA12" s="12">
        <v>0</v>
      </c>
      <c r="GB12" s="12">
        <v>1</v>
      </c>
      <c r="GC12" s="12">
        <v>1</v>
      </c>
      <c r="GD12" s="12">
        <v>4</v>
      </c>
      <c r="GE12" s="12">
        <v>4</v>
      </c>
      <c r="GF12" s="12">
        <v>6</v>
      </c>
      <c r="GG12" s="12">
        <v>10</v>
      </c>
      <c r="GH12" s="12">
        <v>1</v>
      </c>
      <c r="GI12" s="12">
        <v>2</v>
      </c>
      <c r="GJ12" s="12">
        <v>3</v>
      </c>
      <c r="GK12" s="12">
        <v>0</v>
      </c>
      <c r="GL12" s="12">
        <v>5</v>
      </c>
      <c r="GM12" s="12">
        <v>10</v>
      </c>
      <c r="GN12" s="12">
        <v>11</v>
      </c>
      <c r="GO12" s="12">
        <v>24</v>
      </c>
      <c r="GP12" s="12">
        <v>2</v>
      </c>
      <c r="GQ12" s="12">
        <v>5</v>
      </c>
      <c r="GR12" s="12">
        <v>0</v>
      </c>
      <c r="GS12" s="12">
        <v>0</v>
      </c>
      <c r="GT12" s="12">
        <v>11</v>
      </c>
      <c r="GU12" s="12">
        <v>19</v>
      </c>
      <c r="GV12" s="12">
        <v>0</v>
      </c>
      <c r="GW12" s="12">
        <v>0</v>
      </c>
      <c r="GY12" s="16"/>
    </row>
    <row r="13" spans="2:207" ht="15" customHeight="1" x14ac:dyDescent="0.2">
      <c r="B13" s="12">
        <v>1</v>
      </c>
      <c r="C13" s="12" t="s">
        <v>286</v>
      </c>
      <c r="D13" s="12" t="s">
        <v>285</v>
      </c>
      <c r="E13" s="14" t="s">
        <v>288</v>
      </c>
      <c r="F13" s="14" t="s">
        <v>287</v>
      </c>
      <c r="G13" s="15">
        <v>45204</v>
      </c>
      <c r="H13" s="15" t="s">
        <v>271</v>
      </c>
      <c r="I13" s="12" t="s">
        <v>269</v>
      </c>
      <c r="J13" s="12" t="s">
        <v>270</v>
      </c>
      <c r="K13" s="12">
        <v>200</v>
      </c>
      <c r="L13" s="12">
        <v>82</v>
      </c>
      <c r="M13" s="12">
        <v>18</v>
      </c>
      <c r="N13" s="12">
        <v>39</v>
      </c>
      <c r="O13" s="16">
        <v>0.46153846153846156</v>
      </c>
      <c r="P13" s="12">
        <v>11</v>
      </c>
      <c r="Q13" s="12">
        <v>19</v>
      </c>
      <c r="R13" s="16">
        <v>0.57894736842105265</v>
      </c>
      <c r="S13" s="12">
        <v>29</v>
      </c>
      <c r="T13" s="12">
        <v>58</v>
      </c>
      <c r="U13" s="16">
        <v>0.5</v>
      </c>
      <c r="V13" s="12">
        <v>13</v>
      </c>
      <c r="W13" s="12">
        <v>18</v>
      </c>
      <c r="X13" s="16">
        <v>0.72222222222222221</v>
      </c>
      <c r="Y13" s="12">
        <v>8</v>
      </c>
      <c r="Z13" s="12">
        <v>22</v>
      </c>
      <c r="AA13" s="12">
        <v>30</v>
      </c>
      <c r="AB13" s="12">
        <v>11</v>
      </c>
      <c r="AC13" s="12">
        <v>15</v>
      </c>
      <c r="AD13" s="12">
        <v>6</v>
      </c>
      <c r="AE13" s="12">
        <v>3</v>
      </c>
      <c r="AF13" s="12">
        <v>1</v>
      </c>
      <c r="AG13" s="12">
        <v>19</v>
      </c>
      <c r="AH13" s="12">
        <v>17</v>
      </c>
      <c r="AI13" s="17">
        <v>80</v>
      </c>
      <c r="AJ13" s="12">
        <v>3</v>
      </c>
      <c r="AK13" s="12">
        <v>71</v>
      </c>
      <c r="AL13" s="12">
        <v>79</v>
      </c>
      <c r="AM13" s="19">
        <v>1.0379746835443038</v>
      </c>
      <c r="AN13" s="19">
        <v>0.96341463414634143</v>
      </c>
      <c r="AO13" s="18">
        <v>115.49295774647888</v>
      </c>
      <c r="AP13" s="18">
        <v>109.72222222222223</v>
      </c>
      <c r="AQ13" s="18">
        <v>5.7707355242566507</v>
      </c>
      <c r="AR13" s="53">
        <v>0.59482758620689657</v>
      </c>
      <c r="AS13" s="53">
        <v>0.640625</v>
      </c>
      <c r="AT13" s="16">
        <v>0.12658227848101267</v>
      </c>
      <c r="AU13" s="19">
        <v>1</v>
      </c>
      <c r="AV13" s="16">
        <v>0.30379746835443039</v>
      </c>
      <c r="AW13" s="19">
        <v>0.91666666666666663</v>
      </c>
      <c r="AX13" s="16">
        <v>6.3291139240506333E-2</v>
      </c>
      <c r="AY13" s="19">
        <v>0.8</v>
      </c>
      <c r="AZ13" s="16">
        <v>0</v>
      </c>
      <c r="BA13" s="19" t="s">
        <v>269</v>
      </c>
      <c r="BB13" s="16">
        <v>0.24050632911392406</v>
      </c>
      <c r="BC13" s="21">
        <v>1.736842105263158</v>
      </c>
      <c r="BD13" s="16">
        <v>7.5949367088607597E-2</v>
      </c>
      <c r="BE13" s="16">
        <v>0.189873417721519</v>
      </c>
      <c r="BF13" s="16">
        <v>0.3235294117647059</v>
      </c>
      <c r="BG13" s="16">
        <v>0.27777777777777779</v>
      </c>
      <c r="BH13" s="16">
        <v>0.54545454545454541</v>
      </c>
      <c r="BI13" s="16">
        <v>0</v>
      </c>
      <c r="BJ13" s="16">
        <v>0.13924050632911392</v>
      </c>
      <c r="BK13" s="21">
        <v>0.73333333333333328</v>
      </c>
      <c r="BL13" s="16">
        <v>0.26666666666666666</v>
      </c>
      <c r="BM13" s="16">
        <v>0.30434782608695654</v>
      </c>
      <c r="BN13" s="16">
        <v>0.125</v>
      </c>
      <c r="BO13" s="16">
        <v>0.5</v>
      </c>
      <c r="BP13" s="16">
        <v>0.6875</v>
      </c>
      <c r="BQ13" s="16">
        <v>0.8125</v>
      </c>
      <c r="BR13" s="16">
        <v>0.5625</v>
      </c>
      <c r="BS13" s="16">
        <v>0.5</v>
      </c>
      <c r="BT13" s="16">
        <v>0.4838709677419355</v>
      </c>
      <c r="BU13" s="16">
        <v>8.3333333333333329E-2</v>
      </c>
      <c r="BV13" s="16">
        <v>4.6875E-2</v>
      </c>
      <c r="BW13" s="54">
        <v>5</v>
      </c>
      <c r="BX13" s="54">
        <v>0.31578947368421051</v>
      </c>
      <c r="BY13" s="54">
        <v>0.58823529411764708</v>
      </c>
      <c r="BZ13" s="12">
        <v>5</v>
      </c>
      <c r="CA13" s="12">
        <v>6</v>
      </c>
      <c r="CB13" s="12">
        <v>0</v>
      </c>
      <c r="CC13" s="12">
        <v>0</v>
      </c>
      <c r="CD13" s="12">
        <v>3</v>
      </c>
      <c r="CE13" s="12">
        <v>0</v>
      </c>
      <c r="CF13" s="12">
        <v>3</v>
      </c>
      <c r="CG13" s="12">
        <v>1</v>
      </c>
      <c r="CH13" s="12">
        <v>0</v>
      </c>
      <c r="CI13" s="12">
        <v>0</v>
      </c>
      <c r="CJ13" s="12">
        <v>0</v>
      </c>
      <c r="CK13" s="12">
        <v>0</v>
      </c>
      <c r="CL13" s="12">
        <v>1</v>
      </c>
      <c r="CM13" s="12">
        <v>0</v>
      </c>
      <c r="CN13" s="12">
        <v>1</v>
      </c>
      <c r="CO13" s="12">
        <v>0</v>
      </c>
      <c r="CP13" s="12">
        <v>2</v>
      </c>
      <c r="CQ13" s="12">
        <v>0</v>
      </c>
      <c r="CR13" s="12">
        <v>8</v>
      </c>
      <c r="CS13" s="12">
        <v>0</v>
      </c>
      <c r="CT13" s="12">
        <v>2</v>
      </c>
      <c r="CU13" s="12">
        <v>1</v>
      </c>
      <c r="CV13" s="12">
        <v>0</v>
      </c>
      <c r="CW13" s="12">
        <v>0</v>
      </c>
      <c r="CX13" s="12">
        <v>9</v>
      </c>
      <c r="CY13" s="12">
        <v>0</v>
      </c>
      <c r="CZ13" s="12">
        <v>1</v>
      </c>
      <c r="DA13" s="12">
        <v>0</v>
      </c>
      <c r="DB13" s="12">
        <v>1</v>
      </c>
      <c r="DC13" s="12">
        <v>1</v>
      </c>
      <c r="DD13" s="12">
        <v>4</v>
      </c>
      <c r="DE13" s="12">
        <v>4</v>
      </c>
      <c r="DF13" s="12">
        <v>6</v>
      </c>
      <c r="DG13" s="12">
        <v>10</v>
      </c>
      <c r="DH13" s="12">
        <v>1</v>
      </c>
      <c r="DI13" s="12">
        <v>2</v>
      </c>
      <c r="DJ13" s="12">
        <v>3</v>
      </c>
      <c r="DK13" s="12">
        <v>0</v>
      </c>
      <c r="DL13" s="12">
        <v>5</v>
      </c>
      <c r="DM13" s="12">
        <v>10</v>
      </c>
      <c r="DN13" s="12">
        <v>11</v>
      </c>
      <c r="DO13" s="12">
        <v>24</v>
      </c>
      <c r="DP13" s="12">
        <v>2</v>
      </c>
      <c r="DQ13" s="12">
        <v>5</v>
      </c>
      <c r="DR13" s="12">
        <v>0</v>
      </c>
      <c r="DS13" s="12">
        <v>0</v>
      </c>
      <c r="DT13" s="12">
        <v>11</v>
      </c>
      <c r="DU13" s="12">
        <v>19</v>
      </c>
      <c r="DV13" s="12">
        <v>0</v>
      </c>
      <c r="DW13" s="12">
        <v>0</v>
      </c>
      <c r="DX13" s="12">
        <v>79</v>
      </c>
      <c r="DY13" s="12">
        <v>23</v>
      </c>
      <c r="DZ13" s="12">
        <v>39</v>
      </c>
      <c r="EA13" s="16">
        <v>0.58974358974358976</v>
      </c>
      <c r="EB13" s="12">
        <v>8</v>
      </c>
      <c r="EC13" s="12">
        <v>25</v>
      </c>
      <c r="ED13" s="16">
        <v>0.32</v>
      </c>
      <c r="EE13" s="12">
        <v>31</v>
      </c>
      <c r="EF13" s="12">
        <v>64</v>
      </c>
      <c r="EG13" s="16">
        <v>0.484375</v>
      </c>
      <c r="EH13" s="12">
        <v>9</v>
      </c>
      <c r="EI13" s="12">
        <v>11</v>
      </c>
      <c r="EJ13" s="16">
        <v>0.81818181818181823</v>
      </c>
      <c r="EK13" s="12">
        <v>10</v>
      </c>
      <c r="EL13" s="12">
        <v>22</v>
      </c>
      <c r="EM13" s="12">
        <v>32</v>
      </c>
      <c r="EN13" s="12">
        <v>21</v>
      </c>
      <c r="EO13" s="12">
        <v>18</v>
      </c>
      <c r="EP13" s="12">
        <v>19</v>
      </c>
      <c r="EQ13" s="12">
        <v>8</v>
      </c>
      <c r="ER13" s="12">
        <v>14</v>
      </c>
      <c r="ES13" s="12">
        <v>1</v>
      </c>
      <c r="ET13" s="12">
        <v>3</v>
      </c>
      <c r="EU13" s="12">
        <v>90</v>
      </c>
      <c r="EV13" s="12">
        <v>-3</v>
      </c>
      <c r="EW13" s="12">
        <v>72</v>
      </c>
      <c r="EX13" s="12">
        <v>82</v>
      </c>
      <c r="EY13" s="12">
        <v>6</v>
      </c>
      <c r="EZ13" s="12">
        <v>12</v>
      </c>
      <c r="FA13" s="12">
        <v>8</v>
      </c>
      <c r="FB13" s="12">
        <v>1</v>
      </c>
      <c r="FC13" s="12">
        <v>0</v>
      </c>
      <c r="FD13" s="12">
        <v>0</v>
      </c>
      <c r="FE13" s="12">
        <v>0</v>
      </c>
      <c r="FF13" s="12">
        <v>1</v>
      </c>
      <c r="FG13" s="12">
        <v>0</v>
      </c>
      <c r="FH13" s="12">
        <v>2</v>
      </c>
      <c r="FI13" s="12">
        <v>0</v>
      </c>
      <c r="FJ13" s="12">
        <v>0</v>
      </c>
      <c r="FK13" s="12">
        <v>0</v>
      </c>
      <c r="FL13" s="12">
        <v>6</v>
      </c>
      <c r="FM13" s="12">
        <v>1</v>
      </c>
      <c r="FN13" s="12">
        <v>1</v>
      </c>
      <c r="FO13" s="12">
        <v>0</v>
      </c>
      <c r="FP13" s="12">
        <v>2</v>
      </c>
      <c r="FQ13" s="12">
        <v>0</v>
      </c>
      <c r="FR13" s="12">
        <v>10</v>
      </c>
      <c r="FS13" s="12">
        <v>1</v>
      </c>
      <c r="FT13" s="12">
        <v>3</v>
      </c>
      <c r="FU13" s="12">
        <v>0</v>
      </c>
      <c r="FV13" s="12">
        <v>0</v>
      </c>
      <c r="FW13" s="12">
        <v>0</v>
      </c>
      <c r="FX13" s="12">
        <v>6</v>
      </c>
      <c r="FY13" s="12">
        <v>1</v>
      </c>
      <c r="FZ13" s="12">
        <v>1</v>
      </c>
      <c r="GA13" s="12">
        <v>0</v>
      </c>
      <c r="GB13" s="12">
        <v>1</v>
      </c>
      <c r="GC13" s="12">
        <v>1</v>
      </c>
      <c r="GD13" s="12">
        <v>2</v>
      </c>
      <c r="GE13" s="12">
        <v>2</v>
      </c>
      <c r="GF13" s="12">
        <v>6</v>
      </c>
      <c r="GG13" s="12">
        <v>8</v>
      </c>
      <c r="GH13" s="12">
        <v>0</v>
      </c>
      <c r="GI13" s="12">
        <v>0</v>
      </c>
      <c r="GJ13" s="12">
        <v>0</v>
      </c>
      <c r="GK13" s="12">
        <v>0</v>
      </c>
      <c r="GL13" s="12">
        <v>8</v>
      </c>
      <c r="GM13" s="12">
        <v>10</v>
      </c>
      <c r="GN13" s="12">
        <v>13</v>
      </c>
      <c r="GO13" s="12">
        <v>22</v>
      </c>
      <c r="GP13" s="12">
        <v>2</v>
      </c>
      <c r="GQ13" s="12">
        <v>7</v>
      </c>
      <c r="GR13" s="12">
        <v>0</v>
      </c>
      <c r="GS13" s="12">
        <v>0</v>
      </c>
      <c r="GT13" s="12">
        <v>8</v>
      </c>
      <c r="GU13" s="12">
        <v>24</v>
      </c>
      <c r="GV13" s="12">
        <v>0</v>
      </c>
      <c r="GW13" s="12">
        <v>1</v>
      </c>
      <c r="GY13" s="16"/>
    </row>
    <row r="14" spans="2:207" ht="15" customHeight="1" x14ac:dyDescent="0.2">
      <c r="B14" s="12">
        <v>1</v>
      </c>
      <c r="C14" s="12" t="s">
        <v>289</v>
      </c>
      <c r="D14" s="12" t="s">
        <v>290</v>
      </c>
      <c r="E14" s="14" t="s">
        <v>291</v>
      </c>
      <c r="F14" s="14" t="s">
        <v>292</v>
      </c>
      <c r="G14" s="15">
        <v>45205</v>
      </c>
      <c r="H14" s="15" t="s">
        <v>271</v>
      </c>
      <c r="I14" s="12" t="s">
        <v>269</v>
      </c>
      <c r="J14" s="12" t="s">
        <v>272</v>
      </c>
      <c r="K14" s="12">
        <v>225</v>
      </c>
      <c r="L14" s="12">
        <v>82</v>
      </c>
      <c r="M14" s="12">
        <v>18</v>
      </c>
      <c r="N14" s="12">
        <v>36</v>
      </c>
      <c r="O14" s="16">
        <v>0.5</v>
      </c>
      <c r="P14" s="12">
        <v>11</v>
      </c>
      <c r="Q14" s="12">
        <v>26</v>
      </c>
      <c r="R14" s="16">
        <v>0.42307692307692307</v>
      </c>
      <c r="S14" s="12">
        <v>29</v>
      </c>
      <c r="T14" s="12">
        <v>62</v>
      </c>
      <c r="U14" s="16">
        <v>0.46774193548387094</v>
      </c>
      <c r="V14" s="12">
        <v>13</v>
      </c>
      <c r="W14" s="12">
        <v>18</v>
      </c>
      <c r="X14" s="16">
        <v>0.72222222222222221</v>
      </c>
      <c r="Y14" s="12">
        <v>10</v>
      </c>
      <c r="Z14" s="12">
        <v>31</v>
      </c>
      <c r="AA14" s="12">
        <v>41</v>
      </c>
      <c r="AB14" s="12">
        <v>18</v>
      </c>
      <c r="AC14" s="12">
        <v>19</v>
      </c>
      <c r="AD14" s="12">
        <v>9</v>
      </c>
      <c r="AE14" s="12">
        <v>3</v>
      </c>
      <c r="AF14" s="12">
        <v>1</v>
      </c>
      <c r="AG14" s="12">
        <v>16</v>
      </c>
      <c r="AH14" s="12">
        <v>22</v>
      </c>
      <c r="AI14" s="17">
        <v>101</v>
      </c>
      <c r="AJ14" s="12">
        <v>-3</v>
      </c>
      <c r="AK14" s="12">
        <v>79</v>
      </c>
      <c r="AL14" s="12">
        <v>89</v>
      </c>
      <c r="AM14" s="19">
        <v>0.9213483146067416</v>
      </c>
      <c r="AN14" s="19">
        <v>1.0365853658536586</v>
      </c>
      <c r="AO14" s="18">
        <v>103.79746835443038</v>
      </c>
      <c r="AP14" s="18">
        <v>108.97435897435896</v>
      </c>
      <c r="AQ14" s="18">
        <v>-5.1768906199285851</v>
      </c>
      <c r="AR14" s="53">
        <v>0.55645161290322576</v>
      </c>
      <c r="AS14" s="53">
        <v>0.58571428571428574</v>
      </c>
      <c r="AT14" s="16">
        <v>0.1797752808988764</v>
      </c>
      <c r="AU14" s="19">
        <v>1.5</v>
      </c>
      <c r="AV14" s="16">
        <v>0.15730337078651685</v>
      </c>
      <c r="AW14" s="19">
        <v>0.5714285714285714</v>
      </c>
      <c r="AX14" s="16">
        <v>6.741573033707865E-2</v>
      </c>
      <c r="AY14" s="19">
        <v>0.66666666666666663</v>
      </c>
      <c r="AZ14" s="16">
        <v>6.741573033707865E-2</v>
      </c>
      <c r="BA14" s="19">
        <v>2</v>
      </c>
      <c r="BB14" s="16">
        <v>0.2247191011235955</v>
      </c>
      <c r="BC14" s="21">
        <v>1.05</v>
      </c>
      <c r="BD14" s="16">
        <v>8.98876404494382E-2</v>
      </c>
      <c r="BE14" s="16">
        <v>0.21348314606741572</v>
      </c>
      <c r="BF14" s="16">
        <v>0.48648648648648651</v>
      </c>
      <c r="BG14" s="16">
        <v>0.44444444444444442</v>
      </c>
      <c r="BH14" s="16">
        <v>0.90909090909090906</v>
      </c>
      <c r="BI14" s="16">
        <v>0</v>
      </c>
      <c r="BJ14" s="16">
        <v>0.20224719101123595</v>
      </c>
      <c r="BK14" s="21">
        <v>0.94736842105263153</v>
      </c>
      <c r="BL14" s="16">
        <v>0.30303030303030304</v>
      </c>
      <c r="BM14" s="16">
        <v>0.21052631578947367</v>
      </c>
      <c r="BN14" s="16">
        <v>0.38461538461538464</v>
      </c>
      <c r="BO14" s="16">
        <v>0.33333333333333331</v>
      </c>
      <c r="BP14" s="16">
        <v>0.88571428571428568</v>
      </c>
      <c r="BQ14" s="16">
        <v>0.82352941176470584</v>
      </c>
      <c r="BR14" s="16">
        <v>0.94444444444444442</v>
      </c>
      <c r="BS14" s="16">
        <v>1</v>
      </c>
      <c r="BT14" s="16">
        <v>0.6029411764705882</v>
      </c>
      <c r="BU14" s="16">
        <v>0.11538461538461539</v>
      </c>
      <c r="BV14" s="16">
        <v>4.6153846153846156E-2</v>
      </c>
      <c r="BW14" s="54">
        <v>5</v>
      </c>
      <c r="BX14" s="54">
        <v>0.375</v>
      </c>
      <c r="BY14" s="54">
        <v>0.36363636363636365</v>
      </c>
      <c r="BZ14" s="12">
        <v>8</v>
      </c>
      <c r="CA14" s="12">
        <v>10</v>
      </c>
      <c r="CB14" s="12">
        <v>0</v>
      </c>
      <c r="CC14" s="12">
        <v>0</v>
      </c>
      <c r="CD14" s="12">
        <v>1</v>
      </c>
      <c r="CE14" s="12">
        <v>0</v>
      </c>
      <c r="CF14" s="12">
        <v>3</v>
      </c>
      <c r="CG14" s="12">
        <v>0</v>
      </c>
      <c r="CH14" s="12">
        <v>0</v>
      </c>
      <c r="CI14" s="12">
        <v>0</v>
      </c>
      <c r="CJ14" s="12">
        <v>1</v>
      </c>
      <c r="CK14" s="12">
        <v>1</v>
      </c>
      <c r="CL14" s="12">
        <v>3</v>
      </c>
      <c r="CM14" s="12">
        <v>0</v>
      </c>
      <c r="CN14" s="12">
        <v>1</v>
      </c>
      <c r="CO14" s="12">
        <v>0</v>
      </c>
      <c r="CP14" s="12">
        <v>2</v>
      </c>
      <c r="CQ14" s="12">
        <v>0</v>
      </c>
      <c r="CR14" s="12">
        <v>5</v>
      </c>
      <c r="CS14" s="12">
        <v>1</v>
      </c>
      <c r="CT14" s="12">
        <v>6</v>
      </c>
      <c r="CU14" s="12">
        <v>0</v>
      </c>
      <c r="CV14" s="12">
        <v>3</v>
      </c>
      <c r="CW14" s="12">
        <v>0</v>
      </c>
      <c r="CX14" s="12">
        <v>13</v>
      </c>
      <c r="CY14" s="12">
        <v>1</v>
      </c>
      <c r="CZ14" s="12">
        <v>2</v>
      </c>
      <c r="DA14" s="12">
        <v>0</v>
      </c>
      <c r="DB14" s="12">
        <v>1</v>
      </c>
      <c r="DC14" s="12">
        <v>1</v>
      </c>
      <c r="DD14" s="12">
        <v>0</v>
      </c>
      <c r="DE14" s="12">
        <v>0</v>
      </c>
      <c r="DF14" s="12">
        <v>9</v>
      </c>
      <c r="DG14" s="12">
        <v>14</v>
      </c>
      <c r="DH14" s="12">
        <v>0</v>
      </c>
      <c r="DI14" s="12">
        <v>3</v>
      </c>
      <c r="DJ14" s="12">
        <v>3</v>
      </c>
      <c r="DK14" s="12">
        <v>0</v>
      </c>
      <c r="DL14" s="12">
        <v>12</v>
      </c>
      <c r="DM14" s="12">
        <v>16</v>
      </c>
      <c r="DN14" s="12">
        <v>4</v>
      </c>
      <c r="DO14" s="12">
        <v>14</v>
      </c>
      <c r="DP14" s="12">
        <v>2</v>
      </c>
      <c r="DQ14" s="12">
        <v>6</v>
      </c>
      <c r="DR14" s="12">
        <v>4</v>
      </c>
      <c r="DS14" s="12">
        <v>6</v>
      </c>
      <c r="DT14" s="12">
        <v>7</v>
      </c>
      <c r="DU14" s="12">
        <v>20</v>
      </c>
      <c r="DV14" s="12">
        <v>0</v>
      </c>
      <c r="DW14" s="12">
        <v>0</v>
      </c>
      <c r="DX14" s="12">
        <v>85</v>
      </c>
      <c r="DY14" s="12">
        <v>18</v>
      </c>
      <c r="DZ14" s="12">
        <v>34</v>
      </c>
      <c r="EA14" s="16">
        <v>0.52941176470588236</v>
      </c>
      <c r="EB14" s="12">
        <v>14</v>
      </c>
      <c r="EC14" s="12">
        <v>31</v>
      </c>
      <c r="ED14" s="16">
        <v>0.45161290322580644</v>
      </c>
      <c r="EE14" s="12">
        <v>32</v>
      </c>
      <c r="EF14" s="12">
        <v>65</v>
      </c>
      <c r="EG14" s="16">
        <v>0.49230769230769234</v>
      </c>
      <c r="EH14" s="12">
        <v>7</v>
      </c>
      <c r="EI14" s="12">
        <v>11</v>
      </c>
      <c r="EJ14" s="16">
        <v>0.63636363636363635</v>
      </c>
      <c r="EK14" s="12">
        <v>4</v>
      </c>
      <c r="EL14" s="12">
        <v>23</v>
      </c>
      <c r="EM14" s="12">
        <v>27</v>
      </c>
      <c r="EN14" s="12">
        <v>15</v>
      </c>
      <c r="EO14" s="12">
        <v>23</v>
      </c>
      <c r="EP14" s="12">
        <v>16</v>
      </c>
      <c r="EQ14" s="12">
        <v>5</v>
      </c>
      <c r="ER14" s="12">
        <v>12</v>
      </c>
      <c r="ES14" s="12">
        <v>1</v>
      </c>
      <c r="ET14" s="12">
        <v>3</v>
      </c>
      <c r="EU14" s="12">
        <v>74</v>
      </c>
      <c r="EV14" s="12">
        <v>3</v>
      </c>
      <c r="EW14" s="12">
        <v>78</v>
      </c>
      <c r="EX14" s="12">
        <v>82</v>
      </c>
      <c r="EY14" s="12">
        <v>6</v>
      </c>
      <c r="EZ14" s="12">
        <v>7</v>
      </c>
      <c r="FA14" s="12">
        <v>8</v>
      </c>
      <c r="FB14" s="12">
        <v>0</v>
      </c>
      <c r="FC14" s="12">
        <v>0</v>
      </c>
      <c r="FD14" s="12">
        <v>2</v>
      </c>
      <c r="FE14" s="12">
        <v>0</v>
      </c>
      <c r="FF14" s="12">
        <v>1</v>
      </c>
      <c r="FG14" s="12">
        <v>0</v>
      </c>
      <c r="FH14" s="12">
        <v>0</v>
      </c>
      <c r="FI14" s="12">
        <v>0</v>
      </c>
      <c r="FJ14" s="12">
        <v>0</v>
      </c>
      <c r="FK14" s="12">
        <v>0</v>
      </c>
      <c r="FL14" s="12">
        <v>1</v>
      </c>
      <c r="FM14" s="12">
        <v>0</v>
      </c>
      <c r="FN14" s="12">
        <v>0</v>
      </c>
      <c r="FO14" s="12">
        <v>0</v>
      </c>
      <c r="FP14" s="12">
        <v>3</v>
      </c>
      <c r="FQ14" s="12">
        <v>0</v>
      </c>
      <c r="FR14" s="12">
        <v>7</v>
      </c>
      <c r="FS14" s="12">
        <v>0</v>
      </c>
      <c r="FT14" s="12">
        <v>4</v>
      </c>
      <c r="FU14" s="12">
        <v>1</v>
      </c>
      <c r="FV14" s="12">
        <v>1</v>
      </c>
      <c r="FW14" s="12">
        <v>0</v>
      </c>
      <c r="FX14" s="12">
        <v>5</v>
      </c>
      <c r="FY14" s="12">
        <v>2</v>
      </c>
      <c r="FZ14" s="12">
        <v>2</v>
      </c>
      <c r="GA14" s="12">
        <v>0</v>
      </c>
      <c r="GB14" s="12">
        <v>0</v>
      </c>
      <c r="GC14" s="12">
        <v>0</v>
      </c>
      <c r="GD14" s="12">
        <v>1</v>
      </c>
      <c r="GE14" s="12">
        <v>1</v>
      </c>
      <c r="GF14" s="12">
        <v>6</v>
      </c>
      <c r="GG14" s="12">
        <v>10</v>
      </c>
      <c r="GH14" s="12">
        <v>0</v>
      </c>
      <c r="GI14" s="12">
        <v>0</v>
      </c>
      <c r="GJ14" s="12">
        <v>0</v>
      </c>
      <c r="GK14" s="12">
        <v>0</v>
      </c>
      <c r="GL14" s="12">
        <v>10</v>
      </c>
      <c r="GM14" s="12">
        <v>14</v>
      </c>
      <c r="GN14" s="12">
        <v>3</v>
      </c>
      <c r="GO14" s="12">
        <v>9</v>
      </c>
      <c r="GP14" s="12">
        <v>5</v>
      </c>
      <c r="GQ14" s="12">
        <v>11</v>
      </c>
      <c r="GR14" s="12">
        <v>2</v>
      </c>
      <c r="GS14" s="12">
        <v>5</v>
      </c>
      <c r="GT14" s="12">
        <v>12</v>
      </c>
      <c r="GU14" s="12">
        <v>26</v>
      </c>
      <c r="GV14" s="12">
        <v>0</v>
      </c>
      <c r="GW14" s="12">
        <v>0</v>
      </c>
      <c r="GY14" s="16"/>
    </row>
    <row r="15" spans="2:207" ht="15" customHeight="1" x14ac:dyDescent="0.2">
      <c r="B15" s="12">
        <v>1</v>
      </c>
      <c r="C15" s="12" t="s">
        <v>290</v>
      </c>
      <c r="D15" s="12" t="s">
        <v>289</v>
      </c>
      <c r="E15" s="14" t="s">
        <v>292</v>
      </c>
      <c r="F15" s="14" t="s">
        <v>291</v>
      </c>
      <c r="G15" s="15">
        <v>45205</v>
      </c>
      <c r="H15" s="15" t="s">
        <v>268</v>
      </c>
      <c r="I15" s="12" t="s">
        <v>269</v>
      </c>
      <c r="J15" s="12" t="s">
        <v>270</v>
      </c>
      <c r="K15" s="12">
        <v>225</v>
      </c>
      <c r="L15" s="12">
        <v>85</v>
      </c>
      <c r="M15" s="12">
        <v>18</v>
      </c>
      <c r="N15" s="12">
        <v>34</v>
      </c>
      <c r="O15" s="16">
        <v>0.52941176470588236</v>
      </c>
      <c r="P15" s="12">
        <v>14</v>
      </c>
      <c r="Q15" s="12">
        <v>31</v>
      </c>
      <c r="R15" s="16">
        <v>0.45161290322580644</v>
      </c>
      <c r="S15" s="12">
        <v>32</v>
      </c>
      <c r="T15" s="12">
        <v>65</v>
      </c>
      <c r="U15" s="16">
        <v>0.49230769230769234</v>
      </c>
      <c r="V15" s="12">
        <v>7</v>
      </c>
      <c r="W15" s="12">
        <v>11</v>
      </c>
      <c r="X15" s="16">
        <v>0.63636363636363635</v>
      </c>
      <c r="Y15" s="12">
        <v>4</v>
      </c>
      <c r="Z15" s="12">
        <v>23</v>
      </c>
      <c r="AA15" s="12">
        <v>27</v>
      </c>
      <c r="AB15" s="12">
        <v>15</v>
      </c>
      <c r="AC15" s="12">
        <v>12</v>
      </c>
      <c r="AD15" s="12">
        <v>5</v>
      </c>
      <c r="AE15" s="12">
        <v>1</v>
      </c>
      <c r="AF15" s="12">
        <v>3</v>
      </c>
      <c r="AG15" s="12">
        <v>23</v>
      </c>
      <c r="AH15" s="12">
        <v>16</v>
      </c>
      <c r="AI15" s="17">
        <v>74</v>
      </c>
      <c r="AJ15" s="12">
        <v>3</v>
      </c>
      <c r="AK15" s="12">
        <v>78</v>
      </c>
      <c r="AL15" s="12">
        <v>82</v>
      </c>
      <c r="AM15" s="19">
        <v>1.0365853658536586</v>
      </c>
      <c r="AN15" s="19">
        <v>0.9213483146067416</v>
      </c>
      <c r="AO15" s="18">
        <v>108.97435897435896</v>
      </c>
      <c r="AP15" s="18">
        <v>103.79746835443038</v>
      </c>
      <c r="AQ15" s="18">
        <v>5.1768906199285851</v>
      </c>
      <c r="AR15" s="53">
        <v>0.6</v>
      </c>
      <c r="AS15" s="53">
        <v>0.6071428571428571</v>
      </c>
      <c r="AT15" s="16">
        <v>0.17073170731707318</v>
      </c>
      <c r="AU15" s="19">
        <v>1.4285714285714286</v>
      </c>
      <c r="AV15" s="16">
        <v>0.10975609756097561</v>
      </c>
      <c r="AW15" s="19">
        <v>0.66666666666666663</v>
      </c>
      <c r="AX15" s="16">
        <v>0.13414634146341464</v>
      </c>
      <c r="AY15" s="19">
        <v>0.90909090909090906</v>
      </c>
      <c r="AZ15" s="16">
        <v>6.097560975609756E-2</v>
      </c>
      <c r="BA15" s="19">
        <v>1.2</v>
      </c>
      <c r="BB15" s="16">
        <v>0.31707317073170732</v>
      </c>
      <c r="BC15" s="21">
        <v>1.3846153846153846</v>
      </c>
      <c r="BD15" s="16">
        <v>6.097560975609756E-2</v>
      </c>
      <c r="BE15" s="16">
        <v>0.14634146341463414</v>
      </c>
      <c r="BF15" s="16">
        <v>0.40540540540540543</v>
      </c>
      <c r="BG15" s="16">
        <v>0.3888888888888889</v>
      </c>
      <c r="BH15" s="16">
        <v>0.5714285714285714</v>
      </c>
      <c r="BI15" s="16">
        <v>0</v>
      </c>
      <c r="BJ15" s="16">
        <v>0.18292682926829268</v>
      </c>
      <c r="BK15" s="21">
        <v>1.25</v>
      </c>
      <c r="BL15" s="16">
        <v>0.11428571428571428</v>
      </c>
      <c r="BM15" s="16">
        <v>0.17647058823529413</v>
      </c>
      <c r="BN15" s="16">
        <v>5.5555555555555552E-2</v>
      </c>
      <c r="BO15" s="16">
        <v>0</v>
      </c>
      <c r="BP15" s="16">
        <v>0.69696969696969702</v>
      </c>
      <c r="BQ15" s="16">
        <v>0.78947368421052633</v>
      </c>
      <c r="BR15" s="16">
        <v>0.61538461538461542</v>
      </c>
      <c r="BS15" s="16">
        <v>0.66666666666666663</v>
      </c>
      <c r="BT15" s="16">
        <v>0.39705882352941174</v>
      </c>
      <c r="BU15" s="16">
        <v>6.3291139240506333E-2</v>
      </c>
      <c r="BV15" s="16">
        <v>1.6129032258064516E-2</v>
      </c>
      <c r="BW15" s="54">
        <v>6</v>
      </c>
      <c r="BX15" s="54">
        <v>0.34782608695652173</v>
      </c>
      <c r="BY15" s="54">
        <v>0.375</v>
      </c>
      <c r="BZ15" s="12">
        <v>7</v>
      </c>
      <c r="CA15" s="12">
        <v>8</v>
      </c>
      <c r="CB15" s="12">
        <v>0</v>
      </c>
      <c r="CC15" s="12">
        <v>0</v>
      </c>
      <c r="CD15" s="12">
        <v>2</v>
      </c>
      <c r="CE15" s="12">
        <v>0</v>
      </c>
      <c r="CF15" s="12">
        <v>1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1</v>
      </c>
      <c r="CM15" s="12">
        <v>0</v>
      </c>
      <c r="CN15" s="12">
        <v>0</v>
      </c>
      <c r="CO15" s="12">
        <v>0</v>
      </c>
      <c r="CP15" s="12">
        <v>3</v>
      </c>
      <c r="CQ15" s="12">
        <v>0</v>
      </c>
      <c r="CR15" s="12">
        <v>7</v>
      </c>
      <c r="CS15" s="12">
        <v>0</v>
      </c>
      <c r="CT15" s="12">
        <v>4</v>
      </c>
      <c r="CU15" s="12">
        <v>1</v>
      </c>
      <c r="CV15" s="12">
        <v>1</v>
      </c>
      <c r="CW15" s="12">
        <v>0</v>
      </c>
      <c r="CX15" s="12">
        <v>5</v>
      </c>
      <c r="CY15" s="12">
        <v>2</v>
      </c>
      <c r="CZ15" s="12">
        <v>2</v>
      </c>
      <c r="DA15" s="12">
        <v>0</v>
      </c>
      <c r="DB15" s="12">
        <v>0</v>
      </c>
      <c r="DC15" s="12">
        <v>0</v>
      </c>
      <c r="DD15" s="12">
        <v>1</v>
      </c>
      <c r="DE15" s="12">
        <v>1</v>
      </c>
      <c r="DF15" s="12">
        <v>6</v>
      </c>
      <c r="DG15" s="12">
        <v>10</v>
      </c>
      <c r="DH15" s="12">
        <v>0</v>
      </c>
      <c r="DI15" s="12">
        <v>0</v>
      </c>
      <c r="DJ15" s="12">
        <v>0</v>
      </c>
      <c r="DK15" s="12">
        <v>0</v>
      </c>
      <c r="DL15" s="12">
        <v>10</v>
      </c>
      <c r="DM15" s="12">
        <v>14</v>
      </c>
      <c r="DN15" s="12">
        <v>3</v>
      </c>
      <c r="DO15" s="12">
        <v>9</v>
      </c>
      <c r="DP15" s="12">
        <v>5</v>
      </c>
      <c r="DQ15" s="12">
        <v>11</v>
      </c>
      <c r="DR15" s="12">
        <v>2</v>
      </c>
      <c r="DS15" s="12">
        <v>5</v>
      </c>
      <c r="DT15" s="12">
        <v>12</v>
      </c>
      <c r="DU15" s="12">
        <v>26</v>
      </c>
      <c r="DV15" s="12">
        <v>0</v>
      </c>
      <c r="DW15" s="12">
        <v>0</v>
      </c>
      <c r="DX15" s="12">
        <v>82</v>
      </c>
      <c r="DY15" s="12">
        <v>18</v>
      </c>
      <c r="DZ15" s="12">
        <v>36</v>
      </c>
      <c r="EA15" s="16">
        <v>0.5</v>
      </c>
      <c r="EB15" s="12">
        <v>11</v>
      </c>
      <c r="EC15" s="12">
        <v>26</v>
      </c>
      <c r="ED15" s="16">
        <v>0.42307692307692307</v>
      </c>
      <c r="EE15" s="12">
        <v>29</v>
      </c>
      <c r="EF15" s="12">
        <v>62</v>
      </c>
      <c r="EG15" s="16">
        <v>0.46774193548387094</v>
      </c>
      <c r="EH15" s="12">
        <v>13</v>
      </c>
      <c r="EI15" s="12">
        <v>18</v>
      </c>
      <c r="EJ15" s="16">
        <v>0.72222222222222221</v>
      </c>
      <c r="EK15" s="12">
        <v>10</v>
      </c>
      <c r="EL15" s="12">
        <v>31</v>
      </c>
      <c r="EM15" s="12">
        <v>41</v>
      </c>
      <c r="EN15" s="12">
        <v>18</v>
      </c>
      <c r="EO15" s="12">
        <v>16</v>
      </c>
      <c r="EP15" s="12">
        <v>22</v>
      </c>
      <c r="EQ15" s="12">
        <v>9</v>
      </c>
      <c r="ER15" s="12">
        <v>19</v>
      </c>
      <c r="ES15" s="12">
        <v>3</v>
      </c>
      <c r="ET15" s="12">
        <v>1</v>
      </c>
      <c r="EU15" s="12">
        <v>101</v>
      </c>
      <c r="EV15" s="12">
        <v>-3</v>
      </c>
      <c r="EW15" s="12">
        <v>79</v>
      </c>
      <c r="EX15" s="12">
        <v>89</v>
      </c>
      <c r="EY15" s="12">
        <v>5</v>
      </c>
      <c r="EZ15" s="12">
        <v>8</v>
      </c>
      <c r="FA15" s="12">
        <v>10</v>
      </c>
      <c r="FB15" s="12">
        <v>0</v>
      </c>
      <c r="FC15" s="12">
        <v>0</v>
      </c>
      <c r="FD15" s="12">
        <v>1</v>
      </c>
      <c r="FE15" s="12">
        <v>0</v>
      </c>
      <c r="FF15" s="12">
        <v>3</v>
      </c>
      <c r="FG15" s="12">
        <v>0</v>
      </c>
      <c r="FH15" s="12">
        <v>0</v>
      </c>
      <c r="FI15" s="12">
        <v>0</v>
      </c>
      <c r="FJ15" s="12">
        <v>1</v>
      </c>
      <c r="FK15" s="12">
        <v>1</v>
      </c>
      <c r="FL15" s="12">
        <v>3</v>
      </c>
      <c r="FM15" s="12">
        <v>0</v>
      </c>
      <c r="FN15" s="12">
        <v>1</v>
      </c>
      <c r="FO15" s="12">
        <v>0</v>
      </c>
      <c r="FP15" s="12">
        <v>2</v>
      </c>
      <c r="FQ15" s="12">
        <v>0</v>
      </c>
      <c r="FR15" s="12">
        <v>5</v>
      </c>
      <c r="FS15" s="12">
        <v>1</v>
      </c>
      <c r="FT15" s="12">
        <v>6</v>
      </c>
      <c r="FU15" s="12">
        <v>0</v>
      </c>
      <c r="FV15" s="12">
        <v>3</v>
      </c>
      <c r="FW15" s="12">
        <v>0</v>
      </c>
      <c r="FX15" s="12">
        <v>13</v>
      </c>
      <c r="FY15" s="12">
        <v>1</v>
      </c>
      <c r="FZ15" s="12">
        <v>2</v>
      </c>
      <c r="GA15" s="12">
        <v>0</v>
      </c>
      <c r="GB15" s="12">
        <v>1</v>
      </c>
      <c r="GC15" s="12">
        <v>1</v>
      </c>
      <c r="GD15" s="12">
        <v>0</v>
      </c>
      <c r="GE15" s="12">
        <v>0</v>
      </c>
      <c r="GF15" s="12">
        <v>9</v>
      </c>
      <c r="GG15" s="12">
        <v>14</v>
      </c>
      <c r="GH15" s="12">
        <v>0</v>
      </c>
      <c r="GI15" s="12">
        <v>3</v>
      </c>
      <c r="GJ15" s="12">
        <v>3</v>
      </c>
      <c r="GK15" s="12">
        <v>0</v>
      </c>
      <c r="GL15" s="12">
        <v>12</v>
      </c>
      <c r="GM15" s="12">
        <v>16</v>
      </c>
      <c r="GN15" s="12">
        <v>4</v>
      </c>
      <c r="GO15" s="12">
        <v>14</v>
      </c>
      <c r="GP15" s="12">
        <v>2</v>
      </c>
      <c r="GQ15" s="12">
        <v>6</v>
      </c>
      <c r="GR15" s="12">
        <v>4</v>
      </c>
      <c r="GS15" s="12">
        <v>6</v>
      </c>
      <c r="GT15" s="12">
        <v>7</v>
      </c>
      <c r="GU15" s="12">
        <v>20</v>
      </c>
      <c r="GV15" s="12">
        <v>0</v>
      </c>
      <c r="GW15" s="12">
        <v>0</v>
      </c>
      <c r="GY15" s="16"/>
    </row>
    <row r="16" spans="2:207" ht="15" customHeight="1" x14ac:dyDescent="0.2">
      <c r="B16" s="12">
        <v>1</v>
      </c>
      <c r="C16" s="12" t="s">
        <v>293</v>
      </c>
      <c r="D16" s="12" t="s">
        <v>294</v>
      </c>
      <c r="E16" s="14" t="s">
        <v>295</v>
      </c>
      <c r="F16" s="14" t="s">
        <v>296</v>
      </c>
      <c r="G16" s="15">
        <v>45205</v>
      </c>
      <c r="H16" s="15" t="s">
        <v>271</v>
      </c>
      <c r="I16" s="12" t="s">
        <v>269</v>
      </c>
      <c r="J16" s="12" t="s">
        <v>270</v>
      </c>
      <c r="K16" s="12">
        <v>225</v>
      </c>
      <c r="L16" s="12">
        <v>88</v>
      </c>
      <c r="M16" s="12">
        <v>19</v>
      </c>
      <c r="N16" s="12">
        <v>35</v>
      </c>
      <c r="O16" s="16">
        <v>0.54285714285714282</v>
      </c>
      <c r="P16" s="12">
        <v>15</v>
      </c>
      <c r="Q16" s="12">
        <v>32</v>
      </c>
      <c r="R16" s="16">
        <v>0.46875</v>
      </c>
      <c r="S16" s="12">
        <v>34</v>
      </c>
      <c r="T16" s="12">
        <v>67</v>
      </c>
      <c r="U16" s="16">
        <v>0.5074626865671642</v>
      </c>
      <c r="V16" s="12">
        <v>5</v>
      </c>
      <c r="W16" s="12">
        <v>6</v>
      </c>
      <c r="X16" s="16">
        <v>0.83333333333333337</v>
      </c>
      <c r="Y16" s="12">
        <v>8</v>
      </c>
      <c r="Z16" s="12">
        <v>22</v>
      </c>
      <c r="AA16" s="12">
        <v>30</v>
      </c>
      <c r="AB16" s="12">
        <v>20</v>
      </c>
      <c r="AC16" s="12">
        <v>14</v>
      </c>
      <c r="AD16" s="12">
        <v>13</v>
      </c>
      <c r="AE16" s="12">
        <v>2</v>
      </c>
      <c r="AF16" s="12">
        <v>2</v>
      </c>
      <c r="AG16" s="12">
        <v>20</v>
      </c>
      <c r="AH16" s="12">
        <v>17</v>
      </c>
      <c r="AI16" s="17">
        <v>100</v>
      </c>
      <c r="AJ16" s="12">
        <v>10</v>
      </c>
      <c r="AK16" s="12">
        <v>75</v>
      </c>
      <c r="AL16" s="12">
        <v>83</v>
      </c>
      <c r="AM16" s="19">
        <v>1.0602409638554218</v>
      </c>
      <c r="AN16" s="19">
        <v>0.9285714285714286</v>
      </c>
      <c r="AO16" s="18">
        <v>117.33333333333333</v>
      </c>
      <c r="AP16" s="18">
        <v>102.63157894736842</v>
      </c>
      <c r="AQ16" s="18">
        <v>14.701754385964904</v>
      </c>
      <c r="AR16" s="53">
        <v>0.61940298507462688</v>
      </c>
      <c r="AS16" s="53">
        <v>0.6376811594202898</v>
      </c>
      <c r="AT16" s="16">
        <v>0.2289156626506024</v>
      </c>
      <c r="AU16" s="19">
        <v>1.263157894736842</v>
      </c>
      <c r="AV16" s="16">
        <v>0.14457831325301204</v>
      </c>
      <c r="AW16" s="19">
        <v>0.83333333333333337</v>
      </c>
      <c r="AX16" s="16">
        <v>4.8192771084337352E-2</v>
      </c>
      <c r="AY16" s="19">
        <v>1</v>
      </c>
      <c r="AZ16" s="16">
        <v>4.8192771084337352E-2</v>
      </c>
      <c r="BA16" s="19">
        <v>0.75</v>
      </c>
      <c r="BB16" s="16">
        <v>0.33734939759036142</v>
      </c>
      <c r="BC16" s="21">
        <v>1.5</v>
      </c>
      <c r="BD16" s="16">
        <v>2.4096385542168676E-2</v>
      </c>
      <c r="BE16" s="16">
        <v>0.16867469879518071</v>
      </c>
      <c r="BF16" s="16">
        <v>0.55555555555555558</v>
      </c>
      <c r="BG16" s="16">
        <v>0.63157894736842102</v>
      </c>
      <c r="BH16" s="16">
        <v>0.53333333333333333</v>
      </c>
      <c r="BI16" s="16">
        <v>0</v>
      </c>
      <c r="BJ16" s="16">
        <v>0.24096385542168675</v>
      </c>
      <c r="BK16" s="21">
        <v>1.4285714285714286</v>
      </c>
      <c r="BL16" s="16">
        <v>0.24242424242424243</v>
      </c>
      <c r="BM16" s="16">
        <v>0.3125</v>
      </c>
      <c r="BN16" s="16">
        <v>0.22222222222222221</v>
      </c>
      <c r="BO16" s="16">
        <v>0</v>
      </c>
      <c r="BP16" s="16">
        <v>0.75862068965517238</v>
      </c>
      <c r="BQ16" s="16">
        <v>0.66666666666666663</v>
      </c>
      <c r="BR16" s="16">
        <v>0.8666666666666667</v>
      </c>
      <c r="BS16" s="16">
        <v>1</v>
      </c>
      <c r="BT16" s="16">
        <v>0.4838709677419355</v>
      </c>
      <c r="BU16" s="16">
        <v>0.17105263157894737</v>
      </c>
      <c r="BV16" s="16">
        <v>3.5714285714285712E-2</v>
      </c>
      <c r="BW16" s="54">
        <v>7</v>
      </c>
      <c r="BX16" s="54">
        <v>0.5</v>
      </c>
      <c r="BY16" s="54">
        <v>0.23529411764705882</v>
      </c>
      <c r="BZ16" s="12">
        <v>12</v>
      </c>
      <c r="CA16" s="12">
        <v>8</v>
      </c>
      <c r="CB16" s="12">
        <v>0</v>
      </c>
      <c r="CC16" s="12">
        <v>0</v>
      </c>
      <c r="CD16" s="12">
        <v>3</v>
      </c>
      <c r="CE16" s="12">
        <v>1</v>
      </c>
      <c r="CF16" s="12">
        <v>1</v>
      </c>
      <c r="CG16" s="12">
        <v>0</v>
      </c>
      <c r="CH16" s="12">
        <v>0</v>
      </c>
      <c r="CI16" s="12">
        <v>0</v>
      </c>
      <c r="CJ16" s="12">
        <v>2</v>
      </c>
      <c r="CK16" s="12">
        <v>0</v>
      </c>
      <c r="CL16" s="12">
        <v>2</v>
      </c>
      <c r="CM16" s="12">
        <v>0</v>
      </c>
      <c r="CN16" s="12">
        <v>0</v>
      </c>
      <c r="CO16" s="12">
        <v>0</v>
      </c>
      <c r="CP16" s="12">
        <v>3</v>
      </c>
      <c r="CQ16" s="12">
        <v>0</v>
      </c>
      <c r="CR16" s="12">
        <v>4</v>
      </c>
      <c r="CS16" s="12">
        <v>0</v>
      </c>
      <c r="CT16" s="12">
        <v>3</v>
      </c>
      <c r="CU16" s="12">
        <v>0</v>
      </c>
      <c r="CV16" s="12">
        <v>0</v>
      </c>
      <c r="CW16" s="12">
        <v>0</v>
      </c>
      <c r="CX16" s="12">
        <v>11</v>
      </c>
      <c r="CY16" s="12">
        <v>2</v>
      </c>
      <c r="CZ16" s="12">
        <v>1</v>
      </c>
      <c r="DA16" s="12">
        <v>1</v>
      </c>
      <c r="DB16" s="12">
        <v>0</v>
      </c>
      <c r="DC16" s="12">
        <v>0</v>
      </c>
      <c r="DD16" s="12">
        <v>2</v>
      </c>
      <c r="DE16" s="12">
        <v>2</v>
      </c>
      <c r="DF16" s="12">
        <v>3</v>
      </c>
      <c r="DG16" s="12">
        <v>4</v>
      </c>
      <c r="DH16" s="12">
        <v>0</v>
      </c>
      <c r="DI16" s="12">
        <v>0</v>
      </c>
      <c r="DJ16" s="12">
        <v>0</v>
      </c>
      <c r="DK16" s="12">
        <v>0</v>
      </c>
      <c r="DL16" s="12">
        <v>12</v>
      </c>
      <c r="DM16" s="12">
        <v>19</v>
      </c>
      <c r="DN16" s="12">
        <v>5</v>
      </c>
      <c r="DO16" s="12">
        <v>12</v>
      </c>
      <c r="DP16" s="12">
        <v>2</v>
      </c>
      <c r="DQ16" s="12">
        <v>4</v>
      </c>
      <c r="DR16" s="12">
        <v>1</v>
      </c>
      <c r="DS16" s="12">
        <v>4</v>
      </c>
      <c r="DT16" s="12">
        <v>14</v>
      </c>
      <c r="DU16" s="12">
        <v>28</v>
      </c>
      <c r="DV16" s="12">
        <v>0</v>
      </c>
      <c r="DW16" s="12">
        <v>0</v>
      </c>
      <c r="DX16" s="12">
        <v>78</v>
      </c>
      <c r="DY16" s="12">
        <v>16</v>
      </c>
      <c r="DZ16" s="12">
        <v>32</v>
      </c>
      <c r="EA16" s="16">
        <v>0.5</v>
      </c>
      <c r="EB16" s="12">
        <v>10</v>
      </c>
      <c r="EC16" s="12">
        <v>24</v>
      </c>
      <c r="ED16" s="16">
        <v>0.41666666666666669</v>
      </c>
      <c r="EE16" s="12">
        <v>26</v>
      </c>
      <c r="EF16" s="12">
        <v>56</v>
      </c>
      <c r="EG16" s="16">
        <v>0.4642857142857143</v>
      </c>
      <c r="EH16" s="12">
        <v>16</v>
      </c>
      <c r="EI16" s="12">
        <v>19</v>
      </c>
      <c r="EJ16" s="16">
        <v>0.84210526315789469</v>
      </c>
      <c r="EK16" s="12">
        <v>7</v>
      </c>
      <c r="EL16" s="12">
        <v>25</v>
      </c>
      <c r="EM16" s="12">
        <v>32</v>
      </c>
      <c r="EN16" s="12">
        <v>15</v>
      </c>
      <c r="EO16" s="12">
        <v>18</v>
      </c>
      <c r="EP16" s="12">
        <v>19</v>
      </c>
      <c r="EQ16" s="12">
        <v>8</v>
      </c>
      <c r="ER16" s="12">
        <v>19</v>
      </c>
      <c r="ES16" s="12">
        <v>2</v>
      </c>
      <c r="ET16" s="12">
        <v>2</v>
      </c>
      <c r="EU16" s="12">
        <v>82</v>
      </c>
      <c r="EV16" s="12">
        <v>-10</v>
      </c>
      <c r="EW16" s="12">
        <v>76</v>
      </c>
      <c r="EX16" s="12">
        <v>84</v>
      </c>
      <c r="EY16" s="12">
        <v>8</v>
      </c>
      <c r="EZ16" s="12">
        <v>6</v>
      </c>
      <c r="FA16" s="12">
        <v>7</v>
      </c>
      <c r="FB16" s="12">
        <v>2</v>
      </c>
      <c r="FC16" s="12">
        <v>4</v>
      </c>
      <c r="FD16" s="12">
        <v>1</v>
      </c>
      <c r="FE16" s="12">
        <v>0</v>
      </c>
      <c r="FF16" s="12">
        <v>2</v>
      </c>
      <c r="FG16" s="12">
        <v>0</v>
      </c>
      <c r="FH16" s="12">
        <v>2</v>
      </c>
      <c r="FI16" s="12">
        <v>0</v>
      </c>
      <c r="FJ16" s="12">
        <v>0</v>
      </c>
      <c r="FK16" s="12">
        <v>0</v>
      </c>
      <c r="FL16" s="12">
        <v>2</v>
      </c>
      <c r="FM16" s="12">
        <v>0</v>
      </c>
      <c r="FN16" s="12">
        <v>0</v>
      </c>
      <c r="FO16" s="12">
        <v>0</v>
      </c>
      <c r="FP16" s="12">
        <v>4</v>
      </c>
      <c r="FQ16" s="12">
        <v>0</v>
      </c>
      <c r="FR16" s="12">
        <v>6</v>
      </c>
      <c r="FS16" s="12">
        <v>0</v>
      </c>
      <c r="FT16" s="12">
        <v>1</v>
      </c>
      <c r="FU16" s="12">
        <v>0</v>
      </c>
      <c r="FV16" s="12">
        <v>1</v>
      </c>
      <c r="FW16" s="12">
        <v>0</v>
      </c>
      <c r="FX16" s="12">
        <v>12</v>
      </c>
      <c r="FY16" s="12">
        <v>1</v>
      </c>
      <c r="FZ16" s="12">
        <v>1</v>
      </c>
      <c r="GA16" s="12">
        <v>0</v>
      </c>
      <c r="GB16" s="12">
        <v>0</v>
      </c>
      <c r="GC16" s="12">
        <v>0</v>
      </c>
      <c r="GD16" s="12">
        <v>1</v>
      </c>
      <c r="GE16" s="12">
        <v>1</v>
      </c>
      <c r="GF16" s="12">
        <v>15</v>
      </c>
      <c r="GG16" s="12">
        <v>18</v>
      </c>
      <c r="GH16" s="12">
        <v>0</v>
      </c>
      <c r="GI16" s="12">
        <v>0</v>
      </c>
      <c r="GJ16" s="12">
        <v>0</v>
      </c>
      <c r="GK16" s="12">
        <v>0</v>
      </c>
      <c r="GL16" s="12">
        <v>10</v>
      </c>
      <c r="GM16" s="12">
        <v>14</v>
      </c>
      <c r="GN16" s="12">
        <v>3</v>
      </c>
      <c r="GO16" s="12">
        <v>9</v>
      </c>
      <c r="GP16" s="12">
        <v>3</v>
      </c>
      <c r="GQ16" s="12">
        <v>9</v>
      </c>
      <c r="GR16" s="12">
        <v>1</v>
      </c>
      <c r="GS16" s="12">
        <v>1</v>
      </c>
      <c r="GT16" s="12">
        <v>9</v>
      </c>
      <c r="GU16" s="12">
        <v>23</v>
      </c>
      <c r="GV16" s="12">
        <v>0</v>
      </c>
      <c r="GW16" s="12">
        <v>0</v>
      </c>
      <c r="GY16" s="16"/>
    </row>
    <row r="17" spans="2:207" ht="15" customHeight="1" x14ac:dyDescent="0.2">
      <c r="B17" s="12">
        <v>1</v>
      </c>
      <c r="C17" s="12" t="s">
        <v>294</v>
      </c>
      <c r="D17" s="12" t="s">
        <v>293</v>
      </c>
      <c r="E17" s="14" t="s">
        <v>296</v>
      </c>
      <c r="F17" s="14" t="s">
        <v>295</v>
      </c>
      <c r="G17" s="15">
        <v>45205</v>
      </c>
      <c r="H17" s="15" t="s">
        <v>268</v>
      </c>
      <c r="I17" s="12" t="s">
        <v>269</v>
      </c>
      <c r="J17" s="12" t="s">
        <v>272</v>
      </c>
      <c r="K17" s="12">
        <v>225</v>
      </c>
      <c r="L17" s="12">
        <v>78</v>
      </c>
      <c r="M17" s="12">
        <v>16</v>
      </c>
      <c r="N17" s="12">
        <v>32</v>
      </c>
      <c r="O17" s="16">
        <v>0.5</v>
      </c>
      <c r="P17" s="12">
        <v>10</v>
      </c>
      <c r="Q17" s="12">
        <v>24</v>
      </c>
      <c r="R17" s="16">
        <v>0.41666666666666669</v>
      </c>
      <c r="S17" s="12">
        <v>26</v>
      </c>
      <c r="T17" s="12">
        <v>56</v>
      </c>
      <c r="U17" s="16">
        <v>0.4642857142857143</v>
      </c>
      <c r="V17" s="12">
        <v>16</v>
      </c>
      <c r="W17" s="12">
        <v>19</v>
      </c>
      <c r="X17" s="16">
        <v>0.84210526315789469</v>
      </c>
      <c r="Y17" s="12">
        <v>7</v>
      </c>
      <c r="Z17" s="12">
        <v>25</v>
      </c>
      <c r="AA17" s="12">
        <v>32</v>
      </c>
      <c r="AB17" s="12">
        <v>15</v>
      </c>
      <c r="AC17" s="12">
        <v>19</v>
      </c>
      <c r="AD17" s="12">
        <v>8</v>
      </c>
      <c r="AE17" s="12">
        <v>2</v>
      </c>
      <c r="AF17" s="12">
        <v>2</v>
      </c>
      <c r="AG17" s="12">
        <v>17</v>
      </c>
      <c r="AH17" s="12">
        <v>19</v>
      </c>
      <c r="AI17" s="17">
        <v>83</v>
      </c>
      <c r="AJ17" s="12">
        <v>-10</v>
      </c>
      <c r="AK17" s="12">
        <v>76</v>
      </c>
      <c r="AL17" s="12">
        <v>84</v>
      </c>
      <c r="AM17" s="19">
        <v>0.9285714285714286</v>
      </c>
      <c r="AN17" s="19">
        <v>1.0602409638554218</v>
      </c>
      <c r="AO17" s="18">
        <v>102.63157894736842</v>
      </c>
      <c r="AP17" s="18">
        <v>117.33333333333333</v>
      </c>
      <c r="AQ17" s="18">
        <v>-14.701754385964904</v>
      </c>
      <c r="AR17" s="53">
        <v>0.5535714285714286</v>
      </c>
      <c r="AS17" s="53">
        <v>0.6</v>
      </c>
      <c r="AT17" s="16">
        <v>0.16666666666666666</v>
      </c>
      <c r="AU17" s="19">
        <v>1.4285714285714286</v>
      </c>
      <c r="AV17" s="16">
        <v>0.10714285714285714</v>
      </c>
      <c r="AW17" s="19">
        <v>0.66666666666666663</v>
      </c>
      <c r="AX17" s="16">
        <v>0.10714285714285714</v>
      </c>
      <c r="AY17" s="19">
        <v>0.66666666666666663</v>
      </c>
      <c r="AZ17" s="16">
        <v>1.1904761904761904E-2</v>
      </c>
      <c r="BA17" s="19">
        <v>3</v>
      </c>
      <c r="BB17" s="16">
        <v>0.27380952380952384</v>
      </c>
      <c r="BC17" s="21">
        <v>1.173913043478261</v>
      </c>
      <c r="BD17" s="16">
        <v>0.10714285714285714</v>
      </c>
      <c r="BE17" s="16">
        <v>0.2289156626506024</v>
      </c>
      <c r="BF17" s="16">
        <v>0.42857142857142855</v>
      </c>
      <c r="BG17" s="16">
        <v>0.375</v>
      </c>
      <c r="BH17" s="16">
        <v>0.7</v>
      </c>
      <c r="BI17" s="16">
        <v>0.22222222222222221</v>
      </c>
      <c r="BJ17" s="16">
        <v>0.18072289156626506</v>
      </c>
      <c r="BK17" s="21">
        <v>0.78947368421052633</v>
      </c>
      <c r="BL17" s="16">
        <v>0.2413793103448276</v>
      </c>
      <c r="BM17" s="16">
        <v>0.33333333333333331</v>
      </c>
      <c r="BN17" s="16">
        <v>0.13333333333333333</v>
      </c>
      <c r="BO17" s="16">
        <v>0</v>
      </c>
      <c r="BP17" s="16">
        <v>0.75757575757575757</v>
      </c>
      <c r="BQ17" s="16">
        <v>0.6875</v>
      </c>
      <c r="BR17" s="16">
        <v>0.77777777777777779</v>
      </c>
      <c r="BS17" s="16">
        <v>1</v>
      </c>
      <c r="BT17" s="16">
        <v>0.5161290322580645</v>
      </c>
      <c r="BU17" s="16">
        <v>0.10666666666666667</v>
      </c>
      <c r="BV17" s="16">
        <v>2.9850746268656716E-2</v>
      </c>
      <c r="BW17" s="54">
        <v>8</v>
      </c>
      <c r="BX17" s="54">
        <v>0.23529411764705882</v>
      </c>
      <c r="BY17" s="54">
        <v>0.52631578947368418</v>
      </c>
      <c r="BZ17" s="12">
        <v>6</v>
      </c>
      <c r="CA17" s="12">
        <v>7</v>
      </c>
      <c r="CB17" s="12">
        <v>2</v>
      </c>
      <c r="CC17" s="12">
        <v>4</v>
      </c>
      <c r="CD17" s="12">
        <v>1</v>
      </c>
      <c r="CE17" s="12">
        <v>0</v>
      </c>
      <c r="CF17" s="12">
        <v>2</v>
      </c>
      <c r="CG17" s="12">
        <v>0</v>
      </c>
      <c r="CH17" s="12">
        <v>2</v>
      </c>
      <c r="CI17" s="12">
        <v>0</v>
      </c>
      <c r="CJ17" s="12">
        <v>0</v>
      </c>
      <c r="CK17" s="12">
        <v>0</v>
      </c>
      <c r="CL17" s="12">
        <v>2</v>
      </c>
      <c r="CM17" s="12">
        <v>0</v>
      </c>
      <c r="CN17" s="12">
        <v>0</v>
      </c>
      <c r="CO17" s="12">
        <v>0</v>
      </c>
      <c r="CP17" s="12">
        <v>4</v>
      </c>
      <c r="CQ17" s="12">
        <v>0</v>
      </c>
      <c r="CR17" s="12">
        <v>6</v>
      </c>
      <c r="CS17" s="12">
        <v>0</v>
      </c>
      <c r="CT17" s="12">
        <v>1</v>
      </c>
      <c r="CU17" s="12">
        <v>0</v>
      </c>
      <c r="CV17" s="12">
        <v>1</v>
      </c>
      <c r="CW17" s="12">
        <v>0</v>
      </c>
      <c r="CX17" s="12">
        <v>12</v>
      </c>
      <c r="CY17" s="12">
        <v>1</v>
      </c>
      <c r="CZ17" s="12">
        <v>1</v>
      </c>
      <c r="DA17" s="12">
        <v>0</v>
      </c>
      <c r="DB17" s="12">
        <v>0</v>
      </c>
      <c r="DC17" s="12">
        <v>0</v>
      </c>
      <c r="DD17" s="12">
        <v>1</v>
      </c>
      <c r="DE17" s="12">
        <v>1</v>
      </c>
      <c r="DF17" s="12">
        <v>15</v>
      </c>
      <c r="DG17" s="12">
        <v>18</v>
      </c>
      <c r="DH17" s="12">
        <v>0</v>
      </c>
      <c r="DI17" s="12">
        <v>0</v>
      </c>
      <c r="DJ17" s="12">
        <v>0</v>
      </c>
      <c r="DK17" s="12">
        <v>0</v>
      </c>
      <c r="DL17" s="12">
        <v>10</v>
      </c>
      <c r="DM17" s="12">
        <v>14</v>
      </c>
      <c r="DN17" s="12">
        <v>3</v>
      </c>
      <c r="DO17" s="12">
        <v>9</v>
      </c>
      <c r="DP17" s="12">
        <v>3</v>
      </c>
      <c r="DQ17" s="12">
        <v>9</v>
      </c>
      <c r="DR17" s="12">
        <v>1</v>
      </c>
      <c r="DS17" s="12">
        <v>1</v>
      </c>
      <c r="DT17" s="12">
        <v>9</v>
      </c>
      <c r="DU17" s="12">
        <v>23</v>
      </c>
      <c r="DV17" s="12">
        <v>0</v>
      </c>
      <c r="DW17" s="12">
        <v>0</v>
      </c>
      <c r="DX17" s="12">
        <v>88</v>
      </c>
      <c r="DY17" s="12">
        <v>19</v>
      </c>
      <c r="DZ17" s="12">
        <v>35</v>
      </c>
      <c r="EA17" s="16">
        <v>0.54285714285714282</v>
      </c>
      <c r="EB17" s="12">
        <v>15</v>
      </c>
      <c r="EC17" s="12">
        <v>32</v>
      </c>
      <c r="ED17" s="16">
        <v>0.46875</v>
      </c>
      <c r="EE17" s="12">
        <v>34</v>
      </c>
      <c r="EF17" s="12">
        <v>67</v>
      </c>
      <c r="EG17" s="16">
        <v>0.5074626865671642</v>
      </c>
      <c r="EH17" s="12">
        <v>5</v>
      </c>
      <c r="EI17" s="12">
        <v>6</v>
      </c>
      <c r="EJ17" s="16">
        <v>0.83333333333333337</v>
      </c>
      <c r="EK17" s="12">
        <v>8</v>
      </c>
      <c r="EL17" s="12">
        <v>22</v>
      </c>
      <c r="EM17" s="12">
        <v>30</v>
      </c>
      <c r="EN17" s="12">
        <v>20</v>
      </c>
      <c r="EO17" s="12">
        <v>20</v>
      </c>
      <c r="EP17" s="12">
        <v>17</v>
      </c>
      <c r="EQ17" s="12">
        <v>13</v>
      </c>
      <c r="ER17" s="12">
        <v>14</v>
      </c>
      <c r="ES17" s="12">
        <v>2</v>
      </c>
      <c r="ET17" s="12">
        <v>2</v>
      </c>
      <c r="EU17" s="12">
        <v>100</v>
      </c>
      <c r="EV17" s="12">
        <v>10</v>
      </c>
      <c r="EW17" s="12">
        <v>75</v>
      </c>
      <c r="EX17" s="12">
        <v>83</v>
      </c>
      <c r="EY17" s="12">
        <v>7</v>
      </c>
      <c r="EZ17" s="12">
        <v>12</v>
      </c>
      <c r="FA17" s="12">
        <v>8</v>
      </c>
      <c r="FB17" s="12">
        <v>0</v>
      </c>
      <c r="FC17" s="12">
        <v>0</v>
      </c>
      <c r="FD17" s="12">
        <v>3</v>
      </c>
      <c r="FE17" s="12">
        <v>1</v>
      </c>
      <c r="FF17" s="12">
        <v>1</v>
      </c>
      <c r="FG17" s="12">
        <v>0</v>
      </c>
      <c r="FH17" s="12">
        <v>0</v>
      </c>
      <c r="FI17" s="12">
        <v>0</v>
      </c>
      <c r="FJ17" s="12">
        <v>2</v>
      </c>
      <c r="FK17" s="12">
        <v>0</v>
      </c>
      <c r="FL17" s="12">
        <v>2</v>
      </c>
      <c r="FM17" s="12">
        <v>0</v>
      </c>
      <c r="FN17" s="12">
        <v>0</v>
      </c>
      <c r="FO17" s="12">
        <v>0</v>
      </c>
      <c r="FP17" s="12">
        <v>3</v>
      </c>
      <c r="FQ17" s="12">
        <v>0</v>
      </c>
      <c r="FR17" s="12">
        <v>4</v>
      </c>
      <c r="FS17" s="12">
        <v>0</v>
      </c>
      <c r="FT17" s="12">
        <v>3</v>
      </c>
      <c r="FU17" s="12">
        <v>0</v>
      </c>
      <c r="FV17" s="12">
        <v>0</v>
      </c>
      <c r="FW17" s="12">
        <v>0</v>
      </c>
      <c r="FX17" s="12">
        <v>11</v>
      </c>
      <c r="FY17" s="12">
        <v>2</v>
      </c>
      <c r="FZ17" s="12">
        <v>1</v>
      </c>
      <c r="GA17" s="12">
        <v>1</v>
      </c>
      <c r="GB17" s="12">
        <v>0</v>
      </c>
      <c r="GC17" s="12">
        <v>0</v>
      </c>
      <c r="GD17" s="12">
        <v>2</v>
      </c>
      <c r="GE17" s="12">
        <v>2</v>
      </c>
      <c r="GF17" s="12">
        <v>3</v>
      </c>
      <c r="GG17" s="12">
        <v>4</v>
      </c>
      <c r="GH17" s="12">
        <v>0</v>
      </c>
      <c r="GI17" s="12">
        <v>0</v>
      </c>
      <c r="GJ17" s="12">
        <v>0</v>
      </c>
      <c r="GK17" s="12">
        <v>0</v>
      </c>
      <c r="GL17" s="12">
        <v>12</v>
      </c>
      <c r="GM17" s="12">
        <v>19</v>
      </c>
      <c r="GN17" s="12">
        <v>5</v>
      </c>
      <c r="GO17" s="12">
        <v>12</v>
      </c>
      <c r="GP17" s="12">
        <v>2</v>
      </c>
      <c r="GQ17" s="12">
        <v>4</v>
      </c>
      <c r="GR17" s="12">
        <v>1</v>
      </c>
      <c r="GS17" s="12">
        <v>4</v>
      </c>
      <c r="GT17" s="12">
        <v>14</v>
      </c>
      <c r="GU17" s="12">
        <v>28</v>
      </c>
      <c r="GV17" s="12">
        <v>0</v>
      </c>
      <c r="GW17" s="12">
        <v>0</v>
      </c>
      <c r="GY17" s="16"/>
    </row>
    <row r="18" spans="2:207" ht="15" customHeight="1" x14ac:dyDescent="0.2">
      <c r="B18" s="12">
        <v>1</v>
      </c>
      <c r="C18" s="12" t="s">
        <v>297</v>
      </c>
      <c r="D18" s="12" t="s">
        <v>298</v>
      </c>
      <c r="E18" s="14" t="s">
        <v>299</v>
      </c>
      <c r="F18" s="14" t="s">
        <v>300</v>
      </c>
      <c r="G18" s="15">
        <v>45205</v>
      </c>
      <c r="H18" s="15" t="s">
        <v>268</v>
      </c>
      <c r="I18" s="12" t="s">
        <v>269</v>
      </c>
      <c r="J18" s="12" t="s">
        <v>272</v>
      </c>
      <c r="K18" s="12">
        <v>200</v>
      </c>
      <c r="L18" s="12">
        <v>77</v>
      </c>
      <c r="M18" s="12">
        <v>24</v>
      </c>
      <c r="N18" s="12">
        <v>51</v>
      </c>
      <c r="O18" s="16">
        <v>0.47058823529411764</v>
      </c>
      <c r="P18" s="12">
        <v>5</v>
      </c>
      <c r="Q18" s="12">
        <v>27</v>
      </c>
      <c r="R18" s="16">
        <v>0.18518518518518517</v>
      </c>
      <c r="S18" s="12">
        <v>29</v>
      </c>
      <c r="T18" s="12">
        <v>78</v>
      </c>
      <c r="U18" s="16">
        <v>0.37179487179487181</v>
      </c>
      <c r="V18" s="12">
        <v>14</v>
      </c>
      <c r="W18" s="12">
        <v>16</v>
      </c>
      <c r="X18" s="16">
        <v>0.875</v>
      </c>
      <c r="Y18" s="12">
        <v>21</v>
      </c>
      <c r="Z18" s="12">
        <v>32</v>
      </c>
      <c r="AA18" s="12">
        <v>53</v>
      </c>
      <c r="AB18" s="12">
        <v>18</v>
      </c>
      <c r="AC18" s="12">
        <v>13</v>
      </c>
      <c r="AD18" s="12">
        <v>4</v>
      </c>
      <c r="AE18" s="12">
        <v>3</v>
      </c>
      <c r="AF18" s="12">
        <v>4</v>
      </c>
      <c r="AG18" s="12">
        <v>15</v>
      </c>
      <c r="AH18" s="12">
        <v>22</v>
      </c>
      <c r="AI18" s="17">
        <v>94</v>
      </c>
      <c r="AJ18" s="12">
        <v>-2</v>
      </c>
      <c r="AK18" s="12">
        <v>76</v>
      </c>
      <c r="AL18" s="12">
        <v>97</v>
      </c>
      <c r="AM18" s="19">
        <v>0.79381443298969068</v>
      </c>
      <c r="AN18" s="19">
        <v>0.96341463414634143</v>
      </c>
      <c r="AO18" s="18">
        <v>101.31578947368421</v>
      </c>
      <c r="AP18" s="18">
        <v>106.75675675675676</v>
      </c>
      <c r="AQ18" s="18">
        <v>-5.4409672830725526</v>
      </c>
      <c r="AR18" s="53">
        <v>0.40384615384615385</v>
      </c>
      <c r="AS18" s="53">
        <v>0.45833333333333331</v>
      </c>
      <c r="AT18" s="16">
        <v>0.12371134020618557</v>
      </c>
      <c r="AU18" s="19">
        <v>1.8333333333333333</v>
      </c>
      <c r="AV18" s="16">
        <v>0.29896907216494845</v>
      </c>
      <c r="AW18" s="19">
        <v>0.75862068965517238</v>
      </c>
      <c r="AX18" s="16">
        <v>0.10309278350515463</v>
      </c>
      <c r="AY18" s="19">
        <v>0.4</v>
      </c>
      <c r="AZ18" s="16">
        <v>0</v>
      </c>
      <c r="BA18" s="19" t="s">
        <v>269</v>
      </c>
      <c r="BB18" s="16">
        <v>0.27835051546391754</v>
      </c>
      <c r="BC18" s="21">
        <v>0.55555555555555558</v>
      </c>
      <c r="BD18" s="16">
        <v>6.1855670103092786E-2</v>
      </c>
      <c r="BE18" s="16">
        <v>0.13402061855670103</v>
      </c>
      <c r="BF18" s="16">
        <v>0.51428571428571423</v>
      </c>
      <c r="BG18" s="16">
        <v>0.5</v>
      </c>
      <c r="BH18" s="16">
        <v>1</v>
      </c>
      <c r="BI18" s="16">
        <v>0.16666666666666666</v>
      </c>
      <c r="BJ18" s="16">
        <v>0.18556701030927836</v>
      </c>
      <c r="BK18" s="21">
        <v>1.3846153846153846</v>
      </c>
      <c r="BL18" s="16">
        <v>0.42857142857142855</v>
      </c>
      <c r="BM18" s="16">
        <v>0.4</v>
      </c>
      <c r="BN18" s="16">
        <v>0.43478260869565216</v>
      </c>
      <c r="BO18" s="16">
        <v>1</v>
      </c>
      <c r="BP18" s="16">
        <v>0.8</v>
      </c>
      <c r="BQ18" s="16">
        <v>0.72222222222222221</v>
      </c>
      <c r="BR18" s="16">
        <v>0.79166666666666663</v>
      </c>
      <c r="BS18" s="16" t="s">
        <v>269</v>
      </c>
      <c r="BT18" s="16">
        <v>0.5955056179775281</v>
      </c>
      <c r="BU18" s="16">
        <v>5.4054054054054057E-2</v>
      </c>
      <c r="BV18" s="16">
        <v>4.4117647058823532E-2</v>
      </c>
      <c r="BW18" s="54">
        <v>8</v>
      </c>
      <c r="BX18" s="54">
        <v>0.4</v>
      </c>
      <c r="BY18" s="54">
        <v>0.40909090909090912</v>
      </c>
      <c r="BZ18" s="12">
        <v>12</v>
      </c>
      <c r="CA18" s="12">
        <v>5</v>
      </c>
      <c r="CB18" s="12">
        <v>1</v>
      </c>
      <c r="CC18" s="12">
        <v>2</v>
      </c>
      <c r="CD18" s="12">
        <v>1</v>
      </c>
      <c r="CE18" s="12">
        <v>0</v>
      </c>
      <c r="CF18" s="12">
        <v>8</v>
      </c>
      <c r="CG18" s="12">
        <v>2</v>
      </c>
      <c r="CH18" s="12">
        <v>1</v>
      </c>
      <c r="CI18" s="12">
        <v>0</v>
      </c>
      <c r="CJ18" s="12">
        <v>0</v>
      </c>
      <c r="CK18" s="12">
        <v>0</v>
      </c>
      <c r="CL18" s="12">
        <v>10</v>
      </c>
      <c r="CM18" s="12">
        <v>0</v>
      </c>
      <c r="CN18" s="12">
        <v>1</v>
      </c>
      <c r="CO18" s="12">
        <v>0</v>
      </c>
      <c r="CP18" s="12">
        <v>1</v>
      </c>
      <c r="CQ18" s="12">
        <v>0</v>
      </c>
      <c r="CR18" s="12">
        <v>8</v>
      </c>
      <c r="CS18" s="12">
        <v>0</v>
      </c>
      <c r="CT18" s="12">
        <v>4</v>
      </c>
      <c r="CU18" s="12">
        <v>0</v>
      </c>
      <c r="CV18" s="12">
        <v>0</v>
      </c>
      <c r="CW18" s="12">
        <v>0</v>
      </c>
      <c r="CX18" s="12">
        <v>19</v>
      </c>
      <c r="CY18" s="12">
        <v>0</v>
      </c>
      <c r="CZ18" s="12">
        <v>0</v>
      </c>
      <c r="DA18" s="12">
        <v>0</v>
      </c>
      <c r="DB18" s="12">
        <v>1</v>
      </c>
      <c r="DC18" s="12">
        <v>1</v>
      </c>
      <c r="DD18" s="12">
        <v>2</v>
      </c>
      <c r="DE18" s="12">
        <v>3</v>
      </c>
      <c r="DF18" s="12">
        <v>11</v>
      </c>
      <c r="DG18" s="12">
        <v>12</v>
      </c>
      <c r="DH18" s="12">
        <v>0</v>
      </c>
      <c r="DI18" s="12">
        <v>0</v>
      </c>
      <c r="DJ18" s="12">
        <v>0</v>
      </c>
      <c r="DK18" s="12">
        <v>0</v>
      </c>
      <c r="DL18" s="12">
        <v>11</v>
      </c>
      <c r="DM18" s="12">
        <v>12</v>
      </c>
      <c r="DN18" s="12">
        <v>11</v>
      </c>
      <c r="DO18" s="12">
        <v>29</v>
      </c>
      <c r="DP18" s="12">
        <v>2</v>
      </c>
      <c r="DQ18" s="12">
        <v>10</v>
      </c>
      <c r="DR18" s="12">
        <v>0</v>
      </c>
      <c r="DS18" s="12">
        <v>0</v>
      </c>
      <c r="DT18" s="12">
        <v>5</v>
      </c>
      <c r="DU18" s="12">
        <v>27</v>
      </c>
      <c r="DV18" s="12">
        <v>0</v>
      </c>
      <c r="DW18" s="12">
        <v>0</v>
      </c>
      <c r="DX18" s="12">
        <v>79</v>
      </c>
      <c r="DY18" s="12">
        <v>13</v>
      </c>
      <c r="DZ18" s="12">
        <v>29</v>
      </c>
      <c r="EA18" s="16">
        <v>0.44827586206896552</v>
      </c>
      <c r="EB18" s="12">
        <v>15</v>
      </c>
      <c r="EC18" s="12">
        <v>39</v>
      </c>
      <c r="ED18" s="16">
        <v>0.38461538461538464</v>
      </c>
      <c r="EE18" s="12">
        <v>28</v>
      </c>
      <c r="EF18" s="12">
        <v>68</v>
      </c>
      <c r="EG18" s="16">
        <v>0.41176470588235292</v>
      </c>
      <c r="EH18" s="12">
        <v>8</v>
      </c>
      <c r="EI18" s="12">
        <v>12</v>
      </c>
      <c r="EJ18" s="16">
        <v>0.66666666666666663</v>
      </c>
      <c r="EK18" s="12">
        <v>8</v>
      </c>
      <c r="EL18" s="12">
        <v>28</v>
      </c>
      <c r="EM18" s="12">
        <v>36</v>
      </c>
      <c r="EN18" s="12">
        <v>19</v>
      </c>
      <c r="EO18" s="12">
        <v>23</v>
      </c>
      <c r="EP18" s="12">
        <v>15</v>
      </c>
      <c r="EQ18" s="12">
        <v>7</v>
      </c>
      <c r="ER18" s="12">
        <v>9</v>
      </c>
      <c r="ES18" s="12">
        <v>4</v>
      </c>
      <c r="ET18" s="12">
        <v>3</v>
      </c>
      <c r="EU18" s="12">
        <v>81</v>
      </c>
      <c r="EV18" s="12">
        <v>2</v>
      </c>
      <c r="EW18" s="12">
        <v>74</v>
      </c>
      <c r="EX18" s="12">
        <v>82</v>
      </c>
      <c r="EY18" s="12">
        <v>7</v>
      </c>
      <c r="EZ18" s="12">
        <v>7</v>
      </c>
      <c r="FA18" s="12">
        <v>10</v>
      </c>
      <c r="FB18" s="12">
        <v>2</v>
      </c>
      <c r="FC18" s="12">
        <v>4</v>
      </c>
      <c r="FD18" s="12">
        <v>0</v>
      </c>
      <c r="FE18" s="12">
        <v>0</v>
      </c>
      <c r="FF18" s="12">
        <v>3</v>
      </c>
      <c r="FG18" s="12">
        <v>2</v>
      </c>
      <c r="FH18" s="12">
        <v>0</v>
      </c>
      <c r="FI18" s="12">
        <v>0</v>
      </c>
      <c r="FJ18" s="12">
        <v>0</v>
      </c>
      <c r="FK18" s="12">
        <v>0</v>
      </c>
      <c r="FL18" s="12">
        <v>5</v>
      </c>
      <c r="FM18" s="12">
        <v>0</v>
      </c>
      <c r="FN18" s="12">
        <v>0</v>
      </c>
      <c r="FO18" s="12">
        <v>0</v>
      </c>
      <c r="FP18" s="12">
        <v>0</v>
      </c>
      <c r="FQ18" s="12">
        <v>0</v>
      </c>
      <c r="FR18" s="12">
        <v>10</v>
      </c>
      <c r="FS18" s="12">
        <v>1</v>
      </c>
      <c r="FT18" s="12">
        <v>7</v>
      </c>
      <c r="FU18" s="12">
        <v>0</v>
      </c>
      <c r="FV18" s="12">
        <v>0</v>
      </c>
      <c r="FW18" s="12">
        <v>0</v>
      </c>
      <c r="FX18" s="12">
        <v>11</v>
      </c>
      <c r="FY18" s="12">
        <v>2</v>
      </c>
      <c r="FZ18" s="12">
        <v>0</v>
      </c>
      <c r="GA18" s="12">
        <v>0</v>
      </c>
      <c r="GB18" s="12">
        <v>0</v>
      </c>
      <c r="GC18" s="12">
        <v>0</v>
      </c>
      <c r="GD18" s="12">
        <v>1</v>
      </c>
      <c r="GE18" s="12">
        <v>1</v>
      </c>
      <c r="GF18" s="12">
        <v>5</v>
      </c>
      <c r="GG18" s="12">
        <v>8</v>
      </c>
      <c r="GH18" s="12">
        <v>0</v>
      </c>
      <c r="GI18" s="12">
        <v>2</v>
      </c>
      <c r="GJ18" s="12">
        <v>3</v>
      </c>
      <c r="GK18" s="12">
        <v>0</v>
      </c>
      <c r="GL18" s="12">
        <v>4</v>
      </c>
      <c r="GM18" s="12">
        <v>5</v>
      </c>
      <c r="GN18" s="12">
        <v>8</v>
      </c>
      <c r="GO18" s="12">
        <v>19</v>
      </c>
      <c r="GP18" s="12">
        <v>1</v>
      </c>
      <c r="GQ18" s="12">
        <v>5</v>
      </c>
      <c r="GR18" s="12">
        <v>1</v>
      </c>
      <c r="GS18" s="12">
        <v>1</v>
      </c>
      <c r="GT18" s="12">
        <v>14</v>
      </c>
      <c r="GU18" s="12">
        <v>38</v>
      </c>
      <c r="GV18" s="12">
        <v>0</v>
      </c>
      <c r="GW18" s="12">
        <v>0</v>
      </c>
      <c r="GY18" s="16"/>
    </row>
    <row r="19" spans="2:207" ht="15" customHeight="1" x14ac:dyDescent="0.2">
      <c r="B19" s="12">
        <v>1</v>
      </c>
      <c r="C19" s="12" t="s">
        <v>298</v>
      </c>
      <c r="D19" s="12" t="s">
        <v>297</v>
      </c>
      <c r="E19" s="14" t="s">
        <v>300</v>
      </c>
      <c r="F19" s="14" t="s">
        <v>299</v>
      </c>
      <c r="G19" s="15">
        <v>45205</v>
      </c>
      <c r="H19" s="15" t="s">
        <v>271</v>
      </c>
      <c r="I19" s="12" t="s">
        <v>269</v>
      </c>
      <c r="J19" s="12" t="s">
        <v>270</v>
      </c>
      <c r="K19" s="12">
        <v>200</v>
      </c>
      <c r="L19" s="12">
        <v>79</v>
      </c>
      <c r="M19" s="12">
        <v>13</v>
      </c>
      <c r="N19" s="12">
        <v>29</v>
      </c>
      <c r="O19" s="16">
        <v>0.44827586206896552</v>
      </c>
      <c r="P19" s="12">
        <v>15</v>
      </c>
      <c r="Q19" s="12">
        <v>39</v>
      </c>
      <c r="R19" s="16">
        <v>0.38461538461538464</v>
      </c>
      <c r="S19" s="12">
        <v>28</v>
      </c>
      <c r="T19" s="12">
        <v>68</v>
      </c>
      <c r="U19" s="16">
        <v>0.41176470588235292</v>
      </c>
      <c r="V19" s="12">
        <v>8</v>
      </c>
      <c r="W19" s="12">
        <v>12</v>
      </c>
      <c r="X19" s="16">
        <v>0.66666666666666663</v>
      </c>
      <c r="Y19" s="12">
        <v>8</v>
      </c>
      <c r="Z19" s="12">
        <v>28</v>
      </c>
      <c r="AA19" s="12">
        <v>36</v>
      </c>
      <c r="AB19" s="12">
        <v>19</v>
      </c>
      <c r="AC19" s="12">
        <v>9</v>
      </c>
      <c r="AD19" s="12">
        <v>7</v>
      </c>
      <c r="AE19" s="12">
        <v>4</v>
      </c>
      <c r="AF19" s="12">
        <v>3</v>
      </c>
      <c r="AG19" s="12">
        <v>23</v>
      </c>
      <c r="AH19" s="12">
        <v>15</v>
      </c>
      <c r="AI19" s="17">
        <v>81</v>
      </c>
      <c r="AJ19" s="12">
        <v>2</v>
      </c>
      <c r="AK19" s="12">
        <v>74</v>
      </c>
      <c r="AL19" s="12">
        <v>82</v>
      </c>
      <c r="AM19" s="19">
        <v>0.96341463414634143</v>
      </c>
      <c r="AN19" s="19">
        <v>0.79381443298969068</v>
      </c>
      <c r="AO19" s="18">
        <v>106.75675675675676</v>
      </c>
      <c r="AP19" s="18">
        <v>101.31578947368421</v>
      </c>
      <c r="AQ19" s="18">
        <v>5.4409672830725526</v>
      </c>
      <c r="AR19" s="53">
        <v>0.5220588235294118</v>
      </c>
      <c r="AS19" s="53">
        <v>0.54109589041095896</v>
      </c>
      <c r="AT19" s="16">
        <v>6.097560975609756E-2</v>
      </c>
      <c r="AU19" s="19">
        <v>1.6</v>
      </c>
      <c r="AV19" s="16">
        <v>0.23170731707317074</v>
      </c>
      <c r="AW19" s="19">
        <v>0.84210526315789469</v>
      </c>
      <c r="AX19" s="16">
        <v>6.097560975609756E-2</v>
      </c>
      <c r="AY19" s="19">
        <v>0.4</v>
      </c>
      <c r="AZ19" s="16">
        <v>1.2195121951219513E-2</v>
      </c>
      <c r="BA19" s="19">
        <v>3</v>
      </c>
      <c r="BB19" s="16">
        <v>0.46341463414634149</v>
      </c>
      <c r="BC19" s="21">
        <v>1.1052631578947369</v>
      </c>
      <c r="BD19" s="16">
        <v>6.097560975609756E-2</v>
      </c>
      <c r="BE19" s="16">
        <v>0.10975609756097561</v>
      </c>
      <c r="BF19" s="16">
        <v>0.5757575757575758</v>
      </c>
      <c r="BG19" s="16">
        <v>0.53846153846153844</v>
      </c>
      <c r="BH19" s="16">
        <v>0.66666666666666663</v>
      </c>
      <c r="BI19" s="16">
        <v>0.4</v>
      </c>
      <c r="BJ19" s="16">
        <v>0.23170731707317074</v>
      </c>
      <c r="BK19" s="21">
        <v>2.1111111111111112</v>
      </c>
      <c r="BL19" s="16">
        <v>0.2</v>
      </c>
      <c r="BM19" s="16">
        <v>0.27777777777777779</v>
      </c>
      <c r="BN19" s="16">
        <v>0.20833333333333334</v>
      </c>
      <c r="BO19" s="16" t="s">
        <v>269</v>
      </c>
      <c r="BP19" s="16">
        <v>0.5714285714285714</v>
      </c>
      <c r="BQ19" s="16">
        <v>0.6</v>
      </c>
      <c r="BR19" s="16">
        <v>0.56521739130434778</v>
      </c>
      <c r="BS19" s="16">
        <v>0</v>
      </c>
      <c r="BT19" s="16">
        <v>0.4044943820224719</v>
      </c>
      <c r="BU19" s="16">
        <v>9.2105263157894732E-2</v>
      </c>
      <c r="BV19" s="16">
        <v>5.128205128205128E-2</v>
      </c>
      <c r="BW19" s="54">
        <v>7</v>
      </c>
      <c r="BX19" s="54">
        <v>0.34782608695652173</v>
      </c>
      <c r="BY19" s="54">
        <v>0.4</v>
      </c>
      <c r="BZ19" s="12">
        <v>7</v>
      </c>
      <c r="CA19" s="12">
        <v>10</v>
      </c>
      <c r="CB19" s="12">
        <v>2</v>
      </c>
      <c r="CC19" s="12">
        <v>4</v>
      </c>
      <c r="CD19" s="12">
        <v>0</v>
      </c>
      <c r="CE19" s="12">
        <v>0</v>
      </c>
      <c r="CF19" s="12">
        <v>3</v>
      </c>
      <c r="CG19" s="12">
        <v>2</v>
      </c>
      <c r="CH19" s="12">
        <v>0</v>
      </c>
      <c r="CI19" s="12">
        <v>0</v>
      </c>
      <c r="CJ19" s="12">
        <v>0</v>
      </c>
      <c r="CK19" s="12">
        <v>0</v>
      </c>
      <c r="CL19" s="12">
        <v>5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10</v>
      </c>
      <c r="CS19" s="12">
        <v>1</v>
      </c>
      <c r="CT19" s="12">
        <v>7</v>
      </c>
      <c r="CU19" s="12">
        <v>0</v>
      </c>
      <c r="CV19" s="12">
        <v>0</v>
      </c>
      <c r="CW19" s="12">
        <v>0</v>
      </c>
      <c r="CX19" s="12">
        <v>11</v>
      </c>
      <c r="CY19" s="12">
        <v>2</v>
      </c>
      <c r="CZ19" s="12">
        <v>0</v>
      </c>
      <c r="DA19" s="12">
        <v>0</v>
      </c>
      <c r="DB19" s="12">
        <v>0</v>
      </c>
      <c r="DC19" s="12">
        <v>0</v>
      </c>
      <c r="DD19" s="12">
        <v>1</v>
      </c>
      <c r="DE19" s="12">
        <v>1</v>
      </c>
      <c r="DF19" s="12">
        <v>5</v>
      </c>
      <c r="DG19" s="12">
        <v>8</v>
      </c>
      <c r="DH19" s="12">
        <v>0</v>
      </c>
      <c r="DI19" s="12">
        <v>2</v>
      </c>
      <c r="DJ19" s="12">
        <v>3</v>
      </c>
      <c r="DK19" s="12">
        <v>0</v>
      </c>
      <c r="DL19" s="12">
        <v>4</v>
      </c>
      <c r="DM19" s="12">
        <v>5</v>
      </c>
      <c r="DN19" s="12">
        <v>8</v>
      </c>
      <c r="DO19" s="12">
        <v>19</v>
      </c>
      <c r="DP19" s="12">
        <v>1</v>
      </c>
      <c r="DQ19" s="12">
        <v>5</v>
      </c>
      <c r="DR19" s="12">
        <v>1</v>
      </c>
      <c r="DS19" s="12">
        <v>1</v>
      </c>
      <c r="DT19" s="12">
        <v>14</v>
      </c>
      <c r="DU19" s="12">
        <v>38</v>
      </c>
      <c r="DV19" s="12">
        <v>0</v>
      </c>
      <c r="DW19" s="12">
        <v>0</v>
      </c>
      <c r="DX19" s="12">
        <v>77</v>
      </c>
      <c r="DY19" s="12">
        <v>24</v>
      </c>
      <c r="DZ19" s="12">
        <v>51</v>
      </c>
      <c r="EA19" s="16">
        <v>0.47058823529411764</v>
      </c>
      <c r="EB19" s="12">
        <v>5</v>
      </c>
      <c r="EC19" s="12">
        <v>27</v>
      </c>
      <c r="ED19" s="16">
        <v>0.18518518518518517</v>
      </c>
      <c r="EE19" s="12">
        <v>29</v>
      </c>
      <c r="EF19" s="12">
        <v>78</v>
      </c>
      <c r="EG19" s="16">
        <v>0.37179487179487181</v>
      </c>
      <c r="EH19" s="12">
        <v>14</v>
      </c>
      <c r="EI19" s="12">
        <v>16</v>
      </c>
      <c r="EJ19" s="16">
        <v>0.875</v>
      </c>
      <c r="EK19" s="12">
        <v>21</v>
      </c>
      <c r="EL19" s="12">
        <v>32</v>
      </c>
      <c r="EM19" s="12">
        <v>53</v>
      </c>
      <c r="EN19" s="12">
        <v>18</v>
      </c>
      <c r="EO19" s="12">
        <v>15</v>
      </c>
      <c r="EP19" s="12">
        <v>22</v>
      </c>
      <c r="EQ19" s="12">
        <v>4</v>
      </c>
      <c r="ER19" s="12">
        <v>13</v>
      </c>
      <c r="ES19" s="12">
        <v>3</v>
      </c>
      <c r="ET19" s="12">
        <v>4</v>
      </c>
      <c r="EU19" s="12">
        <v>94</v>
      </c>
      <c r="EV19" s="12">
        <v>-2</v>
      </c>
      <c r="EW19" s="12">
        <v>76</v>
      </c>
      <c r="EX19" s="12">
        <v>97</v>
      </c>
      <c r="EY19" s="12">
        <v>8</v>
      </c>
      <c r="EZ19" s="12">
        <v>12</v>
      </c>
      <c r="FA19" s="12">
        <v>5</v>
      </c>
      <c r="FB19" s="12">
        <v>1</v>
      </c>
      <c r="FC19" s="12">
        <v>2</v>
      </c>
      <c r="FD19" s="12">
        <v>1</v>
      </c>
      <c r="FE19" s="12">
        <v>0</v>
      </c>
      <c r="FF19" s="12">
        <v>8</v>
      </c>
      <c r="FG19" s="12">
        <v>2</v>
      </c>
      <c r="FH19" s="12">
        <v>1</v>
      </c>
      <c r="FI19" s="12">
        <v>0</v>
      </c>
      <c r="FJ19" s="12">
        <v>0</v>
      </c>
      <c r="FK19" s="12">
        <v>0</v>
      </c>
      <c r="FL19" s="12">
        <v>10</v>
      </c>
      <c r="FM19" s="12">
        <v>0</v>
      </c>
      <c r="FN19" s="12">
        <v>1</v>
      </c>
      <c r="FO19" s="12">
        <v>0</v>
      </c>
      <c r="FP19" s="12">
        <v>1</v>
      </c>
      <c r="FQ19" s="12">
        <v>0</v>
      </c>
      <c r="FR19" s="12">
        <v>8</v>
      </c>
      <c r="FS19" s="12">
        <v>0</v>
      </c>
      <c r="FT19" s="12">
        <v>4</v>
      </c>
      <c r="FU19" s="12">
        <v>0</v>
      </c>
      <c r="FV19" s="12">
        <v>0</v>
      </c>
      <c r="FW19" s="12">
        <v>0</v>
      </c>
      <c r="FX19" s="12">
        <v>19</v>
      </c>
      <c r="FY19" s="12">
        <v>0</v>
      </c>
      <c r="FZ19" s="12">
        <v>0</v>
      </c>
      <c r="GA19" s="12">
        <v>0</v>
      </c>
      <c r="GB19" s="12">
        <v>1</v>
      </c>
      <c r="GC19" s="12">
        <v>1</v>
      </c>
      <c r="GD19" s="12">
        <v>1</v>
      </c>
      <c r="GE19" s="12">
        <v>2</v>
      </c>
      <c r="GF19" s="12">
        <v>11</v>
      </c>
      <c r="GG19" s="12">
        <v>12</v>
      </c>
      <c r="GH19" s="12">
        <v>0</v>
      </c>
      <c r="GI19" s="12">
        <v>0</v>
      </c>
      <c r="GJ19" s="12">
        <v>0</v>
      </c>
      <c r="GK19" s="12">
        <v>0</v>
      </c>
      <c r="GL19" s="12">
        <v>11</v>
      </c>
      <c r="GM19" s="12">
        <v>12</v>
      </c>
      <c r="GN19" s="12">
        <v>11</v>
      </c>
      <c r="GO19" s="12">
        <v>29</v>
      </c>
      <c r="GP19" s="12">
        <v>2</v>
      </c>
      <c r="GQ19" s="12">
        <v>10</v>
      </c>
      <c r="GR19" s="12">
        <v>0</v>
      </c>
      <c r="GS19" s="12">
        <v>0</v>
      </c>
      <c r="GT19" s="12">
        <v>5</v>
      </c>
      <c r="GU19" s="12">
        <v>27</v>
      </c>
      <c r="GV19" s="12">
        <v>0</v>
      </c>
      <c r="GW19" s="12">
        <v>0</v>
      </c>
      <c r="GY19" s="16"/>
    </row>
    <row r="20" spans="2:207" ht="15" customHeight="1" x14ac:dyDescent="0.2">
      <c r="B20" s="12">
        <v>1</v>
      </c>
      <c r="C20" s="12" t="s">
        <v>301</v>
      </c>
      <c r="D20" s="12" t="s">
        <v>93</v>
      </c>
      <c r="E20" s="14" t="s">
        <v>302</v>
      </c>
      <c r="F20" s="14" t="s">
        <v>303</v>
      </c>
      <c r="G20" s="15">
        <v>45205</v>
      </c>
      <c r="H20" s="15" t="s">
        <v>271</v>
      </c>
      <c r="I20" s="12" t="s">
        <v>269</v>
      </c>
      <c r="J20" s="12" t="s">
        <v>272</v>
      </c>
      <c r="K20" s="12">
        <v>200</v>
      </c>
      <c r="L20" s="12">
        <v>65</v>
      </c>
      <c r="M20" s="12">
        <v>15</v>
      </c>
      <c r="N20" s="12">
        <v>33</v>
      </c>
      <c r="O20" s="16">
        <v>0.45454545454545453</v>
      </c>
      <c r="P20" s="12">
        <v>8</v>
      </c>
      <c r="Q20" s="12">
        <v>24</v>
      </c>
      <c r="R20" s="16">
        <v>0.33333333333333331</v>
      </c>
      <c r="S20" s="12">
        <v>23</v>
      </c>
      <c r="T20" s="12">
        <v>57</v>
      </c>
      <c r="U20" s="16">
        <v>0.40350877192982454</v>
      </c>
      <c r="V20" s="12">
        <v>11</v>
      </c>
      <c r="W20" s="12">
        <v>15</v>
      </c>
      <c r="X20" s="16">
        <v>0.73333333333333328</v>
      </c>
      <c r="Y20" s="12">
        <v>11</v>
      </c>
      <c r="Z20" s="12">
        <v>18</v>
      </c>
      <c r="AA20" s="12">
        <v>29</v>
      </c>
      <c r="AB20" s="12">
        <v>13</v>
      </c>
      <c r="AC20" s="12">
        <v>16</v>
      </c>
      <c r="AD20" s="12">
        <v>12</v>
      </c>
      <c r="AE20" s="12">
        <v>2</v>
      </c>
      <c r="AF20" s="12">
        <v>4</v>
      </c>
      <c r="AG20" s="12">
        <v>20</v>
      </c>
      <c r="AH20" s="12">
        <v>22</v>
      </c>
      <c r="AI20" s="17">
        <v>65</v>
      </c>
      <c r="AJ20" s="12">
        <v>-5</v>
      </c>
      <c r="AK20" s="12">
        <v>68</v>
      </c>
      <c r="AL20" s="12">
        <v>79</v>
      </c>
      <c r="AM20" s="19">
        <v>0.82278481012658233</v>
      </c>
      <c r="AN20" s="19">
        <v>0.84337349397590367</v>
      </c>
      <c r="AO20" s="18">
        <v>95.588235294117652</v>
      </c>
      <c r="AP20" s="18">
        <v>101.44927536231884</v>
      </c>
      <c r="AQ20" s="18">
        <v>-5.8610400682011914</v>
      </c>
      <c r="AR20" s="53">
        <v>0.47368421052631576</v>
      </c>
      <c r="AS20" s="53">
        <v>0.51587301587301593</v>
      </c>
      <c r="AT20" s="16">
        <v>0.11392405063291139</v>
      </c>
      <c r="AU20" s="19">
        <v>1.3333333333333333</v>
      </c>
      <c r="AV20" s="16">
        <v>0.16455696202531644</v>
      </c>
      <c r="AW20" s="19">
        <v>0.61538461538461542</v>
      </c>
      <c r="AX20" s="16">
        <v>0.13924050632911392</v>
      </c>
      <c r="AY20" s="19">
        <v>0.90909090909090906</v>
      </c>
      <c r="AZ20" s="16">
        <v>2.5316455696202531E-2</v>
      </c>
      <c r="BA20" s="19">
        <v>1.5</v>
      </c>
      <c r="BB20" s="16">
        <v>0.27848101265822783</v>
      </c>
      <c r="BC20" s="21">
        <v>0.95454545454545459</v>
      </c>
      <c r="BD20" s="16">
        <v>7.5949367088607597E-2</v>
      </c>
      <c r="BE20" s="16">
        <v>0.20253164556962025</v>
      </c>
      <c r="BF20" s="16">
        <v>0.44827586206896552</v>
      </c>
      <c r="BG20" s="16">
        <v>0.53333333333333333</v>
      </c>
      <c r="BH20" s="16">
        <v>0.625</v>
      </c>
      <c r="BI20" s="16">
        <v>0</v>
      </c>
      <c r="BJ20" s="16">
        <v>0.16455696202531644</v>
      </c>
      <c r="BK20" s="21">
        <v>0.8125</v>
      </c>
      <c r="BL20" s="16">
        <v>0.31428571428571428</v>
      </c>
      <c r="BM20" s="16">
        <v>0.25</v>
      </c>
      <c r="BN20" s="16">
        <v>0.5</v>
      </c>
      <c r="BO20" s="16">
        <v>0</v>
      </c>
      <c r="BP20" s="16">
        <v>0.5625</v>
      </c>
      <c r="BQ20" s="16">
        <v>0.61111111111111116</v>
      </c>
      <c r="BR20" s="16">
        <v>0.5714285714285714</v>
      </c>
      <c r="BS20" s="16">
        <v>0</v>
      </c>
      <c r="BT20" s="16">
        <v>0.43283582089552236</v>
      </c>
      <c r="BU20" s="16">
        <v>0.17391304347826086</v>
      </c>
      <c r="BV20" s="16">
        <v>3.7037037037037035E-2</v>
      </c>
      <c r="BW20" s="54">
        <v>5</v>
      </c>
      <c r="BX20" s="54">
        <v>0.45</v>
      </c>
      <c r="BY20" s="54">
        <v>0.31818181818181818</v>
      </c>
      <c r="BZ20" s="12">
        <v>8</v>
      </c>
      <c r="CA20" s="12">
        <v>5</v>
      </c>
      <c r="CB20" s="12">
        <v>0</v>
      </c>
      <c r="CC20" s="12">
        <v>0</v>
      </c>
      <c r="CD20" s="12">
        <v>1</v>
      </c>
      <c r="CE20" s="12">
        <v>1</v>
      </c>
      <c r="CF20" s="12">
        <v>3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7</v>
      </c>
      <c r="CM20" s="12">
        <v>2</v>
      </c>
      <c r="CN20" s="12">
        <v>0</v>
      </c>
      <c r="CO20" s="12">
        <v>0</v>
      </c>
      <c r="CP20" s="12">
        <v>2</v>
      </c>
      <c r="CQ20" s="12">
        <v>0</v>
      </c>
      <c r="CR20" s="12">
        <v>4</v>
      </c>
      <c r="CS20" s="12">
        <v>0</v>
      </c>
      <c r="CT20" s="12">
        <v>4</v>
      </c>
      <c r="CU20" s="12">
        <v>1</v>
      </c>
      <c r="CV20" s="12">
        <v>2</v>
      </c>
      <c r="CW20" s="12">
        <v>0</v>
      </c>
      <c r="CX20" s="12">
        <v>6</v>
      </c>
      <c r="CY20" s="12">
        <v>0</v>
      </c>
      <c r="CZ20" s="12">
        <v>0</v>
      </c>
      <c r="DA20" s="12">
        <v>0</v>
      </c>
      <c r="DB20" s="12">
        <v>1</v>
      </c>
      <c r="DC20" s="12">
        <v>1</v>
      </c>
      <c r="DD20" s="12">
        <v>1</v>
      </c>
      <c r="DE20" s="12">
        <v>1</v>
      </c>
      <c r="DF20" s="12">
        <v>8</v>
      </c>
      <c r="DG20" s="12">
        <v>10</v>
      </c>
      <c r="DH20" s="12">
        <v>0</v>
      </c>
      <c r="DI20" s="12">
        <v>1</v>
      </c>
      <c r="DJ20" s="12">
        <v>3</v>
      </c>
      <c r="DK20" s="12">
        <v>0</v>
      </c>
      <c r="DL20" s="12">
        <v>6</v>
      </c>
      <c r="DM20" s="12">
        <v>9</v>
      </c>
      <c r="DN20" s="12">
        <v>4</v>
      </c>
      <c r="DO20" s="12">
        <v>13</v>
      </c>
      <c r="DP20" s="12">
        <v>5</v>
      </c>
      <c r="DQ20" s="12">
        <v>11</v>
      </c>
      <c r="DR20" s="12">
        <v>1</v>
      </c>
      <c r="DS20" s="12">
        <v>2</v>
      </c>
      <c r="DT20" s="12">
        <v>7</v>
      </c>
      <c r="DU20" s="12">
        <v>22</v>
      </c>
      <c r="DV20" s="12">
        <v>0</v>
      </c>
      <c r="DW20" s="12">
        <v>0</v>
      </c>
      <c r="DX20" s="12">
        <v>70</v>
      </c>
      <c r="DY20" s="12">
        <v>11</v>
      </c>
      <c r="DZ20" s="12">
        <v>28</v>
      </c>
      <c r="EA20" s="16">
        <v>0.39285714285714285</v>
      </c>
      <c r="EB20" s="12">
        <v>11</v>
      </c>
      <c r="EC20" s="12">
        <v>26</v>
      </c>
      <c r="ED20" s="16">
        <v>0.42307692307692307</v>
      </c>
      <c r="EE20" s="12">
        <v>22</v>
      </c>
      <c r="EF20" s="12">
        <v>54</v>
      </c>
      <c r="EG20" s="16">
        <v>0.40740740740740738</v>
      </c>
      <c r="EH20" s="12">
        <v>15</v>
      </c>
      <c r="EI20" s="12">
        <v>19</v>
      </c>
      <c r="EJ20" s="16">
        <v>0.78947368421052633</v>
      </c>
      <c r="EK20" s="12">
        <v>14</v>
      </c>
      <c r="EL20" s="12">
        <v>24</v>
      </c>
      <c r="EM20" s="12">
        <v>38</v>
      </c>
      <c r="EN20" s="12">
        <v>14</v>
      </c>
      <c r="EO20" s="12">
        <v>23</v>
      </c>
      <c r="EP20" s="12">
        <v>20</v>
      </c>
      <c r="EQ20" s="12">
        <v>5</v>
      </c>
      <c r="ER20" s="12">
        <v>20</v>
      </c>
      <c r="ES20" s="12">
        <v>4</v>
      </c>
      <c r="ET20" s="12">
        <v>2</v>
      </c>
      <c r="EU20" s="12">
        <v>70</v>
      </c>
      <c r="EV20" s="12">
        <v>5</v>
      </c>
      <c r="EW20" s="12">
        <v>69</v>
      </c>
      <c r="EX20" s="12">
        <v>83</v>
      </c>
      <c r="EY20" s="12">
        <v>7</v>
      </c>
      <c r="EZ20" s="12">
        <v>1</v>
      </c>
      <c r="FA20" s="12">
        <v>10</v>
      </c>
      <c r="FB20" s="12">
        <v>3</v>
      </c>
      <c r="FC20" s="12">
        <v>6</v>
      </c>
      <c r="FD20" s="12">
        <v>2</v>
      </c>
      <c r="FE20" s="12">
        <v>0</v>
      </c>
      <c r="FF20" s="12">
        <v>5</v>
      </c>
      <c r="FG20" s="12">
        <v>0</v>
      </c>
      <c r="FH20" s="12">
        <v>0</v>
      </c>
      <c r="FI20" s="12">
        <v>0</v>
      </c>
      <c r="FJ20" s="12">
        <v>2</v>
      </c>
      <c r="FK20" s="12">
        <v>0</v>
      </c>
      <c r="FL20" s="12">
        <v>4</v>
      </c>
      <c r="FM20" s="12">
        <v>0</v>
      </c>
      <c r="FN20" s="12">
        <v>1</v>
      </c>
      <c r="FO20" s="12">
        <v>1</v>
      </c>
      <c r="FP20" s="12">
        <v>2</v>
      </c>
      <c r="FQ20" s="12">
        <v>1</v>
      </c>
      <c r="FR20" s="12">
        <v>5</v>
      </c>
      <c r="FS20" s="12">
        <v>0</v>
      </c>
      <c r="FT20" s="12">
        <v>6</v>
      </c>
      <c r="FU20" s="12">
        <v>1</v>
      </c>
      <c r="FV20" s="12">
        <v>1</v>
      </c>
      <c r="FW20" s="12">
        <v>0</v>
      </c>
      <c r="FX20" s="12">
        <v>8</v>
      </c>
      <c r="FY20" s="12">
        <v>0</v>
      </c>
      <c r="FZ20" s="12">
        <v>2</v>
      </c>
      <c r="GA20" s="12">
        <v>0</v>
      </c>
      <c r="GB20" s="12">
        <v>0</v>
      </c>
      <c r="GC20" s="12">
        <v>0</v>
      </c>
      <c r="GD20" s="12">
        <v>0</v>
      </c>
      <c r="GE20" s="12">
        <v>0</v>
      </c>
      <c r="GF20" s="12">
        <v>13</v>
      </c>
      <c r="GG20" s="12">
        <v>16</v>
      </c>
      <c r="GH20" s="12">
        <v>0</v>
      </c>
      <c r="GI20" s="12">
        <v>2</v>
      </c>
      <c r="GJ20" s="12">
        <v>3</v>
      </c>
      <c r="GK20" s="12">
        <v>0</v>
      </c>
      <c r="GL20" s="12">
        <v>7</v>
      </c>
      <c r="GM20" s="12">
        <v>11</v>
      </c>
      <c r="GN20" s="12">
        <v>4</v>
      </c>
      <c r="GO20" s="12">
        <v>13</v>
      </c>
      <c r="GP20" s="12">
        <v>0</v>
      </c>
      <c r="GQ20" s="12">
        <v>4</v>
      </c>
      <c r="GR20" s="12">
        <v>1</v>
      </c>
      <c r="GS20" s="12">
        <v>5</v>
      </c>
      <c r="GT20" s="12">
        <v>10</v>
      </c>
      <c r="GU20" s="12">
        <v>20</v>
      </c>
      <c r="GV20" s="12">
        <v>0</v>
      </c>
      <c r="GW20" s="12">
        <v>1</v>
      </c>
      <c r="GY20" s="16"/>
    </row>
    <row r="21" spans="2:207" ht="15" customHeight="1" x14ac:dyDescent="0.2">
      <c r="B21" s="12">
        <v>1</v>
      </c>
      <c r="C21" s="12" t="s">
        <v>93</v>
      </c>
      <c r="D21" s="12" t="s">
        <v>301</v>
      </c>
      <c r="E21" s="14" t="s">
        <v>303</v>
      </c>
      <c r="F21" s="14" t="s">
        <v>302</v>
      </c>
      <c r="G21" s="15">
        <v>45205</v>
      </c>
      <c r="H21" s="15" t="s">
        <v>268</v>
      </c>
      <c r="I21" s="12" t="s">
        <v>269</v>
      </c>
      <c r="J21" s="12" t="s">
        <v>270</v>
      </c>
      <c r="K21" s="12">
        <v>200</v>
      </c>
      <c r="L21" s="12">
        <v>70</v>
      </c>
      <c r="M21" s="12">
        <v>11</v>
      </c>
      <c r="N21" s="12">
        <v>28</v>
      </c>
      <c r="O21" s="16">
        <v>0.39285714285714285</v>
      </c>
      <c r="P21" s="12">
        <v>11</v>
      </c>
      <c r="Q21" s="12">
        <v>26</v>
      </c>
      <c r="R21" s="16">
        <v>0.42307692307692307</v>
      </c>
      <c r="S21" s="12">
        <v>22</v>
      </c>
      <c r="T21" s="12">
        <v>54</v>
      </c>
      <c r="U21" s="16">
        <v>0.40740740740740738</v>
      </c>
      <c r="V21" s="12">
        <v>15</v>
      </c>
      <c r="W21" s="12">
        <v>19</v>
      </c>
      <c r="X21" s="16">
        <v>0.78947368421052633</v>
      </c>
      <c r="Y21" s="12">
        <v>14</v>
      </c>
      <c r="Z21" s="12">
        <v>24</v>
      </c>
      <c r="AA21" s="12">
        <v>38</v>
      </c>
      <c r="AB21" s="12">
        <v>14</v>
      </c>
      <c r="AC21" s="12">
        <v>20</v>
      </c>
      <c r="AD21" s="12">
        <v>5</v>
      </c>
      <c r="AE21" s="12">
        <v>4</v>
      </c>
      <c r="AF21" s="12">
        <v>2</v>
      </c>
      <c r="AG21" s="12">
        <v>22</v>
      </c>
      <c r="AH21" s="12">
        <v>20</v>
      </c>
      <c r="AI21" s="17">
        <v>71</v>
      </c>
      <c r="AJ21" s="12">
        <v>5</v>
      </c>
      <c r="AK21" s="12">
        <v>69</v>
      </c>
      <c r="AL21" s="12">
        <v>83</v>
      </c>
      <c r="AM21" s="19">
        <v>0.84337349397590367</v>
      </c>
      <c r="AN21" s="19">
        <v>0.82278481012658233</v>
      </c>
      <c r="AO21" s="18">
        <v>101.44927536231884</v>
      </c>
      <c r="AP21" s="18">
        <v>95.588235294117652</v>
      </c>
      <c r="AQ21" s="18">
        <v>5.8610400682011914</v>
      </c>
      <c r="AR21" s="53">
        <v>0.5092592592592593</v>
      </c>
      <c r="AS21" s="53">
        <v>0.55555555555555558</v>
      </c>
      <c r="AT21" s="16">
        <v>0.13253012048192772</v>
      </c>
      <c r="AU21" s="19">
        <v>1.2727272727272727</v>
      </c>
      <c r="AV21" s="16">
        <v>0.15662650602409639</v>
      </c>
      <c r="AW21" s="19">
        <v>0.61538461538461542</v>
      </c>
      <c r="AX21" s="16">
        <v>4.8192771084337352E-2</v>
      </c>
      <c r="AY21" s="19">
        <v>0</v>
      </c>
      <c r="AZ21" s="16">
        <v>6.0240963855421686E-2</v>
      </c>
      <c r="BA21" s="19">
        <v>0.6</v>
      </c>
      <c r="BB21" s="16">
        <v>0.24096385542168675</v>
      </c>
      <c r="BC21" s="21">
        <v>1.5</v>
      </c>
      <c r="BD21" s="16">
        <v>0.10843373493975904</v>
      </c>
      <c r="BE21" s="16">
        <v>0.24096385542168675</v>
      </c>
      <c r="BF21" s="16">
        <v>0.45161290322580644</v>
      </c>
      <c r="BG21" s="16">
        <v>9.0909090909090912E-2</v>
      </c>
      <c r="BH21" s="16">
        <v>0.90909090909090906</v>
      </c>
      <c r="BI21" s="16">
        <v>0.33333333333333331</v>
      </c>
      <c r="BJ21" s="16">
        <v>0.16867469879518071</v>
      </c>
      <c r="BK21" s="21">
        <v>0.7</v>
      </c>
      <c r="BL21" s="16">
        <v>0.4375</v>
      </c>
      <c r="BM21" s="16">
        <v>0.3888888888888889</v>
      </c>
      <c r="BN21" s="16">
        <v>0.42857142857142855</v>
      </c>
      <c r="BO21" s="16">
        <v>1</v>
      </c>
      <c r="BP21" s="16">
        <v>0.68571428571428572</v>
      </c>
      <c r="BQ21" s="16">
        <v>0.75</v>
      </c>
      <c r="BR21" s="16">
        <v>0.5</v>
      </c>
      <c r="BS21" s="16">
        <v>1</v>
      </c>
      <c r="BT21" s="16">
        <v>0.56716417910447758</v>
      </c>
      <c r="BU21" s="16">
        <v>7.3529411764705885E-2</v>
      </c>
      <c r="BV21" s="16">
        <v>7.0175438596491224E-2</v>
      </c>
      <c r="BW21" s="54">
        <v>7</v>
      </c>
      <c r="BX21" s="54">
        <v>0.31818181818181818</v>
      </c>
      <c r="BY21" s="54">
        <v>0.45</v>
      </c>
      <c r="BZ21" s="12">
        <v>1</v>
      </c>
      <c r="CA21" s="12">
        <v>10</v>
      </c>
      <c r="CB21" s="12">
        <v>3</v>
      </c>
      <c r="CC21" s="12">
        <v>6</v>
      </c>
      <c r="CD21" s="12">
        <v>2</v>
      </c>
      <c r="CE21" s="12">
        <v>0</v>
      </c>
      <c r="CF21" s="12">
        <v>5</v>
      </c>
      <c r="CG21" s="12">
        <v>0</v>
      </c>
      <c r="CH21" s="12">
        <v>0</v>
      </c>
      <c r="CI21" s="12">
        <v>0</v>
      </c>
      <c r="CJ21" s="12">
        <v>2</v>
      </c>
      <c r="CK21" s="12">
        <v>0</v>
      </c>
      <c r="CL21" s="12">
        <v>4</v>
      </c>
      <c r="CM21" s="12">
        <v>0</v>
      </c>
      <c r="CN21" s="12">
        <v>1</v>
      </c>
      <c r="CO21" s="12">
        <v>1</v>
      </c>
      <c r="CP21" s="12">
        <v>2</v>
      </c>
      <c r="CQ21" s="12">
        <v>1</v>
      </c>
      <c r="CR21" s="12">
        <v>5</v>
      </c>
      <c r="CS21" s="12">
        <v>0</v>
      </c>
      <c r="CT21" s="12">
        <v>6</v>
      </c>
      <c r="CU21" s="12">
        <v>1</v>
      </c>
      <c r="CV21" s="12">
        <v>1</v>
      </c>
      <c r="CW21" s="12">
        <v>0</v>
      </c>
      <c r="CX21" s="12">
        <v>8</v>
      </c>
      <c r="CY21" s="12">
        <v>0</v>
      </c>
      <c r="CZ21" s="12">
        <v>2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13</v>
      </c>
      <c r="DG21" s="12">
        <v>16</v>
      </c>
      <c r="DH21" s="12">
        <v>0</v>
      </c>
      <c r="DI21" s="12">
        <v>2</v>
      </c>
      <c r="DJ21" s="12">
        <v>3</v>
      </c>
      <c r="DK21" s="12">
        <v>0</v>
      </c>
      <c r="DL21" s="12">
        <v>7</v>
      </c>
      <c r="DM21" s="12">
        <v>11</v>
      </c>
      <c r="DN21" s="12">
        <v>4</v>
      </c>
      <c r="DO21" s="12">
        <v>13</v>
      </c>
      <c r="DP21" s="12">
        <v>0</v>
      </c>
      <c r="DQ21" s="12">
        <v>4</v>
      </c>
      <c r="DR21" s="12">
        <v>1</v>
      </c>
      <c r="DS21" s="12">
        <v>5</v>
      </c>
      <c r="DT21" s="12">
        <v>10</v>
      </c>
      <c r="DU21" s="12">
        <v>20</v>
      </c>
      <c r="DV21" s="12">
        <v>0</v>
      </c>
      <c r="DW21" s="12">
        <v>1</v>
      </c>
      <c r="DX21" s="12">
        <v>65</v>
      </c>
      <c r="DY21" s="12">
        <v>15</v>
      </c>
      <c r="DZ21" s="12">
        <v>33</v>
      </c>
      <c r="EA21" s="16">
        <v>0.45454545454545453</v>
      </c>
      <c r="EB21" s="12">
        <v>8</v>
      </c>
      <c r="EC21" s="12">
        <v>24</v>
      </c>
      <c r="ED21" s="16">
        <v>0.33333333333333331</v>
      </c>
      <c r="EE21" s="12">
        <v>23</v>
      </c>
      <c r="EF21" s="12">
        <v>57</v>
      </c>
      <c r="EG21" s="16">
        <v>0.40350877192982454</v>
      </c>
      <c r="EH21" s="12">
        <v>11</v>
      </c>
      <c r="EI21" s="12">
        <v>15</v>
      </c>
      <c r="EJ21" s="16">
        <v>0.73333333333333328</v>
      </c>
      <c r="EK21" s="12">
        <v>11</v>
      </c>
      <c r="EL21" s="12">
        <v>18</v>
      </c>
      <c r="EM21" s="12">
        <v>29</v>
      </c>
      <c r="EN21" s="12">
        <v>13</v>
      </c>
      <c r="EO21" s="12">
        <v>20</v>
      </c>
      <c r="EP21" s="12">
        <v>22</v>
      </c>
      <c r="EQ21" s="12">
        <v>12</v>
      </c>
      <c r="ER21" s="12">
        <v>16</v>
      </c>
      <c r="ES21" s="12">
        <v>2</v>
      </c>
      <c r="ET21" s="12">
        <v>4</v>
      </c>
      <c r="EU21" s="12">
        <v>65</v>
      </c>
      <c r="EV21" s="12">
        <v>-5</v>
      </c>
      <c r="EW21" s="12">
        <v>68</v>
      </c>
      <c r="EX21" s="12">
        <v>79</v>
      </c>
      <c r="EY21" s="12">
        <v>5</v>
      </c>
      <c r="EZ21" s="12">
        <v>8</v>
      </c>
      <c r="FA21" s="12">
        <v>5</v>
      </c>
      <c r="FB21" s="12">
        <v>0</v>
      </c>
      <c r="FC21" s="12">
        <v>0</v>
      </c>
      <c r="FD21" s="12">
        <v>1</v>
      </c>
      <c r="FE21" s="12">
        <v>1</v>
      </c>
      <c r="FF21" s="12">
        <v>3</v>
      </c>
      <c r="FG21" s="12">
        <v>0</v>
      </c>
      <c r="FH21" s="12">
        <v>0</v>
      </c>
      <c r="FI21" s="12">
        <v>0</v>
      </c>
      <c r="FJ21" s="12">
        <v>0</v>
      </c>
      <c r="FK21" s="12">
        <v>0</v>
      </c>
      <c r="FL21" s="12">
        <v>7</v>
      </c>
      <c r="FM21" s="12">
        <v>2</v>
      </c>
      <c r="FN21" s="12">
        <v>0</v>
      </c>
      <c r="FO21" s="12">
        <v>0</v>
      </c>
      <c r="FP21" s="12">
        <v>2</v>
      </c>
      <c r="FQ21" s="12">
        <v>0</v>
      </c>
      <c r="FR21" s="12">
        <v>4</v>
      </c>
      <c r="FS21" s="12">
        <v>0</v>
      </c>
      <c r="FT21" s="12">
        <v>4</v>
      </c>
      <c r="FU21" s="12">
        <v>1</v>
      </c>
      <c r="FV21" s="12">
        <v>2</v>
      </c>
      <c r="FW21" s="12">
        <v>0</v>
      </c>
      <c r="FX21" s="12">
        <v>6</v>
      </c>
      <c r="FY21" s="12">
        <v>0</v>
      </c>
      <c r="FZ21" s="12">
        <v>0</v>
      </c>
      <c r="GA21" s="12">
        <v>0</v>
      </c>
      <c r="GB21" s="12">
        <v>1</v>
      </c>
      <c r="GC21" s="12">
        <v>1</v>
      </c>
      <c r="GD21" s="12">
        <v>1</v>
      </c>
      <c r="GE21" s="12">
        <v>1</v>
      </c>
      <c r="GF21" s="12">
        <v>8</v>
      </c>
      <c r="GG21" s="12">
        <v>10</v>
      </c>
      <c r="GH21" s="12">
        <v>0</v>
      </c>
      <c r="GI21" s="12">
        <v>1</v>
      </c>
      <c r="GJ21" s="12">
        <v>3</v>
      </c>
      <c r="GK21" s="12">
        <v>0</v>
      </c>
      <c r="GL21" s="12">
        <v>6</v>
      </c>
      <c r="GM21" s="12">
        <v>9</v>
      </c>
      <c r="GN21" s="12">
        <v>4</v>
      </c>
      <c r="GO21" s="12">
        <v>13</v>
      </c>
      <c r="GP21" s="12">
        <v>5</v>
      </c>
      <c r="GQ21" s="12">
        <v>11</v>
      </c>
      <c r="GR21" s="12">
        <v>1</v>
      </c>
      <c r="GS21" s="12">
        <v>2</v>
      </c>
      <c r="GT21" s="12">
        <v>7</v>
      </c>
      <c r="GU21" s="12">
        <v>22</v>
      </c>
      <c r="GV21" s="12">
        <v>0</v>
      </c>
      <c r="GW21" s="12">
        <v>0</v>
      </c>
      <c r="GY21" s="16"/>
    </row>
    <row r="22" spans="2:207" ht="15" customHeight="1" x14ac:dyDescent="0.2">
      <c r="B22" s="12">
        <v>2</v>
      </c>
      <c r="C22" s="12" t="s">
        <v>277</v>
      </c>
      <c r="D22" s="12" t="s">
        <v>298</v>
      </c>
      <c r="E22" s="14" t="s">
        <v>279</v>
      </c>
      <c r="F22" s="14" t="s">
        <v>300</v>
      </c>
      <c r="G22" s="15">
        <v>45211</v>
      </c>
      <c r="H22" s="15" t="s">
        <v>268</v>
      </c>
      <c r="I22" s="12" t="s">
        <v>269</v>
      </c>
      <c r="J22" s="12" t="s">
        <v>272</v>
      </c>
      <c r="K22" s="12">
        <v>200</v>
      </c>
      <c r="L22" s="12">
        <v>80</v>
      </c>
      <c r="M22" s="12">
        <v>20</v>
      </c>
      <c r="N22" s="12">
        <v>44</v>
      </c>
      <c r="O22" s="16">
        <v>0.45454545454545453</v>
      </c>
      <c r="P22" s="12">
        <v>10</v>
      </c>
      <c r="Q22" s="12">
        <v>25</v>
      </c>
      <c r="R22" s="16">
        <v>0.4</v>
      </c>
      <c r="S22" s="12">
        <v>30</v>
      </c>
      <c r="T22" s="12">
        <v>69</v>
      </c>
      <c r="U22" s="16">
        <v>0.43478260869565216</v>
      </c>
      <c r="V22" s="12">
        <v>10</v>
      </c>
      <c r="W22" s="12">
        <v>15</v>
      </c>
      <c r="X22" s="16">
        <v>0.66666666666666663</v>
      </c>
      <c r="Y22" s="12">
        <v>13</v>
      </c>
      <c r="Z22" s="12">
        <v>19</v>
      </c>
      <c r="AA22" s="12">
        <v>32</v>
      </c>
      <c r="AB22" s="12">
        <v>18</v>
      </c>
      <c r="AC22" s="12">
        <v>10</v>
      </c>
      <c r="AD22" s="12">
        <v>7</v>
      </c>
      <c r="AE22" s="12">
        <v>2</v>
      </c>
      <c r="AF22" s="12">
        <v>3</v>
      </c>
      <c r="AG22" s="12">
        <v>20</v>
      </c>
      <c r="AH22" s="12">
        <v>15</v>
      </c>
      <c r="AI22" s="17">
        <v>77</v>
      </c>
      <c r="AJ22" s="12">
        <v>-23</v>
      </c>
      <c r="AK22" s="12">
        <v>72</v>
      </c>
      <c r="AL22" s="12">
        <v>85</v>
      </c>
      <c r="AM22" s="19">
        <v>0.94117647058823528</v>
      </c>
      <c r="AN22" s="19">
        <v>1.2261904761904763</v>
      </c>
      <c r="AO22" s="18">
        <v>111.11111111111111</v>
      </c>
      <c r="AP22" s="18">
        <v>139.18918918918919</v>
      </c>
      <c r="AQ22" s="18">
        <v>-28.078078078078079</v>
      </c>
      <c r="AR22" s="53">
        <v>0.50724637681159424</v>
      </c>
      <c r="AS22" s="53">
        <v>0.53333333333333333</v>
      </c>
      <c r="AT22" s="16">
        <v>0.15294117647058825</v>
      </c>
      <c r="AU22" s="19">
        <v>1.5384615384615385</v>
      </c>
      <c r="AV22" s="16">
        <v>0.23529411764705882</v>
      </c>
      <c r="AW22" s="19">
        <v>0.4</v>
      </c>
      <c r="AX22" s="16">
        <v>0.12941176470588237</v>
      </c>
      <c r="AY22" s="19">
        <v>1.0909090909090908</v>
      </c>
      <c r="AZ22" s="16">
        <v>7.0588235294117646E-2</v>
      </c>
      <c r="BA22" s="19">
        <v>2</v>
      </c>
      <c r="BB22" s="16">
        <v>0.22352941176470589</v>
      </c>
      <c r="BC22" s="21">
        <v>0.94736842105263153</v>
      </c>
      <c r="BD22" s="16">
        <v>7.0588235294117646E-2</v>
      </c>
      <c r="BE22" s="16">
        <v>0.11764705882352941</v>
      </c>
      <c r="BF22" s="16">
        <v>0.5</v>
      </c>
      <c r="BG22" s="16">
        <v>0.45</v>
      </c>
      <c r="BH22" s="16">
        <v>0.8</v>
      </c>
      <c r="BI22" s="16">
        <v>0.16666666666666666</v>
      </c>
      <c r="BJ22" s="16">
        <v>0.21176470588235294</v>
      </c>
      <c r="BK22" s="21">
        <v>1.8</v>
      </c>
      <c r="BL22" s="16">
        <v>0.31707317073170732</v>
      </c>
      <c r="BM22" s="16">
        <v>0.45833333333333331</v>
      </c>
      <c r="BN22" s="16">
        <v>0.13333333333333333</v>
      </c>
      <c r="BO22" s="16">
        <v>0</v>
      </c>
      <c r="BP22" s="16">
        <v>0.65517241379310343</v>
      </c>
      <c r="BQ22" s="16">
        <v>0.69230769230769229</v>
      </c>
      <c r="BR22" s="16">
        <v>0.7142857142857143</v>
      </c>
      <c r="BS22" s="16">
        <v>0</v>
      </c>
      <c r="BT22" s="16">
        <v>0.45714285714285713</v>
      </c>
      <c r="BU22" s="16">
        <v>9.45945945945946E-2</v>
      </c>
      <c r="BV22" s="16">
        <v>3.1746031746031744E-2</v>
      </c>
      <c r="BW22" s="54">
        <v>3</v>
      </c>
      <c r="BX22" s="54">
        <v>0.75</v>
      </c>
      <c r="BY22" s="54">
        <v>0.53333333333333333</v>
      </c>
      <c r="BZ22" s="12">
        <v>9</v>
      </c>
      <c r="CA22" s="12">
        <v>8</v>
      </c>
      <c r="CB22" s="12">
        <v>1</v>
      </c>
      <c r="CC22" s="12">
        <v>2</v>
      </c>
      <c r="CD22" s="12">
        <v>3</v>
      </c>
      <c r="CE22" s="12">
        <v>0</v>
      </c>
      <c r="CF22" s="12">
        <v>7</v>
      </c>
      <c r="CG22" s="12">
        <v>0</v>
      </c>
      <c r="CH22" s="12">
        <v>1</v>
      </c>
      <c r="CI22" s="12">
        <v>0</v>
      </c>
      <c r="CJ22" s="12">
        <v>0</v>
      </c>
      <c r="CK22" s="12">
        <v>0</v>
      </c>
      <c r="CL22" s="12">
        <v>2</v>
      </c>
      <c r="CM22" s="12">
        <v>0</v>
      </c>
      <c r="CN22" s="12">
        <v>0</v>
      </c>
      <c r="CO22" s="12">
        <v>0</v>
      </c>
      <c r="CP22" s="12">
        <v>3</v>
      </c>
      <c r="CQ22" s="12">
        <v>0</v>
      </c>
      <c r="CR22" s="12">
        <v>6</v>
      </c>
      <c r="CS22" s="12">
        <v>0</v>
      </c>
      <c r="CT22" s="12">
        <v>0</v>
      </c>
      <c r="CU22" s="12">
        <v>0</v>
      </c>
      <c r="CV22" s="12">
        <v>1</v>
      </c>
      <c r="CW22" s="12">
        <v>0</v>
      </c>
      <c r="CX22" s="12">
        <v>9</v>
      </c>
      <c r="CY22" s="12">
        <v>0</v>
      </c>
      <c r="CZ22" s="12">
        <v>0</v>
      </c>
      <c r="DA22" s="12">
        <v>0</v>
      </c>
      <c r="DB22" s="12">
        <v>1</v>
      </c>
      <c r="DC22" s="12">
        <v>1</v>
      </c>
      <c r="DD22" s="12">
        <v>1</v>
      </c>
      <c r="DE22" s="12">
        <v>2</v>
      </c>
      <c r="DF22" s="12">
        <v>8</v>
      </c>
      <c r="DG22" s="12">
        <v>12</v>
      </c>
      <c r="DH22" s="12">
        <v>0</v>
      </c>
      <c r="DI22" s="12">
        <v>0</v>
      </c>
      <c r="DJ22" s="12">
        <v>0</v>
      </c>
      <c r="DK22" s="12">
        <v>0</v>
      </c>
      <c r="DL22" s="12">
        <v>10</v>
      </c>
      <c r="DM22" s="12">
        <v>13</v>
      </c>
      <c r="DN22" s="12">
        <v>4</v>
      </c>
      <c r="DO22" s="12">
        <v>20</v>
      </c>
      <c r="DP22" s="12">
        <v>6</v>
      </c>
      <c r="DQ22" s="12">
        <v>11</v>
      </c>
      <c r="DR22" s="12">
        <v>4</v>
      </c>
      <c r="DS22" s="12">
        <v>6</v>
      </c>
      <c r="DT22" s="12">
        <v>6</v>
      </c>
      <c r="DU22" s="12">
        <v>19</v>
      </c>
      <c r="DV22" s="12">
        <v>0</v>
      </c>
      <c r="DW22" s="12">
        <v>0</v>
      </c>
      <c r="DX22" s="12">
        <v>103</v>
      </c>
      <c r="DY22" s="12">
        <v>21</v>
      </c>
      <c r="DZ22" s="12">
        <v>34</v>
      </c>
      <c r="EA22" s="16">
        <v>0.61764705882352944</v>
      </c>
      <c r="EB22" s="12">
        <v>12</v>
      </c>
      <c r="EC22" s="12">
        <v>29</v>
      </c>
      <c r="ED22" s="16">
        <v>0.41379310344827586</v>
      </c>
      <c r="EE22" s="12">
        <v>33</v>
      </c>
      <c r="EF22" s="12">
        <v>63</v>
      </c>
      <c r="EG22" s="16">
        <v>0.52380952380952384</v>
      </c>
      <c r="EH22" s="12">
        <v>25</v>
      </c>
      <c r="EI22" s="12">
        <v>28</v>
      </c>
      <c r="EJ22" s="16">
        <v>0.8928571428571429</v>
      </c>
      <c r="EK22" s="12">
        <v>10</v>
      </c>
      <c r="EL22" s="12">
        <v>28</v>
      </c>
      <c r="EM22" s="12">
        <v>38</v>
      </c>
      <c r="EN22" s="12">
        <v>22</v>
      </c>
      <c r="EO22" s="12">
        <v>16</v>
      </c>
      <c r="EP22" s="12">
        <v>20</v>
      </c>
      <c r="EQ22" s="12">
        <v>3</v>
      </c>
      <c r="ER22" s="12">
        <v>9</v>
      </c>
      <c r="ES22" s="12">
        <v>3</v>
      </c>
      <c r="ET22" s="12">
        <v>2</v>
      </c>
      <c r="EU22" s="12">
        <v>129</v>
      </c>
      <c r="EV22" s="12">
        <v>23</v>
      </c>
      <c r="EW22" s="12">
        <v>74</v>
      </c>
      <c r="EX22" s="12">
        <v>84</v>
      </c>
      <c r="EY22" s="12">
        <v>4</v>
      </c>
      <c r="EZ22" s="12">
        <v>9</v>
      </c>
      <c r="FA22" s="12">
        <v>10</v>
      </c>
      <c r="FB22" s="12">
        <v>2</v>
      </c>
      <c r="FC22" s="12">
        <v>2</v>
      </c>
      <c r="FD22" s="12">
        <v>2</v>
      </c>
      <c r="FE22" s="12">
        <v>0</v>
      </c>
      <c r="FF22" s="12">
        <v>2</v>
      </c>
      <c r="FG22" s="12">
        <v>0</v>
      </c>
      <c r="FH22" s="12">
        <v>0</v>
      </c>
      <c r="FI22" s="12">
        <v>0</v>
      </c>
      <c r="FJ22" s="12">
        <v>0</v>
      </c>
      <c r="FK22" s="12">
        <v>0</v>
      </c>
      <c r="FL22" s="12">
        <v>4</v>
      </c>
      <c r="FM22" s="12">
        <v>0</v>
      </c>
      <c r="FN22" s="12">
        <v>2</v>
      </c>
      <c r="FO22" s="12">
        <v>0</v>
      </c>
      <c r="FP22" s="12">
        <v>0</v>
      </c>
      <c r="FQ22" s="12">
        <v>0</v>
      </c>
      <c r="FR22" s="12">
        <v>9</v>
      </c>
      <c r="FS22" s="12">
        <v>0</v>
      </c>
      <c r="FT22" s="12">
        <v>4</v>
      </c>
      <c r="FU22" s="12">
        <v>0</v>
      </c>
      <c r="FV22" s="12">
        <v>2</v>
      </c>
      <c r="FW22" s="12">
        <v>0</v>
      </c>
      <c r="FX22" s="12">
        <v>11</v>
      </c>
      <c r="FY22" s="12">
        <v>0</v>
      </c>
      <c r="FZ22" s="12">
        <v>1</v>
      </c>
      <c r="GA22" s="12">
        <v>0</v>
      </c>
      <c r="GB22" s="12">
        <v>1</v>
      </c>
      <c r="GC22" s="12">
        <v>1</v>
      </c>
      <c r="GD22" s="12">
        <v>2</v>
      </c>
      <c r="GE22" s="12">
        <v>3</v>
      </c>
      <c r="GF22" s="12">
        <v>22</v>
      </c>
      <c r="GG22" s="12">
        <v>24</v>
      </c>
      <c r="GH22" s="12">
        <v>0</v>
      </c>
      <c r="GI22" s="12">
        <v>0</v>
      </c>
      <c r="GJ22" s="12">
        <v>0</v>
      </c>
      <c r="GK22" s="12">
        <v>0</v>
      </c>
      <c r="GL22" s="12">
        <v>13</v>
      </c>
      <c r="GM22" s="12">
        <v>18</v>
      </c>
      <c r="GN22" s="12">
        <v>7</v>
      </c>
      <c r="GO22" s="12">
        <v>15</v>
      </c>
      <c r="GP22" s="12">
        <v>1</v>
      </c>
      <c r="GQ22" s="12">
        <v>1</v>
      </c>
      <c r="GR22" s="12">
        <v>4</v>
      </c>
      <c r="GS22" s="12">
        <v>5</v>
      </c>
      <c r="GT22" s="12">
        <v>8</v>
      </c>
      <c r="GU22" s="12">
        <v>21</v>
      </c>
      <c r="GV22" s="12">
        <v>0</v>
      </c>
      <c r="GW22" s="12">
        <v>3</v>
      </c>
      <c r="GY22" s="16"/>
    </row>
    <row r="23" spans="2:207" ht="15" customHeight="1" x14ac:dyDescent="0.2">
      <c r="B23" s="12">
        <v>2</v>
      </c>
      <c r="C23" s="12" t="s">
        <v>298</v>
      </c>
      <c r="D23" s="12" t="s">
        <v>277</v>
      </c>
      <c r="E23" s="14" t="s">
        <v>300</v>
      </c>
      <c r="F23" s="14" t="s">
        <v>279</v>
      </c>
      <c r="G23" s="15">
        <v>45211</v>
      </c>
      <c r="H23" s="15" t="s">
        <v>271</v>
      </c>
      <c r="I23" s="12" t="s">
        <v>269</v>
      </c>
      <c r="J23" s="12" t="s">
        <v>270</v>
      </c>
      <c r="K23" s="12">
        <v>200</v>
      </c>
      <c r="L23" s="12">
        <v>103</v>
      </c>
      <c r="M23" s="12">
        <v>21</v>
      </c>
      <c r="N23" s="12">
        <v>34</v>
      </c>
      <c r="O23" s="16">
        <v>0.61764705882352944</v>
      </c>
      <c r="P23" s="12">
        <v>12</v>
      </c>
      <c r="Q23" s="12">
        <v>29</v>
      </c>
      <c r="R23" s="16">
        <v>0.41379310344827586</v>
      </c>
      <c r="S23" s="12">
        <v>33</v>
      </c>
      <c r="T23" s="12">
        <v>63</v>
      </c>
      <c r="U23" s="16">
        <v>0.52380952380952384</v>
      </c>
      <c r="V23" s="12">
        <v>25</v>
      </c>
      <c r="W23" s="12">
        <v>28</v>
      </c>
      <c r="X23" s="16">
        <v>0.8928571428571429</v>
      </c>
      <c r="Y23" s="12">
        <v>10</v>
      </c>
      <c r="Z23" s="12">
        <v>28</v>
      </c>
      <c r="AA23" s="12">
        <v>38</v>
      </c>
      <c r="AB23" s="12">
        <v>22</v>
      </c>
      <c r="AC23" s="12">
        <v>9</v>
      </c>
      <c r="AD23" s="12">
        <v>3</v>
      </c>
      <c r="AE23" s="12">
        <v>3</v>
      </c>
      <c r="AF23" s="12">
        <v>2</v>
      </c>
      <c r="AG23" s="12">
        <v>16</v>
      </c>
      <c r="AH23" s="12">
        <v>20</v>
      </c>
      <c r="AI23" s="17">
        <v>129</v>
      </c>
      <c r="AJ23" s="12">
        <v>23</v>
      </c>
      <c r="AK23" s="12">
        <v>74</v>
      </c>
      <c r="AL23" s="12">
        <v>84</v>
      </c>
      <c r="AM23" s="19">
        <v>1.2261904761904763</v>
      </c>
      <c r="AN23" s="19">
        <v>0.94117647058823528</v>
      </c>
      <c r="AO23" s="18">
        <v>139.18918918918919</v>
      </c>
      <c r="AP23" s="18">
        <v>111.11111111111111</v>
      </c>
      <c r="AQ23" s="18">
        <v>28.078078078078079</v>
      </c>
      <c r="AR23" s="53">
        <v>0.61904761904761907</v>
      </c>
      <c r="AS23" s="53">
        <v>0.68666666666666665</v>
      </c>
      <c r="AT23" s="16">
        <v>0.21428571428571427</v>
      </c>
      <c r="AU23" s="19">
        <v>1.4444444444444444</v>
      </c>
      <c r="AV23" s="16">
        <v>0.17857142857142858</v>
      </c>
      <c r="AW23" s="19">
        <v>0.93333333333333335</v>
      </c>
      <c r="AX23" s="16">
        <v>1.1904761904761904E-2</v>
      </c>
      <c r="AY23" s="19">
        <v>2</v>
      </c>
      <c r="AZ23" s="16">
        <v>5.9523809523809521E-2</v>
      </c>
      <c r="BA23" s="19">
        <v>2.4</v>
      </c>
      <c r="BB23" s="16">
        <v>0.25</v>
      </c>
      <c r="BC23" s="21">
        <v>1.1428571428571428</v>
      </c>
      <c r="BD23" s="16">
        <v>0.14285714285714285</v>
      </c>
      <c r="BE23" s="16">
        <v>0.10714285714285714</v>
      </c>
      <c r="BF23" s="16">
        <v>0.46666666666666667</v>
      </c>
      <c r="BG23" s="16">
        <v>0.42857142857142855</v>
      </c>
      <c r="BH23" s="16">
        <v>0.83333333333333337</v>
      </c>
      <c r="BI23" s="16">
        <v>0.16666666666666666</v>
      </c>
      <c r="BJ23" s="16">
        <v>0.26190476190476192</v>
      </c>
      <c r="BK23" s="21">
        <v>2.4444444444444446</v>
      </c>
      <c r="BL23" s="16">
        <v>0.34482758620689657</v>
      </c>
      <c r="BM23" s="16">
        <v>0.30769230769230771</v>
      </c>
      <c r="BN23" s="16">
        <v>0.2857142857142857</v>
      </c>
      <c r="BO23" s="16">
        <v>1</v>
      </c>
      <c r="BP23" s="16">
        <v>0.68292682926829273</v>
      </c>
      <c r="BQ23" s="16">
        <v>0.54166666666666663</v>
      </c>
      <c r="BR23" s="16">
        <v>0.8666666666666667</v>
      </c>
      <c r="BS23" s="16">
        <v>1</v>
      </c>
      <c r="BT23" s="16">
        <v>0.54285714285714282</v>
      </c>
      <c r="BU23" s="16">
        <v>4.1666666666666664E-2</v>
      </c>
      <c r="BV23" s="16">
        <v>4.3478260869565216E-2</v>
      </c>
      <c r="BW23" s="54">
        <v>4</v>
      </c>
      <c r="BX23" s="54">
        <v>0.5</v>
      </c>
      <c r="BY23" s="54">
        <v>0.75</v>
      </c>
      <c r="BZ23" s="12">
        <v>9</v>
      </c>
      <c r="CA23" s="12">
        <v>10</v>
      </c>
      <c r="CB23" s="12">
        <v>2</v>
      </c>
      <c r="CC23" s="12">
        <v>2</v>
      </c>
      <c r="CD23" s="12">
        <v>2</v>
      </c>
      <c r="CE23" s="12">
        <v>0</v>
      </c>
      <c r="CF23" s="12">
        <v>2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4</v>
      </c>
      <c r="CM23" s="12">
        <v>0</v>
      </c>
      <c r="CN23" s="12">
        <v>2</v>
      </c>
      <c r="CO23" s="12">
        <v>0</v>
      </c>
      <c r="CP23" s="12">
        <v>0</v>
      </c>
      <c r="CQ23" s="12">
        <v>0</v>
      </c>
      <c r="CR23" s="12">
        <v>9</v>
      </c>
      <c r="CS23" s="12">
        <v>0</v>
      </c>
      <c r="CT23" s="12">
        <v>4</v>
      </c>
      <c r="CU23" s="12">
        <v>0</v>
      </c>
      <c r="CV23" s="12">
        <v>2</v>
      </c>
      <c r="CW23" s="12">
        <v>0</v>
      </c>
      <c r="CX23" s="12">
        <v>11</v>
      </c>
      <c r="CY23" s="12">
        <v>0</v>
      </c>
      <c r="CZ23" s="12">
        <v>1</v>
      </c>
      <c r="DA23" s="12">
        <v>0</v>
      </c>
      <c r="DB23" s="12">
        <v>1</v>
      </c>
      <c r="DC23" s="12">
        <v>1</v>
      </c>
      <c r="DD23" s="12">
        <v>2</v>
      </c>
      <c r="DE23" s="12">
        <v>3</v>
      </c>
      <c r="DF23" s="12">
        <v>22</v>
      </c>
      <c r="DG23" s="12">
        <v>24</v>
      </c>
      <c r="DH23" s="12">
        <v>0</v>
      </c>
      <c r="DI23" s="12">
        <v>0</v>
      </c>
      <c r="DJ23" s="12">
        <v>0</v>
      </c>
      <c r="DK23" s="12">
        <v>0</v>
      </c>
      <c r="DL23" s="12">
        <v>13</v>
      </c>
      <c r="DM23" s="12">
        <v>18</v>
      </c>
      <c r="DN23" s="12">
        <v>7</v>
      </c>
      <c r="DO23" s="12">
        <v>15</v>
      </c>
      <c r="DP23" s="12">
        <v>1</v>
      </c>
      <c r="DQ23" s="12">
        <v>1</v>
      </c>
      <c r="DR23" s="12">
        <v>4</v>
      </c>
      <c r="DS23" s="12">
        <v>5</v>
      </c>
      <c r="DT23" s="12">
        <v>8</v>
      </c>
      <c r="DU23" s="12">
        <v>21</v>
      </c>
      <c r="DV23" s="12">
        <v>0</v>
      </c>
      <c r="DW23" s="12">
        <v>3</v>
      </c>
      <c r="DX23" s="12">
        <v>80</v>
      </c>
      <c r="DY23" s="12">
        <v>20</v>
      </c>
      <c r="DZ23" s="12">
        <v>44</v>
      </c>
      <c r="EA23" s="16">
        <v>0.45454545454545453</v>
      </c>
      <c r="EB23" s="12">
        <v>10</v>
      </c>
      <c r="EC23" s="12">
        <v>25</v>
      </c>
      <c r="ED23" s="16">
        <v>0.4</v>
      </c>
      <c r="EE23" s="12">
        <v>30</v>
      </c>
      <c r="EF23" s="12">
        <v>69</v>
      </c>
      <c r="EG23" s="16">
        <v>0.43478260869565216</v>
      </c>
      <c r="EH23" s="12">
        <v>10</v>
      </c>
      <c r="EI23" s="12">
        <v>15</v>
      </c>
      <c r="EJ23" s="16">
        <v>0.66666666666666663</v>
      </c>
      <c r="EK23" s="12">
        <v>13</v>
      </c>
      <c r="EL23" s="12">
        <v>19</v>
      </c>
      <c r="EM23" s="12">
        <v>32</v>
      </c>
      <c r="EN23" s="12">
        <v>18</v>
      </c>
      <c r="EO23" s="12">
        <v>21</v>
      </c>
      <c r="EP23" s="12">
        <v>15</v>
      </c>
      <c r="EQ23" s="12">
        <v>7</v>
      </c>
      <c r="ER23" s="12">
        <v>10</v>
      </c>
      <c r="ES23" s="12">
        <v>2</v>
      </c>
      <c r="ET23" s="12">
        <v>3</v>
      </c>
      <c r="EU23" s="12">
        <v>76</v>
      </c>
      <c r="EV23" s="12">
        <v>-23</v>
      </c>
      <c r="EW23" s="12">
        <v>72</v>
      </c>
      <c r="EX23" s="12">
        <v>85</v>
      </c>
      <c r="EY23" s="12">
        <v>3</v>
      </c>
      <c r="EZ23" s="12">
        <v>9</v>
      </c>
      <c r="FA23" s="12">
        <v>8</v>
      </c>
      <c r="FB23" s="12">
        <v>1</v>
      </c>
      <c r="FC23" s="12">
        <v>2</v>
      </c>
      <c r="FD23" s="12">
        <v>3</v>
      </c>
      <c r="FE23" s="12">
        <v>0</v>
      </c>
      <c r="FF23" s="12">
        <v>7</v>
      </c>
      <c r="FG23" s="12">
        <v>0</v>
      </c>
      <c r="FH23" s="12">
        <v>1</v>
      </c>
      <c r="FI23" s="12">
        <v>0</v>
      </c>
      <c r="FJ23" s="12">
        <v>0</v>
      </c>
      <c r="FK23" s="12">
        <v>0</v>
      </c>
      <c r="FL23" s="12">
        <v>2</v>
      </c>
      <c r="FM23" s="12">
        <v>0</v>
      </c>
      <c r="FN23" s="12">
        <v>0</v>
      </c>
      <c r="FO23" s="12">
        <v>0</v>
      </c>
      <c r="FP23" s="12">
        <v>3</v>
      </c>
      <c r="FQ23" s="12">
        <v>0</v>
      </c>
      <c r="FR23" s="12">
        <v>6</v>
      </c>
      <c r="FS23" s="12">
        <v>0</v>
      </c>
      <c r="FT23" s="12">
        <v>0</v>
      </c>
      <c r="FU23" s="12">
        <v>0</v>
      </c>
      <c r="FV23" s="12">
        <v>1</v>
      </c>
      <c r="FW23" s="12">
        <v>0</v>
      </c>
      <c r="FX23" s="12">
        <v>9</v>
      </c>
      <c r="FY23" s="12">
        <v>0</v>
      </c>
      <c r="FZ23" s="12">
        <v>0</v>
      </c>
      <c r="GA23" s="12">
        <v>0</v>
      </c>
      <c r="GB23" s="12">
        <v>1</v>
      </c>
      <c r="GC23" s="12">
        <v>1</v>
      </c>
      <c r="GD23" s="12">
        <v>1</v>
      </c>
      <c r="GE23" s="12">
        <v>2</v>
      </c>
      <c r="GF23" s="12">
        <v>8</v>
      </c>
      <c r="GG23" s="12">
        <v>12</v>
      </c>
      <c r="GH23" s="12">
        <v>0</v>
      </c>
      <c r="GI23" s="12">
        <v>0</v>
      </c>
      <c r="GJ23" s="12">
        <v>0</v>
      </c>
      <c r="GK23" s="12">
        <v>0</v>
      </c>
      <c r="GL23" s="12">
        <v>10</v>
      </c>
      <c r="GM23" s="12">
        <v>13</v>
      </c>
      <c r="GN23" s="12">
        <v>4</v>
      </c>
      <c r="GO23" s="12">
        <v>20</v>
      </c>
      <c r="GP23" s="12">
        <v>6</v>
      </c>
      <c r="GQ23" s="12">
        <v>11</v>
      </c>
      <c r="GR23" s="12">
        <v>4</v>
      </c>
      <c r="GS23" s="12">
        <v>6</v>
      </c>
      <c r="GT23" s="12">
        <v>6</v>
      </c>
      <c r="GU23" s="12">
        <v>19</v>
      </c>
      <c r="GV23" s="12">
        <v>0</v>
      </c>
      <c r="GW23" s="12">
        <v>0</v>
      </c>
      <c r="GY23" s="16"/>
    </row>
    <row r="24" spans="2:207" ht="15" customHeight="1" x14ac:dyDescent="0.2">
      <c r="B24" s="12">
        <v>2</v>
      </c>
      <c r="C24" s="12" t="s">
        <v>265</v>
      </c>
      <c r="D24" s="12" t="s">
        <v>274</v>
      </c>
      <c r="E24" s="14" t="s">
        <v>267</v>
      </c>
      <c r="F24" s="14" t="s">
        <v>276</v>
      </c>
      <c r="G24" s="15">
        <v>45211</v>
      </c>
      <c r="H24" s="15" t="s">
        <v>268</v>
      </c>
      <c r="I24" s="12" t="s">
        <v>269</v>
      </c>
      <c r="J24" s="12" t="s">
        <v>272</v>
      </c>
      <c r="K24" s="12">
        <v>200</v>
      </c>
      <c r="L24" s="12">
        <v>62</v>
      </c>
      <c r="M24" s="12">
        <v>19</v>
      </c>
      <c r="N24" s="12">
        <v>39</v>
      </c>
      <c r="O24" s="16">
        <v>0.48717948717948717</v>
      </c>
      <c r="P24" s="12">
        <v>4</v>
      </c>
      <c r="Q24" s="12">
        <v>27</v>
      </c>
      <c r="R24" s="16">
        <v>0.14814814814814814</v>
      </c>
      <c r="S24" s="12">
        <v>23</v>
      </c>
      <c r="T24" s="12">
        <v>66</v>
      </c>
      <c r="U24" s="16">
        <v>0.34848484848484851</v>
      </c>
      <c r="V24" s="12">
        <v>12</v>
      </c>
      <c r="W24" s="12">
        <v>12</v>
      </c>
      <c r="X24" s="16">
        <v>1</v>
      </c>
      <c r="Y24" s="12">
        <v>14</v>
      </c>
      <c r="Z24" s="12">
        <v>21</v>
      </c>
      <c r="AA24" s="12">
        <v>35</v>
      </c>
      <c r="AB24" s="12">
        <v>9</v>
      </c>
      <c r="AC24" s="12">
        <v>14</v>
      </c>
      <c r="AD24" s="12">
        <v>4</v>
      </c>
      <c r="AE24" s="12">
        <v>0</v>
      </c>
      <c r="AF24" s="12">
        <v>6</v>
      </c>
      <c r="AG24" s="12">
        <v>17</v>
      </c>
      <c r="AH24" s="12">
        <v>19</v>
      </c>
      <c r="AI24" s="17">
        <v>49</v>
      </c>
      <c r="AJ24" s="12">
        <v>-26</v>
      </c>
      <c r="AK24" s="12">
        <v>70</v>
      </c>
      <c r="AL24" s="12">
        <v>84</v>
      </c>
      <c r="AM24" s="19">
        <v>0.73809523809523814</v>
      </c>
      <c r="AN24" s="19">
        <v>1.1282051282051282</v>
      </c>
      <c r="AO24" s="18">
        <v>88.571428571428569</v>
      </c>
      <c r="AP24" s="18">
        <v>125.71428571428571</v>
      </c>
      <c r="AQ24" s="18">
        <v>-37.142857142857139</v>
      </c>
      <c r="AR24" s="53">
        <v>0.37878787878787878</v>
      </c>
      <c r="AS24" s="53">
        <v>0.44285714285714284</v>
      </c>
      <c r="AT24" s="16">
        <v>0.21428571428571427</v>
      </c>
      <c r="AU24" s="19">
        <v>1.4444444444444444</v>
      </c>
      <c r="AV24" s="16">
        <v>0.21428571428571427</v>
      </c>
      <c r="AW24" s="19">
        <v>0.44444444444444442</v>
      </c>
      <c r="AX24" s="16">
        <v>3.5714285714285712E-2</v>
      </c>
      <c r="AY24" s="19">
        <v>1.3333333333333333</v>
      </c>
      <c r="AZ24" s="16">
        <v>0.10714285714285714</v>
      </c>
      <c r="BA24" s="19">
        <v>0.66666666666666663</v>
      </c>
      <c r="BB24" s="16">
        <v>0.21428571428571427</v>
      </c>
      <c r="BC24" s="21">
        <v>0.33333333333333331</v>
      </c>
      <c r="BD24" s="16">
        <v>4.7619047619047616E-2</v>
      </c>
      <c r="BE24" s="16">
        <v>0.16666666666666666</v>
      </c>
      <c r="BF24" s="16">
        <v>0.33333333333333331</v>
      </c>
      <c r="BG24" s="16">
        <v>0.15789473684210525</v>
      </c>
      <c r="BH24" s="16">
        <v>1</v>
      </c>
      <c r="BI24" s="16">
        <v>0.5</v>
      </c>
      <c r="BJ24" s="16">
        <v>0.10714285714285714</v>
      </c>
      <c r="BK24" s="21">
        <v>0.6428571428571429</v>
      </c>
      <c r="BL24" s="16">
        <v>0.33333333333333331</v>
      </c>
      <c r="BM24" s="16">
        <v>0.41666666666666669</v>
      </c>
      <c r="BN24" s="16">
        <v>0.30434782608695654</v>
      </c>
      <c r="BO24" s="16" t="s">
        <v>269</v>
      </c>
      <c r="BP24" s="16">
        <v>0.72413793103448276</v>
      </c>
      <c r="BQ24" s="16">
        <v>0.76923076923076927</v>
      </c>
      <c r="BR24" s="16">
        <v>0.66666666666666663</v>
      </c>
      <c r="BS24" s="16">
        <v>1</v>
      </c>
      <c r="BT24" s="16">
        <v>0.49295774647887325</v>
      </c>
      <c r="BU24" s="16">
        <v>5.7142857142857141E-2</v>
      </c>
      <c r="BV24" s="16">
        <v>0</v>
      </c>
      <c r="BW24" s="54">
        <v>3</v>
      </c>
      <c r="BX24" s="54">
        <v>0.6470588235294118</v>
      </c>
      <c r="BY24" s="54">
        <v>0.42105263157894735</v>
      </c>
      <c r="BZ24" s="12">
        <v>3</v>
      </c>
      <c r="CA24" s="12">
        <v>4</v>
      </c>
      <c r="CB24" s="12">
        <v>2</v>
      </c>
      <c r="CC24" s="12">
        <v>4</v>
      </c>
      <c r="CD24" s="12">
        <v>2</v>
      </c>
      <c r="CE24" s="12">
        <v>1</v>
      </c>
      <c r="CF24" s="12">
        <v>5</v>
      </c>
      <c r="CG24" s="12">
        <v>2</v>
      </c>
      <c r="CH24" s="12">
        <v>0</v>
      </c>
      <c r="CI24" s="12">
        <v>0</v>
      </c>
      <c r="CJ24" s="12">
        <v>1</v>
      </c>
      <c r="CK24" s="12">
        <v>0</v>
      </c>
      <c r="CL24" s="12">
        <v>6</v>
      </c>
      <c r="CM24" s="12">
        <v>0</v>
      </c>
      <c r="CN24" s="12">
        <v>0</v>
      </c>
      <c r="CO24" s="12">
        <v>0</v>
      </c>
      <c r="CP24" s="12">
        <v>1</v>
      </c>
      <c r="CQ24" s="12">
        <v>0</v>
      </c>
      <c r="CR24" s="12">
        <v>5</v>
      </c>
      <c r="CS24" s="12">
        <v>0</v>
      </c>
      <c r="CT24" s="12">
        <v>4</v>
      </c>
      <c r="CU24" s="12">
        <v>0</v>
      </c>
      <c r="CV24" s="12">
        <v>2</v>
      </c>
      <c r="CW24" s="12">
        <v>0</v>
      </c>
      <c r="CX24" s="12">
        <v>8</v>
      </c>
      <c r="CY24" s="12">
        <v>0</v>
      </c>
      <c r="CZ24" s="12">
        <v>1</v>
      </c>
      <c r="DA24" s="12">
        <v>0</v>
      </c>
      <c r="DB24" s="12">
        <v>0</v>
      </c>
      <c r="DC24" s="12">
        <v>0</v>
      </c>
      <c r="DD24" s="12">
        <v>4</v>
      </c>
      <c r="DE24" s="12">
        <v>4</v>
      </c>
      <c r="DF24" s="12">
        <v>8</v>
      </c>
      <c r="DG24" s="12">
        <v>8</v>
      </c>
      <c r="DH24" s="12">
        <v>0</v>
      </c>
      <c r="DI24" s="12">
        <v>0</v>
      </c>
      <c r="DJ24" s="12">
        <v>0</v>
      </c>
      <c r="DK24" s="12">
        <v>0</v>
      </c>
      <c r="DL24" s="12">
        <v>13</v>
      </c>
      <c r="DM24" s="12">
        <v>18</v>
      </c>
      <c r="DN24" s="12">
        <v>4</v>
      </c>
      <c r="DO24" s="12">
        <v>18</v>
      </c>
      <c r="DP24" s="12">
        <v>2</v>
      </c>
      <c r="DQ24" s="12">
        <v>3</v>
      </c>
      <c r="DR24" s="12">
        <v>2</v>
      </c>
      <c r="DS24" s="12">
        <v>9</v>
      </c>
      <c r="DT24" s="12">
        <v>2</v>
      </c>
      <c r="DU24" s="12">
        <v>18</v>
      </c>
      <c r="DV24" s="12">
        <v>0</v>
      </c>
      <c r="DW24" s="12">
        <v>0</v>
      </c>
      <c r="DX24" s="12">
        <v>88</v>
      </c>
      <c r="DY24" s="12">
        <v>28</v>
      </c>
      <c r="DZ24" s="12">
        <v>41</v>
      </c>
      <c r="EA24" s="16">
        <v>0.68292682926829273</v>
      </c>
      <c r="EB24" s="12">
        <v>4</v>
      </c>
      <c r="EC24" s="12">
        <v>19</v>
      </c>
      <c r="ED24" s="16">
        <v>0.21052631578947367</v>
      </c>
      <c r="EE24" s="12">
        <v>32</v>
      </c>
      <c r="EF24" s="12">
        <v>60</v>
      </c>
      <c r="EG24" s="16">
        <v>0.53333333333333333</v>
      </c>
      <c r="EH24" s="12">
        <v>20</v>
      </c>
      <c r="EI24" s="12">
        <v>21</v>
      </c>
      <c r="EJ24" s="16">
        <v>0.95238095238095233</v>
      </c>
      <c r="EK24" s="12">
        <v>8</v>
      </c>
      <c r="EL24" s="12">
        <v>28</v>
      </c>
      <c r="EM24" s="12">
        <v>36</v>
      </c>
      <c r="EN24" s="12">
        <v>18</v>
      </c>
      <c r="EO24" s="12">
        <v>19</v>
      </c>
      <c r="EP24" s="12">
        <v>16</v>
      </c>
      <c r="EQ24" s="12">
        <v>11</v>
      </c>
      <c r="ER24" s="12">
        <v>10</v>
      </c>
      <c r="ES24" s="12">
        <v>6</v>
      </c>
      <c r="ET24" s="12">
        <v>0</v>
      </c>
      <c r="EU24" s="12">
        <v>117</v>
      </c>
      <c r="EV24" s="12">
        <v>26</v>
      </c>
      <c r="EW24" s="12">
        <v>70</v>
      </c>
      <c r="EX24" s="12">
        <v>78</v>
      </c>
      <c r="EY24" s="12">
        <v>7</v>
      </c>
      <c r="EZ24" s="12">
        <v>14</v>
      </c>
      <c r="FA24" s="12">
        <v>3</v>
      </c>
      <c r="FB24" s="12">
        <v>1</v>
      </c>
      <c r="FC24" s="12">
        <v>3</v>
      </c>
      <c r="FD24" s="12">
        <v>1</v>
      </c>
      <c r="FE24" s="12">
        <v>0</v>
      </c>
      <c r="FF24" s="12">
        <v>1</v>
      </c>
      <c r="FG24" s="12">
        <v>0</v>
      </c>
      <c r="FH24" s="12">
        <v>1</v>
      </c>
      <c r="FI24" s="12">
        <v>0</v>
      </c>
      <c r="FJ24" s="12">
        <v>0</v>
      </c>
      <c r="FK24" s="12">
        <v>0</v>
      </c>
      <c r="FL24" s="12">
        <v>5</v>
      </c>
      <c r="FM24" s="12">
        <v>0</v>
      </c>
      <c r="FN24" s="12">
        <v>0</v>
      </c>
      <c r="FO24" s="12">
        <v>0</v>
      </c>
      <c r="FP24" s="12">
        <v>3</v>
      </c>
      <c r="FQ24" s="12">
        <v>0</v>
      </c>
      <c r="FR24" s="12">
        <v>9</v>
      </c>
      <c r="FS24" s="12">
        <v>1</v>
      </c>
      <c r="FT24" s="12">
        <v>1</v>
      </c>
      <c r="FU24" s="12">
        <v>0</v>
      </c>
      <c r="FV24" s="12">
        <v>5</v>
      </c>
      <c r="FW24" s="12">
        <v>0</v>
      </c>
      <c r="FX24" s="12">
        <v>10</v>
      </c>
      <c r="FY24" s="12">
        <v>1</v>
      </c>
      <c r="FZ24" s="12">
        <v>0</v>
      </c>
      <c r="GA24" s="12">
        <v>0</v>
      </c>
      <c r="GB24" s="12">
        <v>1</v>
      </c>
      <c r="GC24" s="12">
        <v>1</v>
      </c>
      <c r="GD24" s="12">
        <v>3</v>
      </c>
      <c r="GE24" s="12">
        <v>3</v>
      </c>
      <c r="GF24" s="12">
        <v>13</v>
      </c>
      <c r="GG24" s="12">
        <v>14</v>
      </c>
      <c r="GH24" s="12">
        <v>0</v>
      </c>
      <c r="GI24" s="12">
        <v>3</v>
      </c>
      <c r="GJ24" s="12">
        <v>3</v>
      </c>
      <c r="GK24" s="12">
        <v>0</v>
      </c>
      <c r="GL24" s="12">
        <v>16</v>
      </c>
      <c r="GM24" s="12">
        <v>18</v>
      </c>
      <c r="GN24" s="12">
        <v>8</v>
      </c>
      <c r="GO24" s="12">
        <v>14</v>
      </c>
      <c r="GP24" s="12">
        <v>4</v>
      </c>
      <c r="GQ24" s="12">
        <v>9</v>
      </c>
      <c r="GR24" s="12">
        <v>2</v>
      </c>
      <c r="GS24" s="12">
        <v>4</v>
      </c>
      <c r="GT24" s="12">
        <v>2</v>
      </c>
      <c r="GU24" s="12">
        <v>15</v>
      </c>
      <c r="GV24" s="12">
        <v>0</v>
      </c>
      <c r="GW24" s="12">
        <v>0</v>
      </c>
      <c r="GY24" s="16"/>
    </row>
    <row r="25" spans="2:207" ht="15" customHeight="1" x14ac:dyDescent="0.2">
      <c r="B25" s="12">
        <v>2</v>
      </c>
      <c r="C25" s="12" t="s">
        <v>274</v>
      </c>
      <c r="D25" s="12" t="s">
        <v>265</v>
      </c>
      <c r="E25" s="14" t="s">
        <v>276</v>
      </c>
      <c r="F25" s="14" t="s">
        <v>267</v>
      </c>
      <c r="G25" s="15">
        <v>45211</v>
      </c>
      <c r="H25" s="15" t="s">
        <v>271</v>
      </c>
      <c r="I25" s="12" t="s">
        <v>269</v>
      </c>
      <c r="J25" s="12" t="s">
        <v>270</v>
      </c>
      <c r="K25" s="12">
        <v>200</v>
      </c>
      <c r="L25" s="12">
        <v>88</v>
      </c>
      <c r="M25" s="12">
        <v>28</v>
      </c>
      <c r="N25" s="12">
        <v>41</v>
      </c>
      <c r="O25" s="16">
        <v>0.68292682926829273</v>
      </c>
      <c r="P25" s="12">
        <v>4</v>
      </c>
      <c r="Q25" s="12">
        <v>19</v>
      </c>
      <c r="R25" s="16">
        <v>0.21052631578947367</v>
      </c>
      <c r="S25" s="12">
        <v>32</v>
      </c>
      <c r="T25" s="12">
        <v>60</v>
      </c>
      <c r="U25" s="16">
        <v>0.53333333333333333</v>
      </c>
      <c r="V25" s="12">
        <v>20</v>
      </c>
      <c r="W25" s="12">
        <v>21</v>
      </c>
      <c r="X25" s="16">
        <v>0.95238095238095233</v>
      </c>
      <c r="Y25" s="12">
        <v>8</v>
      </c>
      <c r="Z25" s="12">
        <v>28</v>
      </c>
      <c r="AA25" s="12">
        <v>36</v>
      </c>
      <c r="AB25" s="12">
        <v>18</v>
      </c>
      <c r="AC25" s="12">
        <v>10</v>
      </c>
      <c r="AD25" s="12">
        <v>11</v>
      </c>
      <c r="AE25" s="12">
        <v>6</v>
      </c>
      <c r="AF25" s="12">
        <v>0</v>
      </c>
      <c r="AG25" s="12">
        <v>19</v>
      </c>
      <c r="AH25" s="12">
        <v>16</v>
      </c>
      <c r="AI25" s="17">
        <v>117</v>
      </c>
      <c r="AJ25" s="12">
        <v>26</v>
      </c>
      <c r="AK25" s="12">
        <v>70</v>
      </c>
      <c r="AL25" s="12">
        <v>78</v>
      </c>
      <c r="AM25" s="19">
        <v>1.1282051282051282</v>
      </c>
      <c r="AN25" s="19">
        <v>0.73809523809523814</v>
      </c>
      <c r="AO25" s="18">
        <v>125.71428571428571</v>
      </c>
      <c r="AP25" s="18">
        <v>88.571428571428569</v>
      </c>
      <c r="AQ25" s="18">
        <v>37.142857142857139</v>
      </c>
      <c r="AR25" s="53">
        <v>0.56666666666666665</v>
      </c>
      <c r="AS25" s="53">
        <v>0.6470588235294118</v>
      </c>
      <c r="AT25" s="16">
        <v>0.23076923076923078</v>
      </c>
      <c r="AU25" s="19">
        <v>1.7777777777777777</v>
      </c>
      <c r="AV25" s="16">
        <v>0.17948717948717949</v>
      </c>
      <c r="AW25" s="19">
        <v>1.1428571428571428</v>
      </c>
      <c r="AX25" s="16">
        <v>0.11538461538461539</v>
      </c>
      <c r="AY25" s="19">
        <v>0.88888888888888884</v>
      </c>
      <c r="AZ25" s="16">
        <v>5.128205128205128E-2</v>
      </c>
      <c r="BA25" s="19">
        <v>1.5</v>
      </c>
      <c r="BB25" s="16">
        <v>0.19230769230769232</v>
      </c>
      <c r="BC25" s="21">
        <v>0.4</v>
      </c>
      <c r="BD25" s="16">
        <v>0.10256410256410256</v>
      </c>
      <c r="BE25" s="16">
        <v>0.12820512820512819</v>
      </c>
      <c r="BF25" s="16">
        <v>0.45</v>
      </c>
      <c r="BG25" s="16">
        <v>0.5</v>
      </c>
      <c r="BH25" s="16">
        <v>0.75</v>
      </c>
      <c r="BI25" s="16">
        <v>0.125</v>
      </c>
      <c r="BJ25" s="16">
        <v>0.23076923076923078</v>
      </c>
      <c r="BK25" s="21">
        <v>1.8</v>
      </c>
      <c r="BL25" s="16">
        <v>0.27586206896551724</v>
      </c>
      <c r="BM25" s="16">
        <v>0.23076923076923078</v>
      </c>
      <c r="BN25" s="16">
        <v>0.33333333333333331</v>
      </c>
      <c r="BO25" s="16">
        <v>0</v>
      </c>
      <c r="BP25" s="16">
        <v>0.66666666666666663</v>
      </c>
      <c r="BQ25" s="16">
        <v>0.58333333333333337</v>
      </c>
      <c r="BR25" s="16">
        <v>0.69565217391304346</v>
      </c>
      <c r="BS25" s="16" t="s">
        <v>269</v>
      </c>
      <c r="BT25" s="16">
        <v>0.50704225352112675</v>
      </c>
      <c r="BU25" s="16">
        <v>0.15714285714285714</v>
      </c>
      <c r="BV25" s="16">
        <v>9.0909090909090912E-2</v>
      </c>
      <c r="BW25" s="54">
        <v>7</v>
      </c>
      <c r="BX25" s="54">
        <v>0.42105263157894735</v>
      </c>
      <c r="BY25" s="54">
        <v>0.6875</v>
      </c>
      <c r="BZ25" s="12">
        <v>14</v>
      </c>
      <c r="CA25" s="12">
        <v>3</v>
      </c>
      <c r="CB25" s="12">
        <v>1</v>
      </c>
      <c r="CC25" s="12">
        <v>3</v>
      </c>
      <c r="CD25" s="12">
        <v>1</v>
      </c>
      <c r="CE25" s="12">
        <v>0</v>
      </c>
      <c r="CF25" s="12">
        <v>1</v>
      </c>
      <c r="CG25" s="12">
        <v>0</v>
      </c>
      <c r="CH25" s="12">
        <v>1</v>
      </c>
      <c r="CI25" s="12">
        <v>0</v>
      </c>
      <c r="CJ25" s="12">
        <v>0</v>
      </c>
      <c r="CK25" s="12">
        <v>0</v>
      </c>
      <c r="CL25" s="12">
        <v>5</v>
      </c>
      <c r="CM25" s="12">
        <v>0</v>
      </c>
      <c r="CN25" s="12">
        <v>0</v>
      </c>
      <c r="CO25" s="12">
        <v>0</v>
      </c>
      <c r="CP25" s="12">
        <v>3</v>
      </c>
      <c r="CQ25" s="12">
        <v>0</v>
      </c>
      <c r="CR25" s="12">
        <v>9</v>
      </c>
      <c r="CS25" s="12">
        <v>1</v>
      </c>
      <c r="CT25" s="12">
        <v>1</v>
      </c>
      <c r="CU25" s="12">
        <v>0</v>
      </c>
      <c r="CV25" s="12">
        <v>5</v>
      </c>
      <c r="CW25" s="12">
        <v>0</v>
      </c>
      <c r="CX25" s="12">
        <v>10</v>
      </c>
      <c r="CY25" s="12">
        <v>1</v>
      </c>
      <c r="CZ25" s="12">
        <v>0</v>
      </c>
      <c r="DA25" s="12">
        <v>0</v>
      </c>
      <c r="DB25" s="12">
        <v>1</v>
      </c>
      <c r="DC25" s="12">
        <v>1</v>
      </c>
      <c r="DD25" s="12">
        <v>3</v>
      </c>
      <c r="DE25" s="12">
        <v>3</v>
      </c>
      <c r="DF25" s="12">
        <v>13</v>
      </c>
      <c r="DG25" s="12">
        <v>14</v>
      </c>
      <c r="DH25" s="12">
        <v>0</v>
      </c>
      <c r="DI25" s="12">
        <v>3</v>
      </c>
      <c r="DJ25" s="12">
        <v>3</v>
      </c>
      <c r="DK25" s="12">
        <v>0</v>
      </c>
      <c r="DL25" s="12">
        <v>16</v>
      </c>
      <c r="DM25" s="12">
        <v>18</v>
      </c>
      <c r="DN25" s="12">
        <v>8</v>
      </c>
      <c r="DO25" s="12">
        <v>14</v>
      </c>
      <c r="DP25" s="12">
        <v>4</v>
      </c>
      <c r="DQ25" s="12">
        <v>9</v>
      </c>
      <c r="DR25" s="12">
        <v>2</v>
      </c>
      <c r="DS25" s="12">
        <v>4</v>
      </c>
      <c r="DT25" s="12">
        <v>2</v>
      </c>
      <c r="DU25" s="12">
        <v>15</v>
      </c>
      <c r="DV25" s="12">
        <v>0</v>
      </c>
      <c r="DW25" s="12">
        <v>0</v>
      </c>
      <c r="DX25" s="12">
        <v>62</v>
      </c>
      <c r="DY25" s="12">
        <v>19</v>
      </c>
      <c r="DZ25" s="12">
        <v>39</v>
      </c>
      <c r="EA25" s="16">
        <v>0.48717948717948717</v>
      </c>
      <c r="EB25" s="12">
        <v>4</v>
      </c>
      <c r="EC25" s="12">
        <v>27</v>
      </c>
      <c r="ED25" s="16">
        <v>0.14814814814814814</v>
      </c>
      <c r="EE25" s="12">
        <v>23</v>
      </c>
      <c r="EF25" s="12">
        <v>66</v>
      </c>
      <c r="EG25" s="16">
        <v>0.34848484848484851</v>
      </c>
      <c r="EH25" s="12">
        <v>12</v>
      </c>
      <c r="EI25" s="12">
        <v>12</v>
      </c>
      <c r="EJ25" s="16">
        <v>1</v>
      </c>
      <c r="EK25" s="12">
        <v>14</v>
      </c>
      <c r="EL25" s="12">
        <v>21</v>
      </c>
      <c r="EM25" s="12">
        <v>35</v>
      </c>
      <c r="EN25" s="12">
        <v>9</v>
      </c>
      <c r="EO25" s="12">
        <v>17</v>
      </c>
      <c r="EP25" s="12">
        <v>19</v>
      </c>
      <c r="EQ25" s="12">
        <v>4</v>
      </c>
      <c r="ER25" s="12">
        <v>14</v>
      </c>
      <c r="ES25" s="12">
        <v>0</v>
      </c>
      <c r="ET25" s="12">
        <v>6</v>
      </c>
      <c r="EU25" s="12">
        <v>49</v>
      </c>
      <c r="EV25" s="12">
        <v>-26</v>
      </c>
      <c r="EW25" s="12">
        <v>70</v>
      </c>
      <c r="EX25" s="12">
        <v>84</v>
      </c>
      <c r="EY25" s="12">
        <v>3</v>
      </c>
      <c r="EZ25" s="12">
        <v>3</v>
      </c>
      <c r="FA25" s="12">
        <v>4</v>
      </c>
      <c r="FB25" s="12">
        <v>2</v>
      </c>
      <c r="FC25" s="12">
        <v>4</v>
      </c>
      <c r="FD25" s="12">
        <v>2</v>
      </c>
      <c r="FE25" s="12">
        <v>1</v>
      </c>
      <c r="FF25" s="12">
        <v>5</v>
      </c>
      <c r="FG25" s="12">
        <v>2</v>
      </c>
      <c r="FH25" s="12">
        <v>0</v>
      </c>
      <c r="FI25" s="12">
        <v>0</v>
      </c>
      <c r="FJ25" s="12">
        <v>1</v>
      </c>
      <c r="FK25" s="12">
        <v>0</v>
      </c>
      <c r="FL25" s="12">
        <v>6</v>
      </c>
      <c r="FM25" s="12">
        <v>0</v>
      </c>
      <c r="FN25" s="12">
        <v>0</v>
      </c>
      <c r="FO25" s="12">
        <v>0</v>
      </c>
      <c r="FP25" s="12">
        <v>1</v>
      </c>
      <c r="FQ25" s="12">
        <v>0</v>
      </c>
      <c r="FR25" s="12">
        <v>5</v>
      </c>
      <c r="FS25" s="12">
        <v>0</v>
      </c>
      <c r="FT25" s="12">
        <v>4</v>
      </c>
      <c r="FU25" s="12">
        <v>0</v>
      </c>
      <c r="FV25" s="12">
        <v>2</v>
      </c>
      <c r="FW25" s="12">
        <v>0</v>
      </c>
      <c r="FX25" s="12">
        <v>8</v>
      </c>
      <c r="FY25" s="12">
        <v>0</v>
      </c>
      <c r="FZ25" s="12">
        <v>1</v>
      </c>
      <c r="GA25" s="12">
        <v>0</v>
      </c>
      <c r="GB25" s="12">
        <v>0</v>
      </c>
      <c r="GC25" s="12">
        <v>0</v>
      </c>
      <c r="GD25" s="12">
        <v>4</v>
      </c>
      <c r="GE25" s="12">
        <v>4</v>
      </c>
      <c r="GF25" s="12">
        <v>8</v>
      </c>
      <c r="GG25" s="12">
        <v>8</v>
      </c>
      <c r="GH25" s="12">
        <v>0</v>
      </c>
      <c r="GI25" s="12">
        <v>0</v>
      </c>
      <c r="GJ25" s="12">
        <v>0</v>
      </c>
      <c r="GK25" s="12">
        <v>0</v>
      </c>
      <c r="GL25" s="12">
        <v>13</v>
      </c>
      <c r="GM25" s="12">
        <v>18</v>
      </c>
      <c r="GN25" s="12">
        <v>4</v>
      </c>
      <c r="GO25" s="12">
        <v>18</v>
      </c>
      <c r="GP25" s="12">
        <v>2</v>
      </c>
      <c r="GQ25" s="12">
        <v>3</v>
      </c>
      <c r="GR25" s="12">
        <v>2</v>
      </c>
      <c r="GS25" s="12">
        <v>9</v>
      </c>
      <c r="GT25" s="12">
        <v>2</v>
      </c>
      <c r="GU25" s="12">
        <v>18</v>
      </c>
      <c r="GV25" s="12">
        <v>0</v>
      </c>
      <c r="GW25" s="12">
        <v>0</v>
      </c>
      <c r="GY25" s="16"/>
    </row>
    <row r="26" spans="2:207" ht="15" customHeight="1" x14ac:dyDescent="0.2">
      <c r="B26" s="12">
        <v>2</v>
      </c>
      <c r="C26" s="12" t="s">
        <v>281</v>
      </c>
      <c r="D26" s="12" t="s">
        <v>297</v>
      </c>
      <c r="E26" s="14" t="s">
        <v>283</v>
      </c>
      <c r="F26" s="14" t="s">
        <v>299</v>
      </c>
      <c r="G26" s="15">
        <v>45211</v>
      </c>
      <c r="H26" s="15" t="s">
        <v>268</v>
      </c>
      <c r="I26" s="12" t="s">
        <v>269</v>
      </c>
      <c r="J26" s="12" t="s">
        <v>272</v>
      </c>
      <c r="K26" s="12">
        <v>200</v>
      </c>
      <c r="L26" s="12">
        <v>86</v>
      </c>
      <c r="M26" s="12">
        <v>23</v>
      </c>
      <c r="N26" s="12">
        <v>39</v>
      </c>
      <c r="O26" s="16">
        <v>0.58974358974358976</v>
      </c>
      <c r="P26" s="12">
        <v>8</v>
      </c>
      <c r="Q26" s="12">
        <v>28</v>
      </c>
      <c r="R26" s="16">
        <v>0.2857142857142857</v>
      </c>
      <c r="S26" s="12">
        <v>31</v>
      </c>
      <c r="T26" s="12">
        <v>67</v>
      </c>
      <c r="U26" s="16">
        <v>0.46268656716417911</v>
      </c>
      <c r="V26" s="12">
        <v>16</v>
      </c>
      <c r="W26" s="12">
        <v>17</v>
      </c>
      <c r="X26" s="16">
        <v>0.94117647058823528</v>
      </c>
      <c r="Y26" s="12">
        <v>10</v>
      </c>
      <c r="Z26" s="12">
        <v>21</v>
      </c>
      <c r="AA26" s="12">
        <v>31</v>
      </c>
      <c r="AB26" s="12">
        <v>19</v>
      </c>
      <c r="AC26" s="12">
        <v>16</v>
      </c>
      <c r="AD26" s="12">
        <v>12</v>
      </c>
      <c r="AE26" s="12">
        <v>2</v>
      </c>
      <c r="AF26" s="12">
        <v>2</v>
      </c>
      <c r="AG26" s="12">
        <v>19</v>
      </c>
      <c r="AH26" s="12">
        <v>17</v>
      </c>
      <c r="AI26" s="17">
        <v>93</v>
      </c>
      <c r="AJ26" s="12">
        <v>-5</v>
      </c>
      <c r="AK26" s="12">
        <v>81</v>
      </c>
      <c r="AL26" s="12">
        <v>91</v>
      </c>
      <c r="AM26" s="19">
        <v>0.94505494505494503</v>
      </c>
      <c r="AN26" s="19">
        <v>0.94791666666666663</v>
      </c>
      <c r="AO26" s="18">
        <v>106.17283950617285</v>
      </c>
      <c r="AP26" s="18">
        <v>110.97560975609757</v>
      </c>
      <c r="AQ26" s="18">
        <v>-4.8027702499247198</v>
      </c>
      <c r="AR26" s="53">
        <v>0.52238805970149249</v>
      </c>
      <c r="AS26" s="53">
        <v>0.57333333333333336</v>
      </c>
      <c r="AT26" s="16">
        <v>0.18681318681318682</v>
      </c>
      <c r="AU26" s="19">
        <v>1.1764705882352942</v>
      </c>
      <c r="AV26" s="16">
        <v>0.12087912087912088</v>
      </c>
      <c r="AW26" s="19">
        <v>1.4545454545454546</v>
      </c>
      <c r="AX26" s="16">
        <v>0.12087912087912088</v>
      </c>
      <c r="AY26" s="19">
        <v>0.90909090909090906</v>
      </c>
      <c r="AZ26" s="16">
        <v>5.4945054945054944E-2</v>
      </c>
      <c r="BA26" s="19">
        <v>1.8</v>
      </c>
      <c r="BB26" s="16">
        <v>0.25274725274725274</v>
      </c>
      <c r="BC26" s="21">
        <v>0.65217391304347827</v>
      </c>
      <c r="BD26" s="16">
        <v>8.7912087912087919E-2</v>
      </c>
      <c r="BE26" s="16">
        <v>0.17582417582417584</v>
      </c>
      <c r="BF26" s="16">
        <v>0.48717948717948717</v>
      </c>
      <c r="BG26" s="16">
        <v>0.43478260869565216</v>
      </c>
      <c r="BH26" s="16">
        <v>0.875</v>
      </c>
      <c r="BI26" s="16">
        <v>0.25</v>
      </c>
      <c r="BJ26" s="16">
        <v>0.2087912087912088</v>
      </c>
      <c r="BK26" s="21">
        <v>1.1875</v>
      </c>
      <c r="BL26" s="16">
        <v>0.2857142857142857</v>
      </c>
      <c r="BM26" s="16">
        <v>0.29411764705882354</v>
      </c>
      <c r="BN26" s="16">
        <v>0.25</v>
      </c>
      <c r="BO26" s="16" t="s">
        <v>269</v>
      </c>
      <c r="BP26" s="16">
        <v>0.6</v>
      </c>
      <c r="BQ26" s="16">
        <v>0.53846153846153844</v>
      </c>
      <c r="BR26" s="16">
        <v>0.58333333333333337</v>
      </c>
      <c r="BS26" s="16">
        <v>1</v>
      </c>
      <c r="BT26" s="16">
        <v>0.44285714285714284</v>
      </c>
      <c r="BU26" s="16">
        <v>0.14634146341463414</v>
      </c>
      <c r="BV26" s="16">
        <v>2.9411764705882353E-2</v>
      </c>
      <c r="BW26" s="54">
        <v>4</v>
      </c>
      <c r="BX26" s="54">
        <v>0.57894736842105265</v>
      </c>
      <c r="BY26" s="54">
        <v>0.52941176470588236</v>
      </c>
      <c r="BZ26" s="12">
        <v>10</v>
      </c>
      <c r="CA26" s="12">
        <v>7</v>
      </c>
      <c r="CB26" s="12">
        <v>2</v>
      </c>
      <c r="CC26" s="12">
        <v>4</v>
      </c>
      <c r="CD26" s="12">
        <v>3</v>
      </c>
      <c r="CE26" s="12">
        <v>0</v>
      </c>
      <c r="CF26" s="12">
        <v>0</v>
      </c>
      <c r="CG26" s="12">
        <v>0</v>
      </c>
      <c r="CH26" s="12">
        <v>2</v>
      </c>
      <c r="CI26" s="12">
        <v>0</v>
      </c>
      <c r="CJ26" s="12">
        <v>0</v>
      </c>
      <c r="CK26" s="12">
        <v>0</v>
      </c>
      <c r="CL26" s="12">
        <v>5</v>
      </c>
      <c r="CM26" s="12">
        <v>0</v>
      </c>
      <c r="CN26" s="12">
        <v>0</v>
      </c>
      <c r="CO26" s="12">
        <v>0</v>
      </c>
      <c r="CP26" s="12">
        <v>2</v>
      </c>
      <c r="CQ26" s="12">
        <v>0</v>
      </c>
      <c r="CR26" s="12">
        <v>3</v>
      </c>
      <c r="CS26" s="12">
        <v>0</v>
      </c>
      <c r="CT26" s="12">
        <v>2</v>
      </c>
      <c r="CU26" s="12">
        <v>0</v>
      </c>
      <c r="CV26" s="12">
        <v>1</v>
      </c>
      <c r="CW26" s="12">
        <v>0</v>
      </c>
      <c r="CX26" s="12">
        <v>12</v>
      </c>
      <c r="CY26" s="12">
        <v>1</v>
      </c>
      <c r="CZ26" s="12">
        <v>1</v>
      </c>
      <c r="DA26" s="12">
        <v>0</v>
      </c>
      <c r="DB26" s="12">
        <v>0</v>
      </c>
      <c r="DC26" s="12">
        <v>0</v>
      </c>
      <c r="DD26" s="12">
        <v>1</v>
      </c>
      <c r="DE26" s="12">
        <v>1</v>
      </c>
      <c r="DF26" s="12">
        <v>15</v>
      </c>
      <c r="DG26" s="12">
        <v>16</v>
      </c>
      <c r="DH26" s="12">
        <v>0</v>
      </c>
      <c r="DI26" s="12">
        <v>0</v>
      </c>
      <c r="DJ26" s="12">
        <v>0</v>
      </c>
      <c r="DK26" s="12">
        <v>0</v>
      </c>
      <c r="DL26" s="12">
        <v>10</v>
      </c>
      <c r="DM26" s="12">
        <v>17</v>
      </c>
      <c r="DN26" s="12">
        <v>8</v>
      </c>
      <c r="DO26" s="12">
        <v>11</v>
      </c>
      <c r="DP26" s="12">
        <v>5</v>
      </c>
      <c r="DQ26" s="12">
        <v>11</v>
      </c>
      <c r="DR26" s="12">
        <v>3</v>
      </c>
      <c r="DS26" s="12">
        <v>5</v>
      </c>
      <c r="DT26" s="12">
        <v>5</v>
      </c>
      <c r="DU26" s="12">
        <v>23</v>
      </c>
      <c r="DV26" s="12">
        <v>0</v>
      </c>
      <c r="DW26" s="12">
        <v>0</v>
      </c>
      <c r="DX26" s="12">
        <v>91</v>
      </c>
      <c r="DY26" s="12">
        <v>21</v>
      </c>
      <c r="DZ26" s="12">
        <v>35</v>
      </c>
      <c r="EA26" s="16">
        <v>0.6</v>
      </c>
      <c r="EB26" s="12">
        <v>12</v>
      </c>
      <c r="EC26" s="12">
        <v>33</v>
      </c>
      <c r="ED26" s="16">
        <v>0.36363636363636365</v>
      </c>
      <c r="EE26" s="12">
        <v>33</v>
      </c>
      <c r="EF26" s="12">
        <v>68</v>
      </c>
      <c r="EG26" s="16">
        <v>0.48529411764705882</v>
      </c>
      <c r="EH26" s="12">
        <v>13</v>
      </c>
      <c r="EI26" s="12">
        <v>19</v>
      </c>
      <c r="EJ26" s="16">
        <v>0.68421052631578949</v>
      </c>
      <c r="EK26" s="12">
        <v>14</v>
      </c>
      <c r="EL26" s="12">
        <v>25</v>
      </c>
      <c r="EM26" s="12">
        <v>39</v>
      </c>
      <c r="EN26" s="12">
        <v>19</v>
      </c>
      <c r="EO26" s="12">
        <v>17</v>
      </c>
      <c r="EP26" s="12">
        <v>19</v>
      </c>
      <c r="EQ26" s="12">
        <v>8</v>
      </c>
      <c r="ER26" s="12">
        <v>20</v>
      </c>
      <c r="ES26" s="12">
        <v>2</v>
      </c>
      <c r="ET26" s="12">
        <v>2</v>
      </c>
      <c r="EU26" s="12">
        <v>98</v>
      </c>
      <c r="EV26" s="12">
        <v>5</v>
      </c>
      <c r="EW26" s="12">
        <v>82</v>
      </c>
      <c r="EX26" s="12">
        <v>96</v>
      </c>
      <c r="EY26" s="12">
        <v>4</v>
      </c>
      <c r="EZ26" s="12">
        <v>9</v>
      </c>
      <c r="FA26" s="12">
        <v>8</v>
      </c>
      <c r="FB26" s="12">
        <v>2</v>
      </c>
      <c r="FC26" s="12">
        <v>4</v>
      </c>
      <c r="FD26" s="12">
        <v>4</v>
      </c>
      <c r="FE26" s="12">
        <v>0</v>
      </c>
      <c r="FF26" s="12">
        <v>1</v>
      </c>
      <c r="FG26" s="12">
        <v>0</v>
      </c>
      <c r="FH26" s="12">
        <v>1</v>
      </c>
      <c r="FI26" s="12">
        <v>0</v>
      </c>
      <c r="FJ26" s="12">
        <v>0</v>
      </c>
      <c r="FK26" s="12">
        <v>0</v>
      </c>
      <c r="FL26" s="12">
        <v>8</v>
      </c>
      <c r="FM26" s="12">
        <v>2</v>
      </c>
      <c r="FN26" s="12">
        <v>0</v>
      </c>
      <c r="FO26" s="12">
        <v>0</v>
      </c>
      <c r="FP26" s="12">
        <v>4</v>
      </c>
      <c r="FQ26" s="12">
        <v>0</v>
      </c>
      <c r="FR26" s="12">
        <v>3</v>
      </c>
      <c r="FS26" s="12">
        <v>1</v>
      </c>
      <c r="FT26" s="12">
        <v>4</v>
      </c>
      <c r="FU26" s="12">
        <v>0</v>
      </c>
      <c r="FV26" s="12">
        <v>2</v>
      </c>
      <c r="FW26" s="12">
        <v>0</v>
      </c>
      <c r="FX26" s="12">
        <v>12</v>
      </c>
      <c r="FY26" s="12">
        <v>1</v>
      </c>
      <c r="FZ26" s="12">
        <v>0</v>
      </c>
      <c r="GA26" s="12">
        <v>0</v>
      </c>
      <c r="GB26" s="12">
        <v>0</v>
      </c>
      <c r="GC26" s="12">
        <v>0</v>
      </c>
      <c r="GD26" s="12">
        <v>3</v>
      </c>
      <c r="GE26" s="12">
        <v>3</v>
      </c>
      <c r="GF26" s="12">
        <v>10</v>
      </c>
      <c r="GG26" s="12">
        <v>16</v>
      </c>
      <c r="GH26" s="12">
        <v>1</v>
      </c>
      <c r="GI26" s="12">
        <v>0</v>
      </c>
      <c r="GJ26" s="12">
        <v>0</v>
      </c>
      <c r="GK26" s="12">
        <v>0</v>
      </c>
      <c r="GL26" s="12">
        <v>15</v>
      </c>
      <c r="GM26" s="12">
        <v>21</v>
      </c>
      <c r="GN26" s="12">
        <v>5</v>
      </c>
      <c r="GO26" s="12">
        <v>9</v>
      </c>
      <c r="GP26" s="12">
        <v>1</v>
      </c>
      <c r="GQ26" s="12">
        <v>5</v>
      </c>
      <c r="GR26" s="12">
        <v>4</v>
      </c>
      <c r="GS26" s="12">
        <v>5</v>
      </c>
      <c r="GT26" s="12">
        <v>8</v>
      </c>
      <c r="GU26" s="12">
        <v>28</v>
      </c>
      <c r="GV26" s="12">
        <v>0</v>
      </c>
      <c r="GW26" s="12">
        <v>0</v>
      </c>
      <c r="GY26" s="16"/>
    </row>
    <row r="27" spans="2:207" ht="15" customHeight="1" x14ac:dyDescent="0.2">
      <c r="B27" s="12">
        <v>2</v>
      </c>
      <c r="C27" s="12" t="s">
        <v>297</v>
      </c>
      <c r="D27" s="12" t="s">
        <v>281</v>
      </c>
      <c r="E27" s="14" t="s">
        <v>299</v>
      </c>
      <c r="F27" s="14" t="s">
        <v>283</v>
      </c>
      <c r="G27" s="15">
        <v>45211</v>
      </c>
      <c r="H27" s="15" t="s">
        <v>271</v>
      </c>
      <c r="I27" s="12" t="s">
        <v>269</v>
      </c>
      <c r="J27" s="12" t="s">
        <v>270</v>
      </c>
      <c r="K27" s="12">
        <v>200</v>
      </c>
      <c r="L27" s="12">
        <v>91</v>
      </c>
      <c r="M27" s="12">
        <v>21</v>
      </c>
      <c r="N27" s="12">
        <v>35</v>
      </c>
      <c r="O27" s="16">
        <v>0.6</v>
      </c>
      <c r="P27" s="12">
        <v>12</v>
      </c>
      <c r="Q27" s="12">
        <v>33</v>
      </c>
      <c r="R27" s="16">
        <v>0.36363636363636365</v>
      </c>
      <c r="S27" s="12">
        <v>33</v>
      </c>
      <c r="T27" s="12">
        <v>68</v>
      </c>
      <c r="U27" s="16">
        <v>0.48529411764705882</v>
      </c>
      <c r="V27" s="12">
        <v>13</v>
      </c>
      <c r="W27" s="12">
        <v>19</v>
      </c>
      <c r="X27" s="16">
        <v>0.68421052631578949</v>
      </c>
      <c r="Y27" s="12">
        <v>14</v>
      </c>
      <c r="Z27" s="12">
        <v>25</v>
      </c>
      <c r="AA27" s="12">
        <v>39</v>
      </c>
      <c r="AB27" s="12">
        <v>19</v>
      </c>
      <c r="AC27" s="12">
        <v>20</v>
      </c>
      <c r="AD27" s="12">
        <v>8</v>
      </c>
      <c r="AE27" s="12">
        <v>2</v>
      </c>
      <c r="AF27" s="12">
        <v>2</v>
      </c>
      <c r="AG27" s="12">
        <v>17</v>
      </c>
      <c r="AH27" s="12">
        <v>19</v>
      </c>
      <c r="AI27" s="17">
        <v>98</v>
      </c>
      <c r="AJ27" s="12">
        <v>5</v>
      </c>
      <c r="AK27" s="12">
        <v>82</v>
      </c>
      <c r="AL27" s="12">
        <v>96</v>
      </c>
      <c r="AM27" s="19">
        <v>0.94791666666666663</v>
      </c>
      <c r="AN27" s="19">
        <v>0.94505494505494503</v>
      </c>
      <c r="AO27" s="18">
        <v>110.97560975609757</v>
      </c>
      <c r="AP27" s="18">
        <v>106.17283950617285</v>
      </c>
      <c r="AQ27" s="18">
        <v>4.8027702499247198</v>
      </c>
      <c r="AR27" s="53">
        <v>0.57352941176470584</v>
      </c>
      <c r="AS27" s="53">
        <v>0.59868421052631582</v>
      </c>
      <c r="AT27" s="16">
        <v>0.21875</v>
      </c>
      <c r="AU27" s="19">
        <v>1.4285714285714286</v>
      </c>
      <c r="AV27" s="16">
        <v>9.375E-2</v>
      </c>
      <c r="AW27" s="19">
        <v>1.1111111111111112</v>
      </c>
      <c r="AX27" s="16">
        <v>5.2083333333333336E-2</v>
      </c>
      <c r="AY27" s="19">
        <v>0.4</v>
      </c>
      <c r="AZ27" s="16">
        <v>5.2083333333333336E-2</v>
      </c>
      <c r="BA27" s="19">
        <v>2.4</v>
      </c>
      <c r="BB27" s="16">
        <v>0.29166666666666669</v>
      </c>
      <c r="BC27" s="21">
        <v>0.8571428571428571</v>
      </c>
      <c r="BD27" s="16">
        <v>8.3333333333333329E-2</v>
      </c>
      <c r="BE27" s="16">
        <v>0.20833333333333334</v>
      </c>
      <c r="BF27" s="16">
        <v>0.47499999999999998</v>
      </c>
      <c r="BG27" s="16">
        <v>0.42857142857142855</v>
      </c>
      <c r="BH27" s="16">
        <v>0.66666666666666663</v>
      </c>
      <c r="BI27" s="16">
        <v>0.2857142857142857</v>
      </c>
      <c r="BJ27" s="16">
        <v>0.19791666666666666</v>
      </c>
      <c r="BK27" s="21">
        <v>0.95</v>
      </c>
      <c r="BL27" s="16">
        <v>0.4</v>
      </c>
      <c r="BM27" s="16">
        <v>0.46153846153846156</v>
      </c>
      <c r="BN27" s="16">
        <v>0.41666666666666669</v>
      </c>
      <c r="BO27" s="16">
        <v>0</v>
      </c>
      <c r="BP27" s="16">
        <v>0.7142857142857143</v>
      </c>
      <c r="BQ27" s="16">
        <v>0.70588235294117652</v>
      </c>
      <c r="BR27" s="16">
        <v>0.75</v>
      </c>
      <c r="BS27" s="16" t="s">
        <v>269</v>
      </c>
      <c r="BT27" s="16">
        <v>0.55714285714285716</v>
      </c>
      <c r="BU27" s="16">
        <v>9.8765432098765427E-2</v>
      </c>
      <c r="BV27" s="16">
        <v>2.9850746268656716E-2</v>
      </c>
      <c r="BW27" s="54">
        <v>4</v>
      </c>
      <c r="BX27" s="54">
        <v>0.52941176470588236</v>
      </c>
      <c r="BY27" s="54">
        <v>0.57894736842105265</v>
      </c>
      <c r="BZ27" s="12">
        <v>9</v>
      </c>
      <c r="CA27" s="12">
        <v>8</v>
      </c>
      <c r="CB27" s="12">
        <v>2</v>
      </c>
      <c r="CC27" s="12">
        <v>4</v>
      </c>
      <c r="CD27" s="12">
        <v>4</v>
      </c>
      <c r="CE27" s="12">
        <v>0</v>
      </c>
      <c r="CF27" s="12">
        <v>1</v>
      </c>
      <c r="CG27" s="12">
        <v>0</v>
      </c>
      <c r="CH27" s="12">
        <v>1</v>
      </c>
      <c r="CI27" s="12">
        <v>0</v>
      </c>
      <c r="CJ27" s="12">
        <v>0</v>
      </c>
      <c r="CK27" s="12">
        <v>0</v>
      </c>
      <c r="CL27" s="12">
        <v>8</v>
      </c>
      <c r="CM27" s="12">
        <v>2</v>
      </c>
      <c r="CN27" s="12">
        <v>0</v>
      </c>
      <c r="CO27" s="12">
        <v>0</v>
      </c>
      <c r="CP27" s="12">
        <v>4</v>
      </c>
      <c r="CQ27" s="12">
        <v>0</v>
      </c>
      <c r="CR27" s="12">
        <v>3</v>
      </c>
      <c r="CS27" s="12">
        <v>1</v>
      </c>
      <c r="CT27" s="12">
        <v>4</v>
      </c>
      <c r="CU27" s="12">
        <v>0</v>
      </c>
      <c r="CV27" s="12">
        <v>2</v>
      </c>
      <c r="CW27" s="12">
        <v>0</v>
      </c>
      <c r="CX27" s="12">
        <v>12</v>
      </c>
      <c r="CY27" s="12">
        <v>1</v>
      </c>
      <c r="CZ27" s="12">
        <v>0</v>
      </c>
      <c r="DA27" s="12">
        <v>0</v>
      </c>
      <c r="DB27" s="12">
        <v>0</v>
      </c>
      <c r="DC27" s="12">
        <v>0</v>
      </c>
      <c r="DD27" s="12">
        <v>3</v>
      </c>
      <c r="DE27" s="12">
        <v>3</v>
      </c>
      <c r="DF27" s="12">
        <v>10</v>
      </c>
      <c r="DG27" s="12">
        <v>16</v>
      </c>
      <c r="DH27" s="12">
        <v>1</v>
      </c>
      <c r="DI27" s="12">
        <v>0</v>
      </c>
      <c r="DJ27" s="12">
        <v>0</v>
      </c>
      <c r="DK27" s="12">
        <v>0</v>
      </c>
      <c r="DL27" s="12">
        <v>15</v>
      </c>
      <c r="DM27" s="12">
        <v>21</v>
      </c>
      <c r="DN27" s="12">
        <v>5</v>
      </c>
      <c r="DO27" s="12">
        <v>9</v>
      </c>
      <c r="DP27" s="12">
        <v>1</v>
      </c>
      <c r="DQ27" s="12">
        <v>5</v>
      </c>
      <c r="DR27" s="12">
        <v>4</v>
      </c>
      <c r="DS27" s="12">
        <v>5</v>
      </c>
      <c r="DT27" s="12">
        <v>8</v>
      </c>
      <c r="DU27" s="12">
        <v>28</v>
      </c>
      <c r="DV27" s="12">
        <v>0</v>
      </c>
      <c r="DW27" s="12">
        <v>0</v>
      </c>
      <c r="DX27" s="12">
        <v>86</v>
      </c>
      <c r="DY27" s="12">
        <v>23</v>
      </c>
      <c r="DZ27" s="12">
        <v>39</v>
      </c>
      <c r="EA27" s="16">
        <v>0.58974358974358976</v>
      </c>
      <c r="EB27" s="12">
        <v>8</v>
      </c>
      <c r="EC27" s="12">
        <v>28</v>
      </c>
      <c r="ED27" s="16">
        <v>0.2857142857142857</v>
      </c>
      <c r="EE27" s="12">
        <v>31</v>
      </c>
      <c r="EF27" s="12">
        <v>67</v>
      </c>
      <c r="EG27" s="16">
        <v>0.46268656716417911</v>
      </c>
      <c r="EH27" s="12">
        <v>16</v>
      </c>
      <c r="EI27" s="12">
        <v>17</v>
      </c>
      <c r="EJ27" s="16">
        <v>0.94117647058823528</v>
      </c>
      <c r="EK27" s="12">
        <v>10</v>
      </c>
      <c r="EL27" s="12">
        <v>21</v>
      </c>
      <c r="EM27" s="12">
        <v>31</v>
      </c>
      <c r="EN27" s="12">
        <v>19</v>
      </c>
      <c r="EO27" s="12">
        <v>19</v>
      </c>
      <c r="EP27" s="12">
        <v>17</v>
      </c>
      <c r="EQ27" s="12">
        <v>12</v>
      </c>
      <c r="ER27" s="12">
        <v>16</v>
      </c>
      <c r="ES27" s="12">
        <v>2</v>
      </c>
      <c r="ET27" s="12">
        <v>2</v>
      </c>
      <c r="EU27" s="12">
        <v>93</v>
      </c>
      <c r="EV27" s="12">
        <v>-5</v>
      </c>
      <c r="EW27" s="12">
        <v>81</v>
      </c>
      <c r="EX27" s="12">
        <v>91</v>
      </c>
      <c r="EY27" s="12">
        <v>4</v>
      </c>
      <c r="EZ27" s="12">
        <v>10</v>
      </c>
      <c r="FA27" s="12">
        <v>7</v>
      </c>
      <c r="FB27" s="12">
        <v>2</v>
      </c>
      <c r="FC27" s="12">
        <v>4</v>
      </c>
      <c r="FD27" s="12">
        <v>3</v>
      </c>
      <c r="FE27" s="12">
        <v>0</v>
      </c>
      <c r="FF27" s="12">
        <v>0</v>
      </c>
      <c r="FG27" s="12">
        <v>0</v>
      </c>
      <c r="FH27" s="12">
        <v>2</v>
      </c>
      <c r="FI27" s="12">
        <v>0</v>
      </c>
      <c r="FJ27" s="12">
        <v>0</v>
      </c>
      <c r="FK27" s="12">
        <v>0</v>
      </c>
      <c r="FL27" s="12">
        <v>5</v>
      </c>
      <c r="FM27" s="12">
        <v>0</v>
      </c>
      <c r="FN27" s="12">
        <v>0</v>
      </c>
      <c r="FO27" s="12">
        <v>0</v>
      </c>
      <c r="FP27" s="12">
        <v>2</v>
      </c>
      <c r="FQ27" s="12">
        <v>0</v>
      </c>
      <c r="FR27" s="12">
        <v>3</v>
      </c>
      <c r="FS27" s="12">
        <v>0</v>
      </c>
      <c r="FT27" s="12">
        <v>2</v>
      </c>
      <c r="FU27" s="12">
        <v>0</v>
      </c>
      <c r="FV27" s="12">
        <v>1</v>
      </c>
      <c r="FW27" s="12">
        <v>0</v>
      </c>
      <c r="FX27" s="12">
        <v>12</v>
      </c>
      <c r="FY27" s="12">
        <v>1</v>
      </c>
      <c r="FZ27" s="12">
        <v>1</v>
      </c>
      <c r="GA27" s="12">
        <v>0</v>
      </c>
      <c r="GB27" s="12">
        <v>0</v>
      </c>
      <c r="GC27" s="12">
        <v>0</v>
      </c>
      <c r="GD27" s="12">
        <v>1</v>
      </c>
      <c r="GE27" s="12">
        <v>1</v>
      </c>
      <c r="GF27" s="12">
        <v>15</v>
      </c>
      <c r="GG27" s="12">
        <v>16</v>
      </c>
      <c r="GH27" s="12">
        <v>0</v>
      </c>
      <c r="GI27" s="12">
        <v>0</v>
      </c>
      <c r="GJ27" s="12">
        <v>0</v>
      </c>
      <c r="GK27" s="12">
        <v>0</v>
      </c>
      <c r="GL27" s="12">
        <v>10</v>
      </c>
      <c r="GM27" s="12">
        <v>17</v>
      </c>
      <c r="GN27" s="12">
        <v>8</v>
      </c>
      <c r="GO27" s="12">
        <v>11</v>
      </c>
      <c r="GP27" s="12">
        <v>5</v>
      </c>
      <c r="GQ27" s="12">
        <v>11</v>
      </c>
      <c r="GR27" s="12">
        <v>3</v>
      </c>
      <c r="GS27" s="12">
        <v>5</v>
      </c>
      <c r="GT27" s="12">
        <v>5</v>
      </c>
      <c r="GU27" s="12">
        <v>23</v>
      </c>
      <c r="GV27" s="12">
        <v>0</v>
      </c>
      <c r="GW27" s="12">
        <v>0</v>
      </c>
      <c r="GY27" s="16"/>
    </row>
    <row r="28" spans="2:207" ht="15" customHeight="1" x14ac:dyDescent="0.2">
      <c r="B28" s="12">
        <v>2</v>
      </c>
      <c r="C28" s="12" t="s">
        <v>282</v>
      </c>
      <c r="D28" s="12" t="s">
        <v>294</v>
      </c>
      <c r="E28" s="14" t="s">
        <v>284</v>
      </c>
      <c r="F28" s="14" t="s">
        <v>296</v>
      </c>
      <c r="G28" s="15">
        <v>45211</v>
      </c>
      <c r="H28" s="15" t="s">
        <v>271</v>
      </c>
      <c r="I28" s="12" t="s">
        <v>269</v>
      </c>
      <c r="J28" s="12" t="s">
        <v>272</v>
      </c>
      <c r="K28" s="12">
        <v>200</v>
      </c>
      <c r="L28" s="12">
        <v>71</v>
      </c>
      <c r="M28" s="12">
        <v>23</v>
      </c>
      <c r="N28" s="12">
        <v>44</v>
      </c>
      <c r="O28" s="16">
        <v>0.52272727272727271</v>
      </c>
      <c r="P28" s="12">
        <v>6</v>
      </c>
      <c r="Q28" s="12">
        <v>27</v>
      </c>
      <c r="R28" s="16">
        <v>0.22222222222222221</v>
      </c>
      <c r="S28" s="12">
        <v>29</v>
      </c>
      <c r="T28" s="12">
        <v>71</v>
      </c>
      <c r="U28" s="16">
        <v>0.40845070422535212</v>
      </c>
      <c r="V28" s="12">
        <v>7</v>
      </c>
      <c r="W28" s="12">
        <v>7</v>
      </c>
      <c r="X28" s="16">
        <v>1</v>
      </c>
      <c r="Y28" s="12">
        <v>14</v>
      </c>
      <c r="Z28" s="12">
        <v>20</v>
      </c>
      <c r="AA28" s="12">
        <v>34</v>
      </c>
      <c r="AB28" s="12">
        <v>11</v>
      </c>
      <c r="AC28" s="12">
        <v>10</v>
      </c>
      <c r="AD28" s="12">
        <v>7</v>
      </c>
      <c r="AE28" s="12">
        <v>3</v>
      </c>
      <c r="AF28" s="12">
        <v>2</v>
      </c>
      <c r="AG28" s="12">
        <v>20</v>
      </c>
      <c r="AH28" s="12">
        <v>16</v>
      </c>
      <c r="AI28" s="17">
        <v>68</v>
      </c>
      <c r="AJ28" s="12">
        <v>-7</v>
      </c>
      <c r="AK28" s="12">
        <v>68</v>
      </c>
      <c r="AL28" s="12">
        <v>83</v>
      </c>
      <c r="AM28" s="19">
        <v>0.85542168674698793</v>
      </c>
      <c r="AN28" s="19">
        <v>1.04</v>
      </c>
      <c r="AO28" s="18">
        <v>104.41176470588236</v>
      </c>
      <c r="AP28" s="18">
        <v>113.04347826086956</v>
      </c>
      <c r="AQ28" s="18">
        <v>-8.6317135549872006</v>
      </c>
      <c r="AR28" s="53">
        <v>0.45070422535211269</v>
      </c>
      <c r="AS28" s="53">
        <v>0.4863013698630137</v>
      </c>
      <c r="AT28" s="16">
        <v>0.2289156626506024</v>
      </c>
      <c r="AU28" s="19">
        <v>1.368421052631579</v>
      </c>
      <c r="AV28" s="16">
        <v>0.20481927710843373</v>
      </c>
      <c r="AW28" s="19">
        <v>1.0588235294117647</v>
      </c>
      <c r="AX28" s="16">
        <v>9.6385542168674704E-2</v>
      </c>
      <c r="AY28" s="19">
        <v>0.25</v>
      </c>
      <c r="AZ28" s="16">
        <v>3.614457831325301E-2</v>
      </c>
      <c r="BA28" s="19">
        <v>2</v>
      </c>
      <c r="BB28" s="16">
        <v>0.27710843373493976</v>
      </c>
      <c r="BC28" s="21">
        <v>0.52173913043478259</v>
      </c>
      <c r="BD28" s="16">
        <v>2.4096385542168676E-2</v>
      </c>
      <c r="BE28" s="16">
        <v>0.12195121951219512</v>
      </c>
      <c r="BF28" s="16">
        <v>0.35483870967741937</v>
      </c>
      <c r="BG28" s="16">
        <v>0.21739130434782608</v>
      </c>
      <c r="BH28" s="16">
        <v>1</v>
      </c>
      <c r="BI28" s="16">
        <v>0</v>
      </c>
      <c r="BJ28" s="16">
        <v>0.13414634146341464</v>
      </c>
      <c r="BK28" s="21">
        <v>1.1000000000000001</v>
      </c>
      <c r="BL28" s="16">
        <v>0.35</v>
      </c>
      <c r="BM28" s="16">
        <v>0.30434782608695654</v>
      </c>
      <c r="BN28" s="16">
        <v>0.33333333333333331</v>
      </c>
      <c r="BO28" s="16" t="s">
        <v>269</v>
      </c>
      <c r="BP28" s="16">
        <v>0.76923076923076927</v>
      </c>
      <c r="BQ28" s="16">
        <v>0.58333333333333337</v>
      </c>
      <c r="BR28" s="16">
        <v>0.8571428571428571</v>
      </c>
      <c r="BS28" s="16">
        <v>1</v>
      </c>
      <c r="BT28" s="16">
        <v>0.51515151515151514</v>
      </c>
      <c r="BU28" s="16">
        <v>0.10144927536231885</v>
      </c>
      <c r="BV28" s="16">
        <v>5.7692307692307696E-2</v>
      </c>
      <c r="BW28" s="54">
        <v>5</v>
      </c>
      <c r="BX28" s="54">
        <v>0.5</v>
      </c>
      <c r="BY28" s="54">
        <v>0.3125</v>
      </c>
      <c r="BZ28" s="12">
        <v>5</v>
      </c>
      <c r="CA28" s="12">
        <v>6</v>
      </c>
      <c r="CB28" s="12">
        <v>0</v>
      </c>
      <c r="CC28" s="12">
        <v>0</v>
      </c>
      <c r="CD28" s="12">
        <v>3</v>
      </c>
      <c r="CE28" s="12">
        <v>0</v>
      </c>
      <c r="CF28" s="12">
        <v>3</v>
      </c>
      <c r="CG28" s="12">
        <v>0</v>
      </c>
      <c r="CH28" s="12">
        <v>1</v>
      </c>
      <c r="CI28" s="12">
        <v>0</v>
      </c>
      <c r="CJ28" s="12">
        <v>1</v>
      </c>
      <c r="CK28" s="12">
        <v>0</v>
      </c>
      <c r="CL28" s="12">
        <v>6</v>
      </c>
      <c r="CM28" s="12">
        <v>0</v>
      </c>
      <c r="CN28" s="12">
        <v>0</v>
      </c>
      <c r="CO28" s="12">
        <v>0</v>
      </c>
      <c r="CP28" s="12">
        <v>1</v>
      </c>
      <c r="CQ28" s="12">
        <v>0</v>
      </c>
      <c r="CR28" s="12">
        <v>3</v>
      </c>
      <c r="CS28" s="12">
        <v>0</v>
      </c>
      <c r="CT28" s="12">
        <v>3</v>
      </c>
      <c r="CU28" s="12">
        <v>0</v>
      </c>
      <c r="CV28" s="12">
        <v>1</v>
      </c>
      <c r="CW28" s="12">
        <v>0</v>
      </c>
      <c r="CX28" s="12">
        <v>11</v>
      </c>
      <c r="CY28" s="12">
        <v>0</v>
      </c>
      <c r="CZ28" s="12">
        <v>1</v>
      </c>
      <c r="DA28" s="12">
        <v>0</v>
      </c>
      <c r="DB28" s="12">
        <v>0</v>
      </c>
      <c r="DC28" s="12">
        <v>0</v>
      </c>
      <c r="DD28" s="12">
        <v>3</v>
      </c>
      <c r="DE28" s="12">
        <v>3</v>
      </c>
      <c r="DF28" s="12">
        <v>4</v>
      </c>
      <c r="DG28" s="12">
        <v>4</v>
      </c>
      <c r="DH28" s="12">
        <v>0</v>
      </c>
      <c r="DI28" s="12">
        <v>0</v>
      </c>
      <c r="DJ28" s="12">
        <v>0</v>
      </c>
      <c r="DK28" s="12">
        <v>0</v>
      </c>
      <c r="DL28" s="12">
        <v>13</v>
      </c>
      <c r="DM28" s="12">
        <v>19</v>
      </c>
      <c r="DN28" s="12">
        <v>9</v>
      </c>
      <c r="DO28" s="12">
        <v>17</v>
      </c>
      <c r="DP28" s="12">
        <v>1</v>
      </c>
      <c r="DQ28" s="12">
        <v>8</v>
      </c>
      <c r="DR28" s="12">
        <v>2</v>
      </c>
      <c r="DS28" s="12">
        <v>3</v>
      </c>
      <c r="DT28" s="12">
        <v>4</v>
      </c>
      <c r="DU28" s="12">
        <v>23</v>
      </c>
      <c r="DV28" s="12">
        <v>0</v>
      </c>
      <c r="DW28" s="12">
        <v>1</v>
      </c>
      <c r="DX28" s="12">
        <v>78</v>
      </c>
      <c r="DY28" s="12">
        <v>17</v>
      </c>
      <c r="DZ28" s="12">
        <v>28</v>
      </c>
      <c r="EA28" s="16">
        <v>0.6071428571428571</v>
      </c>
      <c r="EB28" s="12">
        <v>9</v>
      </c>
      <c r="EC28" s="12">
        <v>24</v>
      </c>
      <c r="ED28" s="16">
        <v>0.375</v>
      </c>
      <c r="EE28" s="12">
        <v>26</v>
      </c>
      <c r="EF28" s="12">
        <v>52</v>
      </c>
      <c r="EG28" s="16">
        <v>0.5</v>
      </c>
      <c r="EH28" s="12">
        <v>17</v>
      </c>
      <c r="EI28" s="12">
        <v>19</v>
      </c>
      <c r="EJ28" s="16">
        <v>0.89473684210526316</v>
      </c>
      <c r="EK28" s="12">
        <v>6</v>
      </c>
      <c r="EL28" s="12">
        <v>26</v>
      </c>
      <c r="EM28" s="12">
        <v>32</v>
      </c>
      <c r="EN28" s="12">
        <v>12</v>
      </c>
      <c r="EO28" s="12">
        <v>16</v>
      </c>
      <c r="EP28" s="12">
        <v>20</v>
      </c>
      <c r="EQ28" s="12">
        <v>6</v>
      </c>
      <c r="ER28" s="12">
        <v>14</v>
      </c>
      <c r="ES28" s="12">
        <v>2</v>
      </c>
      <c r="ET28" s="12">
        <v>3</v>
      </c>
      <c r="EU28" s="12">
        <v>89</v>
      </c>
      <c r="EV28" s="12">
        <v>7</v>
      </c>
      <c r="EW28" s="12">
        <v>69</v>
      </c>
      <c r="EX28" s="12">
        <v>75</v>
      </c>
      <c r="EY28" s="12">
        <v>3</v>
      </c>
      <c r="EZ28" s="12">
        <v>2</v>
      </c>
      <c r="FA28" s="12">
        <v>7</v>
      </c>
      <c r="FB28" s="12">
        <v>3</v>
      </c>
      <c r="FC28" s="12">
        <v>4</v>
      </c>
      <c r="FD28" s="12">
        <v>0</v>
      </c>
      <c r="FE28" s="12">
        <v>0</v>
      </c>
      <c r="FF28" s="12">
        <v>3</v>
      </c>
      <c r="FG28" s="12">
        <v>1</v>
      </c>
      <c r="FH28" s="12">
        <v>1</v>
      </c>
      <c r="FI28" s="12">
        <v>0</v>
      </c>
      <c r="FJ28" s="12">
        <v>0</v>
      </c>
      <c r="FK28" s="12">
        <v>0</v>
      </c>
      <c r="FL28" s="12">
        <v>2</v>
      </c>
      <c r="FM28" s="12">
        <v>0</v>
      </c>
      <c r="FN28" s="12">
        <v>0</v>
      </c>
      <c r="FO28" s="12">
        <v>0</v>
      </c>
      <c r="FP28" s="12">
        <v>3</v>
      </c>
      <c r="FQ28" s="12">
        <v>0</v>
      </c>
      <c r="FR28" s="12">
        <v>5</v>
      </c>
      <c r="FS28" s="12">
        <v>0</v>
      </c>
      <c r="FT28" s="12">
        <v>6</v>
      </c>
      <c r="FU28" s="12">
        <v>2</v>
      </c>
      <c r="FV28" s="12">
        <v>0</v>
      </c>
      <c r="FW28" s="12">
        <v>0</v>
      </c>
      <c r="FX28" s="12">
        <v>12</v>
      </c>
      <c r="FY28" s="12">
        <v>2</v>
      </c>
      <c r="FZ28" s="12">
        <v>0</v>
      </c>
      <c r="GA28" s="12">
        <v>0</v>
      </c>
      <c r="GB28" s="12">
        <v>0</v>
      </c>
      <c r="GC28" s="12">
        <v>0</v>
      </c>
      <c r="GD28" s="12">
        <v>1</v>
      </c>
      <c r="GE28" s="12">
        <v>1</v>
      </c>
      <c r="GF28" s="12">
        <v>16</v>
      </c>
      <c r="GG28" s="12">
        <v>18</v>
      </c>
      <c r="GH28" s="12">
        <v>0</v>
      </c>
      <c r="GI28" s="12">
        <v>0</v>
      </c>
      <c r="GJ28" s="12">
        <v>0</v>
      </c>
      <c r="GK28" s="12">
        <v>0</v>
      </c>
      <c r="GL28" s="12">
        <v>7</v>
      </c>
      <c r="GM28" s="12">
        <v>8</v>
      </c>
      <c r="GN28" s="12">
        <v>8</v>
      </c>
      <c r="GO28" s="12">
        <v>14</v>
      </c>
      <c r="GP28" s="12">
        <v>2</v>
      </c>
      <c r="GQ28" s="12">
        <v>6</v>
      </c>
      <c r="GR28" s="12">
        <v>5</v>
      </c>
      <c r="GS28" s="12">
        <v>6</v>
      </c>
      <c r="GT28" s="12">
        <v>4</v>
      </c>
      <c r="GU28" s="12">
        <v>18</v>
      </c>
      <c r="GV28" s="12">
        <v>0</v>
      </c>
      <c r="GW28" s="12">
        <v>0</v>
      </c>
      <c r="GY28" s="16"/>
    </row>
    <row r="29" spans="2:207" ht="15" customHeight="1" x14ac:dyDescent="0.2">
      <c r="B29" s="12">
        <v>2</v>
      </c>
      <c r="C29" s="12" t="s">
        <v>294</v>
      </c>
      <c r="D29" s="12" t="s">
        <v>282</v>
      </c>
      <c r="E29" s="14" t="s">
        <v>296</v>
      </c>
      <c r="F29" s="14" t="s">
        <v>284</v>
      </c>
      <c r="G29" s="15">
        <v>45211</v>
      </c>
      <c r="H29" s="15" t="s">
        <v>268</v>
      </c>
      <c r="I29" s="12" t="s">
        <v>269</v>
      </c>
      <c r="J29" s="12" t="s">
        <v>270</v>
      </c>
      <c r="K29" s="12">
        <v>200</v>
      </c>
      <c r="L29" s="12">
        <v>78</v>
      </c>
      <c r="M29" s="12">
        <v>17</v>
      </c>
      <c r="N29" s="12">
        <v>28</v>
      </c>
      <c r="O29" s="16">
        <v>0.6071428571428571</v>
      </c>
      <c r="P29" s="12">
        <v>9</v>
      </c>
      <c r="Q29" s="12">
        <v>24</v>
      </c>
      <c r="R29" s="16">
        <v>0.375</v>
      </c>
      <c r="S29" s="12">
        <v>26</v>
      </c>
      <c r="T29" s="12">
        <v>52</v>
      </c>
      <c r="U29" s="16">
        <v>0.5</v>
      </c>
      <c r="V29" s="12">
        <v>17</v>
      </c>
      <c r="W29" s="12">
        <v>19</v>
      </c>
      <c r="X29" s="16">
        <v>0.89473684210526316</v>
      </c>
      <c r="Y29" s="12">
        <v>6</v>
      </c>
      <c r="Z29" s="12">
        <v>26</v>
      </c>
      <c r="AA29" s="12">
        <v>32</v>
      </c>
      <c r="AB29" s="12">
        <v>12</v>
      </c>
      <c r="AC29" s="12">
        <v>14</v>
      </c>
      <c r="AD29" s="12">
        <v>6</v>
      </c>
      <c r="AE29" s="12">
        <v>2</v>
      </c>
      <c r="AF29" s="12">
        <v>3</v>
      </c>
      <c r="AG29" s="12">
        <v>16</v>
      </c>
      <c r="AH29" s="12">
        <v>20</v>
      </c>
      <c r="AI29" s="17">
        <v>89</v>
      </c>
      <c r="AJ29" s="12">
        <v>7</v>
      </c>
      <c r="AK29" s="12">
        <v>69</v>
      </c>
      <c r="AL29" s="12">
        <v>75</v>
      </c>
      <c r="AM29" s="19">
        <v>1.04</v>
      </c>
      <c r="AN29" s="19">
        <v>0.85542168674698793</v>
      </c>
      <c r="AO29" s="18">
        <v>113.04347826086956</v>
      </c>
      <c r="AP29" s="18">
        <v>104.41176470588236</v>
      </c>
      <c r="AQ29" s="18">
        <v>8.6317135549872006</v>
      </c>
      <c r="AR29" s="53">
        <v>0.58653846153846156</v>
      </c>
      <c r="AS29" s="53">
        <v>0.63934426229508201</v>
      </c>
      <c r="AT29" s="16">
        <v>0.10666666666666667</v>
      </c>
      <c r="AU29" s="19">
        <v>1.75</v>
      </c>
      <c r="AV29" s="16">
        <v>0.18666666666666668</v>
      </c>
      <c r="AW29" s="19">
        <v>1.1428571428571428</v>
      </c>
      <c r="AX29" s="16">
        <v>0.08</v>
      </c>
      <c r="AY29" s="19">
        <v>0.66666666666666663</v>
      </c>
      <c r="AZ29" s="16">
        <v>0.08</v>
      </c>
      <c r="BA29" s="19">
        <v>2.5</v>
      </c>
      <c r="BB29" s="16">
        <v>0.24</v>
      </c>
      <c r="BC29" s="21">
        <v>0.66666666666666663</v>
      </c>
      <c r="BD29" s="16">
        <v>0.12</v>
      </c>
      <c r="BE29" s="16">
        <v>0.18666666666666668</v>
      </c>
      <c r="BF29" s="16">
        <v>0.34285714285714286</v>
      </c>
      <c r="BG29" s="16">
        <v>0.11764705882352941</v>
      </c>
      <c r="BH29" s="16">
        <v>0.77777777777777779</v>
      </c>
      <c r="BI29" s="16">
        <v>0.33333333333333331</v>
      </c>
      <c r="BJ29" s="16">
        <v>0.16</v>
      </c>
      <c r="BK29" s="21">
        <v>0.8571428571428571</v>
      </c>
      <c r="BL29" s="16">
        <v>0.23076923076923078</v>
      </c>
      <c r="BM29" s="16">
        <v>0.41666666666666669</v>
      </c>
      <c r="BN29" s="16">
        <v>0.14285714285714285</v>
      </c>
      <c r="BO29" s="16">
        <v>0</v>
      </c>
      <c r="BP29" s="16">
        <v>0.65</v>
      </c>
      <c r="BQ29" s="16">
        <v>0.69565217391304346</v>
      </c>
      <c r="BR29" s="16">
        <v>0.66666666666666663</v>
      </c>
      <c r="BS29" s="16" t="s">
        <v>269</v>
      </c>
      <c r="BT29" s="16">
        <v>0.48484848484848486</v>
      </c>
      <c r="BU29" s="16">
        <v>8.8235294117647065E-2</v>
      </c>
      <c r="BV29" s="16">
        <v>2.8169014084507043E-2</v>
      </c>
      <c r="BW29" s="54">
        <v>3</v>
      </c>
      <c r="BX29" s="54">
        <v>0.3125</v>
      </c>
      <c r="BY29" s="54">
        <v>0.5</v>
      </c>
      <c r="BZ29" s="12">
        <v>2</v>
      </c>
      <c r="CA29" s="12">
        <v>7</v>
      </c>
      <c r="CB29" s="12">
        <v>3</v>
      </c>
      <c r="CC29" s="12">
        <v>4</v>
      </c>
      <c r="CD29" s="12">
        <v>0</v>
      </c>
      <c r="CE29" s="12">
        <v>0</v>
      </c>
      <c r="CF29" s="12">
        <v>3</v>
      </c>
      <c r="CG29" s="12">
        <v>1</v>
      </c>
      <c r="CH29" s="12">
        <v>1</v>
      </c>
      <c r="CI29" s="12">
        <v>0</v>
      </c>
      <c r="CJ29" s="12">
        <v>0</v>
      </c>
      <c r="CK29" s="12">
        <v>0</v>
      </c>
      <c r="CL29" s="12">
        <v>2</v>
      </c>
      <c r="CM29" s="12">
        <v>0</v>
      </c>
      <c r="CN29" s="12">
        <v>0</v>
      </c>
      <c r="CO29" s="12">
        <v>0</v>
      </c>
      <c r="CP29" s="12">
        <v>3</v>
      </c>
      <c r="CQ29" s="12">
        <v>0</v>
      </c>
      <c r="CR29" s="12">
        <v>5</v>
      </c>
      <c r="CS29" s="12">
        <v>0</v>
      </c>
      <c r="CT29" s="12">
        <v>6</v>
      </c>
      <c r="CU29" s="12">
        <v>2</v>
      </c>
      <c r="CV29" s="12">
        <v>0</v>
      </c>
      <c r="CW29" s="12">
        <v>0</v>
      </c>
      <c r="CX29" s="12">
        <v>12</v>
      </c>
      <c r="CY29" s="12">
        <v>2</v>
      </c>
      <c r="CZ29" s="12">
        <v>0</v>
      </c>
      <c r="DA29" s="12">
        <v>0</v>
      </c>
      <c r="DB29" s="12">
        <v>0</v>
      </c>
      <c r="DC29" s="12">
        <v>0</v>
      </c>
      <c r="DD29" s="12">
        <v>1</v>
      </c>
      <c r="DE29" s="12">
        <v>1</v>
      </c>
      <c r="DF29" s="12">
        <v>16</v>
      </c>
      <c r="DG29" s="12">
        <v>18</v>
      </c>
      <c r="DH29" s="12">
        <v>0</v>
      </c>
      <c r="DI29" s="12">
        <v>0</v>
      </c>
      <c r="DJ29" s="12">
        <v>0</v>
      </c>
      <c r="DK29" s="12">
        <v>0</v>
      </c>
      <c r="DL29" s="12">
        <v>7</v>
      </c>
      <c r="DM29" s="12">
        <v>8</v>
      </c>
      <c r="DN29" s="12">
        <v>8</v>
      </c>
      <c r="DO29" s="12">
        <v>14</v>
      </c>
      <c r="DP29" s="12">
        <v>2</v>
      </c>
      <c r="DQ29" s="12">
        <v>6</v>
      </c>
      <c r="DR29" s="12">
        <v>5</v>
      </c>
      <c r="DS29" s="12">
        <v>6</v>
      </c>
      <c r="DT29" s="12">
        <v>4</v>
      </c>
      <c r="DU29" s="12">
        <v>18</v>
      </c>
      <c r="DV29" s="12">
        <v>0</v>
      </c>
      <c r="DW29" s="12">
        <v>0</v>
      </c>
      <c r="DX29" s="12">
        <v>71</v>
      </c>
      <c r="DY29" s="12">
        <v>23</v>
      </c>
      <c r="DZ29" s="12">
        <v>44</v>
      </c>
      <c r="EA29" s="16">
        <v>0.52272727272727271</v>
      </c>
      <c r="EB29" s="12">
        <v>6</v>
      </c>
      <c r="EC29" s="12">
        <v>27</v>
      </c>
      <c r="ED29" s="16">
        <v>0.22222222222222221</v>
      </c>
      <c r="EE29" s="12">
        <v>29</v>
      </c>
      <c r="EF29" s="12">
        <v>71</v>
      </c>
      <c r="EG29" s="16">
        <v>0.40845070422535212</v>
      </c>
      <c r="EH29" s="12">
        <v>7</v>
      </c>
      <c r="EI29" s="12">
        <v>7</v>
      </c>
      <c r="EJ29" s="16">
        <v>1</v>
      </c>
      <c r="EK29" s="12">
        <v>14</v>
      </c>
      <c r="EL29" s="12">
        <v>20</v>
      </c>
      <c r="EM29" s="12">
        <v>34</v>
      </c>
      <c r="EN29" s="12">
        <v>11</v>
      </c>
      <c r="EO29" s="12">
        <v>20</v>
      </c>
      <c r="EP29" s="12">
        <v>16</v>
      </c>
      <c r="EQ29" s="12">
        <v>7</v>
      </c>
      <c r="ER29" s="12">
        <v>10</v>
      </c>
      <c r="ES29" s="12">
        <v>3</v>
      </c>
      <c r="ET29" s="12">
        <v>2</v>
      </c>
      <c r="EU29" s="12">
        <v>68</v>
      </c>
      <c r="EV29" s="12">
        <v>-7</v>
      </c>
      <c r="EW29" s="12">
        <v>68</v>
      </c>
      <c r="EX29" s="12">
        <v>83</v>
      </c>
      <c r="EY29" s="12">
        <v>5</v>
      </c>
      <c r="EZ29" s="12">
        <v>5</v>
      </c>
      <c r="FA29" s="12">
        <v>6</v>
      </c>
      <c r="FB29" s="12">
        <v>0</v>
      </c>
      <c r="FC29" s="12">
        <v>0</v>
      </c>
      <c r="FD29" s="12">
        <v>3</v>
      </c>
      <c r="FE29" s="12">
        <v>0</v>
      </c>
      <c r="FF29" s="12">
        <v>3</v>
      </c>
      <c r="FG29" s="12">
        <v>0</v>
      </c>
      <c r="FH29" s="12">
        <v>1</v>
      </c>
      <c r="FI29" s="12">
        <v>0</v>
      </c>
      <c r="FJ29" s="12">
        <v>1</v>
      </c>
      <c r="FK29" s="12">
        <v>0</v>
      </c>
      <c r="FL29" s="12">
        <v>6</v>
      </c>
      <c r="FM29" s="12">
        <v>0</v>
      </c>
      <c r="FN29" s="12">
        <v>0</v>
      </c>
      <c r="FO29" s="12">
        <v>0</v>
      </c>
      <c r="FP29" s="12">
        <v>1</v>
      </c>
      <c r="FQ29" s="12">
        <v>0</v>
      </c>
      <c r="FR29" s="12">
        <v>3</v>
      </c>
      <c r="FS29" s="12">
        <v>0</v>
      </c>
      <c r="FT29" s="12">
        <v>3</v>
      </c>
      <c r="FU29" s="12">
        <v>0</v>
      </c>
      <c r="FV29" s="12">
        <v>1</v>
      </c>
      <c r="FW29" s="12">
        <v>0</v>
      </c>
      <c r="FX29" s="12">
        <v>11</v>
      </c>
      <c r="FY29" s="12">
        <v>0</v>
      </c>
      <c r="FZ29" s="12">
        <v>1</v>
      </c>
      <c r="GA29" s="12">
        <v>0</v>
      </c>
      <c r="GB29" s="12">
        <v>0</v>
      </c>
      <c r="GC29" s="12">
        <v>0</v>
      </c>
      <c r="GD29" s="12">
        <v>3</v>
      </c>
      <c r="GE29" s="12">
        <v>3</v>
      </c>
      <c r="GF29" s="12">
        <v>4</v>
      </c>
      <c r="GG29" s="12">
        <v>4</v>
      </c>
      <c r="GH29" s="12">
        <v>0</v>
      </c>
      <c r="GI29" s="12">
        <v>0</v>
      </c>
      <c r="GJ29" s="12">
        <v>0</v>
      </c>
      <c r="GK29" s="12">
        <v>0</v>
      </c>
      <c r="GL29" s="12">
        <v>13</v>
      </c>
      <c r="GM29" s="12">
        <v>19</v>
      </c>
      <c r="GN29" s="12">
        <v>9</v>
      </c>
      <c r="GO29" s="12">
        <v>17</v>
      </c>
      <c r="GP29" s="12">
        <v>1</v>
      </c>
      <c r="GQ29" s="12">
        <v>8</v>
      </c>
      <c r="GR29" s="12">
        <v>2</v>
      </c>
      <c r="GS29" s="12">
        <v>3</v>
      </c>
      <c r="GT29" s="12">
        <v>4</v>
      </c>
      <c r="GU29" s="12">
        <v>23</v>
      </c>
      <c r="GV29" s="12">
        <v>0</v>
      </c>
      <c r="GW29" s="12">
        <v>1</v>
      </c>
      <c r="GY29" s="16"/>
    </row>
    <row r="30" spans="2:207" ht="15" customHeight="1" x14ac:dyDescent="0.2">
      <c r="B30" s="12">
        <v>2</v>
      </c>
      <c r="C30" s="12" t="s">
        <v>264</v>
      </c>
      <c r="D30" s="12" t="s">
        <v>286</v>
      </c>
      <c r="E30" s="14" t="s">
        <v>266</v>
      </c>
      <c r="F30" s="14" t="s">
        <v>288</v>
      </c>
      <c r="G30" s="15">
        <v>45212</v>
      </c>
      <c r="H30" s="15" t="s">
        <v>271</v>
      </c>
      <c r="I30" s="12" t="s">
        <v>269</v>
      </c>
      <c r="J30" s="12" t="s">
        <v>272</v>
      </c>
      <c r="K30" s="12">
        <v>200</v>
      </c>
      <c r="L30" s="12">
        <v>74</v>
      </c>
      <c r="M30" s="12">
        <v>20</v>
      </c>
      <c r="N30" s="12">
        <v>46</v>
      </c>
      <c r="O30" s="16">
        <v>0.43478260869565216</v>
      </c>
      <c r="P30" s="12">
        <v>6</v>
      </c>
      <c r="Q30" s="12">
        <v>23</v>
      </c>
      <c r="R30" s="16">
        <v>0.2608695652173913</v>
      </c>
      <c r="S30" s="12">
        <v>26</v>
      </c>
      <c r="T30" s="12">
        <v>69</v>
      </c>
      <c r="U30" s="16">
        <v>0.37681159420289856</v>
      </c>
      <c r="V30" s="12">
        <v>16</v>
      </c>
      <c r="W30" s="12">
        <v>20</v>
      </c>
      <c r="X30" s="16">
        <v>0.8</v>
      </c>
      <c r="Y30" s="12">
        <v>20</v>
      </c>
      <c r="Z30" s="12">
        <v>21</v>
      </c>
      <c r="AA30" s="12">
        <v>41</v>
      </c>
      <c r="AB30" s="12">
        <v>13</v>
      </c>
      <c r="AC30" s="12">
        <v>10</v>
      </c>
      <c r="AD30" s="12">
        <v>3</v>
      </c>
      <c r="AE30" s="12">
        <v>1</v>
      </c>
      <c r="AF30" s="12">
        <v>5</v>
      </c>
      <c r="AG30" s="12">
        <v>21</v>
      </c>
      <c r="AH30" s="12">
        <v>22</v>
      </c>
      <c r="AI30" s="17">
        <v>71</v>
      </c>
      <c r="AJ30" s="12">
        <v>-5</v>
      </c>
      <c r="AK30" s="12">
        <v>67</v>
      </c>
      <c r="AL30" s="12">
        <v>87</v>
      </c>
      <c r="AM30" s="19">
        <v>0.85057471264367812</v>
      </c>
      <c r="AN30" s="19">
        <v>1.0394736842105263</v>
      </c>
      <c r="AO30" s="18">
        <v>110.44776119402985</v>
      </c>
      <c r="AP30" s="18">
        <v>119.6969696969697</v>
      </c>
      <c r="AQ30" s="18">
        <v>-9.249208502939851</v>
      </c>
      <c r="AR30" s="53">
        <v>0.42028985507246375</v>
      </c>
      <c r="AS30" s="53">
        <v>0.48051948051948051</v>
      </c>
      <c r="AT30" s="16">
        <v>0.27586206896551724</v>
      </c>
      <c r="AU30" s="19">
        <v>1.4166666666666667</v>
      </c>
      <c r="AV30" s="16">
        <v>0.17241379310344829</v>
      </c>
      <c r="AW30" s="19">
        <v>0.26666666666666666</v>
      </c>
      <c r="AX30" s="16">
        <v>8.0459770114942528E-2</v>
      </c>
      <c r="AY30" s="19">
        <v>0.2857142857142857</v>
      </c>
      <c r="AZ30" s="16">
        <v>4.5977011494252873E-2</v>
      </c>
      <c r="BA30" s="19">
        <v>0</v>
      </c>
      <c r="BB30" s="16">
        <v>0.21839080459770116</v>
      </c>
      <c r="BC30" s="21">
        <v>0.94736842105263153</v>
      </c>
      <c r="BD30" s="16">
        <v>9.1954022988505746E-2</v>
      </c>
      <c r="BE30" s="16">
        <v>0.11494252873563218</v>
      </c>
      <c r="BF30" s="16">
        <v>0.38235294117647056</v>
      </c>
      <c r="BG30" s="16">
        <v>0.4</v>
      </c>
      <c r="BH30" s="16">
        <v>0.66666666666666663</v>
      </c>
      <c r="BI30" s="16">
        <v>0.125</v>
      </c>
      <c r="BJ30" s="16">
        <v>0.14942528735632185</v>
      </c>
      <c r="BK30" s="21">
        <v>1.3</v>
      </c>
      <c r="BL30" s="16">
        <v>0.45454545454545453</v>
      </c>
      <c r="BM30" s="16">
        <v>0.51724137931034486</v>
      </c>
      <c r="BN30" s="16">
        <v>0.45</v>
      </c>
      <c r="BO30" s="16">
        <v>0.66666666666666663</v>
      </c>
      <c r="BP30" s="16">
        <v>0.67741935483870963</v>
      </c>
      <c r="BQ30" s="16">
        <v>0.8</v>
      </c>
      <c r="BR30" s="16">
        <v>0.6470588235294118</v>
      </c>
      <c r="BS30" s="16">
        <v>0.5</v>
      </c>
      <c r="BT30" s="16">
        <v>0.54666666666666663</v>
      </c>
      <c r="BU30" s="16">
        <v>4.5454545454545456E-2</v>
      </c>
      <c r="BV30" s="16">
        <v>1.6129032258064516E-2</v>
      </c>
      <c r="BW30" s="54">
        <v>2</v>
      </c>
      <c r="BX30" s="54">
        <v>0.38095238095238093</v>
      </c>
      <c r="BY30" s="54">
        <v>0.45454545454545453</v>
      </c>
      <c r="BZ30" s="12">
        <v>8</v>
      </c>
      <c r="CA30" s="12">
        <v>4</v>
      </c>
      <c r="CB30" s="12">
        <v>1</v>
      </c>
      <c r="CC30" s="12">
        <v>2</v>
      </c>
      <c r="CD30" s="12">
        <v>4</v>
      </c>
      <c r="CE30" s="12">
        <v>3</v>
      </c>
      <c r="CF30" s="12">
        <v>6</v>
      </c>
      <c r="CG30" s="12">
        <v>1</v>
      </c>
      <c r="CH30" s="12">
        <v>1</v>
      </c>
      <c r="CI30" s="12">
        <v>0</v>
      </c>
      <c r="CJ30" s="12">
        <v>1</v>
      </c>
      <c r="CK30" s="12">
        <v>0</v>
      </c>
      <c r="CL30" s="12">
        <v>7</v>
      </c>
      <c r="CM30" s="12">
        <v>1</v>
      </c>
      <c r="CN30" s="12">
        <v>1</v>
      </c>
      <c r="CO30" s="12">
        <v>1</v>
      </c>
      <c r="CP30" s="12">
        <v>3</v>
      </c>
      <c r="CQ30" s="12">
        <v>1</v>
      </c>
      <c r="CR30" s="12">
        <v>6</v>
      </c>
      <c r="CS30" s="12">
        <v>0</v>
      </c>
      <c r="CT30" s="12">
        <v>2</v>
      </c>
      <c r="CU30" s="12">
        <v>0</v>
      </c>
      <c r="CV30" s="12">
        <v>0</v>
      </c>
      <c r="CW30" s="12">
        <v>0</v>
      </c>
      <c r="CX30" s="12">
        <v>9</v>
      </c>
      <c r="CY30" s="12">
        <v>2</v>
      </c>
      <c r="CZ30" s="12">
        <v>1</v>
      </c>
      <c r="DA30" s="12">
        <v>0</v>
      </c>
      <c r="DB30" s="12">
        <v>0</v>
      </c>
      <c r="DC30" s="12">
        <v>0</v>
      </c>
      <c r="DD30" s="12">
        <v>1</v>
      </c>
      <c r="DE30" s="12">
        <v>2</v>
      </c>
      <c r="DF30" s="12">
        <v>9</v>
      </c>
      <c r="DG30" s="12">
        <v>12</v>
      </c>
      <c r="DH30" s="12">
        <v>0</v>
      </c>
      <c r="DI30" s="12">
        <v>6</v>
      </c>
      <c r="DJ30" s="12">
        <v>6</v>
      </c>
      <c r="DK30" s="12">
        <v>0</v>
      </c>
      <c r="DL30" s="12">
        <v>17</v>
      </c>
      <c r="DM30" s="12">
        <v>24</v>
      </c>
      <c r="DN30" s="12">
        <v>2</v>
      </c>
      <c r="DO30" s="12">
        <v>15</v>
      </c>
      <c r="DP30" s="12">
        <v>1</v>
      </c>
      <c r="DQ30" s="12">
        <v>7</v>
      </c>
      <c r="DR30" s="12">
        <v>0</v>
      </c>
      <c r="DS30" s="12">
        <v>4</v>
      </c>
      <c r="DT30" s="12">
        <v>6</v>
      </c>
      <c r="DU30" s="12">
        <v>19</v>
      </c>
      <c r="DV30" s="12">
        <v>0</v>
      </c>
      <c r="DW30" s="12">
        <v>0</v>
      </c>
      <c r="DX30" s="12">
        <v>79</v>
      </c>
      <c r="DY30" s="12">
        <v>25</v>
      </c>
      <c r="DZ30" s="12">
        <v>39</v>
      </c>
      <c r="EA30" s="16">
        <v>0.64102564102564108</v>
      </c>
      <c r="EB30" s="12">
        <v>7</v>
      </c>
      <c r="EC30" s="12">
        <v>23</v>
      </c>
      <c r="ED30" s="16">
        <v>0.30434782608695654</v>
      </c>
      <c r="EE30" s="12">
        <v>32</v>
      </c>
      <c r="EF30" s="12">
        <v>62</v>
      </c>
      <c r="EG30" s="16">
        <v>0.5161290322580645</v>
      </c>
      <c r="EH30" s="12">
        <v>8</v>
      </c>
      <c r="EI30" s="12">
        <v>14</v>
      </c>
      <c r="EJ30" s="16">
        <v>0.5714285714285714</v>
      </c>
      <c r="EK30" s="12">
        <v>10</v>
      </c>
      <c r="EL30" s="12">
        <v>24</v>
      </c>
      <c r="EM30" s="12">
        <v>34</v>
      </c>
      <c r="EN30" s="12">
        <v>17</v>
      </c>
      <c r="EO30" s="12">
        <v>22</v>
      </c>
      <c r="EP30" s="12">
        <v>21</v>
      </c>
      <c r="EQ30" s="12">
        <v>5</v>
      </c>
      <c r="ER30" s="12">
        <v>8</v>
      </c>
      <c r="ES30" s="12">
        <v>5</v>
      </c>
      <c r="ET30" s="12">
        <v>1</v>
      </c>
      <c r="EU30" s="12">
        <v>94</v>
      </c>
      <c r="EV30" s="12">
        <v>5</v>
      </c>
      <c r="EW30" s="12">
        <v>66</v>
      </c>
      <c r="EX30" s="12">
        <v>76</v>
      </c>
      <c r="EY30" s="12">
        <v>4</v>
      </c>
      <c r="EZ30" s="12">
        <v>10</v>
      </c>
      <c r="FA30" s="12">
        <v>5</v>
      </c>
      <c r="FB30" s="12">
        <v>2</v>
      </c>
      <c r="FC30" s="12">
        <v>4</v>
      </c>
      <c r="FD30" s="12">
        <v>0</v>
      </c>
      <c r="FE30" s="12">
        <v>0</v>
      </c>
      <c r="FF30" s="12">
        <v>1</v>
      </c>
      <c r="FG30" s="12">
        <v>0</v>
      </c>
      <c r="FH30" s="12">
        <v>2</v>
      </c>
      <c r="FI30" s="12">
        <v>0</v>
      </c>
      <c r="FJ30" s="12">
        <v>1</v>
      </c>
      <c r="FK30" s="12">
        <v>0</v>
      </c>
      <c r="FL30" s="12">
        <v>5</v>
      </c>
      <c r="FM30" s="12">
        <v>0</v>
      </c>
      <c r="FN30" s="12">
        <v>1</v>
      </c>
      <c r="FO30" s="12">
        <v>0</v>
      </c>
      <c r="FP30" s="12">
        <v>3</v>
      </c>
      <c r="FQ30" s="12">
        <v>0</v>
      </c>
      <c r="FR30" s="12">
        <v>7</v>
      </c>
      <c r="FS30" s="12">
        <v>0</v>
      </c>
      <c r="FT30" s="12">
        <v>4</v>
      </c>
      <c r="FU30" s="12">
        <v>0</v>
      </c>
      <c r="FV30" s="12">
        <v>3</v>
      </c>
      <c r="FW30" s="12">
        <v>1</v>
      </c>
      <c r="FX30" s="12">
        <v>6</v>
      </c>
      <c r="FY30" s="12">
        <v>1</v>
      </c>
      <c r="FZ30" s="12">
        <v>1</v>
      </c>
      <c r="GA30" s="12">
        <v>0</v>
      </c>
      <c r="GB30" s="12">
        <v>0</v>
      </c>
      <c r="GC30" s="12">
        <v>0</v>
      </c>
      <c r="GD30" s="12">
        <v>1</v>
      </c>
      <c r="GE30" s="12">
        <v>2</v>
      </c>
      <c r="GF30" s="12">
        <v>7</v>
      </c>
      <c r="GG30" s="12">
        <v>12</v>
      </c>
      <c r="GH30" s="12">
        <v>0</v>
      </c>
      <c r="GI30" s="12">
        <v>0</v>
      </c>
      <c r="GJ30" s="12">
        <v>0</v>
      </c>
      <c r="GK30" s="12">
        <v>0</v>
      </c>
      <c r="GL30" s="12">
        <v>15</v>
      </c>
      <c r="GM30" s="12">
        <v>18</v>
      </c>
      <c r="GN30" s="12">
        <v>6</v>
      </c>
      <c r="GO30" s="12">
        <v>13</v>
      </c>
      <c r="GP30" s="12">
        <v>4</v>
      </c>
      <c r="GQ30" s="12">
        <v>8</v>
      </c>
      <c r="GR30" s="12">
        <v>2</v>
      </c>
      <c r="GS30" s="12">
        <v>3</v>
      </c>
      <c r="GT30" s="12">
        <v>5</v>
      </c>
      <c r="GU30" s="12">
        <v>20</v>
      </c>
      <c r="GV30" s="12">
        <v>0</v>
      </c>
      <c r="GW30" s="12">
        <v>0</v>
      </c>
      <c r="GY30" s="16"/>
    </row>
    <row r="31" spans="2:207" ht="15" customHeight="1" x14ac:dyDescent="0.2">
      <c r="B31" s="12">
        <v>2</v>
      </c>
      <c r="C31" s="12" t="s">
        <v>286</v>
      </c>
      <c r="D31" s="12" t="s">
        <v>264</v>
      </c>
      <c r="E31" s="14" t="s">
        <v>288</v>
      </c>
      <c r="F31" s="14" t="s">
        <v>266</v>
      </c>
      <c r="G31" s="15">
        <v>45212</v>
      </c>
      <c r="H31" s="15" t="s">
        <v>268</v>
      </c>
      <c r="I31" s="12" t="s">
        <v>269</v>
      </c>
      <c r="J31" s="12" t="s">
        <v>270</v>
      </c>
      <c r="K31" s="12">
        <v>200</v>
      </c>
      <c r="L31" s="12">
        <v>79</v>
      </c>
      <c r="M31" s="12">
        <v>25</v>
      </c>
      <c r="N31" s="12">
        <v>39</v>
      </c>
      <c r="O31" s="16">
        <v>0.64102564102564108</v>
      </c>
      <c r="P31" s="12">
        <v>7</v>
      </c>
      <c r="Q31" s="12">
        <v>23</v>
      </c>
      <c r="R31" s="16">
        <v>0.30434782608695654</v>
      </c>
      <c r="S31" s="12">
        <v>32</v>
      </c>
      <c r="T31" s="12">
        <v>62</v>
      </c>
      <c r="U31" s="16">
        <v>0.5161290322580645</v>
      </c>
      <c r="V31" s="12">
        <v>8</v>
      </c>
      <c r="W31" s="12">
        <v>14</v>
      </c>
      <c r="X31" s="16">
        <v>0.5714285714285714</v>
      </c>
      <c r="Y31" s="12">
        <v>10</v>
      </c>
      <c r="Z31" s="12">
        <v>24</v>
      </c>
      <c r="AA31" s="12">
        <v>34</v>
      </c>
      <c r="AB31" s="12">
        <v>17</v>
      </c>
      <c r="AC31" s="12">
        <v>8</v>
      </c>
      <c r="AD31" s="12">
        <v>5</v>
      </c>
      <c r="AE31" s="12">
        <v>5</v>
      </c>
      <c r="AF31" s="12">
        <v>1</v>
      </c>
      <c r="AG31" s="12">
        <v>22</v>
      </c>
      <c r="AH31" s="12">
        <v>21</v>
      </c>
      <c r="AI31" s="17">
        <v>94</v>
      </c>
      <c r="AJ31" s="12">
        <v>5</v>
      </c>
      <c r="AK31" s="12">
        <v>66</v>
      </c>
      <c r="AL31" s="12">
        <v>76</v>
      </c>
      <c r="AM31" s="19">
        <v>1.0394736842105263</v>
      </c>
      <c r="AN31" s="19">
        <v>0.85057471264367812</v>
      </c>
      <c r="AO31" s="18">
        <v>119.6969696969697</v>
      </c>
      <c r="AP31" s="18">
        <v>110.44776119402985</v>
      </c>
      <c r="AQ31" s="18">
        <v>9.249208502939851</v>
      </c>
      <c r="AR31" s="53">
        <v>0.57258064516129037</v>
      </c>
      <c r="AS31" s="53">
        <v>0.58088235294117652</v>
      </c>
      <c r="AT31" s="16">
        <v>0.23684210526315788</v>
      </c>
      <c r="AU31" s="19">
        <v>1.6666666666666667</v>
      </c>
      <c r="AV31" s="16">
        <v>0.17105263157894737</v>
      </c>
      <c r="AW31" s="19">
        <v>0.92307692307692313</v>
      </c>
      <c r="AX31" s="16">
        <v>0.10526315789473684</v>
      </c>
      <c r="AY31" s="19">
        <v>1</v>
      </c>
      <c r="AZ31" s="16">
        <v>3.9473684210526314E-2</v>
      </c>
      <c r="BA31" s="19">
        <v>2</v>
      </c>
      <c r="BB31" s="16">
        <v>0.26315789473684209</v>
      </c>
      <c r="BC31" s="21">
        <v>0.75</v>
      </c>
      <c r="BD31" s="16">
        <v>7.8947368421052627E-2</v>
      </c>
      <c r="BE31" s="16">
        <v>0.10526315789473684</v>
      </c>
      <c r="BF31" s="16">
        <v>0.44736842105263158</v>
      </c>
      <c r="BG31" s="16">
        <v>0.4</v>
      </c>
      <c r="BH31" s="16">
        <v>0.7142857142857143</v>
      </c>
      <c r="BI31" s="16">
        <v>0.33333333333333331</v>
      </c>
      <c r="BJ31" s="16">
        <v>0.22368421052631579</v>
      </c>
      <c r="BK31" s="21">
        <v>2.125</v>
      </c>
      <c r="BL31" s="16">
        <v>0.32258064516129031</v>
      </c>
      <c r="BM31" s="16">
        <v>0.2</v>
      </c>
      <c r="BN31" s="16">
        <v>0.35294117647058826</v>
      </c>
      <c r="BO31" s="16">
        <v>0.5</v>
      </c>
      <c r="BP31" s="16">
        <v>0.54545454545454541</v>
      </c>
      <c r="BQ31" s="16">
        <v>0.48275862068965519</v>
      </c>
      <c r="BR31" s="16">
        <v>0.55000000000000004</v>
      </c>
      <c r="BS31" s="16">
        <v>0.33333333333333331</v>
      </c>
      <c r="BT31" s="16">
        <v>0.45333333333333331</v>
      </c>
      <c r="BU31" s="16">
        <v>7.4626865671641784E-2</v>
      </c>
      <c r="BV31" s="16">
        <v>7.2463768115942032E-2</v>
      </c>
      <c r="BW31" s="54">
        <v>4</v>
      </c>
      <c r="BX31" s="54">
        <v>0.45454545454545453</v>
      </c>
      <c r="BY31" s="54">
        <v>0.38095238095238093</v>
      </c>
      <c r="BZ31" s="12">
        <v>10</v>
      </c>
      <c r="CA31" s="12">
        <v>5</v>
      </c>
      <c r="CB31" s="12">
        <v>2</v>
      </c>
      <c r="CC31" s="12">
        <v>4</v>
      </c>
      <c r="CD31" s="12">
        <v>0</v>
      </c>
      <c r="CE31" s="12">
        <v>0</v>
      </c>
      <c r="CF31" s="12">
        <v>1</v>
      </c>
      <c r="CG31" s="12">
        <v>0</v>
      </c>
      <c r="CH31" s="12">
        <v>2</v>
      </c>
      <c r="CI31" s="12">
        <v>0</v>
      </c>
      <c r="CJ31" s="12">
        <v>1</v>
      </c>
      <c r="CK31" s="12">
        <v>0</v>
      </c>
      <c r="CL31" s="12">
        <v>5</v>
      </c>
      <c r="CM31" s="12">
        <v>0</v>
      </c>
      <c r="CN31" s="12">
        <v>1</v>
      </c>
      <c r="CO31" s="12">
        <v>0</v>
      </c>
      <c r="CP31" s="12">
        <v>3</v>
      </c>
      <c r="CQ31" s="12">
        <v>0</v>
      </c>
      <c r="CR31" s="12">
        <v>7</v>
      </c>
      <c r="CS31" s="12">
        <v>0</v>
      </c>
      <c r="CT31" s="12">
        <v>4</v>
      </c>
      <c r="CU31" s="12">
        <v>0</v>
      </c>
      <c r="CV31" s="12">
        <v>3</v>
      </c>
      <c r="CW31" s="12">
        <v>1</v>
      </c>
      <c r="CX31" s="12">
        <v>6</v>
      </c>
      <c r="CY31" s="12">
        <v>1</v>
      </c>
      <c r="CZ31" s="12">
        <v>1</v>
      </c>
      <c r="DA31" s="12">
        <v>0</v>
      </c>
      <c r="DB31" s="12">
        <v>0</v>
      </c>
      <c r="DC31" s="12">
        <v>0</v>
      </c>
      <c r="DD31" s="12">
        <v>1</v>
      </c>
      <c r="DE31" s="12">
        <v>2</v>
      </c>
      <c r="DF31" s="12">
        <v>7</v>
      </c>
      <c r="DG31" s="12">
        <v>12</v>
      </c>
      <c r="DH31" s="12">
        <v>0</v>
      </c>
      <c r="DI31" s="12">
        <v>0</v>
      </c>
      <c r="DJ31" s="12">
        <v>0</v>
      </c>
      <c r="DK31" s="12">
        <v>0</v>
      </c>
      <c r="DL31" s="12">
        <v>15</v>
      </c>
      <c r="DM31" s="12">
        <v>18</v>
      </c>
      <c r="DN31" s="12">
        <v>6</v>
      </c>
      <c r="DO31" s="12">
        <v>13</v>
      </c>
      <c r="DP31" s="12">
        <v>4</v>
      </c>
      <c r="DQ31" s="12">
        <v>8</v>
      </c>
      <c r="DR31" s="12">
        <v>2</v>
      </c>
      <c r="DS31" s="12">
        <v>3</v>
      </c>
      <c r="DT31" s="12">
        <v>5</v>
      </c>
      <c r="DU31" s="12">
        <v>20</v>
      </c>
      <c r="DV31" s="12">
        <v>0</v>
      </c>
      <c r="DW31" s="12">
        <v>0</v>
      </c>
      <c r="DX31" s="12">
        <v>74</v>
      </c>
      <c r="DY31" s="12">
        <v>20</v>
      </c>
      <c r="DZ31" s="12">
        <v>46</v>
      </c>
      <c r="EA31" s="16">
        <v>0.43478260869565216</v>
      </c>
      <c r="EB31" s="12">
        <v>6</v>
      </c>
      <c r="EC31" s="12">
        <v>23</v>
      </c>
      <c r="ED31" s="16">
        <v>0.2608695652173913</v>
      </c>
      <c r="EE31" s="12">
        <v>26</v>
      </c>
      <c r="EF31" s="12">
        <v>69</v>
      </c>
      <c r="EG31" s="16">
        <v>0.37681159420289856</v>
      </c>
      <c r="EH31" s="12">
        <v>16</v>
      </c>
      <c r="EI31" s="12">
        <v>20</v>
      </c>
      <c r="EJ31" s="16">
        <v>0.8</v>
      </c>
      <c r="EK31" s="12">
        <v>20</v>
      </c>
      <c r="EL31" s="12">
        <v>21</v>
      </c>
      <c r="EM31" s="12">
        <v>41</v>
      </c>
      <c r="EN31" s="12">
        <v>13</v>
      </c>
      <c r="EO31" s="12">
        <v>21</v>
      </c>
      <c r="EP31" s="12">
        <v>22</v>
      </c>
      <c r="EQ31" s="12">
        <v>3</v>
      </c>
      <c r="ER31" s="12">
        <v>10</v>
      </c>
      <c r="ES31" s="12">
        <v>1</v>
      </c>
      <c r="ET31" s="12">
        <v>5</v>
      </c>
      <c r="EU31" s="12">
        <v>71</v>
      </c>
      <c r="EV31" s="12">
        <v>-5</v>
      </c>
      <c r="EW31" s="12">
        <v>67</v>
      </c>
      <c r="EX31" s="12">
        <v>87</v>
      </c>
      <c r="EY31" s="12">
        <v>2</v>
      </c>
      <c r="EZ31" s="12">
        <v>8</v>
      </c>
      <c r="FA31" s="12">
        <v>4</v>
      </c>
      <c r="FB31" s="12">
        <v>1</v>
      </c>
      <c r="FC31" s="12">
        <v>2</v>
      </c>
      <c r="FD31" s="12">
        <v>4</v>
      </c>
      <c r="FE31" s="12">
        <v>3</v>
      </c>
      <c r="FF31" s="12">
        <v>6</v>
      </c>
      <c r="FG31" s="12">
        <v>1</v>
      </c>
      <c r="FH31" s="12">
        <v>1</v>
      </c>
      <c r="FI31" s="12">
        <v>0</v>
      </c>
      <c r="FJ31" s="12">
        <v>1</v>
      </c>
      <c r="FK31" s="12">
        <v>0</v>
      </c>
      <c r="FL31" s="12">
        <v>7</v>
      </c>
      <c r="FM31" s="12">
        <v>1</v>
      </c>
      <c r="FN31" s="12">
        <v>1</v>
      </c>
      <c r="FO31" s="12">
        <v>1</v>
      </c>
      <c r="FP31" s="12">
        <v>3</v>
      </c>
      <c r="FQ31" s="12">
        <v>1</v>
      </c>
      <c r="FR31" s="12">
        <v>6</v>
      </c>
      <c r="FS31" s="12">
        <v>0</v>
      </c>
      <c r="FT31" s="12">
        <v>2</v>
      </c>
      <c r="FU31" s="12">
        <v>0</v>
      </c>
      <c r="FV31" s="12">
        <v>0</v>
      </c>
      <c r="FW31" s="12">
        <v>0</v>
      </c>
      <c r="FX31" s="12">
        <v>9</v>
      </c>
      <c r="FY31" s="12">
        <v>2</v>
      </c>
      <c r="FZ31" s="12">
        <v>1</v>
      </c>
      <c r="GA31" s="12">
        <v>0</v>
      </c>
      <c r="GB31" s="12">
        <v>0</v>
      </c>
      <c r="GC31" s="12">
        <v>0</v>
      </c>
      <c r="GD31" s="12">
        <v>1</v>
      </c>
      <c r="GE31" s="12">
        <v>2</v>
      </c>
      <c r="GF31" s="12">
        <v>9</v>
      </c>
      <c r="GG31" s="12">
        <v>12</v>
      </c>
      <c r="GH31" s="12">
        <v>0</v>
      </c>
      <c r="GI31" s="12">
        <v>6</v>
      </c>
      <c r="GJ31" s="12">
        <v>6</v>
      </c>
      <c r="GK31" s="12">
        <v>0</v>
      </c>
      <c r="GL31" s="12">
        <v>17</v>
      </c>
      <c r="GM31" s="12">
        <v>24</v>
      </c>
      <c r="GN31" s="12">
        <v>2</v>
      </c>
      <c r="GO31" s="12">
        <v>15</v>
      </c>
      <c r="GP31" s="12">
        <v>1</v>
      </c>
      <c r="GQ31" s="12">
        <v>7</v>
      </c>
      <c r="GR31" s="12">
        <v>0</v>
      </c>
      <c r="GS31" s="12">
        <v>4</v>
      </c>
      <c r="GT31" s="12">
        <v>6</v>
      </c>
      <c r="GU31" s="12">
        <v>19</v>
      </c>
      <c r="GV31" s="12">
        <v>0</v>
      </c>
      <c r="GW31" s="12">
        <v>0</v>
      </c>
      <c r="GY31" s="16"/>
    </row>
    <row r="32" spans="2:207" ht="15" customHeight="1" x14ac:dyDescent="0.2">
      <c r="B32" s="12">
        <v>2</v>
      </c>
      <c r="C32" s="12" t="s">
        <v>301</v>
      </c>
      <c r="D32" s="12" t="s">
        <v>285</v>
      </c>
      <c r="E32" s="14" t="s">
        <v>302</v>
      </c>
      <c r="F32" s="14" t="s">
        <v>287</v>
      </c>
      <c r="G32" s="15">
        <v>45212</v>
      </c>
      <c r="H32" s="15" t="s">
        <v>268</v>
      </c>
      <c r="I32" s="12" t="s">
        <v>269</v>
      </c>
      <c r="J32" s="12" t="s">
        <v>272</v>
      </c>
      <c r="K32" s="12">
        <v>200</v>
      </c>
      <c r="L32" s="12">
        <v>59</v>
      </c>
      <c r="M32" s="12">
        <v>17</v>
      </c>
      <c r="N32" s="12">
        <v>42</v>
      </c>
      <c r="O32" s="16">
        <v>0.40476190476190477</v>
      </c>
      <c r="P32" s="12">
        <v>4</v>
      </c>
      <c r="Q32" s="12">
        <v>22</v>
      </c>
      <c r="R32" s="16">
        <v>0.18181818181818182</v>
      </c>
      <c r="S32" s="12">
        <v>21</v>
      </c>
      <c r="T32" s="12">
        <v>64</v>
      </c>
      <c r="U32" s="16">
        <v>0.328125</v>
      </c>
      <c r="V32" s="12">
        <v>13</v>
      </c>
      <c r="W32" s="12">
        <v>25</v>
      </c>
      <c r="X32" s="16">
        <v>0.52</v>
      </c>
      <c r="Y32" s="12">
        <v>17</v>
      </c>
      <c r="Z32" s="12">
        <v>18</v>
      </c>
      <c r="AA32" s="12">
        <v>35</v>
      </c>
      <c r="AB32" s="12">
        <v>9</v>
      </c>
      <c r="AC32" s="12">
        <v>8</v>
      </c>
      <c r="AD32" s="12">
        <v>4</v>
      </c>
      <c r="AE32" s="12">
        <v>1</v>
      </c>
      <c r="AF32" s="12">
        <v>1</v>
      </c>
      <c r="AG32" s="12">
        <v>19</v>
      </c>
      <c r="AH32" s="12">
        <v>27</v>
      </c>
      <c r="AI32" s="17">
        <v>52</v>
      </c>
      <c r="AJ32" s="12">
        <v>-24</v>
      </c>
      <c r="AK32" s="12">
        <v>65</v>
      </c>
      <c r="AL32" s="12">
        <v>83</v>
      </c>
      <c r="AM32" s="19">
        <v>0.71084337349397586</v>
      </c>
      <c r="AN32" s="19">
        <v>1.0246913580246915</v>
      </c>
      <c r="AO32" s="18">
        <v>90.769230769230774</v>
      </c>
      <c r="AP32" s="18">
        <v>125.75757575757575</v>
      </c>
      <c r="AQ32" s="18">
        <v>-34.988344988344977</v>
      </c>
      <c r="AR32" s="53">
        <v>0.359375</v>
      </c>
      <c r="AS32" s="53">
        <v>0.39333333333333331</v>
      </c>
      <c r="AT32" s="16">
        <v>0.12048192771084337</v>
      </c>
      <c r="AU32" s="19">
        <v>1.2</v>
      </c>
      <c r="AV32" s="16">
        <v>0.30120481927710846</v>
      </c>
      <c r="AW32" s="19">
        <v>0.8</v>
      </c>
      <c r="AX32" s="16">
        <v>8.4337349397590355E-2</v>
      </c>
      <c r="AY32" s="19">
        <v>0.2857142857142857</v>
      </c>
      <c r="AZ32" s="16">
        <v>0</v>
      </c>
      <c r="BA32" s="19" t="s">
        <v>269</v>
      </c>
      <c r="BB32" s="16">
        <v>0.26506024096385544</v>
      </c>
      <c r="BC32" s="21">
        <v>0.54545454545454541</v>
      </c>
      <c r="BD32" s="16">
        <v>0.13253012048192772</v>
      </c>
      <c r="BE32" s="16">
        <v>9.7560975609756101E-2</v>
      </c>
      <c r="BF32" s="16">
        <v>0.31034482758620691</v>
      </c>
      <c r="BG32" s="16">
        <v>0.41176470588235292</v>
      </c>
      <c r="BH32" s="16">
        <v>0.25</v>
      </c>
      <c r="BI32" s="16">
        <v>0.125</v>
      </c>
      <c r="BJ32" s="16">
        <v>0.10975609756097561</v>
      </c>
      <c r="BK32" s="21">
        <v>1.125</v>
      </c>
      <c r="BL32" s="16">
        <v>0.35416666666666669</v>
      </c>
      <c r="BM32" s="16">
        <v>0.22222222222222221</v>
      </c>
      <c r="BN32" s="16">
        <v>0.55000000000000004</v>
      </c>
      <c r="BO32" s="16">
        <v>0.375</v>
      </c>
      <c r="BP32" s="16">
        <v>0.54545454545454541</v>
      </c>
      <c r="BQ32" s="16">
        <v>0.6</v>
      </c>
      <c r="BR32" s="16">
        <v>0.47058823529411764</v>
      </c>
      <c r="BS32" s="16">
        <v>1</v>
      </c>
      <c r="BT32" s="16">
        <v>0.43209876543209874</v>
      </c>
      <c r="BU32" s="16">
        <v>6.0606060606060608E-2</v>
      </c>
      <c r="BV32" s="16">
        <v>1.6393442622950821E-2</v>
      </c>
      <c r="BW32" s="54">
        <v>1</v>
      </c>
      <c r="BX32" s="54">
        <v>0.31578947368421051</v>
      </c>
      <c r="BY32" s="54">
        <v>0.51851851851851849</v>
      </c>
      <c r="BZ32" s="12">
        <v>7</v>
      </c>
      <c r="CA32" s="12">
        <v>1</v>
      </c>
      <c r="CB32" s="12">
        <v>1</v>
      </c>
      <c r="CC32" s="12">
        <v>2</v>
      </c>
      <c r="CD32" s="12">
        <v>1</v>
      </c>
      <c r="CE32" s="12">
        <v>0</v>
      </c>
      <c r="CF32" s="12">
        <v>4</v>
      </c>
      <c r="CG32" s="12">
        <v>0</v>
      </c>
      <c r="CH32" s="12">
        <v>1</v>
      </c>
      <c r="CI32" s="12">
        <v>0</v>
      </c>
      <c r="CJ32" s="12">
        <v>0</v>
      </c>
      <c r="CK32" s="12">
        <v>0</v>
      </c>
      <c r="CL32" s="12">
        <v>9</v>
      </c>
      <c r="CM32" s="12">
        <v>2</v>
      </c>
      <c r="CN32" s="12">
        <v>2</v>
      </c>
      <c r="CO32" s="12">
        <v>1</v>
      </c>
      <c r="CP32" s="12">
        <v>1</v>
      </c>
      <c r="CQ32" s="12">
        <v>0</v>
      </c>
      <c r="CR32" s="12">
        <v>6</v>
      </c>
      <c r="CS32" s="12">
        <v>1</v>
      </c>
      <c r="CT32" s="12">
        <v>3</v>
      </c>
      <c r="CU32" s="12">
        <v>1</v>
      </c>
      <c r="CV32" s="12">
        <v>0</v>
      </c>
      <c r="CW32" s="12">
        <v>0</v>
      </c>
      <c r="CX32" s="12">
        <v>7</v>
      </c>
      <c r="CY32" s="12">
        <v>1</v>
      </c>
      <c r="CZ32" s="12">
        <v>1</v>
      </c>
      <c r="DA32" s="12">
        <v>0</v>
      </c>
      <c r="DB32" s="12">
        <v>0</v>
      </c>
      <c r="DC32" s="12">
        <v>0</v>
      </c>
      <c r="DD32" s="12">
        <v>1</v>
      </c>
      <c r="DE32" s="12">
        <v>3</v>
      </c>
      <c r="DF32" s="12">
        <v>12</v>
      </c>
      <c r="DG32" s="12">
        <v>22</v>
      </c>
      <c r="DH32" s="12">
        <v>3</v>
      </c>
      <c r="DI32" s="12">
        <v>0</v>
      </c>
      <c r="DJ32" s="12">
        <v>0</v>
      </c>
      <c r="DK32" s="12">
        <v>0</v>
      </c>
      <c r="DL32" s="12">
        <v>6</v>
      </c>
      <c r="DM32" s="12">
        <v>10</v>
      </c>
      <c r="DN32" s="12">
        <v>10</v>
      </c>
      <c r="DO32" s="12">
        <v>25</v>
      </c>
      <c r="DP32" s="12">
        <v>1</v>
      </c>
      <c r="DQ32" s="12">
        <v>7</v>
      </c>
      <c r="DR32" s="12">
        <v>0</v>
      </c>
      <c r="DS32" s="12">
        <v>0</v>
      </c>
      <c r="DT32" s="12">
        <v>4</v>
      </c>
      <c r="DU32" s="12">
        <v>22</v>
      </c>
      <c r="DV32" s="12">
        <v>0</v>
      </c>
      <c r="DW32" s="12">
        <v>0</v>
      </c>
      <c r="DX32" s="12">
        <v>83</v>
      </c>
      <c r="DY32" s="12">
        <v>13</v>
      </c>
      <c r="DZ32" s="12">
        <v>30</v>
      </c>
      <c r="EA32" s="16">
        <v>0.43333333333333335</v>
      </c>
      <c r="EB32" s="12">
        <v>16</v>
      </c>
      <c r="EC32" s="12">
        <v>31</v>
      </c>
      <c r="ED32" s="16">
        <v>0.5161290322580645</v>
      </c>
      <c r="EE32" s="12">
        <v>29</v>
      </c>
      <c r="EF32" s="12">
        <v>61</v>
      </c>
      <c r="EG32" s="16">
        <v>0.47540983606557374</v>
      </c>
      <c r="EH32" s="12">
        <v>9</v>
      </c>
      <c r="EI32" s="12">
        <v>13</v>
      </c>
      <c r="EJ32" s="16">
        <v>0.69230769230769229</v>
      </c>
      <c r="EK32" s="12">
        <v>15</v>
      </c>
      <c r="EL32" s="12">
        <v>31</v>
      </c>
      <c r="EM32" s="12">
        <v>46</v>
      </c>
      <c r="EN32" s="12">
        <v>18</v>
      </c>
      <c r="EO32" s="12">
        <v>27</v>
      </c>
      <c r="EP32" s="12">
        <v>19</v>
      </c>
      <c r="EQ32" s="12">
        <v>4</v>
      </c>
      <c r="ER32" s="12">
        <v>14</v>
      </c>
      <c r="ES32" s="12">
        <v>1</v>
      </c>
      <c r="ET32" s="12">
        <v>1</v>
      </c>
      <c r="EU32" s="12">
        <v>93</v>
      </c>
      <c r="EV32" s="12">
        <v>24</v>
      </c>
      <c r="EW32" s="12">
        <v>66</v>
      </c>
      <c r="EX32" s="12">
        <v>81</v>
      </c>
      <c r="EY32" s="12">
        <v>6</v>
      </c>
      <c r="EZ32" s="12">
        <v>4</v>
      </c>
      <c r="FA32" s="12">
        <v>14</v>
      </c>
      <c r="FB32" s="12">
        <v>0</v>
      </c>
      <c r="FC32" s="12">
        <v>0</v>
      </c>
      <c r="FD32" s="12">
        <v>0</v>
      </c>
      <c r="FE32" s="12">
        <v>0</v>
      </c>
      <c r="FF32" s="12">
        <v>7</v>
      </c>
      <c r="FG32" s="12">
        <v>1</v>
      </c>
      <c r="FH32" s="12">
        <v>0</v>
      </c>
      <c r="FI32" s="12">
        <v>0</v>
      </c>
      <c r="FJ32" s="12">
        <v>0</v>
      </c>
      <c r="FK32" s="12">
        <v>0</v>
      </c>
      <c r="FL32" s="12">
        <v>8</v>
      </c>
      <c r="FM32" s="12">
        <v>1</v>
      </c>
      <c r="FN32" s="12">
        <v>0</v>
      </c>
      <c r="FO32" s="12">
        <v>0</v>
      </c>
      <c r="FP32" s="12">
        <v>3</v>
      </c>
      <c r="FQ32" s="12">
        <v>0</v>
      </c>
      <c r="FR32" s="12">
        <v>10</v>
      </c>
      <c r="FS32" s="12">
        <v>2</v>
      </c>
      <c r="FT32" s="12">
        <v>5</v>
      </c>
      <c r="FU32" s="12">
        <v>1</v>
      </c>
      <c r="FV32" s="12">
        <v>0</v>
      </c>
      <c r="FW32" s="12">
        <v>0</v>
      </c>
      <c r="FX32" s="12">
        <v>9</v>
      </c>
      <c r="FY32" s="12">
        <v>0</v>
      </c>
      <c r="FZ32" s="12">
        <v>4</v>
      </c>
      <c r="GA32" s="12">
        <v>1</v>
      </c>
      <c r="GB32" s="12">
        <v>0</v>
      </c>
      <c r="GC32" s="12">
        <v>0</v>
      </c>
      <c r="GD32" s="12">
        <v>0</v>
      </c>
      <c r="GE32" s="12">
        <v>0</v>
      </c>
      <c r="GF32" s="12">
        <v>7</v>
      </c>
      <c r="GG32" s="12">
        <v>10</v>
      </c>
      <c r="GH32" s="12">
        <v>1</v>
      </c>
      <c r="GI32" s="12">
        <v>2</v>
      </c>
      <c r="GJ32" s="12">
        <v>3</v>
      </c>
      <c r="GK32" s="12">
        <v>0</v>
      </c>
      <c r="GL32" s="12">
        <v>1</v>
      </c>
      <c r="GM32" s="12">
        <v>2</v>
      </c>
      <c r="GN32" s="12">
        <v>12</v>
      </c>
      <c r="GO32" s="12">
        <v>25</v>
      </c>
      <c r="GP32" s="12">
        <v>0</v>
      </c>
      <c r="GQ32" s="12">
        <v>3</v>
      </c>
      <c r="GR32" s="12">
        <v>0</v>
      </c>
      <c r="GS32" s="12">
        <v>0</v>
      </c>
      <c r="GT32" s="12">
        <v>16</v>
      </c>
      <c r="GU32" s="12">
        <v>31</v>
      </c>
      <c r="GV32" s="12">
        <v>0</v>
      </c>
      <c r="GW32" s="12">
        <v>0</v>
      </c>
      <c r="GY32" s="16"/>
    </row>
    <row r="33" spans="2:207" ht="15" customHeight="1" x14ac:dyDescent="0.2">
      <c r="B33" s="12">
        <v>2</v>
      </c>
      <c r="C33" s="12" t="s">
        <v>285</v>
      </c>
      <c r="D33" s="12" t="s">
        <v>301</v>
      </c>
      <c r="E33" s="14" t="s">
        <v>287</v>
      </c>
      <c r="F33" s="14" t="s">
        <v>302</v>
      </c>
      <c r="G33" s="15">
        <v>45212</v>
      </c>
      <c r="H33" s="15" t="s">
        <v>271</v>
      </c>
      <c r="I33" s="12" t="s">
        <v>269</v>
      </c>
      <c r="J33" s="12" t="s">
        <v>270</v>
      </c>
      <c r="K33" s="12">
        <v>200</v>
      </c>
      <c r="L33" s="12">
        <v>83</v>
      </c>
      <c r="M33" s="12">
        <v>13</v>
      </c>
      <c r="N33" s="12">
        <v>30</v>
      </c>
      <c r="O33" s="16">
        <v>0.43333333333333335</v>
      </c>
      <c r="P33" s="12">
        <v>16</v>
      </c>
      <c r="Q33" s="12">
        <v>31</v>
      </c>
      <c r="R33" s="16">
        <v>0.5161290322580645</v>
      </c>
      <c r="S33" s="12">
        <v>29</v>
      </c>
      <c r="T33" s="12">
        <v>61</v>
      </c>
      <c r="U33" s="16">
        <v>0.47540983606557374</v>
      </c>
      <c r="V33" s="12">
        <v>9</v>
      </c>
      <c r="W33" s="12">
        <v>13</v>
      </c>
      <c r="X33" s="16">
        <v>0.69230769230769229</v>
      </c>
      <c r="Y33" s="12">
        <v>15</v>
      </c>
      <c r="Z33" s="12">
        <v>31</v>
      </c>
      <c r="AA33" s="12">
        <v>46</v>
      </c>
      <c r="AB33" s="12">
        <v>18</v>
      </c>
      <c r="AC33" s="12">
        <v>14</v>
      </c>
      <c r="AD33" s="12">
        <v>4</v>
      </c>
      <c r="AE33" s="12">
        <v>1</v>
      </c>
      <c r="AF33" s="12">
        <v>1</v>
      </c>
      <c r="AG33" s="12">
        <v>27</v>
      </c>
      <c r="AH33" s="12">
        <v>19</v>
      </c>
      <c r="AI33" s="17">
        <v>93</v>
      </c>
      <c r="AJ33" s="12">
        <v>24</v>
      </c>
      <c r="AK33" s="12">
        <v>66</v>
      </c>
      <c r="AL33" s="12">
        <v>81</v>
      </c>
      <c r="AM33" s="19">
        <v>1.0246913580246915</v>
      </c>
      <c r="AN33" s="19">
        <v>0.71084337349397586</v>
      </c>
      <c r="AO33" s="18">
        <v>125.75757575757575</v>
      </c>
      <c r="AP33" s="18">
        <v>90.769230769230774</v>
      </c>
      <c r="AQ33" s="18">
        <v>34.988344988344977</v>
      </c>
      <c r="AR33" s="53">
        <v>0.60655737704918034</v>
      </c>
      <c r="AS33" s="53">
        <v>0.61940298507462688</v>
      </c>
      <c r="AT33" s="16">
        <v>2.4691358024691357E-2</v>
      </c>
      <c r="AU33" s="19">
        <v>1</v>
      </c>
      <c r="AV33" s="16">
        <v>0.30864197530864196</v>
      </c>
      <c r="AW33" s="19">
        <v>0.96</v>
      </c>
      <c r="AX33" s="16">
        <v>3.7037037037037035E-2</v>
      </c>
      <c r="AY33" s="19">
        <v>0</v>
      </c>
      <c r="AZ33" s="16">
        <v>0</v>
      </c>
      <c r="BA33" s="19" t="s">
        <v>269</v>
      </c>
      <c r="BB33" s="16">
        <v>0.38271604938271603</v>
      </c>
      <c r="BC33" s="21">
        <v>1.5483870967741935</v>
      </c>
      <c r="BD33" s="16">
        <v>7.407407407407407E-2</v>
      </c>
      <c r="BE33" s="16">
        <v>0.1728395061728395</v>
      </c>
      <c r="BF33" s="16">
        <v>0.52941176470588236</v>
      </c>
      <c r="BG33" s="16">
        <v>0.30769230769230771</v>
      </c>
      <c r="BH33" s="16">
        <v>0.875</v>
      </c>
      <c r="BI33" s="16">
        <v>0</v>
      </c>
      <c r="BJ33" s="16">
        <v>0.22222222222222221</v>
      </c>
      <c r="BK33" s="21">
        <v>1.2857142857142858</v>
      </c>
      <c r="BL33" s="16">
        <v>0.45454545454545453</v>
      </c>
      <c r="BM33" s="16">
        <v>0.4</v>
      </c>
      <c r="BN33" s="16">
        <v>0.52941176470588236</v>
      </c>
      <c r="BO33" s="16">
        <v>0</v>
      </c>
      <c r="BP33" s="16">
        <v>0.64583333333333337</v>
      </c>
      <c r="BQ33" s="16">
        <v>0.77777777777777779</v>
      </c>
      <c r="BR33" s="16">
        <v>0.45</v>
      </c>
      <c r="BS33" s="16">
        <v>0.625</v>
      </c>
      <c r="BT33" s="16">
        <v>0.5679012345679012</v>
      </c>
      <c r="BU33" s="16">
        <v>6.1538461538461542E-2</v>
      </c>
      <c r="BV33" s="16">
        <v>1.5625E-2</v>
      </c>
      <c r="BW33" s="54">
        <v>6</v>
      </c>
      <c r="BX33" s="54">
        <v>0.51851851851851849</v>
      </c>
      <c r="BY33" s="54">
        <v>0.31578947368421051</v>
      </c>
      <c r="BZ33" s="12">
        <v>4</v>
      </c>
      <c r="CA33" s="12">
        <v>14</v>
      </c>
      <c r="CB33" s="12">
        <v>0</v>
      </c>
      <c r="CC33" s="12">
        <v>0</v>
      </c>
      <c r="CD33" s="12">
        <v>0</v>
      </c>
      <c r="CE33" s="12">
        <v>0</v>
      </c>
      <c r="CF33" s="12">
        <v>7</v>
      </c>
      <c r="CG33" s="12">
        <v>1</v>
      </c>
      <c r="CH33" s="12">
        <v>0</v>
      </c>
      <c r="CI33" s="12">
        <v>0</v>
      </c>
      <c r="CJ33" s="12">
        <v>0</v>
      </c>
      <c r="CK33" s="12">
        <v>0</v>
      </c>
      <c r="CL33" s="12">
        <v>8</v>
      </c>
      <c r="CM33" s="12">
        <v>1</v>
      </c>
      <c r="CN33" s="12">
        <v>0</v>
      </c>
      <c r="CO33" s="12">
        <v>0</v>
      </c>
      <c r="CP33" s="12">
        <v>3</v>
      </c>
      <c r="CQ33" s="12">
        <v>0</v>
      </c>
      <c r="CR33" s="12">
        <v>10</v>
      </c>
      <c r="CS33" s="12">
        <v>2</v>
      </c>
      <c r="CT33" s="12">
        <v>5</v>
      </c>
      <c r="CU33" s="12">
        <v>1</v>
      </c>
      <c r="CV33" s="12">
        <v>0</v>
      </c>
      <c r="CW33" s="12">
        <v>0</v>
      </c>
      <c r="CX33" s="12">
        <v>9</v>
      </c>
      <c r="CY33" s="12">
        <v>0</v>
      </c>
      <c r="CZ33" s="12">
        <v>4</v>
      </c>
      <c r="DA33" s="12">
        <v>1</v>
      </c>
      <c r="DB33" s="12">
        <v>0</v>
      </c>
      <c r="DC33" s="12">
        <v>0</v>
      </c>
      <c r="DD33" s="12">
        <v>0</v>
      </c>
      <c r="DE33" s="12">
        <v>0</v>
      </c>
      <c r="DF33" s="12">
        <v>7</v>
      </c>
      <c r="DG33" s="12">
        <v>10</v>
      </c>
      <c r="DH33" s="12">
        <v>1</v>
      </c>
      <c r="DI33" s="12">
        <v>2</v>
      </c>
      <c r="DJ33" s="12">
        <v>3</v>
      </c>
      <c r="DK33" s="12">
        <v>0</v>
      </c>
      <c r="DL33" s="12">
        <v>1</v>
      </c>
      <c r="DM33" s="12">
        <v>2</v>
      </c>
      <c r="DN33" s="12">
        <v>12</v>
      </c>
      <c r="DO33" s="12">
        <v>25</v>
      </c>
      <c r="DP33" s="12">
        <v>0</v>
      </c>
      <c r="DQ33" s="12">
        <v>3</v>
      </c>
      <c r="DR33" s="12">
        <v>0</v>
      </c>
      <c r="DS33" s="12">
        <v>0</v>
      </c>
      <c r="DT33" s="12">
        <v>16</v>
      </c>
      <c r="DU33" s="12">
        <v>31</v>
      </c>
      <c r="DV33" s="12">
        <v>0</v>
      </c>
      <c r="DW33" s="12">
        <v>0</v>
      </c>
      <c r="DX33" s="12">
        <v>59</v>
      </c>
      <c r="DY33" s="12">
        <v>17</v>
      </c>
      <c r="DZ33" s="12">
        <v>42</v>
      </c>
      <c r="EA33" s="16">
        <v>0.40476190476190477</v>
      </c>
      <c r="EB33" s="12">
        <v>4</v>
      </c>
      <c r="EC33" s="12">
        <v>22</v>
      </c>
      <c r="ED33" s="16">
        <v>0.18181818181818182</v>
      </c>
      <c r="EE33" s="12">
        <v>21</v>
      </c>
      <c r="EF33" s="12">
        <v>64</v>
      </c>
      <c r="EG33" s="16">
        <v>0.328125</v>
      </c>
      <c r="EH33" s="12">
        <v>13</v>
      </c>
      <c r="EI33" s="12">
        <v>25</v>
      </c>
      <c r="EJ33" s="16">
        <v>0.52</v>
      </c>
      <c r="EK33" s="12">
        <v>17</v>
      </c>
      <c r="EL33" s="12">
        <v>18</v>
      </c>
      <c r="EM33" s="12">
        <v>35</v>
      </c>
      <c r="EN33" s="12">
        <v>9</v>
      </c>
      <c r="EO33" s="12">
        <v>19</v>
      </c>
      <c r="EP33" s="12">
        <v>27</v>
      </c>
      <c r="EQ33" s="12">
        <v>4</v>
      </c>
      <c r="ER33" s="12">
        <v>8</v>
      </c>
      <c r="ES33" s="12">
        <v>1</v>
      </c>
      <c r="ET33" s="12">
        <v>1</v>
      </c>
      <c r="EU33" s="12">
        <v>52</v>
      </c>
      <c r="EV33" s="12">
        <v>-24</v>
      </c>
      <c r="EW33" s="12">
        <v>65</v>
      </c>
      <c r="EX33" s="12">
        <v>83</v>
      </c>
      <c r="EY33" s="12">
        <v>1</v>
      </c>
      <c r="EZ33" s="12">
        <v>7</v>
      </c>
      <c r="FA33" s="12">
        <v>1</v>
      </c>
      <c r="FB33" s="12">
        <v>1</v>
      </c>
      <c r="FC33" s="12">
        <v>2</v>
      </c>
      <c r="FD33" s="12">
        <v>1</v>
      </c>
      <c r="FE33" s="12">
        <v>0</v>
      </c>
      <c r="FF33" s="12">
        <v>4</v>
      </c>
      <c r="FG33" s="12">
        <v>0</v>
      </c>
      <c r="FH33" s="12">
        <v>1</v>
      </c>
      <c r="FI33" s="12">
        <v>0</v>
      </c>
      <c r="FJ33" s="12">
        <v>0</v>
      </c>
      <c r="FK33" s="12">
        <v>0</v>
      </c>
      <c r="FL33" s="12">
        <v>9</v>
      </c>
      <c r="FM33" s="12">
        <v>2</v>
      </c>
      <c r="FN33" s="12">
        <v>2</v>
      </c>
      <c r="FO33" s="12">
        <v>1</v>
      </c>
      <c r="FP33" s="12">
        <v>1</v>
      </c>
      <c r="FQ33" s="12">
        <v>0</v>
      </c>
      <c r="FR33" s="12">
        <v>6</v>
      </c>
      <c r="FS33" s="12">
        <v>1</v>
      </c>
      <c r="FT33" s="12">
        <v>3</v>
      </c>
      <c r="FU33" s="12">
        <v>1</v>
      </c>
      <c r="FV33" s="12">
        <v>0</v>
      </c>
      <c r="FW33" s="12">
        <v>0</v>
      </c>
      <c r="FX33" s="12">
        <v>7</v>
      </c>
      <c r="FY33" s="12">
        <v>1</v>
      </c>
      <c r="FZ33" s="12">
        <v>1</v>
      </c>
      <c r="GA33" s="12">
        <v>0</v>
      </c>
      <c r="GB33" s="12">
        <v>0</v>
      </c>
      <c r="GC33" s="12">
        <v>0</v>
      </c>
      <c r="GD33" s="12">
        <v>1</v>
      </c>
      <c r="GE33" s="12">
        <v>3</v>
      </c>
      <c r="GF33" s="12">
        <v>12</v>
      </c>
      <c r="GG33" s="12">
        <v>22</v>
      </c>
      <c r="GH33" s="12">
        <v>3</v>
      </c>
      <c r="GI33" s="12">
        <v>0</v>
      </c>
      <c r="GJ33" s="12">
        <v>0</v>
      </c>
      <c r="GK33" s="12">
        <v>0</v>
      </c>
      <c r="GL33" s="12">
        <v>6</v>
      </c>
      <c r="GM33" s="12">
        <v>10</v>
      </c>
      <c r="GN33" s="12">
        <v>10</v>
      </c>
      <c r="GO33" s="12">
        <v>25</v>
      </c>
      <c r="GP33" s="12">
        <v>1</v>
      </c>
      <c r="GQ33" s="12">
        <v>7</v>
      </c>
      <c r="GR33" s="12">
        <v>0</v>
      </c>
      <c r="GS33" s="12">
        <v>0</v>
      </c>
      <c r="GT33" s="12">
        <v>4</v>
      </c>
      <c r="GU33" s="12">
        <v>22</v>
      </c>
      <c r="GV33" s="12">
        <v>0</v>
      </c>
      <c r="GW33" s="12">
        <v>0</v>
      </c>
      <c r="GY33" s="16"/>
    </row>
    <row r="34" spans="2:207" ht="15" customHeight="1" x14ac:dyDescent="0.2">
      <c r="B34" s="12">
        <v>2</v>
      </c>
      <c r="C34" s="12" t="s">
        <v>278</v>
      </c>
      <c r="D34" s="12" t="s">
        <v>293</v>
      </c>
      <c r="E34" s="14" t="s">
        <v>280</v>
      </c>
      <c r="F34" s="14" t="s">
        <v>295</v>
      </c>
      <c r="G34" s="15">
        <v>45212</v>
      </c>
      <c r="H34" s="15" t="s">
        <v>271</v>
      </c>
      <c r="I34" s="12" t="s">
        <v>269</v>
      </c>
      <c r="J34" s="12" t="s">
        <v>270</v>
      </c>
      <c r="K34" s="12">
        <v>200</v>
      </c>
      <c r="L34" s="12">
        <v>77</v>
      </c>
      <c r="M34" s="12">
        <v>12</v>
      </c>
      <c r="N34" s="12">
        <v>23</v>
      </c>
      <c r="O34" s="16">
        <v>0.52173913043478259</v>
      </c>
      <c r="P34" s="12">
        <v>15</v>
      </c>
      <c r="Q34" s="12">
        <v>26</v>
      </c>
      <c r="R34" s="16">
        <v>0.57692307692307687</v>
      </c>
      <c r="S34" s="12">
        <v>27</v>
      </c>
      <c r="T34" s="12">
        <v>49</v>
      </c>
      <c r="U34" s="16">
        <v>0.55102040816326525</v>
      </c>
      <c r="V34" s="12">
        <v>8</v>
      </c>
      <c r="W34" s="12">
        <v>10</v>
      </c>
      <c r="X34" s="16">
        <v>0.8</v>
      </c>
      <c r="Y34" s="12">
        <v>7</v>
      </c>
      <c r="Z34" s="12">
        <v>25</v>
      </c>
      <c r="AA34" s="12">
        <v>32</v>
      </c>
      <c r="AB34" s="12">
        <v>20</v>
      </c>
      <c r="AC34" s="12">
        <v>18</v>
      </c>
      <c r="AD34" s="12">
        <v>7</v>
      </c>
      <c r="AE34" s="12">
        <v>3</v>
      </c>
      <c r="AF34" s="12">
        <v>2</v>
      </c>
      <c r="AG34" s="12">
        <v>15</v>
      </c>
      <c r="AH34" s="12">
        <v>16</v>
      </c>
      <c r="AI34" s="17">
        <v>96</v>
      </c>
      <c r="AJ34" s="12">
        <v>9</v>
      </c>
      <c r="AK34" s="12">
        <v>65</v>
      </c>
      <c r="AL34" s="12">
        <v>72</v>
      </c>
      <c r="AM34" s="19">
        <v>1.0694444444444444</v>
      </c>
      <c r="AN34" s="19">
        <v>0.88311688311688308</v>
      </c>
      <c r="AO34" s="18">
        <v>118.46153846153847</v>
      </c>
      <c r="AP34" s="18">
        <v>101.49253731343283</v>
      </c>
      <c r="AQ34" s="18">
        <v>16.969001148105633</v>
      </c>
      <c r="AR34" s="53">
        <v>0.70408163265306123</v>
      </c>
      <c r="AS34" s="53">
        <v>0.71296296296296291</v>
      </c>
      <c r="AT34" s="16">
        <v>0.1111111111111111</v>
      </c>
      <c r="AU34" s="19">
        <v>1</v>
      </c>
      <c r="AV34" s="16">
        <v>0.1388888888888889</v>
      </c>
      <c r="AW34" s="19">
        <v>1.4</v>
      </c>
      <c r="AX34" s="16">
        <v>6.9444444444444448E-2</v>
      </c>
      <c r="AY34" s="19">
        <v>0.4</v>
      </c>
      <c r="AZ34" s="16">
        <v>2.7777777777777776E-2</v>
      </c>
      <c r="BA34" s="19">
        <v>3</v>
      </c>
      <c r="BB34" s="16">
        <v>0.33333333333333331</v>
      </c>
      <c r="BC34" s="21">
        <v>1.625</v>
      </c>
      <c r="BD34" s="16">
        <v>6.9444444444444448E-2</v>
      </c>
      <c r="BE34" s="16">
        <v>0.25</v>
      </c>
      <c r="BF34" s="16">
        <v>0.59375</v>
      </c>
      <c r="BG34" s="16">
        <v>0.5</v>
      </c>
      <c r="BH34" s="16">
        <v>0.8666666666666667</v>
      </c>
      <c r="BI34" s="16">
        <v>0</v>
      </c>
      <c r="BJ34" s="16">
        <v>0.27777777777777779</v>
      </c>
      <c r="BK34" s="21">
        <v>1.1111111111111112</v>
      </c>
      <c r="BL34" s="16">
        <v>0.30434782608695654</v>
      </c>
      <c r="BM34" s="16">
        <v>0.33333333333333331</v>
      </c>
      <c r="BN34" s="16">
        <v>0.38461538461538464</v>
      </c>
      <c r="BO34" s="16">
        <v>0</v>
      </c>
      <c r="BP34" s="16">
        <v>0.7142857142857143</v>
      </c>
      <c r="BQ34" s="16">
        <v>0.52380952380952384</v>
      </c>
      <c r="BR34" s="16">
        <v>0.75</v>
      </c>
      <c r="BS34" s="16">
        <v>1</v>
      </c>
      <c r="BT34" s="16">
        <v>0.55172413793103448</v>
      </c>
      <c r="BU34" s="16">
        <v>0.1044776119402985</v>
      </c>
      <c r="BV34" s="16">
        <v>4.6875E-2</v>
      </c>
      <c r="BW34" s="54">
        <v>5</v>
      </c>
      <c r="BX34" s="54">
        <v>0.33333333333333331</v>
      </c>
      <c r="BY34" s="54">
        <v>0.3125</v>
      </c>
      <c r="BZ34" s="12">
        <v>6</v>
      </c>
      <c r="CA34" s="12">
        <v>13</v>
      </c>
      <c r="CB34" s="12">
        <v>0</v>
      </c>
      <c r="CC34" s="12">
        <v>0</v>
      </c>
      <c r="CD34" s="12">
        <v>2</v>
      </c>
      <c r="CE34" s="12">
        <v>0</v>
      </c>
      <c r="CF34" s="12">
        <v>1</v>
      </c>
      <c r="CG34" s="12">
        <v>0</v>
      </c>
      <c r="CH34" s="12">
        <v>1</v>
      </c>
      <c r="CI34" s="12">
        <v>0</v>
      </c>
      <c r="CJ34" s="12">
        <v>0</v>
      </c>
      <c r="CK34" s="12">
        <v>0</v>
      </c>
      <c r="CL34" s="12">
        <v>3</v>
      </c>
      <c r="CM34" s="12">
        <v>2</v>
      </c>
      <c r="CN34" s="12">
        <v>0</v>
      </c>
      <c r="CO34" s="12">
        <v>0</v>
      </c>
      <c r="CP34" s="12">
        <v>2</v>
      </c>
      <c r="CQ34" s="12">
        <v>0</v>
      </c>
      <c r="CR34" s="12">
        <v>7</v>
      </c>
      <c r="CS34" s="12">
        <v>1</v>
      </c>
      <c r="CT34" s="12">
        <v>1</v>
      </c>
      <c r="CU34" s="12">
        <v>0</v>
      </c>
      <c r="CV34" s="12">
        <v>1</v>
      </c>
      <c r="CW34" s="12">
        <v>0</v>
      </c>
      <c r="CX34" s="12">
        <v>12</v>
      </c>
      <c r="CY34" s="12">
        <v>2</v>
      </c>
      <c r="CZ34" s="12">
        <v>1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8</v>
      </c>
      <c r="DG34" s="12">
        <v>10</v>
      </c>
      <c r="DH34" s="12">
        <v>0</v>
      </c>
      <c r="DI34" s="12">
        <v>0</v>
      </c>
      <c r="DJ34" s="12">
        <v>0</v>
      </c>
      <c r="DK34" s="12">
        <v>0</v>
      </c>
      <c r="DL34" s="12">
        <v>4</v>
      </c>
      <c r="DM34" s="12">
        <v>8</v>
      </c>
      <c r="DN34" s="12">
        <v>7</v>
      </c>
      <c r="DO34" s="12">
        <v>10</v>
      </c>
      <c r="DP34" s="12">
        <v>1</v>
      </c>
      <c r="DQ34" s="12">
        <v>5</v>
      </c>
      <c r="DR34" s="12">
        <v>2</v>
      </c>
      <c r="DS34" s="12">
        <v>2</v>
      </c>
      <c r="DT34" s="12">
        <v>13</v>
      </c>
      <c r="DU34" s="12">
        <v>24</v>
      </c>
      <c r="DV34" s="12">
        <v>0</v>
      </c>
      <c r="DW34" s="12">
        <v>0</v>
      </c>
      <c r="DX34" s="12">
        <v>68</v>
      </c>
      <c r="DY34" s="12">
        <v>21</v>
      </c>
      <c r="DZ34" s="12">
        <v>39</v>
      </c>
      <c r="EA34" s="16">
        <v>0.53846153846153844</v>
      </c>
      <c r="EB34" s="12">
        <v>7</v>
      </c>
      <c r="EC34" s="12">
        <v>25</v>
      </c>
      <c r="ED34" s="16">
        <v>0.28000000000000003</v>
      </c>
      <c r="EE34" s="12">
        <v>28</v>
      </c>
      <c r="EF34" s="12">
        <v>64</v>
      </c>
      <c r="EG34" s="16">
        <v>0.4375</v>
      </c>
      <c r="EH34" s="12">
        <v>5</v>
      </c>
      <c r="EI34" s="12">
        <v>7</v>
      </c>
      <c r="EJ34" s="16">
        <v>0.7142857142857143</v>
      </c>
      <c r="EK34" s="12">
        <v>10</v>
      </c>
      <c r="EL34" s="12">
        <v>16</v>
      </c>
      <c r="EM34" s="12">
        <v>26</v>
      </c>
      <c r="EN34" s="12">
        <v>17</v>
      </c>
      <c r="EO34" s="12">
        <v>16</v>
      </c>
      <c r="EP34" s="12">
        <v>15</v>
      </c>
      <c r="EQ34" s="12">
        <v>11</v>
      </c>
      <c r="ER34" s="12">
        <v>12</v>
      </c>
      <c r="ES34" s="12">
        <v>2</v>
      </c>
      <c r="ET34" s="12">
        <v>3</v>
      </c>
      <c r="EU34" s="12">
        <v>70</v>
      </c>
      <c r="EV34" s="12">
        <v>-9</v>
      </c>
      <c r="EW34" s="12">
        <v>67</v>
      </c>
      <c r="EX34" s="12">
        <v>77</v>
      </c>
      <c r="EY34" s="12">
        <v>4</v>
      </c>
      <c r="EZ34" s="12">
        <v>12</v>
      </c>
      <c r="FA34" s="12">
        <v>5</v>
      </c>
      <c r="FB34" s="12">
        <v>0</v>
      </c>
      <c r="FC34" s="12">
        <v>0</v>
      </c>
      <c r="FD34" s="12">
        <v>3</v>
      </c>
      <c r="FE34" s="12">
        <v>3</v>
      </c>
      <c r="FF34" s="12">
        <v>2</v>
      </c>
      <c r="FG34" s="12">
        <v>0</v>
      </c>
      <c r="FH34" s="12">
        <v>1</v>
      </c>
      <c r="FI34" s="12">
        <v>1</v>
      </c>
      <c r="FJ34" s="12">
        <v>1</v>
      </c>
      <c r="FK34" s="12">
        <v>0</v>
      </c>
      <c r="FL34" s="12">
        <v>3</v>
      </c>
      <c r="FM34" s="12">
        <v>1</v>
      </c>
      <c r="FN34" s="12">
        <v>0</v>
      </c>
      <c r="FO34" s="12">
        <v>0</v>
      </c>
      <c r="FP34" s="12">
        <v>2</v>
      </c>
      <c r="FQ34" s="12">
        <v>0</v>
      </c>
      <c r="FR34" s="12">
        <v>2</v>
      </c>
      <c r="FS34" s="12">
        <v>0</v>
      </c>
      <c r="FT34" s="12">
        <v>3</v>
      </c>
      <c r="FU34" s="12">
        <v>1</v>
      </c>
      <c r="FV34" s="12">
        <v>0</v>
      </c>
      <c r="FW34" s="12">
        <v>0</v>
      </c>
      <c r="FX34" s="12">
        <v>8</v>
      </c>
      <c r="FY34" s="12">
        <v>0</v>
      </c>
      <c r="FZ34" s="12">
        <v>1</v>
      </c>
      <c r="GA34" s="12">
        <v>0</v>
      </c>
      <c r="GB34" s="12">
        <v>1</v>
      </c>
      <c r="GC34" s="12">
        <v>1</v>
      </c>
      <c r="GD34" s="12">
        <v>2</v>
      </c>
      <c r="GE34" s="12">
        <v>4</v>
      </c>
      <c r="GF34" s="12">
        <v>2</v>
      </c>
      <c r="GG34" s="12">
        <v>2</v>
      </c>
      <c r="GH34" s="12">
        <v>0</v>
      </c>
      <c r="GI34" s="12">
        <v>0</v>
      </c>
      <c r="GJ34" s="12">
        <v>0</v>
      </c>
      <c r="GK34" s="12">
        <v>0</v>
      </c>
      <c r="GL34" s="12">
        <v>14</v>
      </c>
      <c r="GM34" s="12">
        <v>20</v>
      </c>
      <c r="GN34" s="12">
        <v>5</v>
      </c>
      <c r="GO34" s="12">
        <v>15</v>
      </c>
      <c r="GP34" s="12">
        <v>2</v>
      </c>
      <c r="GQ34" s="12">
        <v>4</v>
      </c>
      <c r="GR34" s="12">
        <v>2</v>
      </c>
      <c r="GS34" s="12">
        <v>4</v>
      </c>
      <c r="GT34" s="12">
        <v>5</v>
      </c>
      <c r="GU34" s="12">
        <v>21</v>
      </c>
      <c r="GV34" s="12">
        <v>0</v>
      </c>
      <c r="GW34" s="12">
        <v>0</v>
      </c>
      <c r="GY34" s="16"/>
    </row>
    <row r="35" spans="2:207" ht="15" customHeight="1" x14ac:dyDescent="0.2">
      <c r="B35" s="12">
        <v>2</v>
      </c>
      <c r="C35" s="12" t="s">
        <v>293</v>
      </c>
      <c r="D35" s="12" t="s">
        <v>278</v>
      </c>
      <c r="E35" s="14" t="s">
        <v>295</v>
      </c>
      <c r="F35" s="14" t="s">
        <v>280</v>
      </c>
      <c r="G35" s="15">
        <v>45212</v>
      </c>
      <c r="H35" s="15" t="s">
        <v>268</v>
      </c>
      <c r="I35" s="12" t="s">
        <v>269</v>
      </c>
      <c r="J35" s="12" t="s">
        <v>272</v>
      </c>
      <c r="K35" s="12">
        <v>200</v>
      </c>
      <c r="L35" s="12">
        <v>68</v>
      </c>
      <c r="M35" s="12">
        <v>21</v>
      </c>
      <c r="N35" s="12">
        <v>39</v>
      </c>
      <c r="O35" s="16">
        <v>0.53846153846153844</v>
      </c>
      <c r="P35" s="12">
        <v>7</v>
      </c>
      <c r="Q35" s="12">
        <v>25</v>
      </c>
      <c r="R35" s="16">
        <v>0.28000000000000003</v>
      </c>
      <c r="S35" s="12">
        <v>28</v>
      </c>
      <c r="T35" s="12">
        <v>64</v>
      </c>
      <c r="U35" s="16">
        <v>0.4375</v>
      </c>
      <c r="V35" s="12">
        <v>5</v>
      </c>
      <c r="W35" s="12">
        <v>7</v>
      </c>
      <c r="X35" s="16">
        <v>0.7142857142857143</v>
      </c>
      <c r="Y35" s="12">
        <v>10</v>
      </c>
      <c r="Z35" s="12">
        <v>16</v>
      </c>
      <c r="AA35" s="12">
        <v>26</v>
      </c>
      <c r="AB35" s="12">
        <v>17</v>
      </c>
      <c r="AC35" s="12">
        <v>12</v>
      </c>
      <c r="AD35" s="12">
        <v>11</v>
      </c>
      <c r="AE35" s="12">
        <v>2</v>
      </c>
      <c r="AF35" s="12">
        <v>3</v>
      </c>
      <c r="AG35" s="12">
        <v>16</v>
      </c>
      <c r="AH35" s="12">
        <v>15</v>
      </c>
      <c r="AI35" s="17">
        <v>70</v>
      </c>
      <c r="AJ35" s="12">
        <v>-9</v>
      </c>
      <c r="AK35" s="12">
        <v>67</v>
      </c>
      <c r="AL35" s="12">
        <v>77</v>
      </c>
      <c r="AM35" s="19">
        <v>0.88311688311688308</v>
      </c>
      <c r="AN35" s="19">
        <v>1.0694444444444444</v>
      </c>
      <c r="AO35" s="18">
        <v>101.49253731343283</v>
      </c>
      <c r="AP35" s="18">
        <v>118.46153846153847</v>
      </c>
      <c r="AQ35" s="18">
        <v>-16.969001148105633</v>
      </c>
      <c r="AR35" s="53">
        <v>0.4921875</v>
      </c>
      <c r="AS35" s="53">
        <v>0.52307692307692311</v>
      </c>
      <c r="AT35" s="16">
        <v>0.25974025974025972</v>
      </c>
      <c r="AU35" s="19">
        <v>1.4</v>
      </c>
      <c r="AV35" s="16">
        <v>0.19480519480519481</v>
      </c>
      <c r="AW35" s="19">
        <v>0.66666666666666663</v>
      </c>
      <c r="AX35" s="16">
        <v>5.1948051948051951E-2</v>
      </c>
      <c r="AY35" s="19">
        <v>1</v>
      </c>
      <c r="AZ35" s="16">
        <v>5.1948051948051951E-2</v>
      </c>
      <c r="BA35" s="19">
        <v>1.5</v>
      </c>
      <c r="BB35" s="16">
        <v>0.27272727272727271</v>
      </c>
      <c r="BC35" s="21">
        <v>0.7142857142857143</v>
      </c>
      <c r="BD35" s="16">
        <v>1.2987012987012988E-2</v>
      </c>
      <c r="BE35" s="16">
        <v>0.15584415584415584</v>
      </c>
      <c r="BF35" s="16">
        <v>0.58620689655172409</v>
      </c>
      <c r="BG35" s="16">
        <v>0.5714285714285714</v>
      </c>
      <c r="BH35" s="16">
        <v>0.7142857142857143</v>
      </c>
      <c r="BI35" s="16">
        <v>0</v>
      </c>
      <c r="BJ35" s="16">
        <v>0.22077922077922077</v>
      </c>
      <c r="BK35" s="21">
        <v>1.4166666666666667</v>
      </c>
      <c r="BL35" s="16">
        <v>0.2857142857142857</v>
      </c>
      <c r="BM35" s="16">
        <v>0.47619047619047616</v>
      </c>
      <c r="BN35" s="16">
        <v>0.25</v>
      </c>
      <c r="BO35" s="16">
        <v>0</v>
      </c>
      <c r="BP35" s="16">
        <v>0.69565217391304346</v>
      </c>
      <c r="BQ35" s="16">
        <v>0.66666666666666663</v>
      </c>
      <c r="BR35" s="16">
        <v>0.61538461538461542</v>
      </c>
      <c r="BS35" s="16">
        <v>1</v>
      </c>
      <c r="BT35" s="16">
        <v>0.44827586206896552</v>
      </c>
      <c r="BU35" s="16">
        <v>0.16923076923076924</v>
      </c>
      <c r="BV35" s="16">
        <v>4.0816326530612242E-2</v>
      </c>
      <c r="BW35" s="54">
        <v>4</v>
      </c>
      <c r="BX35" s="54">
        <v>0.3125</v>
      </c>
      <c r="BY35" s="54">
        <v>0.33333333333333331</v>
      </c>
      <c r="BZ35" s="12">
        <v>12</v>
      </c>
      <c r="CA35" s="12">
        <v>5</v>
      </c>
      <c r="CB35" s="12">
        <v>0</v>
      </c>
      <c r="CC35" s="12">
        <v>0</v>
      </c>
      <c r="CD35" s="12">
        <v>3</v>
      </c>
      <c r="CE35" s="12">
        <v>3</v>
      </c>
      <c r="CF35" s="12">
        <v>2</v>
      </c>
      <c r="CG35" s="12">
        <v>0</v>
      </c>
      <c r="CH35" s="12">
        <v>1</v>
      </c>
      <c r="CI35" s="12">
        <v>1</v>
      </c>
      <c r="CJ35" s="12">
        <v>1</v>
      </c>
      <c r="CK35" s="12">
        <v>0</v>
      </c>
      <c r="CL35" s="12">
        <v>3</v>
      </c>
      <c r="CM35" s="12">
        <v>1</v>
      </c>
      <c r="CN35" s="12">
        <v>0</v>
      </c>
      <c r="CO35" s="12">
        <v>0</v>
      </c>
      <c r="CP35" s="12">
        <v>2</v>
      </c>
      <c r="CQ35" s="12">
        <v>0</v>
      </c>
      <c r="CR35" s="12">
        <v>2</v>
      </c>
      <c r="CS35" s="12">
        <v>0</v>
      </c>
      <c r="CT35" s="12">
        <v>3</v>
      </c>
      <c r="CU35" s="12">
        <v>1</v>
      </c>
      <c r="CV35" s="12">
        <v>0</v>
      </c>
      <c r="CW35" s="12">
        <v>0</v>
      </c>
      <c r="CX35" s="12">
        <v>8</v>
      </c>
      <c r="CY35" s="12">
        <v>0</v>
      </c>
      <c r="CZ35" s="12">
        <v>1</v>
      </c>
      <c r="DA35" s="12">
        <v>0</v>
      </c>
      <c r="DB35" s="12">
        <v>1</v>
      </c>
      <c r="DC35" s="12">
        <v>1</v>
      </c>
      <c r="DD35" s="12">
        <v>2</v>
      </c>
      <c r="DE35" s="12">
        <v>4</v>
      </c>
      <c r="DF35" s="12">
        <v>2</v>
      </c>
      <c r="DG35" s="12">
        <v>2</v>
      </c>
      <c r="DH35" s="12">
        <v>0</v>
      </c>
      <c r="DI35" s="12">
        <v>0</v>
      </c>
      <c r="DJ35" s="12">
        <v>0</v>
      </c>
      <c r="DK35" s="12">
        <v>0</v>
      </c>
      <c r="DL35" s="12">
        <v>14</v>
      </c>
      <c r="DM35" s="12">
        <v>20</v>
      </c>
      <c r="DN35" s="12">
        <v>5</v>
      </c>
      <c r="DO35" s="12">
        <v>15</v>
      </c>
      <c r="DP35" s="12">
        <v>2</v>
      </c>
      <c r="DQ35" s="12">
        <v>4</v>
      </c>
      <c r="DR35" s="12">
        <v>2</v>
      </c>
      <c r="DS35" s="12">
        <v>4</v>
      </c>
      <c r="DT35" s="12">
        <v>5</v>
      </c>
      <c r="DU35" s="12">
        <v>21</v>
      </c>
      <c r="DV35" s="12">
        <v>0</v>
      </c>
      <c r="DW35" s="12">
        <v>0</v>
      </c>
      <c r="DX35" s="12">
        <v>77</v>
      </c>
      <c r="DY35" s="12">
        <v>12</v>
      </c>
      <c r="DZ35" s="12">
        <v>23</v>
      </c>
      <c r="EA35" s="16">
        <v>0.52173913043478259</v>
      </c>
      <c r="EB35" s="12">
        <v>15</v>
      </c>
      <c r="EC35" s="12">
        <v>26</v>
      </c>
      <c r="ED35" s="16">
        <v>0.57692307692307687</v>
      </c>
      <c r="EE35" s="12">
        <v>27</v>
      </c>
      <c r="EF35" s="12">
        <v>49</v>
      </c>
      <c r="EG35" s="16">
        <v>0.55102040816326525</v>
      </c>
      <c r="EH35" s="12">
        <v>8</v>
      </c>
      <c r="EI35" s="12">
        <v>10</v>
      </c>
      <c r="EJ35" s="16">
        <v>0.8</v>
      </c>
      <c r="EK35" s="12">
        <v>7</v>
      </c>
      <c r="EL35" s="12">
        <v>25</v>
      </c>
      <c r="EM35" s="12">
        <v>32</v>
      </c>
      <c r="EN35" s="12">
        <v>20</v>
      </c>
      <c r="EO35" s="12">
        <v>16</v>
      </c>
      <c r="EP35" s="12">
        <v>16</v>
      </c>
      <c r="EQ35" s="12">
        <v>7</v>
      </c>
      <c r="ER35" s="12">
        <v>18</v>
      </c>
      <c r="ES35" s="12">
        <v>3</v>
      </c>
      <c r="ET35" s="12">
        <v>2</v>
      </c>
      <c r="EU35" s="12">
        <v>95</v>
      </c>
      <c r="EV35" s="12">
        <v>9</v>
      </c>
      <c r="EW35" s="12">
        <v>65</v>
      </c>
      <c r="EX35" s="12">
        <v>72</v>
      </c>
      <c r="EY35" s="12">
        <v>5</v>
      </c>
      <c r="EZ35" s="12">
        <v>6</v>
      </c>
      <c r="FA35" s="12">
        <v>13</v>
      </c>
      <c r="FB35" s="12">
        <v>0</v>
      </c>
      <c r="FC35" s="12">
        <v>0</v>
      </c>
      <c r="FD35" s="12">
        <v>2</v>
      </c>
      <c r="FE35" s="12">
        <v>0</v>
      </c>
      <c r="FF35" s="12">
        <v>1</v>
      </c>
      <c r="FG35" s="12">
        <v>0</v>
      </c>
      <c r="FH35" s="12">
        <v>1</v>
      </c>
      <c r="FI35" s="12">
        <v>0</v>
      </c>
      <c r="FJ35" s="12">
        <v>0</v>
      </c>
      <c r="FK35" s="12">
        <v>0</v>
      </c>
      <c r="FL35" s="12">
        <v>3</v>
      </c>
      <c r="FM35" s="12">
        <v>2</v>
      </c>
      <c r="FN35" s="12">
        <v>0</v>
      </c>
      <c r="FO35" s="12">
        <v>0</v>
      </c>
      <c r="FP35" s="12">
        <v>2</v>
      </c>
      <c r="FQ35" s="12">
        <v>0</v>
      </c>
      <c r="FR35" s="12">
        <v>7</v>
      </c>
      <c r="FS35" s="12">
        <v>1</v>
      </c>
      <c r="FT35" s="12">
        <v>1</v>
      </c>
      <c r="FU35" s="12">
        <v>0</v>
      </c>
      <c r="FV35" s="12">
        <v>1</v>
      </c>
      <c r="FW35" s="12">
        <v>0</v>
      </c>
      <c r="FX35" s="12">
        <v>12</v>
      </c>
      <c r="FY35" s="12">
        <v>2</v>
      </c>
      <c r="FZ35" s="12">
        <v>1</v>
      </c>
      <c r="GA35" s="12">
        <v>0</v>
      </c>
      <c r="GB35" s="12">
        <v>0</v>
      </c>
      <c r="GC35" s="12">
        <v>0</v>
      </c>
      <c r="GD35" s="12">
        <v>0</v>
      </c>
      <c r="GE35" s="12">
        <v>0</v>
      </c>
      <c r="GF35" s="12">
        <v>8</v>
      </c>
      <c r="GG35" s="12">
        <v>10</v>
      </c>
      <c r="GH35" s="12">
        <v>0</v>
      </c>
      <c r="GI35" s="12">
        <v>0</v>
      </c>
      <c r="GJ35" s="12">
        <v>0</v>
      </c>
      <c r="GK35" s="12">
        <v>0</v>
      </c>
      <c r="GL35" s="12">
        <v>4</v>
      </c>
      <c r="GM35" s="12">
        <v>8</v>
      </c>
      <c r="GN35" s="12">
        <v>7</v>
      </c>
      <c r="GO35" s="12">
        <v>10</v>
      </c>
      <c r="GP35" s="12">
        <v>1</v>
      </c>
      <c r="GQ35" s="12">
        <v>5</v>
      </c>
      <c r="GR35" s="12">
        <v>2</v>
      </c>
      <c r="GS35" s="12">
        <v>2</v>
      </c>
      <c r="GT35" s="12">
        <v>13</v>
      </c>
      <c r="GU35" s="12">
        <v>24</v>
      </c>
      <c r="GV35" s="12">
        <v>0</v>
      </c>
      <c r="GW35" s="12">
        <v>0</v>
      </c>
      <c r="GY35" s="16"/>
    </row>
    <row r="36" spans="2:207" ht="15" customHeight="1" x14ac:dyDescent="0.2">
      <c r="B36" s="12">
        <v>2</v>
      </c>
      <c r="C36" s="12" t="s">
        <v>290</v>
      </c>
      <c r="D36" s="12" t="s">
        <v>93</v>
      </c>
      <c r="E36" s="14" t="s">
        <v>292</v>
      </c>
      <c r="F36" s="14" t="s">
        <v>303</v>
      </c>
      <c r="G36" s="15">
        <v>45212</v>
      </c>
      <c r="H36" s="15" t="s">
        <v>271</v>
      </c>
      <c r="I36" s="12" t="s">
        <v>269</v>
      </c>
      <c r="J36" s="12" t="s">
        <v>272</v>
      </c>
      <c r="K36" s="12">
        <v>200</v>
      </c>
      <c r="L36" s="12">
        <v>74</v>
      </c>
      <c r="M36" s="12">
        <v>15</v>
      </c>
      <c r="N36" s="12">
        <v>28</v>
      </c>
      <c r="O36" s="16">
        <v>0.5357142857142857</v>
      </c>
      <c r="P36" s="12">
        <v>11</v>
      </c>
      <c r="Q36" s="12">
        <v>37</v>
      </c>
      <c r="R36" s="16">
        <v>0.29729729729729731</v>
      </c>
      <c r="S36" s="12">
        <v>26</v>
      </c>
      <c r="T36" s="12">
        <v>65</v>
      </c>
      <c r="U36" s="16">
        <v>0.4</v>
      </c>
      <c r="V36" s="12">
        <v>11</v>
      </c>
      <c r="W36" s="12">
        <v>19</v>
      </c>
      <c r="X36" s="16">
        <v>0.57894736842105265</v>
      </c>
      <c r="Y36" s="12">
        <v>12</v>
      </c>
      <c r="Z36" s="12">
        <v>20</v>
      </c>
      <c r="AA36" s="12">
        <v>32</v>
      </c>
      <c r="AB36" s="12">
        <v>13</v>
      </c>
      <c r="AC36" s="12">
        <v>9</v>
      </c>
      <c r="AD36" s="12">
        <v>6</v>
      </c>
      <c r="AE36" s="12">
        <v>6</v>
      </c>
      <c r="AF36" s="12">
        <v>2</v>
      </c>
      <c r="AG36" s="12">
        <v>27</v>
      </c>
      <c r="AH36" s="12">
        <v>21</v>
      </c>
      <c r="AI36" s="17">
        <v>67</v>
      </c>
      <c r="AJ36" s="12">
        <v>-3</v>
      </c>
      <c r="AK36" s="12">
        <v>71</v>
      </c>
      <c r="AL36" s="12">
        <v>83</v>
      </c>
      <c r="AM36" s="19">
        <v>0.89156626506024095</v>
      </c>
      <c r="AN36" s="19">
        <v>0.92771084337349397</v>
      </c>
      <c r="AO36" s="18">
        <v>104.22535211267605</v>
      </c>
      <c r="AP36" s="18">
        <v>111.59420289855073</v>
      </c>
      <c r="AQ36" s="18">
        <v>-7.3688507858746846</v>
      </c>
      <c r="AR36" s="53">
        <v>0.48461538461538461</v>
      </c>
      <c r="AS36" s="53">
        <v>0.5</v>
      </c>
      <c r="AT36" s="16">
        <v>0.20481927710843373</v>
      </c>
      <c r="AU36" s="19">
        <v>1.2941176470588236</v>
      </c>
      <c r="AV36" s="16">
        <v>9.6385542168674704E-2</v>
      </c>
      <c r="AW36" s="19">
        <v>0.75</v>
      </c>
      <c r="AX36" s="16">
        <v>3.614457831325301E-2</v>
      </c>
      <c r="AY36" s="19">
        <v>0.66666666666666663</v>
      </c>
      <c r="AZ36" s="16">
        <v>9.6385542168674704E-2</v>
      </c>
      <c r="BA36" s="19">
        <v>0.75</v>
      </c>
      <c r="BB36" s="16">
        <v>0.33734939759036142</v>
      </c>
      <c r="BC36" s="21">
        <v>0.9642857142857143</v>
      </c>
      <c r="BD36" s="16">
        <v>0.10843373493975904</v>
      </c>
      <c r="BE36" s="16">
        <v>0.10843373493975904</v>
      </c>
      <c r="BF36" s="16">
        <v>0.38235294117647056</v>
      </c>
      <c r="BG36" s="16">
        <v>0.33333333333333331</v>
      </c>
      <c r="BH36" s="16">
        <v>0.63636363636363635</v>
      </c>
      <c r="BI36" s="16">
        <v>0.125</v>
      </c>
      <c r="BJ36" s="16">
        <v>0.15662650602409639</v>
      </c>
      <c r="BK36" s="21">
        <v>1.4444444444444444</v>
      </c>
      <c r="BL36" s="16">
        <v>0.3</v>
      </c>
      <c r="BM36" s="16">
        <v>0.42857142857142855</v>
      </c>
      <c r="BN36" s="16">
        <v>0.27586206896551724</v>
      </c>
      <c r="BO36" s="16">
        <v>0.5</v>
      </c>
      <c r="BP36" s="16">
        <v>0.58823529411764708</v>
      </c>
      <c r="BQ36" s="16">
        <v>0.6071428571428571</v>
      </c>
      <c r="BR36" s="16">
        <v>0.5</v>
      </c>
      <c r="BS36" s="16">
        <v>1</v>
      </c>
      <c r="BT36" s="16">
        <v>0.43243243243243246</v>
      </c>
      <c r="BU36" s="16">
        <v>8.6956521739130432E-2</v>
      </c>
      <c r="BV36" s="16">
        <v>9.6774193548387094E-2</v>
      </c>
      <c r="BW36" s="54">
        <v>3</v>
      </c>
      <c r="BX36" s="54">
        <v>0.44444444444444442</v>
      </c>
      <c r="BY36" s="54">
        <v>0.42857142857142855</v>
      </c>
      <c r="BZ36" s="12">
        <v>5</v>
      </c>
      <c r="CA36" s="12">
        <v>7</v>
      </c>
      <c r="CB36" s="12">
        <v>1</v>
      </c>
      <c r="CC36" s="12">
        <v>0</v>
      </c>
      <c r="CD36" s="12">
        <v>4</v>
      </c>
      <c r="CE36" s="12">
        <v>1</v>
      </c>
      <c r="CF36" s="12">
        <v>0</v>
      </c>
      <c r="CG36" s="12">
        <v>0</v>
      </c>
      <c r="CH36" s="12">
        <v>1</v>
      </c>
      <c r="CI36" s="12">
        <v>0</v>
      </c>
      <c r="CJ36" s="12">
        <v>0</v>
      </c>
      <c r="CK36" s="12">
        <v>0</v>
      </c>
      <c r="CL36" s="12">
        <v>6</v>
      </c>
      <c r="CM36" s="12">
        <v>2</v>
      </c>
      <c r="CN36" s="12">
        <v>1</v>
      </c>
      <c r="CO36" s="12">
        <v>0</v>
      </c>
      <c r="CP36" s="12">
        <v>7</v>
      </c>
      <c r="CQ36" s="12">
        <v>0</v>
      </c>
      <c r="CR36" s="12">
        <v>4</v>
      </c>
      <c r="CS36" s="12">
        <v>1</v>
      </c>
      <c r="CT36" s="12">
        <v>4</v>
      </c>
      <c r="CU36" s="12">
        <v>1</v>
      </c>
      <c r="CV36" s="12">
        <v>1</v>
      </c>
      <c r="CW36" s="12">
        <v>0</v>
      </c>
      <c r="CX36" s="12">
        <v>3</v>
      </c>
      <c r="CY36" s="12">
        <v>1</v>
      </c>
      <c r="CZ36" s="12">
        <v>1</v>
      </c>
      <c r="DA36" s="12">
        <v>0</v>
      </c>
      <c r="DB36" s="12">
        <v>0</v>
      </c>
      <c r="DC36" s="12">
        <v>1</v>
      </c>
      <c r="DD36" s="12">
        <v>0</v>
      </c>
      <c r="DE36" s="12">
        <v>0</v>
      </c>
      <c r="DF36" s="12">
        <v>11</v>
      </c>
      <c r="DG36" s="12">
        <v>18</v>
      </c>
      <c r="DH36" s="12">
        <v>1</v>
      </c>
      <c r="DI36" s="12">
        <v>0</v>
      </c>
      <c r="DJ36" s="12">
        <v>0</v>
      </c>
      <c r="DK36" s="12">
        <v>0</v>
      </c>
      <c r="DL36" s="12">
        <v>11</v>
      </c>
      <c r="DM36" s="12">
        <v>17</v>
      </c>
      <c r="DN36" s="12">
        <v>3</v>
      </c>
      <c r="DO36" s="12">
        <v>8</v>
      </c>
      <c r="DP36" s="12">
        <v>1</v>
      </c>
      <c r="DQ36" s="12">
        <v>3</v>
      </c>
      <c r="DR36" s="12">
        <v>2</v>
      </c>
      <c r="DS36" s="12">
        <v>8</v>
      </c>
      <c r="DT36" s="12">
        <v>9</v>
      </c>
      <c r="DU36" s="12">
        <v>28</v>
      </c>
      <c r="DV36" s="12">
        <v>0</v>
      </c>
      <c r="DW36" s="12">
        <v>1</v>
      </c>
      <c r="DX36" s="12">
        <v>77</v>
      </c>
      <c r="DY36" s="12">
        <v>24</v>
      </c>
      <c r="DZ36" s="12">
        <v>49</v>
      </c>
      <c r="EA36" s="16">
        <v>0.48979591836734693</v>
      </c>
      <c r="EB36" s="12">
        <v>4</v>
      </c>
      <c r="EC36" s="12">
        <v>13</v>
      </c>
      <c r="ED36" s="16">
        <v>0.30769230769230771</v>
      </c>
      <c r="EE36" s="12">
        <v>28</v>
      </c>
      <c r="EF36" s="12">
        <v>62</v>
      </c>
      <c r="EG36" s="16">
        <v>0.45161290322580644</v>
      </c>
      <c r="EH36" s="12">
        <v>17</v>
      </c>
      <c r="EI36" s="12">
        <v>24</v>
      </c>
      <c r="EJ36" s="16">
        <v>0.70833333333333337</v>
      </c>
      <c r="EK36" s="12">
        <v>14</v>
      </c>
      <c r="EL36" s="12">
        <v>28</v>
      </c>
      <c r="EM36" s="12">
        <v>42</v>
      </c>
      <c r="EN36" s="12">
        <v>17</v>
      </c>
      <c r="EO36" s="12">
        <v>22</v>
      </c>
      <c r="EP36" s="12">
        <v>26</v>
      </c>
      <c r="EQ36" s="12">
        <v>4</v>
      </c>
      <c r="ER36" s="12">
        <v>12</v>
      </c>
      <c r="ES36" s="12">
        <v>2</v>
      </c>
      <c r="ET36" s="12">
        <v>6</v>
      </c>
      <c r="EU36" s="12">
        <v>87</v>
      </c>
      <c r="EV36" s="12">
        <v>3</v>
      </c>
      <c r="EW36" s="12">
        <v>69</v>
      </c>
      <c r="EX36" s="12">
        <v>83</v>
      </c>
      <c r="EY36" s="12">
        <v>6</v>
      </c>
      <c r="EZ36" s="12">
        <v>12</v>
      </c>
      <c r="FA36" s="12">
        <v>3</v>
      </c>
      <c r="FB36" s="12">
        <v>2</v>
      </c>
      <c r="FC36" s="12">
        <v>5</v>
      </c>
      <c r="FD36" s="12">
        <v>6</v>
      </c>
      <c r="FE36" s="12">
        <v>2</v>
      </c>
      <c r="FF36" s="12">
        <v>1</v>
      </c>
      <c r="FG36" s="12">
        <v>0</v>
      </c>
      <c r="FH36" s="12">
        <v>2</v>
      </c>
      <c r="FI36" s="12">
        <v>0</v>
      </c>
      <c r="FJ36" s="12">
        <v>1</v>
      </c>
      <c r="FK36" s="12">
        <v>0</v>
      </c>
      <c r="FL36" s="12">
        <v>4</v>
      </c>
      <c r="FM36" s="12">
        <v>0</v>
      </c>
      <c r="FN36" s="12">
        <v>0</v>
      </c>
      <c r="FO36" s="12">
        <v>0</v>
      </c>
      <c r="FP36" s="12">
        <v>2</v>
      </c>
      <c r="FQ36" s="12">
        <v>0</v>
      </c>
      <c r="FR36" s="12">
        <v>5</v>
      </c>
      <c r="FS36" s="12">
        <v>0</v>
      </c>
      <c r="FT36" s="12">
        <v>1</v>
      </c>
      <c r="FU36" s="12">
        <v>0</v>
      </c>
      <c r="FV36" s="12">
        <v>6</v>
      </c>
      <c r="FW36" s="12">
        <v>1</v>
      </c>
      <c r="FX36" s="12">
        <v>12</v>
      </c>
      <c r="FY36" s="12">
        <v>2</v>
      </c>
      <c r="FZ36" s="12">
        <v>1</v>
      </c>
      <c r="GA36" s="12">
        <v>0</v>
      </c>
      <c r="GB36" s="12">
        <v>2</v>
      </c>
      <c r="GC36" s="12">
        <v>2</v>
      </c>
      <c r="GD36" s="12">
        <v>2</v>
      </c>
      <c r="GE36" s="12">
        <v>3</v>
      </c>
      <c r="GF36" s="12">
        <v>10</v>
      </c>
      <c r="GG36" s="12">
        <v>16</v>
      </c>
      <c r="GH36" s="12">
        <v>1</v>
      </c>
      <c r="GI36" s="12">
        <v>3</v>
      </c>
      <c r="GJ36" s="12">
        <v>3</v>
      </c>
      <c r="GK36" s="12">
        <v>0</v>
      </c>
      <c r="GL36" s="12">
        <v>11</v>
      </c>
      <c r="GM36" s="12">
        <v>25</v>
      </c>
      <c r="GN36" s="12">
        <v>5</v>
      </c>
      <c r="GO36" s="12">
        <v>10</v>
      </c>
      <c r="GP36" s="12">
        <v>8</v>
      </c>
      <c r="GQ36" s="12">
        <v>14</v>
      </c>
      <c r="GR36" s="12">
        <v>1</v>
      </c>
      <c r="GS36" s="12">
        <v>3</v>
      </c>
      <c r="GT36" s="12">
        <v>3</v>
      </c>
      <c r="GU36" s="12">
        <v>10</v>
      </c>
      <c r="GV36" s="12">
        <v>0</v>
      </c>
      <c r="GW36" s="12">
        <v>0</v>
      </c>
      <c r="GY36" s="16"/>
    </row>
    <row r="37" spans="2:207" ht="15" customHeight="1" x14ac:dyDescent="0.2">
      <c r="B37" s="12">
        <v>2</v>
      </c>
      <c r="C37" s="12" t="s">
        <v>93</v>
      </c>
      <c r="D37" s="12" t="s">
        <v>290</v>
      </c>
      <c r="E37" s="14" t="s">
        <v>303</v>
      </c>
      <c r="F37" s="14" t="s">
        <v>292</v>
      </c>
      <c r="G37" s="15">
        <v>45212</v>
      </c>
      <c r="H37" s="15" t="s">
        <v>268</v>
      </c>
      <c r="I37" s="12" t="s">
        <v>269</v>
      </c>
      <c r="J37" s="12" t="s">
        <v>270</v>
      </c>
      <c r="K37" s="12">
        <v>200</v>
      </c>
      <c r="L37" s="12">
        <v>77</v>
      </c>
      <c r="M37" s="12">
        <v>24</v>
      </c>
      <c r="N37" s="12">
        <v>49</v>
      </c>
      <c r="O37" s="16">
        <v>0.48979591836734693</v>
      </c>
      <c r="P37" s="12">
        <v>4</v>
      </c>
      <c r="Q37" s="12">
        <v>13</v>
      </c>
      <c r="R37" s="16">
        <v>0.30769230769230771</v>
      </c>
      <c r="S37" s="12">
        <v>28</v>
      </c>
      <c r="T37" s="12">
        <v>62</v>
      </c>
      <c r="U37" s="16">
        <v>0.45161290322580644</v>
      </c>
      <c r="V37" s="12">
        <v>17</v>
      </c>
      <c r="W37" s="12">
        <v>24</v>
      </c>
      <c r="X37" s="16">
        <v>0.70833333333333337</v>
      </c>
      <c r="Y37" s="12">
        <v>14</v>
      </c>
      <c r="Z37" s="12">
        <v>28</v>
      </c>
      <c r="AA37" s="12">
        <v>42</v>
      </c>
      <c r="AB37" s="12">
        <v>17</v>
      </c>
      <c r="AC37" s="12">
        <v>12</v>
      </c>
      <c r="AD37" s="12">
        <v>4</v>
      </c>
      <c r="AE37" s="12">
        <v>2</v>
      </c>
      <c r="AF37" s="12">
        <v>6</v>
      </c>
      <c r="AG37" s="12">
        <v>21</v>
      </c>
      <c r="AH37" s="12">
        <v>26</v>
      </c>
      <c r="AI37" s="17">
        <v>88</v>
      </c>
      <c r="AJ37" s="12">
        <v>3</v>
      </c>
      <c r="AK37" s="12">
        <v>69</v>
      </c>
      <c r="AL37" s="12">
        <v>83</v>
      </c>
      <c r="AM37" s="19">
        <v>0.92771084337349397</v>
      </c>
      <c r="AN37" s="19">
        <v>0.89156626506024095</v>
      </c>
      <c r="AO37" s="18">
        <v>111.59420289855073</v>
      </c>
      <c r="AP37" s="18">
        <v>104.22535211267605</v>
      </c>
      <c r="AQ37" s="18">
        <v>7.3688507858746846</v>
      </c>
      <c r="AR37" s="53">
        <v>0.4838709677419355</v>
      </c>
      <c r="AS37" s="53">
        <v>0.54225352112676062</v>
      </c>
      <c r="AT37" s="16">
        <v>0.30120481927710846</v>
      </c>
      <c r="AU37" s="19">
        <v>0.88</v>
      </c>
      <c r="AV37" s="16">
        <v>0.12048192771084337</v>
      </c>
      <c r="AW37" s="19">
        <v>1</v>
      </c>
      <c r="AX37" s="16">
        <v>0.16867469879518071</v>
      </c>
      <c r="AY37" s="19">
        <v>1.1428571428571428</v>
      </c>
      <c r="AZ37" s="16">
        <v>3.614457831325301E-2</v>
      </c>
      <c r="BA37" s="19">
        <v>1</v>
      </c>
      <c r="BB37" s="16">
        <v>0.12048192771084337</v>
      </c>
      <c r="BC37" s="21">
        <v>0.9</v>
      </c>
      <c r="BD37" s="16">
        <v>0.10843373493975904</v>
      </c>
      <c r="BE37" s="16">
        <v>0.14457831325301204</v>
      </c>
      <c r="BF37" s="16">
        <v>0.47222222222222221</v>
      </c>
      <c r="BG37" s="16">
        <v>0.5</v>
      </c>
      <c r="BH37" s="16">
        <v>0.75</v>
      </c>
      <c r="BI37" s="16">
        <v>0.25</v>
      </c>
      <c r="BJ37" s="16">
        <v>0.20481927710843373</v>
      </c>
      <c r="BK37" s="21">
        <v>1.4166666666666667</v>
      </c>
      <c r="BL37" s="16">
        <v>0.41176470588235292</v>
      </c>
      <c r="BM37" s="16">
        <v>0.39285714285714285</v>
      </c>
      <c r="BN37" s="16">
        <v>0.5</v>
      </c>
      <c r="BO37" s="16">
        <v>0</v>
      </c>
      <c r="BP37" s="16">
        <v>0.7</v>
      </c>
      <c r="BQ37" s="16">
        <v>0.5714285714285714</v>
      </c>
      <c r="BR37" s="16">
        <v>0.72413793103448276</v>
      </c>
      <c r="BS37" s="16">
        <v>0.5</v>
      </c>
      <c r="BT37" s="16">
        <v>0.56756756756756754</v>
      </c>
      <c r="BU37" s="16">
        <v>5.6338028169014086E-2</v>
      </c>
      <c r="BV37" s="16">
        <v>3.0769230769230771E-2</v>
      </c>
      <c r="BW37" s="54">
        <v>6</v>
      </c>
      <c r="BX37" s="54">
        <v>0.42857142857142855</v>
      </c>
      <c r="BY37" s="54">
        <v>0.46153846153846156</v>
      </c>
      <c r="BZ37" s="12">
        <v>12</v>
      </c>
      <c r="CA37" s="12">
        <v>3</v>
      </c>
      <c r="CB37" s="12">
        <v>2</v>
      </c>
      <c r="CC37" s="12">
        <v>5</v>
      </c>
      <c r="CD37" s="12">
        <v>6</v>
      </c>
      <c r="CE37" s="12">
        <v>2</v>
      </c>
      <c r="CF37" s="12">
        <v>1</v>
      </c>
      <c r="CG37" s="12">
        <v>0</v>
      </c>
      <c r="CH37" s="12">
        <v>2</v>
      </c>
      <c r="CI37" s="12">
        <v>0</v>
      </c>
      <c r="CJ37" s="12">
        <v>1</v>
      </c>
      <c r="CK37" s="12">
        <v>0</v>
      </c>
      <c r="CL37" s="12">
        <v>4</v>
      </c>
      <c r="CM37" s="12">
        <v>0</v>
      </c>
      <c r="CN37" s="12">
        <v>0</v>
      </c>
      <c r="CO37" s="12">
        <v>0</v>
      </c>
      <c r="CP37" s="12">
        <v>2</v>
      </c>
      <c r="CQ37" s="12">
        <v>0</v>
      </c>
      <c r="CR37" s="12">
        <v>5</v>
      </c>
      <c r="CS37" s="12">
        <v>0</v>
      </c>
      <c r="CT37" s="12">
        <v>1</v>
      </c>
      <c r="CU37" s="12">
        <v>0</v>
      </c>
      <c r="CV37" s="12">
        <v>6</v>
      </c>
      <c r="CW37" s="12">
        <v>1</v>
      </c>
      <c r="CX37" s="12">
        <v>12</v>
      </c>
      <c r="CY37" s="12">
        <v>2</v>
      </c>
      <c r="CZ37" s="12">
        <v>1</v>
      </c>
      <c r="DA37" s="12">
        <v>0</v>
      </c>
      <c r="DB37" s="12">
        <v>2</v>
      </c>
      <c r="DC37" s="12">
        <v>2</v>
      </c>
      <c r="DD37" s="12">
        <v>2</v>
      </c>
      <c r="DE37" s="12">
        <v>3</v>
      </c>
      <c r="DF37" s="12">
        <v>10</v>
      </c>
      <c r="DG37" s="12">
        <v>16</v>
      </c>
      <c r="DH37" s="12">
        <v>1</v>
      </c>
      <c r="DI37" s="12">
        <v>3</v>
      </c>
      <c r="DJ37" s="12">
        <v>3</v>
      </c>
      <c r="DK37" s="12">
        <v>0</v>
      </c>
      <c r="DL37" s="12">
        <v>11</v>
      </c>
      <c r="DM37" s="12">
        <v>25</v>
      </c>
      <c r="DN37" s="12">
        <v>5</v>
      </c>
      <c r="DO37" s="12">
        <v>10</v>
      </c>
      <c r="DP37" s="12">
        <v>8</v>
      </c>
      <c r="DQ37" s="12">
        <v>14</v>
      </c>
      <c r="DR37" s="12">
        <v>1</v>
      </c>
      <c r="DS37" s="12">
        <v>3</v>
      </c>
      <c r="DT37" s="12">
        <v>3</v>
      </c>
      <c r="DU37" s="12">
        <v>10</v>
      </c>
      <c r="DV37" s="12">
        <v>0</v>
      </c>
      <c r="DW37" s="12">
        <v>0</v>
      </c>
      <c r="DX37" s="12">
        <v>74</v>
      </c>
      <c r="DY37" s="12">
        <v>15</v>
      </c>
      <c r="DZ37" s="12">
        <v>28</v>
      </c>
      <c r="EA37" s="16">
        <v>0.5357142857142857</v>
      </c>
      <c r="EB37" s="12">
        <v>11</v>
      </c>
      <c r="EC37" s="12">
        <v>37</v>
      </c>
      <c r="ED37" s="16">
        <v>0.29729729729729731</v>
      </c>
      <c r="EE37" s="12">
        <v>26</v>
      </c>
      <c r="EF37" s="12">
        <v>65</v>
      </c>
      <c r="EG37" s="16">
        <v>0.4</v>
      </c>
      <c r="EH37" s="12">
        <v>11</v>
      </c>
      <c r="EI37" s="12">
        <v>19</v>
      </c>
      <c r="EJ37" s="16">
        <v>0.57894736842105265</v>
      </c>
      <c r="EK37" s="12">
        <v>12</v>
      </c>
      <c r="EL37" s="12">
        <v>20</v>
      </c>
      <c r="EM37" s="12">
        <v>32</v>
      </c>
      <c r="EN37" s="12">
        <v>13</v>
      </c>
      <c r="EO37" s="12">
        <v>28</v>
      </c>
      <c r="EP37" s="12">
        <v>21</v>
      </c>
      <c r="EQ37" s="12">
        <v>6</v>
      </c>
      <c r="ER37" s="12">
        <v>9</v>
      </c>
      <c r="ES37" s="12">
        <v>6</v>
      </c>
      <c r="ET37" s="12">
        <v>2</v>
      </c>
      <c r="EU37" s="12">
        <v>66</v>
      </c>
      <c r="EV37" s="12">
        <v>-3</v>
      </c>
      <c r="EW37" s="12">
        <v>71</v>
      </c>
      <c r="EX37" s="12">
        <v>83</v>
      </c>
      <c r="EY37" s="12">
        <v>3</v>
      </c>
      <c r="EZ37" s="12">
        <v>5</v>
      </c>
      <c r="FA37" s="12">
        <v>7</v>
      </c>
      <c r="FB37" s="12">
        <v>1</v>
      </c>
      <c r="FC37" s="12">
        <v>0</v>
      </c>
      <c r="FD37" s="12">
        <v>4</v>
      </c>
      <c r="FE37" s="12">
        <v>1</v>
      </c>
      <c r="FF37" s="12">
        <v>0</v>
      </c>
      <c r="FG37" s="12">
        <v>0</v>
      </c>
      <c r="FH37" s="12">
        <v>1</v>
      </c>
      <c r="FI37" s="12">
        <v>0</v>
      </c>
      <c r="FJ37" s="12">
        <v>0</v>
      </c>
      <c r="FK37" s="12">
        <v>0</v>
      </c>
      <c r="FL37" s="12">
        <v>6</v>
      </c>
      <c r="FM37" s="12">
        <v>2</v>
      </c>
      <c r="FN37" s="12">
        <v>1</v>
      </c>
      <c r="FO37" s="12">
        <v>0</v>
      </c>
      <c r="FP37" s="12">
        <v>7</v>
      </c>
      <c r="FQ37" s="12">
        <v>0</v>
      </c>
      <c r="FR37" s="12">
        <v>4</v>
      </c>
      <c r="FS37" s="12">
        <v>1</v>
      </c>
      <c r="FT37" s="12">
        <v>4</v>
      </c>
      <c r="FU37" s="12">
        <v>1</v>
      </c>
      <c r="FV37" s="12">
        <v>1</v>
      </c>
      <c r="FW37" s="12">
        <v>0</v>
      </c>
      <c r="FX37" s="12">
        <v>3</v>
      </c>
      <c r="FY37" s="12">
        <v>1</v>
      </c>
      <c r="FZ37" s="12">
        <v>1</v>
      </c>
      <c r="GA37" s="12">
        <v>0</v>
      </c>
      <c r="GB37" s="12">
        <v>0</v>
      </c>
      <c r="GC37" s="12">
        <v>1</v>
      </c>
      <c r="GD37" s="12">
        <v>0</v>
      </c>
      <c r="GE37" s="12">
        <v>0</v>
      </c>
      <c r="GF37" s="12">
        <v>11</v>
      </c>
      <c r="GG37" s="12">
        <v>18</v>
      </c>
      <c r="GH37" s="12">
        <v>1</v>
      </c>
      <c r="GI37" s="12">
        <v>0</v>
      </c>
      <c r="GJ37" s="12">
        <v>0</v>
      </c>
      <c r="GK37" s="12">
        <v>0</v>
      </c>
      <c r="GL37" s="12">
        <v>11</v>
      </c>
      <c r="GM37" s="12">
        <v>17</v>
      </c>
      <c r="GN37" s="12">
        <v>3</v>
      </c>
      <c r="GO37" s="12">
        <v>8</v>
      </c>
      <c r="GP37" s="12">
        <v>1</v>
      </c>
      <c r="GQ37" s="12">
        <v>3</v>
      </c>
      <c r="GR37" s="12">
        <v>2</v>
      </c>
      <c r="GS37" s="12">
        <v>8</v>
      </c>
      <c r="GT37" s="12">
        <v>9</v>
      </c>
      <c r="GU37" s="12">
        <v>28</v>
      </c>
      <c r="GV37" s="12">
        <v>0</v>
      </c>
      <c r="GW37" s="12">
        <v>1</v>
      </c>
      <c r="GY37" s="16"/>
    </row>
    <row r="38" spans="2:207" ht="15" customHeight="1" x14ac:dyDescent="0.2">
      <c r="B38" s="12">
        <v>3</v>
      </c>
      <c r="C38" s="12" t="s">
        <v>278</v>
      </c>
      <c r="D38" s="12" t="s">
        <v>274</v>
      </c>
      <c r="E38" s="14" t="s">
        <v>280</v>
      </c>
      <c r="F38" s="14" t="s">
        <v>276</v>
      </c>
      <c r="G38" s="15">
        <v>45216</v>
      </c>
      <c r="H38" s="15" t="s">
        <v>271</v>
      </c>
      <c r="I38" s="12" t="s">
        <v>269</v>
      </c>
      <c r="J38" s="12" t="s">
        <v>270</v>
      </c>
      <c r="K38" s="12">
        <v>200</v>
      </c>
      <c r="L38" s="12">
        <v>92</v>
      </c>
      <c r="M38" s="12">
        <v>17</v>
      </c>
      <c r="N38" s="12">
        <v>39</v>
      </c>
      <c r="O38" s="16">
        <v>0.4358974358974359</v>
      </c>
      <c r="P38" s="12">
        <v>13</v>
      </c>
      <c r="Q38" s="12">
        <v>32</v>
      </c>
      <c r="R38" s="16">
        <v>0.40625</v>
      </c>
      <c r="S38" s="12">
        <v>30</v>
      </c>
      <c r="T38" s="12">
        <v>71</v>
      </c>
      <c r="U38" s="16">
        <v>0.42253521126760563</v>
      </c>
      <c r="V38" s="12">
        <v>19</v>
      </c>
      <c r="W38" s="12">
        <v>20</v>
      </c>
      <c r="X38" s="16">
        <v>0.95</v>
      </c>
      <c r="Y38" s="12">
        <v>16</v>
      </c>
      <c r="Z38" s="12">
        <v>26</v>
      </c>
      <c r="AA38" s="12">
        <v>42</v>
      </c>
      <c r="AB38" s="12">
        <v>24</v>
      </c>
      <c r="AC38" s="12">
        <v>7</v>
      </c>
      <c r="AD38" s="12">
        <v>4</v>
      </c>
      <c r="AE38" s="12">
        <v>3</v>
      </c>
      <c r="AF38" s="12">
        <v>2</v>
      </c>
      <c r="AG38" s="12">
        <v>23</v>
      </c>
      <c r="AH38" s="12">
        <v>20</v>
      </c>
      <c r="AI38" s="17">
        <v>111</v>
      </c>
      <c r="AJ38" s="12">
        <v>9</v>
      </c>
      <c r="AK38" s="12">
        <v>71</v>
      </c>
      <c r="AL38" s="12">
        <v>88</v>
      </c>
      <c r="AM38" s="19">
        <v>1.0454545454545454</v>
      </c>
      <c r="AN38" s="19">
        <v>1.0641025641025641</v>
      </c>
      <c r="AO38" s="18">
        <v>129.57746478873241</v>
      </c>
      <c r="AP38" s="18">
        <v>120.28985507246377</v>
      </c>
      <c r="AQ38" s="18">
        <v>9.2876097162686477</v>
      </c>
      <c r="AR38" s="53">
        <v>0.5140845070422535</v>
      </c>
      <c r="AS38" s="53">
        <v>0.5679012345679012</v>
      </c>
      <c r="AT38" s="16">
        <v>0.13636363636363635</v>
      </c>
      <c r="AU38" s="19">
        <v>1.6666666666666667</v>
      </c>
      <c r="AV38" s="16">
        <v>0.20454545454545456</v>
      </c>
      <c r="AW38" s="19">
        <v>0.44444444444444442</v>
      </c>
      <c r="AX38" s="16">
        <v>0.10227272727272728</v>
      </c>
      <c r="AY38" s="19">
        <v>0.66666666666666663</v>
      </c>
      <c r="AZ38" s="16">
        <v>0.10227272727272728</v>
      </c>
      <c r="BA38" s="19">
        <v>0.66666666666666663</v>
      </c>
      <c r="BB38" s="16">
        <v>0.26136363636363635</v>
      </c>
      <c r="BC38" s="21">
        <v>1.4347826086956521</v>
      </c>
      <c r="BD38" s="16">
        <v>0.11363636363636363</v>
      </c>
      <c r="BE38" s="16">
        <v>8.0459770114942528E-2</v>
      </c>
      <c r="BF38" s="16">
        <v>0.6</v>
      </c>
      <c r="BG38" s="16">
        <v>0.47058823529411764</v>
      </c>
      <c r="BH38" s="16">
        <v>0.92307692307692313</v>
      </c>
      <c r="BI38" s="16">
        <v>0.4</v>
      </c>
      <c r="BJ38" s="16">
        <v>0.27586206896551724</v>
      </c>
      <c r="BK38" s="21">
        <v>3.4285714285714284</v>
      </c>
      <c r="BL38" s="16">
        <v>0.4</v>
      </c>
      <c r="BM38" s="16">
        <v>0.36363636363636365</v>
      </c>
      <c r="BN38" s="16">
        <v>0.29166666666666669</v>
      </c>
      <c r="BO38" s="16" t="s">
        <v>269</v>
      </c>
      <c r="BP38" s="16">
        <v>0.74285714285714288</v>
      </c>
      <c r="BQ38" s="16">
        <v>0.65217391304347827</v>
      </c>
      <c r="BR38" s="16">
        <v>0.875</v>
      </c>
      <c r="BS38" s="16">
        <v>0.6</v>
      </c>
      <c r="BT38" s="16">
        <v>0.56000000000000005</v>
      </c>
      <c r="BU38" s="16">
        <v>5.7971014492753624E-2</v>
      </c>
      <c r="BV38" s="16">
        <v>4.8387096774193547E-2</v>
      </c>
      <c r="BW38" s="54">
        <v>4</v>
      </c>
      <c r="BX38" s="54">
        <v>0.60869565217391308</v>
      </c>
      <c r="BY38" s="54">
        <v>0.5</v>
      </c>
      <c r="BZ38" s="12">
        <v>8</v>
      </c>
      <c r="CA38" s="12">
        <v>12</v>
      </c>
      <c r="CB38" s="12">
        <v>4</v>
      </c>
      <c r="CC38" s="12">
        <v>8</v>
      </c>
      <c r="CD38" s="12">
        <v>1</v>
      </c>
      <c r="CE38" s="12">
        <v>0</v>
      </c>
      <c r="CF38" s="12">
        <v>5</v>
      </c>
      <c r="CG38" s="12">
        <v>0</v>
      </c>
      <c r="CH38" s="12">
        <v>2</v>
      </c>
      <c r="CI38" s="12">
        <v>0</v>
      </c>
      <c r="CJ38" s="12">
        <v>3</v>
      </c>
      <c r="CK38" s="12">
        <v>0</v>
      </c>
      <c r="CL38" s="12">
        <v>4</v>
      </c>
      <c r="CM38" s="12">
        <v>0</v>
      </c>
      <c r="CN38" s="12">
        <v>0</v>
      </c>
      <c r="CO38" s="12">
        <v>0</v>
      </c>
      <c r="CP38" s="12">
        <v>1</v>
      </c>
      <c r="CQ38" s="12">
        <v>0</v>
      </c>
      <c r="CR38" s="12">
        <v>7</v>
      </c>
      <c r="CS38" s="12">
        <v>0</v>
      </c>
      <c r="CT38" s="12">
        <v>7</v>
      </c>
      <c r="CU38" s="12">
        <v>0</v>
      </c>
      <c r="CV38" s="12">
        <v>1</v>
      </c>
      <c r="CW38" s="12">
        <v>0</v>
      </c>
      <c r="CX38" s="12">
        <v>6</v>
      </c>
      <c r="CY38" s="12">
        <v>0</v>
      </c>
      <c r="CZ38" s="12">
        <v>3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19</v>
      </c>
      <c r="DG38" s="12">
        <v>20</v>
      </c>
      <c r="DH38" s="12">
        <v>0</v>
      </c>
      <c r="DI38" s="12">
        <v>0</v>
      </c>
      <c r="DJ38" s="12">
        <v>0</v>
      </c>
      <c r="DK38" s="12">
        <v>0</v>
      </c>
      <c r="DL38" s="12">
        <v>10</v>
      </c>
      <c r="DM38" s="12">
        <v>12</v>
      </c>
      <c r="DN38" s="12">
        <v>4</v>
      </c>
      <c r="DO38" s="12">
        <v>18</v>
      </c>
      <c r="DP38" s="12">
        <v>3</v>
      </c>
      <c r="DQ38" s="12">
        <v>9</v>
      </c>
      <c r="DR38" s="12">
        <v>2</v>
      </c>
      <c r="DS38" s="12">
        <v>9</v>
      </c>
      <c r="DT38" s="12">
        <v>11</v>
      </c>
      <c r="DU38" s="12">
        <v>23</v>
      </c>
      <c r="DV38" s="12">
        <v>0</v>
      </c>
      <c r="DW38" s="12">
        <v>0</v>
      </c>
      <c r="DX38" s="12">
        <v>83</v>
      </c>
      <c r="DY38" s="12">
        <v>27</v>
      </c>
      <c r="DZ38" s="12">
        <v>50</v>
      </c>
      <c r="EA38" s="16">
        <v>0.54</v>
      </c>
      <c r="EB38" s="12">
        <v>4</v>
      </c>
      <c r="EC38" s="12">
        <v>12</v>
      </c>
      <c r="ED38" s="16">
        <v>0.33333333333333331</v>
      </c>
      <c r="EE38" s="12">
        <v>31</v>
      </c>
      <c r="EF38" s="12">
        <v>62</v>
      </c>
      <c r="EG38" s="16">
        <v>0.5</v>
      </c>
      <c r="EH38" s="12">
        <v>17</v>
      </c>
      <c r="EI38" s="12">
        <v>24</v>
      </c>
      <c r="EJ38" s="16">
        <v>0.70833333333333337</v>
      </c>
      <c r="EK38" s="12">
        <v>9</v>
      </c>
      <c r="EL38" s="12">
        <v>24</v>
      </c>
      <c r="EM38" s="12">
        <v>33</v>
      </c>
      <c r="EN38" s="12">
        <v>11</v>
      </c>
      <c r="EO38" s="12">
        <v>20</v>
      </c>
      <c r="EP38" s="12">
        <v>23</v>
      </c>
      <c r="EQ38" s="12">
        <v>3</v>
      </c>
      <c r="ER38" s="12">
        <v>6</v>
      </c>
      <c r="ES38" s="12">
        <v>2</v>
      </c>
      <c r="ET38" s="12">
        <v>3</v>
      </c>
      <c r="EU38" s="12">
        <v>88</v>
      </c>
      <c r="EV38" s="12">
        <v>-9</v>
      </c>
      <c r="EW38" s="12">
        <v>69</v>
      </c>
      <c r="EX38" s="12">
        <v>78</v>
      </c>
      <c r="EY38" s="12">
        <v>4</v>
      </c>
      <c r="EZ38" s="12">
        <v>8</v>
      </c>
      <c r="FA38" s="12">
        <v>2</v>
      </c>
      <c r="FB38" s="12">
        <v>1</v>
      </c>
      <c r="FC38" s="12">
        <v>2</v>
      </c>
      <c r="FD38" s="12">
        <v>0</v>
      </c>
      <c r="FE38" s="12">
        <v>0</v>
      </c>
      <c r="FF38" s="12">
        <v>6</v>
      </c>
      <c r="FG38" s="12">
        <v>1</v>
      </c>
      <c r="FH38" s="12">
        <v>1</v>
      </c>
      <c r="FI38" s="12">
        <v>0</v>
      </c>
      <c r="FJ38" s="12">
        <v>1</v>
      </c>
      <c r="FK38" s="12">
        <v>0</v>
      </c>
      <c r="FL38" s="12">
        <v>0</v>
      </c>
      <c r="FM38" s="12">
        <v>0</v>
      </c>
      <c r="FN38" s="12">
        <v>1</v>
      </c>
      <c r="FO38" s="12">
        <v>1</v>
      </c>
      <c r="FP38" s="12">
        <v>1</v>
      </c>
      <c r="FQ38" s="12">
        <v>0</v>
      </c>
      <c r="FR38" s="12">
        <v>8</v>
      </c>
      <c r="FS38" s="12">
        <v>2</v>
      </c>
      <c r="FT38" s="12">
        <v>3</v>
      </c>
      <c r="FU38" s="12">
        <v>0</v>
      </c>
      <c r="FV38" s="12">
        <v>4</v>
      </c>
      <c r="FW38" s="12">
        <v>1</v>
      </c>
      <c r="FX38" s="12">
        <v>8</v>
      </c>
      <c r="FY38" s="12">
        <v>4</v>
      </c>
      <c r="FZ38" s="12">
        <v>0</v>
      </c>
      <c r="GA38" s="12">
        <v>0</v>
      </c>
      <c r="GB38" s="12">
        <v>0</v>
      </c>
      <c r="GC38" s="12">
        <v>0</v>
      </c>
      <c r="GD38" s="12">
        <v>2</v>
      </c>
      <c r="GE38" s="12">
        <v>4</v>
      </c>
      <c r="GF38" s="12">
        <v>15</v>
      </c>
      <c r="GG38" s="12">
        <v>20</v>
      </c>
      <c r="GH38" s="12">
        <v>2</v>
      </c>
      <c r="GI38" s="12">
        <v>0</v>
      </c>
      <c r="GJ38" s="12">
        <v>0</v>
      </c>
      <c r="GK38" s="12">
        <v>0</v>
      </c>
      <c r="GL38" s="12">
        <v>14</v>
      </c>
      <c r="GM38" s="12">
        <v>15</v>
      </c>
      <c r="GN38" s="12">
        <v>9</v>
      </c>
      <c r="GO38" s="12">
        <v>23</v>
      </c>
      <c r="GP38" s="12">
        <v>4</v>
      </c>
      <c r="GQ38" s="12">
        <v>12</v>
      </c>
      <c r="GR38" s="12">
        <v>1</v>
      </c>
      <c r="GS38" s="12">
        <v>3</v>
      </c>
      <c r="GT38" s="12">
        <v>3</v>
      </c>
      <c r="GU38" s="12">
        <v>9</v>
      </c>
      <c r="GV38" s="12">
        <v>0</v>
      </c>
      <c r="GW38" s="12">
        <v>0</v>
      </c>
      <c r="GY38" s="16"/>
    </row>
    <row r="39" spans="2:207" ht="15" customHeight="1" x14ac:dyDescent="0.2">
      <c r="B39" s="12">
        <v>3</v>
      </c>
      <c r="C39" s="12" t="s">
        <v>274</v>
      </c>
      <c r="D39" s="12" t="s">
        <v>278</v>
      </c>
      <c r="E39" s="14" t="s">
        <v>276</v>
      </c>
      <c r="F39" s="14" t="s">
        <v>280</v>
      </c>
      <c r="G39" s="15">
        <v>45216</v>
      </c>
      <c r="H39" s="15" t="s">
        <v>268</v>
      </c>
      <c r="I39" s="12" t="s">
        <v>269</v>
      </c>
      <c r="J39" s="12" t="s">
        <v>272</v>
      </c>
      <c r="K39" s="12">
        <v>200</v>
      </c>
      <c r="L39" s="12">
        <v>83</v>
      </c>
      <c r="M39" s="12">
        <v>27</v>
      </c>
      <c r="N39" s="12">
        <v>50</v>
      </c>
      <c r="O39" s="16">
        <v>0.54</v>
      </c>
      <c r="P39" s="12">
        <v>4</v>
      </c>
      <c r="Q39" s="12">
        <v>12</v>
      </c>
      <c r="R39" s="16">
        <v>0.33333333333333331</v>
      </c>
      <c r="S39" s="12">
        <v>31</v>
      </c>
      <c r="T39" s="12">
        <v>62</v>
      </c>
      <c r="U39" s="16">
        <v>0.5</v>
      </c>
      <c r="V39" s="12">
        <v>17</v>
      </c>
      <c r="W39" s="12">
        <v>24</v>
      </c>
      <c r="X39" s="16">
        <v>0.70833333333333337</v>
      </c>
      <c r="Y39" s="12">
        <v>9</v>
      </c>
      <c r="Z39" s="12">
        <v>24</v>
      </c>
      <c r="AA39" s="12">
        <v>33</v>
      </c>
      <c r="AB39" s="12">
        <v>11</v>
      </c>
      <c r="AC39" s="12">
        <v>6</v>
      </c>
      <c r="AD39" s="12">
        <v>3</v>
      </c>
      <c r="AE39" s="12">
        <v>2</v>
      </c>
      <c r="AF39" s="12">
        <v>3</v>
      </c>
      <c r="AG39" s="12">
        <v>20</v>
      </c>
      <c r="AH39" s="12">
        <v>23</v>
      </c>
      <c r="AI39" s="17">
        <v>88</v>
      </c>
      <c r="AJ39" s="12">
        <v>-9</v>
      </c>
      <c r="AK39" s="12">
        <v>69</v>
      </c>
      <c r="AL39" s="12">
        <v>78</v>
      </c>
      <c r="AM39" s="19">
        <v>1.0641025641025641</v>
      </c>
      <c r="AN39" s="19">
        <v>1.0454545454545454</v>
      </c>
      <c r="AO39" s="18">
        <v>120.28985507246377</v>
      </c>
      <c r="AP39" s="18">
        <v>129.57746478873241</v>
      </c>
      <c r="AQ39" s="18">
        <v>-9.2876097162686477</v>
      </c>
      <c r="AR39" s="53">
        <v>0.532258064516129</v>
      </c>
      <c r="AS39" s="53">
        <v>0.57638888888888884</v>
      </c>
      <c r="AT39" s="16">
        <v>0.19230769230769232</v>
      </c>
      <c r="AU39" s="19">
        <v>1.8666666666666667</v>
      </c>
      <c r="AV39" s="16">
        <v>0.29487179487179488</v>
      </c>
      <c r="AW39" s="19">
        <v>0.78260869565217395</v>
      </c>
      <c r="AX39" s="16">
        <v>0.15384615384615385</v>
      </c>
      <c r="AY39" s="19">
        <v>0.66666666666666663</v>
      </c>
      <c r="AZ39" s="16">
        <v>3.8461538461538464E-2</v>
      </c>
      <c r="BA39" s="19">
        <v>1</v>
      </c>
      <c r="BB39" s="16">
        <v>0.11538461538461539</v>
      </c>
      <c r="BC39" s="21">
        <v>1</v>
      </c>
      <c r="BD39" s="16">
        <v>0.12820512820512819</v>
      </c>
      <c r="BE39" s="16">
        <v>7.6923076923076927E-2</v>
      </c>
      <c r="BF39" s="16">
        <v>0.28205128205128205</v>
      </c>
      <c r="BG39" s="16">
        <v>0.29629629629629628</v>
      </c>
      <c r="BH39" s="16">
        <v>0.5</v>
      </c>
      <c r="BI39" s="16">
        <v>0.125</v>
      </c>
      <c r="BJ39" s="16">
        <v>0.14102564102564102</v>
      </c>
      <c r="BK39" s="21">
        <v>1.8333333333333333</v>
      </c>
      <c r="BL39" s="16">
        <v>0.25714285714285712</v>
      </c>
      <c r="BM39" s="16">
        <v>0.34782608695652173</v>
      </c>
      <c r="BN39" s="16">
        <v>0.125</v>
      </c>
      <c r="BO39" s="16">
        <v>0.4</v>
      </c>
      <c r="BP39" s="16">
        <v>0.6</v>
      </c>
      <c r="BQ39" s="16">
        <v>0.63636363636363635</v>
      </c>
      <c r="BR39" s="16">
        <v>0.70833333333333337</v>
      </c>
      <c r="BS39" s="16" t="s">
        <v>269</v>
      </c>
      <c r="BT39" s="16">
        <v>0.44</v>
      </c>
      <c r="BU39" s="16">
        <v>4.2253521126760563E-2</v>
      </c>
      <c r="BV39" s="16">
        <v>2.8169014084507043E-2</v>
      </c>
      <c r="BW39" s="54">
        <v>4</v>
      </c>
      <c r="BX39" s="54">
        <v>0.5</v>
      </c>
      <c r="BY39" s="54">
        <v>0.60869565217391308</v>
      </c>
      <c r="BZ39" s="12">
        <v>8</v>
      </c>
      <c r="CA39" s="12">
        <v>2</v>
      </c>
      <c r="CB39" s="12">
        <v>1</v>
      </c>
      <c r="CC39" s="12">
        <v>2</v>
      </c>
      <c r="CD39" s="12">
        <v>0</v>
      </c>
      <c r="CE39" s="12">
        <v>0</v>
      </c>
      <c r="CF39" s="12">
        <v>6</v>
      </c>
      <c r="CG39" s="12">
        <v>1</v>
      </c>
      <c r="CH39" s="12">
        <v>1</v>
      </c>
      <c r="CI39" s="12">
        <v>0</v>
      </c>
      <c r="CJ39" s="12">
        <v>1</v>
      </c>
      <c r="CK39" s="12">
        <v>0</v>
      </c>
      <c r="CL39" s="12">
        <v>0</v>
      </c>
      <c r="CM39" s="12">
        <v>0</v>
      </c>
      <c r="CN39" s="12">
        <v>1</v>
      </c>
      <c r="CO39" s="12">
        <v>1</v>
      </c>
      <c r="CP39" s="12">
        <v>1</v>
      </c>
      <c r="CQ39" s="12">
        <v>0</v>
      </c>
      <c r="CR39" s="12">
        <v>8</v>
      </c>
      <c r="CS39" s="12">
        <v>2</v>
      </c>
      <c r="CT39" s="12">
        <v>3</v>
      </c>
      <c r="CU39" s="12">
        <v>0</v>
      </c>
      <c r="CV39" s="12">
        <v>4</v>
      </c>
      <c r="CW39" s="12">
        <v>1</v>
      </c>
      <c r="CX39" s="12">
        <v>8</v>
      </c>
      <c r="CY39" s="12">
        <v>4</v>
      </c>
      <c r="CZ39" s="12">
        <v>0</v>
      </c>
      <c r="DA39" s="12">
        <v>0</v>
      </c>
      <c r="DB39" s="12">
        <v>0</v>
      </c>
      <c r="DC39" s="12">
        <v>0</v>
      </c>
      <c r="DD39" s="12">
        <v>2</v>
      </c>
      <c r="DE39" s="12">
        <v>4</v>
      </c>
      <c r="DF39" s="12">
        <v>15</v>
      </c>
      <c r="DG39" s="12">
        <v>20</v>
      </c>
      <c r="DH39" s="12">
        <v>2</v>
      </c>
      <c r="DI39" s="12">
        <v>0</v>
      </c>
      <c r="DJ39" s="12">
        <v>0</v>
      </c>
      <c r="DK39" s="12">
        <v>0</v>
      </c>
      <c r="DL39" s="12">
        <v>14</v>
      </c>
      <c r="DM39" s="12">
        <v>15</v>
      </c>
      <c r="DN39" s="12">
        <v>9</v>
      </c>
      <c r="DO39" s="12">
        <v>23</v>
      </c>
      <c r="DP39" s="12">
        <v>4</v>
      </c>
      <c r="DQ39" s="12">
        <v>12</v>
      </c>
      <c r="DR39" s="12">
        <v>1</v>
      </c>
      <c r="DS39" s="12">
        <v>3</v>
      </c>
      <c r="DT39" s="12">
        <v>3</v>
      </c>
      <c r="DU39" s="12">
        <v>9</v>
      </c>
      <c r="DV39" s="12">
        <v>0</v>
      </c>
      <c r="DW39" s="12">
        <v>0</v>
      </c>
      <c r="DX39" s="12">
        <v>92</v>
      </c>
      <c r="DY39" s="12">
        <v>17</v>
      </c>
      <c r="DZ39" s="12">
        <v>39</v>
      </c>
      <c r="EA39" s="16">
        <v>0.4358974358974359</v>
      </c>
      <c r="EB39" s="12">
        <v>13</v>
      </c>
      <c r="EC39" s="12">
        <v>32</v>
      </c>
      <c r="ED39" s="16">
        <v>0.40625</v>
      </c>
      <c r="EE39" s="12">
        <v>30</v>
      </c>
      <c r="EF39" s="12">
        <v>71</v>
      </c>
      <c r="EG39" s="16">
        <v>0.42253521126760563</v>
      </c>
      <c r="EH39" s="12">
        <v>19</v>
      </c>
      <c r="EI39" s="12">
        <v>20</v>
      </c>
      <c r="EJ39" s="16">
        <v>0.95</v>
      </c>
      <c r="EK39" s="12">
        <v>16</v>
      </c>
      <c r="EL39" s="12">
        <v>26</v>
      </c>
      <c r="EM39" s="12">
        <v>42</v>
      </c>
      <c r="EN39" s="12">
        <v>24</v>
      </c>
      <c r="EO39" s="12">
        <v>23</v>
      </c>
      <c r="EP39" s="12">
        <v>20</v>
      </c>
      <c r="EQ39" s="12">
        <v>4</v>
      </c>
      <c r="ER39" s="12">
        <v>7</v>
      </c>
      <c r="ES39" s="12">
        <v>3</v>
      </c>
      <c r="ET39" s="12">
        <v>2</v>
      </c>
      <c r="EU39" s="12">
        <v>111</v>
      </c>
      <c r="EV39" s="12">
        <v>9</v>
      </c>
      <c r="EW39" s="12">
        <v>71</v>
      </c>
      <c r="EX39" s="12">
        <v>88</v>
      </c>
      <c r="EY39" s="12">
        <v>4</v>
      </c>
      <c r="EZ39" s="12">
        <v>8</v>
      </c>
      <c r="FA39" s="12">
        <v>12</v>
      </c>
      <c r="FB39" s="12">
        <v>4</v>
      </c>
      <c r="FC39" s="12">
        <v>8</v>
      </c>
      <c r="FD39" s="12">
        <v>1</v>
      </c>
      <c r="FE39" s="12">
        <v>0</v>
      </c>
      <c r="FF39" s="12">
        <v>5</v>
      </c>
      <c r="FG39" s="12">
        <v>0</v>
      </c>
      <c r="FH39" s="12">
        <v>2</v>
      </c>
      <c r="FI39" s="12">
        <v>0</v>
      </c>
      <c r="FJ39" s="12">
        <v>3</v>
      </c>
      <c r="FK39" s="12">
        <v>0</v>
      </c>
      <c r="FL39" s="12">
        <v>4</v>
      </c>
      <c r="FM39" s="12">
        <v>0</v>
      </c>
      <c r="FN39" s="12">
        <v>0</v>
      </c>
      <c r="FO39" s="12">
        <v>0</v>
      </c>
      <c r="FP39" s="12">
        <v>1</v>
      </c>
      <c r="FQ39" s="12">
        <v>0</v>
      </c>
      <c r="FR39" s="12">
        <v>7</v>
      </c>
      <c r="FS39" s="12">
        <v>0</v>
      </c>
      <c r="FT39" s="12">
        <v>7</v>
      </c>
      <c r="FU39" s="12">
        <v>0</v>
      </c>
      <c r="FV39" s="12">
        <v>1</v>
      </c>
      <c r="FW39" s="12">
        <v>0</v>
      </c>
      <c r="FX39" s="12">
        <v>6</v>
      </c>
      <c r="FY39" s="12">
        <v>0</v>
      </c>
      <c r="FZ39" s="12">
        <v>3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19</v>
      </c>
      <c r="GG39" s="12">
        <v>20</v>
      </c>
      <c r="GH39" s="12">
        <v>0</v>
      </c>
      <c r="GI39" s="12">
        <v>0</v>
      </c>
      <c r="GJ39" s="12">
        <v>0</v>
      </c>
      <c r="GK39" s="12">
        <v>0</v>
      </c>
      <c r="GL39" s="12">
        <v>10</v>
      </c>
      <c r="GM39" s="12">
        <v>12</v>
      </c>
      <c r="GN39" s="12">
        <v>4</v>
      </c>
      <c r="GO39" s="12">
        <v>18</v>
      </c>
      <c r="GP39" s="12">
        <v>3</v>
      </c>
      <c r="GQ39" s="12">
        <v>9</v>
      </c>
      <c r="GR39" s="12">
        <v>2</v>
      </c>
      <c r="GS39" s="12">
        <v>9</v>
      </c>
      <c r="GT39" s="12">
        <v>11</v>
      </c>
      <c r="GU39" s="12">
        <v>23</v>
      </c>
      <c r="GV39" s="12">
        <v>0</v>
      </c>
      <c r="GW39" s="12">
        <v>0</v>
      </c>
      <c r="GY39" s="16"/>
    </row>
    <row r="40" spans="2:207" ht="15" customHeight="1" x14ac:dyDescent="0.2">
      <c r="B40" s="12">
        <v>3</v>
      </c>
      <c r="C40" s="12" t="s">
        <v>290</v>
      </c>
      <c r="D40" s="12" t="s">
        <v>294</v>
      </c>
      <c r="E40" s="14" t="s">
        <v>292</v>
      </c>
      <c r="F40" s="14" t="s">
        <v>296</v>
      </c>
      <c r="G40" s="15">
        <v>45216</v>
      </c>
      <c r="H40" s="15" t="s">
        <v>268</v>
      </c>
      <c r="I40" s="12" t="s">
        <v>269</v>
      </c>
      <c r="J40" s="12" t="s">
        <v>270</v>
      </c>
      <c r="K40" s="12">
        <v>200</v>
      </c>
      <c r="L40" s="12">
        <v>83</v>
      </c>
      <c r="M40" s="12">
        <v>18</v>
      </c>
      <c r="N40" s="12">
        <v>31</v>
      </c>
      <c r="O40" s="16">
        <v>0.58064516129032262</v>
      </c>
      <c r="P40" s="12">
        <v>12</v>
      </c>
      <c r="Q40" s="12">
        <v>30</v>
      </c>
      <c r="R40" s="16">
        <v>0.4</v>
      </c>
      <c r="S40" s="12">
        <v>30</v>
      </c>
      <c r="T40" s="12">
        <v>61</v>
      </c>
      <c r="U40" s="16">
        <v>0.49180327868852458</v>
      </c>
      <c r="V40" s="12">
        <v>11</v>
      </c>
      <c r="W40" s="12">
        <v>12</v>
      </c>
      <c r="X40" s="16">
        <v>0.91666666666666663</v>
      </c>
      <c r="Y40" s="12">
        <v>11</v>
      </c>
      <c r="Z40" s="12">
        <v>23</v>
      </c>
      <c r="AA40" s="12">
        <v>34</v>
      </c>
      <c r="AB40" s="12">
        <v>20</v>
      </c>
      <c r="AC40" s="12">
        <v>13</v>
      </c>
      <c r="AD40" s="12">
        <v>6</v>
      </c>
      <c r="AE40" s="12">
        <v>1</v>
      </c>
      <c r="AF40" s="12">
        <v>1</v>
      </c>
      <c r="AG40" s="12">
        <v>22</v>
      </c>
      <c r="AH40" s="12">
        <v>17</v>
      </c>
      <c r="AI40" s="17">
        <v>93</v>
      </c>
      <c r="AJ40" s="12">
        <v>14</v>
      </c>
      <c r="AK40" s="12">
        <v>69</v>
      </c>
      <c r="AL40" s="12">
        <v>80</v>
      </c>
      <c r="AM40" s="19">
        <v>1.0375000000000001</v>
      </c>
      <c r="AN40" s="19">
        <v>0.89610389610389607</v>
      </c>
      <c r="AO40" s="18">
        <v>120.28985507246377</v>
      </c>
      <c r="AP40" s="18">
        <v>102.98507462686568</v>
      </c>
      <c r="AQ40" s="18">
        <v>17.304780445598084</v>
      </c>
      <c r="AR40" s="53">
        <v>0.5901639344262295</v>
      </c>
      <c r="AS40" s="53">
        <v>0.61940298507462688</v>
      </c>
      <c r="AT40" s="16">
        <v>0.17499999999999999</v>
      </c>
      <c r="AU40" s="19">
        <v>1.8571428571428572</v>
      </c>
      <c r="AV40" s="16">
        <v>0.125</v>
      </c>
      <c r="AW40" s="19">
        <v>0.8</v>
      </c>
      <c r="AX40" s="16">
        <v>8.7499999999999994E-2</v>
      </c>
      <c r="AY40" s="19">
        <v>0.2857142857142857</v>
      </c>
      <c r="AZ40" s="16">
        <v>3.7499999999999999E-2</v>
      </c>
      <c r="BA40" s="19">
        <v>1</v>
      </c>
      <c r="BB40" s="16">
        <v>0.32500000000000001</v>
      </c>
      <c r="BC40" s="21">
        <v>1.1538461538461537</v>
      </c>
      <c r="BD40" s="16">
        <v>7.4999999999999997E-2</v>
      </c>
      <c r="BE40" s="16">
        <v>0.16250000000000001</v>
      </c>
      <c r="BF40" s="16">
        <v>0.55555555555555558</v>
      </c>
      <c r="BG40" s="16">
        <v>0.61111111111111116</v>
      </c>
      <c r="BH40" s="16">
        <v>0.66666666666666663</v>
      </c>
      <c r="BI40" s="16">
        <v>0.16666666666666666</v>
      </c>
      <c r="BJ40" s="16">
        <v>0.25</v>
      </c>
      <c r="BK40" s="21">
        <v>1.5384615384615385</v>
      </c>
      <c r="BL40" s="16">
        <v>0.37931034482758619</v>
      </c>
      <c r="BM40" s="16">
        <v>0.21428571428571427</v>
      </c>
      <c r="BN40" s="16">
        <v>0.47058823529411764</v>
      </c>
      <c r="BO40" s="16" t="s">
        <v>269</v>
      </c>
      <c r="BP40" s="16">
        <v>0.69696969696969702</v>
      </c>
      <c r="BQ40" s="16">
        <v>0.7142857142857143</v>
      </c>
      <c r="BR40" s="16">
        <v>0.6875</v>
      </c>
      <c r="BS40" s="16">
        <v>0.8</v>
      </c>
      <c r="BT40" s="16">
        <v>0.54838709677419351</v>
      </c>
      <c r="BU40" s="16">
        <v>8.9552238805970144E-2</v>
      </c>
      <c r="BV40" s="16">
        <v>1.8181818181818181E-2</v>
      </c>
      <c r="BW40" s="54">
        <v>4</v>
      </c>
      <c r="BX40" s="54">
        <v>0.45454545454545453</v>
      </c>
      <c r="BY40" s="54">
        <v>0.35294117647058826</v>
      </c>
      <c r="BZ40" s="12">
        <v>11</v>
      </c>
      <c r="CA40" s="12">
        <v>8</v>
      </c>
      <c r="CB40" s="12">
        <v>1</v>
      </c>
      <c r="CC40" s="12">
        <v>2</v>
      </c>
      <c r="CD40" s="12">
        <v>1</v>
      </c>
      <c r="CE40" s="12">
        <v>0</v>
      </c>
      <c r="CF40" s="12">
        <v>1</v>
      </c>
      <c r="CG40" s="12">
        <v>0</v>
      </c>
      <c r="CH40" s="12">
        <v>1</v>
      </c>
      <c r="CI40" s="12">
        <v>0</v>
      </c>
      <c r="CJ40" s="12">
        <v>1</v>
      </c>
      <c r="CK40" s="12">
        <v>1</v>
      </c>
      <c r="CL40" s="12">
        <v>6</v>
      </c>
      <c r="CM40" s="12">
        <v>0</v>
      </c>
      <c r="CN40" s="12">
        <v>0</v>
      </c>
      <c r="CO40" s="12">
        <v>0</v>
      </c>
      <c r="CP40" s="12">
        <v>1</v>
      </c>
      <c r="CQ40" s="12">
        <v>0</v>
      </c>
      <c r="CR40" s="12">
        <v>4</v>
      </c>
      <c r="CS40" s="12">
        <v>1</v>
      </c>
      <c r="CT40" s="12">
        <v>4</v>
      </c>
      <c r="CU40" s="12">
        <v>0</v>
      </c>
      <c r="CV40" s="12">
        <v>2</v>
      </c>
      <c r="CW40" s="12">
        <v>0</v>
      </c>
      <c r="CX40" s="12">
        <v>8</v>
      </c>
      <c r="CY40" s="12">
        <v>1</v>
      </c>
      <c r="CZ40" s="12">
        <v>4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11</v>
      </c>
      <c r="DG40" s="12">
        <v>12</v>
      </c>
      <c r="DH40" s="12">
        <v>0</v>
      </c>
      <c r="DI40" s="12">
        <v>0</v>
      </c>
      <c r="DJ40" s="12">
        <v>0</v>
      </c>
      <c r="DK40" s="12">
        <v>0</v>
      </c>
      <c r="DL40" s="12">
        <v>13</v>
      </c>
      <c r="DM40" s="12">
        <v>14</v>
      </c>
      <c r="DN40" s="12">
        <v>4</v>
      </c>
      <c r="DO40" s="12">
        <v>10</v>
      </c>
      <c r="DP40" s="12">
        <v>1</v>
      </c>
      <c r="DQ40" s="12">
        <v>7</v>
      </c>
      <c r="DR40" s="12">
        <v>1</v>
      </c>
      <c r="DS40" s="12">
        <v>3</v>
      </c>
      <c r="DT40" s="12">
        <v>10</v>
      </c>
      <c r="DU40" s="12">
        <v>26</v>
      </c>
      <c r="DV40" s="12">
        <v>0</v>
      </c>
      <c r="DW40" s="12">
        <v>0</v>
      </c>
      <c r="DX40" s="12">
        <v>69</v>
      </c>
      <c r="DY40" s="12">
        <v>19</v>
      </c>
      <c r="DZ40" s="12">
        <v>32</v>
      </c>
      <c r="EA40" s="16">
        <v>0.59375</v>
      </c>
      <c r="EB40" s="12">
        <v>7</v>
      </c>
      <c r="EC40" s="12">
        <v>23</v>
      </c>
      <c r="ED40" s="16">
        <v>0.30434782608695654</v>
      </c>
      <c r="EE40" s="12">
        <v>26</v>
      </c>
      <c r="EF40" s="12">
        <v>55</v>
      </c>
      <c r="EG40" s="16">
        <v>0.47272727272727272</v>
      </c>
      <c r="EH40" s="12">
        <v>10</v>
      </c>
      <c r="EI40" s="12">
        <v>19</v>
      </c>
      <c r="EJ40" s="16">
        <v>0.52631578947368418</v>
      </c>
      <c r="EK40" s="12">
        <v>10</v>
      </c>
      <c r="EL40" s="12">
        <v>18</v>
      </c>
      <c r="EM40" s="12">
        <v>28</v>
      </c>
      <c r="EN40" s="12">
        <v>11</v>
      </c>
      <c r="EO40" s="12">
        <v>17</v>
      </c>
      <c r="EP40" s="12">
        <v>22</v>
      </c>
      <c r="EQ40" s="12">
        <v>5</v>
      </c>
      <c r="ER40" s="12">
        <v>13</v>
      </c>
      <c r="ES40" s="12">
        <v>1</v>
      </c>
      <c r="ET40" s="12">
        <v>1</v>
      </c>
      <c r="EU40" s="12">
        <v>67</v>
      </c>
      <c r="EV40" s="12">
        <v>-14</v>
      </c>
      <c r="EW40" s="12">
        <v>67</v>
      </c>
      <c r="EX40" s="12">
        <v>77</v>
      </c>
      <c r="EY40" s="12">
        <v>4</v>
      </c>
      <c r="EZ40" s="12">
        <v>6</v>
      </c>
      <c r="FA40" s="12">
        <v>4</v>
      </c>
      <c r="FB40" s="12">
        <v>1</v>
      </c>
      <c r="FC40" s="12">
        <v>2</v>
      </c>
      <c r="FD40" s="12">
        <v>0</v>
      </c>
      <c r="FE40" s="12">
        <v>0</v>
      </c>
      <c r="FF40" s="12">
        <v>3</v>
      </c>
      <c r="FG40" s="12">
        <v>1</v>
      </c>
      <c r="FH40" s="12">
        <v>0</v>
      </c>
      <c r="FI40" s="12">
        <v>0</v>
      </c>
      <c r="FJ40" s="12">
        <v>2</v>
      </c>
      <c r="FK40" s="12">
        <v>0</v>
      </c>
      <c r="FL40" s="12">
        <v>3</v>
      </c>
      <c r="FM40" s="12">
        <v>0</v>
      </c>
      <c r="FN40" s="12">
        <v>1</v>
      </c>
      <c r="FO40" s="12">
        <v>0</v>
      </c>
      <c r="FP40" s="12">
        <v>0</v>
      </c>
      <c r="FQ40" s="12">
        <v>0</v>
      </c>
      <c r="FR40" s="12">
        <v>5</v>
      </c>
      <c r="FS40" s="12">
        <v>1</v>
      </c>
      <c r="FT40" s="12">
        <v>5</v>
      </c>
      <c r="FU40" s="12">
        <v>0</v>
      </c>
      <c r="FV40" s="12">
        <v>1</v>
      </c>
      <c r="FW40" s="12">
        <v>0</v>
      </c>
      <c r="FX40" s="12">
        <v>7</v>
      </c>
      <c r="FY40" s="12">
        <v>1</v>
      </c>
      <c r="FZ40" s="12">
        <v>0</v>
      </c>
      <c r="GA40" s="12">
        <v>0</v>
      </c>
      <c r="GB40" s="12">
        <v>0</v>
      </c>
      <c r="GC40" s="12">
        <v>0</v>
      </c>
      <c r="GD40" s="12">
        <v>1</v>
      </c>
      <c r="GE40" s="12">
        <v>1</v>
      </c>
      <c r="GF40" s="12">
        <v>9</v>
      </c>
      <c r="GG40" s="12">
        <v>18</v>
      </c>
      <c r="GH40" s="12">
        <v>3</v>
      </c>
      <c r="GI40" s="12">
        <v>0</v>
      </c>
      <c r="GJ40" s="12">
        <v>0</v>
      </c>
      <c r="GK40" s="12">
        <v>0</v>
      </c>
      <c r="GL40" s="12">
        <v>9</v>
      </c>
      <c r="GM40" s="12">
        <v>11</v>
      </c>
      <c r="GN40" s="12">
        <v>8</v>
      </c>
      <c r="GO40" s="12">
        <v>15</v>
      </c>
      <c r="GP40" s="12">
        <v>2</v>
      </c>
      <c r="GQ40" s="12">
        <v>6</v>
      </c>
      <c r="GR40" s="12">
        <v>2</v>
      </c>
      <c r="GS40" s="12">
        <v>6</v>
      </c>
      <c r="GT40" s="12">
        <v>5</v>
      </c>
      <c r="GU40" s="12">
        <v>16</v>
      </c>
      <c r="GV40" s="12">
        <v>0</v>
      </c>
      <c r="GW40" s="12">
        <v>1</v>
      </c>
      <c r="GY40" s="16"/>
    </row>
    <row r="41" spans="2:207" ht="15" customHeight="1" x14ac:dyDescent="0.2">
      <c r="B41" s="12">
        <v>3</v>
      </c>
      <c r="C41" s="12" t="s">
        <v>294</v>
      </c>
      <c r="D41" s="12" t="s">
        <v>290</v>
      </c>
      <c r="E41" s="14" t="s">
        <v>296</v>
      </c>
      <c r="F41" s="14" t="s">
        <v>292</v>
      </c>
      <c r="G41" s="15">
        <v>45216</v>
      </c>
      <c r="H41" s="15" t="s">
        <v>271</v>
      </c>
      <c r="I41" s="12" t="s">
        <v>269</v>
      </c>
      <c r="J41" s="12" t="s">
        <v>272</v>
      </c>
      <c r="K41" s="12">
        <v>200</v>
      </c>
      <c r="L41" s="12">
        <v>69</v>
      </c>
      <c r="M41" s="12">
        <v>19</v>
      </c>
      <c r="N41" s="12">
        <v>32</v>
      </c>
      <c r="O41" s="16">
        <v>0.59375</v>
      </c>
      <c r="P41" s="12">
        <v>7</v>
      </c>
      <c r="Q41" s="12">
        <v>23</v>
      </c>
      <c r="R41" s="16">
        <v>0.30434782608695654</v>
      </c>
      <c r="S41" s="12">
        <v>26</v>
      </c>
      <c r="T41" s="12">
        <v>55</v>
      </c>
      <c r="U41" s="16">
        <v>0.47272727272727272</v>
      </c>
      <c r="V41" s="12">
        <v>10</v>
      </c>
      <c r="W41" s="12">
        <v>19</v>
      </c>
      <c r="X41" s="16">
        <v>0.52631578947368418</v>
      </c>
      <c r="Y41" s="12">
        <v>10</v>
      </c>
      <c r="Z41" s="12">
        <v>18</v>
      </c>
      <c r="AA41" s="12">
        <v>28</v>
      </c>
      <c r="AB41" s="12">
        <v>11</v>
      </c>
      <c r="AC41" s="12">
        <v>13</v>
      </c>
      <c r="AD41" s="12">
        <v>5</v>
      </c>
      <c r="AE41" s="12">
        <v>1</v>
      </c>
      <c r="AF41" s="12">
        <v>1</v>
      </c>
      <c r="AG41" s="12">
        <v>17</v>
      </c>
      <c r="AH41" s="12">
        <v>22</v>
      </c>
      <c r="AI41" s="17">
        <v>67</v>
      </c>
      <c r="AJ41" s="12">
        <v>-14</v>
      </c>
      <c r="AK41" s="12">
        <v>67</v>
      </c>
      <c r="AL41" s="12">
        <v>77</v>
      </c>
      <c r="AM41" s="19">
        <v>0.89610389610389607</v>
      </c>
      <c r="AN41" s="19">
        <v>1.0375000000000001</v>
      </c>
      <c r="AO41" s="18">
        <v>102.98507462686568</v>
      </c>
      <c r="AP41" s="18">
        <v>120.28985507246377</v>
      </c>
      <c r="AQ41" s="18">
        <v>-17.304780445598084</v>
      </c>
      <c r="AR41" s="53">
        <v>0.53636363636363638</v>
      </c>
      <c r="AS41" s="53">
        <v>0.5390625</v>
      </c>
      <c r="AT41" s="16">
        <v>0.14285714285714285</v>
      </c>
      <c r="AU41" s="19">
        <v>1.6363636363636365</v>
      </c>
      <c r="AV41" s="16">
        <v>0.19480519480519481</v>
      </c>
      <c r="AW41" s="19">
        <v>1.0666666666666667</v>
      </c>
      <c r="AX41" s="16">
        <v>7.792207792207792E-2</v>
      </c>
      <c r="AY41" s="19">
        <v>0.66666666666666663</v>
      </c>
      <c r="AZ41" s="16">
        <v>7.792207792207792E-2</v>
      </c>
      <c r="BA41" s="19">
        <v>1</v>
      </c>
      <c r="BB41" s="16">
        <v>0.20779220779220781</v>
      </c>
      <c r="BC41" s="21">
        <v>0.9375</v>
      </c>
      <c r="BD41" s="16">
        <v>0.11688311688311688</v>
      </c>
      <c r="BE41" s="16">
        <v>0.16883116883116883</v>
      </c>
      <c r="BF41" s="16">
        <v>0.34375</v>
      </c>
      <c r="BG41" s="16">
        <v>0.31578947368421051</v>
      </c>
      <c r="BH41" s="16">
        <v>0.5714285714285714</v>
      </c>
      <c r="BI41" s="16">
        <v>0.16666666666666666</v>
      </c>
      <c r="BJ41" s="16">
        <v>0.14285714285714285</v>
      </c>
      <c r="BK41" s="21">
        <v>0.84615384615384615</v>
      </c>
      <c r="BL41" s="16">
        <v>0.30303030303030304</v>
      </c>
      <c r="BM41" s="16">
        <v>0.2857142857142857</v>
      </c>
      <c r="BN41" s="16">
        <v>0.3125</v>
      </c>
      <c r="BO41" s="16">
        <v>0.2</v>
      </c>
      <c r="BP41" s="16">
        <v>0.62068965517241381</v>
      </c>
      <c r="BQ41" s="16">
        <v>0.7857142857142857</v>
      </c>
      <c r="BR41" s="16">
        <v>0.52941176470588236</v>
      </c>
      <c r="BS41" s="16" t="s">
        <v>269</v>
      </c>
      <c r="BT41" s="16">
        <v>0.45161290322580644</v>
      </c>
      <c r="BU41" s="16">
        <v>7.2463768115942032E-2</v>
      </c>
      <c r="BV41" s="16">
        <v>1.6393442622950821E-2</v>
      </c>
      <c r="BW41" s="54">
        <v>4</v>
      </c>
      <c r="BX41" s="54">
        <v>0.35294117647058826</v>
      </c>
      <c r="BY41" s="54">
        <v>0.45454545454545453</v>
      </c>
      <c r="BZ41" s="12">
        <v>6</v>
      </c>
      <c r="CA41" s="12">
        <v>4</v>
      </c>
      <c r="CB41" s="12">
        <v>1</v>
      </c>
      <c r="CC41" s="12">
        <v>2</v>
      </c>
      <c r="CD41" s="12">
        <v>0</v>
      </c>
      <c r="CE41" s="12">
        <v>0</v>
      </c>
      <c r="CF41" s="12">
        <v>3</v>
      </c>
      <c r="CG41" s="12">
        <v>1</v>
      </c>
      <c r="CH41" s="12">
        <v>0</v>
      </c>
      <c r="CI41" s="12">
        <v>0</v>
      </c>
      <c r="CJ41" s="12">
        <v>2</v>
      </c>
      <c r="CK41" s="12">
        <v>0</v>
      </c>
      <c r="CL41" s="12">
        <v>3</v>
      </c>
      <c r="CM41" s="12">
        <v>0</v>
      </c>
      <c r="CN41" s="12">
        <v>1</v>
      </c>
      <c r="CO41" s="12">
        <v>0</v>
      </c>
      <c r="CP41" s="12">
        <v>0</v>
      </c>
      <c r="CQ41" s="12">
        <v>0</v>
      </c>
      <c r="CR41" s="12">
        <v>5</v>
      </c>
      <c r="CS41" s="12">
        <v>1</v>
      </c>
      <c r="CT41" s="12">
        <v>5</v>
      </c>
      <c r="CU41" s="12">
        <v>0</v>
      </c>
      <c r="CV41" s="12">
        <v>1</v>
      </c>
      <c r="CW41" s="12">
        <v>0</v>
      </c>
      <c r="CX41" s="12">
        <v>7</v>
      </c>
      <c r="CY41" s="12">
        <v>1</v>
      </c>
      <c r="CZ41" s="12">
        <v>0</v>
      </c>
      <c r="DA41" s="12">
        <v>0</v>
      </c>
      <c r="DB41" s="12">
        <v>0</v>
      </c>
      <c r="DC41" s="12">
        <v>0</v>
      </c>
      <c r="DD41" s="12">
        <v>1</v>
      </c>
      <c r="DE41" s="12">
        <v>1</v>
      </c>
      <c r="DF41" s="12">
        <v>9</v>
      </c>
      <c r="DG41" s="12">
        <v>18</v>
      </c>
      <c r="DH41" s="12">
        <v>3</v>
      </c>
      <c r="DI41" s="12">
        <v>0</v>
      </c>
      <c r="DJ41" s="12">
        <v>0</v>
      </c>
      <c r="DK41" s="12">
        <v>0</v>
      </c>
      <c r="DL41" s="12">
        <v>9</v>
      </c>
      <c r="DM41" s="12">
        <v>11</v>
      </c>
      <c r="DN41" s="12">
        <v>8</v>
      </c>
      <c r="DO41" s="12">
        <v>15</v>
      </c>
      <c r="DP41" s="12">
        <v>2</v>
      </c>
      <c r="DQ41" s="12">
        <v>6</v>
      </c>
      <c r="DR41" s="12">
        <v>2</v>
      </c>
      <c r="DS41" s="12">
        <v>6</v>
      </c>
      <c r="DT41" s="12">
        <v>5</v>
      </c>
      <c r="DU41" s="12">
        <v>16</v>
      </c>
      <c r="DV41" s="12">
        <v>0</v>
      </c>
      <c r="DW41" s="12">
        <v>1</v>
      </c>
      <c r="DX41" s="12">
        <v>83</v>
      </c>
      <c r="DY41" s="12">
        <v>18</v>
      </c>
      <c r="DZ41" s="12">
        <v>31</v>
      </c>
      <c r="EA41" s="16">
        <v>0.58064516129032262</v>
      </c>
      <c r="EB41" s="12">
        <v>12</v>
      </c>
      <c r="EC41" s="12">
        <v>30</v>
      </c>
      <c r="ED41" s="16">
        <v>0.4</v>
      </c>
      <c r="EE41" s="12">
        <v>30</v>
      </c>
      <c r="EF41" s="12">
        <v>61</v>
      </c>
      <c r="EG41" s="16">
        <v>0.49180327868852458</v>
      </c>
      <c r="EH41" s="12">
        <v>11</v>
      </c>
      <c r="EI41" s="12">
        <v>12</v>
      </c>
      <c r="EJ41" s="16">
        <v>0.91666666666666663</v>
      </c>
      <c r="EK41" s="12">
        <v>11</v>
      </c>
      <c r="EL41" s="12">
        <v>23</v>
      </c>
      <c r="EM41" s="12">
        <v>34</v>
      </c>
      <c r="EN41" s="12">
        <v>20</v>
      </c>
      <c r="EO41" s="12">
        <v>22</v>
      </c>
      <c r="EP41" s="12">
        <v>17</v>
      </c>
      <c r="EQ41" s="12">
        <v>6</v>
      </c>
      <c r="ER41" s="12">
        <v>13</v>
      </c>
      <c r="ES41" s="12">
        <v>1</v>
      </c>
      <c r="ET41" s="12">
        <v>1</v>
      </c>
      <c r="EU41" s="12">
        <v>93</v>
      </c>
      <c r="EV41" s="12">
        <v>14</v>
      </c>
      <c r="EW41" s="12">
        <v>69</v>
      </c>
      <c r="EX41" s="12">
        <v>80</v>
      </c>
      <c r="EY41" s="12">
        <v>4</v>
      </c>
      <c r="EZ41" s="12">
        <v>11</v>
      </c>
      <c r="FA41" s="12">
        <v>8</v>
      </c>
      <c r="FB41" s="12">
        <v>1</v>
      </c>
      <c r="FC41" s="12">
        <v>2</v>
      </c>
      <c r="FD41" s="12">
        <v>1</v>
      </c>
      <c r="FE41" s="12">
        <v>0</v>
      </c>
      <c r="FF41" s="12">
        <v>1</v>
      </c>
      <c r="FG41" s="12">
        <v>0</v>
      </c>
      <c r="FH41" s="12">
        <v>1</v>
      </c>
      <c r="FI41" s="12">
        <v>0</v>
      </c>
      <c r="FJ41" s="12">
        <v>1</v>
      </c>
      <c r="FK41" s="12">
        <v>1</v>
      </c>
      <c r="FL41" s="12">
        <v>6</v>
      </c>
      <c r="FM41" s="12">
        <v>0</v>
      </c>
      <c r="FN41" s="12">
        <v>0</v>
      </c>
      <c r="FO41" s="12">
        <v>0</v>
      </c>
      <c r="FP41" s="12">
        <v>1</v>
      </c>
      <c r="FQ41" s="12">
        <v>0</v>
      </c>
      <c r="FR41" s="12">
        <v>4</v>
      </c>
      <c r="FS41" s="12">
        <v>1</v>
      </c>
      <c r="FT41" s="12">
        <v>4</v>
      </c>
      <c r="FU41" s="12">
        <v>0</v>
      </c>
      <c r="FV41" s="12">
        <v>2</v>
      </c>
      <c r="FW41" s="12">
        <v>0</v>
      </c>
      <c r="FX41" s="12">
        <v>8</v>
      </c>
      <c r="FY41" s="12">
        <v>1</v>
      </c>
      <c r="FZ41" s="12">
        <v>4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11</v>
      </c>
      <c r="GG41" s="12">
        <v>12</v>
      </c>
      <c r="GH41" s="12">
        <v>0</v>
      </c>
      <c r="GI41" s="12">
        <v>0</v>
      </c>
      <c r="GJ41" s="12">
        <v>0</v>
      </c>
      <c r="GK41" s="12">
        <v>0</v>
      </c>
      <c r="GL41" s="12">
        <v>13</v>
      </c>
      <c r="GM41" s="12">
        <v>14</v>
      </c>
      <c r="GN41" s="12">
        <v>4</v>
      </c>
      <c r="GO41" s="12">
        <v>10</v>
      </c>
      <c r="GP41" s="12">
        <v>1</v>
      </c>
      <c r="GQ41" s="12">
        <v>7</v>
      </c>
      <c r="GR41" s="12">
        <v>1</v>
      </c>
      <c r="GS41" s="12">
        <v>3</v>
      </c>
      <c r="GT41" s="12">
        <v>10</v>
      </c>
      <c r="GU41" s="12">
        <v>26</v>
      </c>
      <c r="GV41" s="12">
        <v>0</v>
      </c>
      <c r="GW41" s="12">
        <v>0</v>
      </c>
      <c r="GY41" s="16"/>
    </row>
    <row r="42" spans="2:207" ht="15" customHeight="1" x14ac:dyDescent="0.2">
      <c r="B42" s="12">
        <v>3</v>
      </c>
      <c r="C42" s="12" t="s">
        <v>277</v>
      </c>
      <c r="D42" s="12" t="s">
        <v>265</v>
      </c>
      <c r="E42" s="14" t="s">
        <v>279</v>
      </c>
      <c r="F42" s="14" t="s">
        <v>267</v>
      </c>
      <c r="G42" s="15">
        <v>45216</v>
      </c>
      <c r="H42" s="15" t="s">
        <v>268</v>
      </c>
      <c r="I42" s="12" t="s">
        <v>269</v>
      </c>
      <c r="J42" s="12" t="s">
        <v>270</v>
      </c>
      <c r="K42" s="12">
        <v>200</v>
      </c>
      <c r="L42" s="12">
        <v>89</v>
      </c>
      <c r="M42" s="12">
        <v>22</v>
      </c>
      <c r="N42" s="12">
        <v>30</v>
      </c>
      <c r="O42" s="16">
        <v>0.73333333333333328</v>
      </c>
      <c r="P42" s="12">
        <v>9</v>
      </c>
      <c r="Q42" s="12">
        <v>24</v>
      </c>
      <c r="R42" s="16">
        <v>0.375</v>
      </c>
      <c r="S42" s="12">
        <v>31</v>
      </c>
      <c r="T42" s="12">
        <v>54</v>
      </c>
      <c r="U42" s="16">
        <v>0.57407407407407407</v>
      </c>
      <c r="V42" s="12">
        <v>18</v>
      </c>
      <c r="W42" s="12">
        <v>22</v>
      </c>
      <c r="X42" s="16">
        <v>0.81818181818181823</v>
      </c>
      <c r="Y42" s="12">
        <v>7</v>
      </c>
      <c r="Z42" s="12">
        <v>27</v>
      </c>
      <c r="AA42" s="12">
        <v>34</v>
      </c>
      <c r="AB42" s="12">
        <v>20</v>
      </c>
      <c r="AC42" s="12">
        <v>16</v>
      </c>
      <c r="AD42" s="12">
        <v>7</v>
      </c>
      <c r="AE42" s="12">
        <v>2</v>
      </c>
      <c r="AF42" s="12">
        <v>3</v>
      </c>
      <c r="AG42" s="12">
        <v>20</v>
      </c>
      <c r="AH42" s="12">
        <v>19</v>
      </c>
      <c r="AI42" s="17">
        <v>105</v>
      </c>
      <c r="AJ42" s="12">
        <v>5</v>
      </c>
      <c r="AK42" s="12">
        <v>73</v>
      </c>
      <c r="AL42" s="12">
        <v>80</v>
      </c>
      <c r="AM42" s="19">
        <v>1.1125</v>
      </c>
      <c r="AN42" s="19">
        <v>1</v>
      </c>
      <c r="AO42" s="18">
        <v>121.91780821917808</v>
      </c>
      <c r="AP42" s="18">
        <v>110.5263157894737</v>
      </c>
      <c r="AQ42" s="18">
        <v>11.391492429704385</v>
      </c>
      <c r="AR42" s="53">
        <v>0.65740740740740744</v>
      </c>
      <c r="AS42" s="53">
        <v>0.6953125</v>
      </c>
      <c r="AT42" s="16">
        <v>0.13750000000000001</v>
      </c>
      <c r="AU42" s="19">
        <v>1.8181818181818181</v>
      </c>
      <c r="AV42" s="16">
        <v>0.22500000000000001</v>
      </c>
      <c r="AW42" s="19">
        <v>1.3333333333333333</v>
      </c>
      <c r="AX42" s="16">
        <v>1.2500000000000001E-2</v>
      </c>
      <c r="AY42" s="19">
        <v>0</v>
      </c>
      <c r="AZ42" s="16">
        <v>2.5000000000000001E-2</v>
      </c>
      <c r="BA42" s="19">
        <v>0</v>
      </c>
      <c r="BB42" s="16">
        <v>0.27500000000000002</v>
      </c>
      <c r="BC42" s="21">
        <v>1.2272727272727273</v>
      </c>
      <c r="BD42" s="16">
        <v>0.125</v>
      </c>
      <c r="BE42" s="16">
        <v>0.2</v>
      </c>
      <c r="BF42" s="16">
        <v>0.5</v>
      </c>
      <c r="BG42" s="16">
        <v>0.63636363636363635</v>
      </c>
      <c r="BH42" s="16">
        <v>0.55555555555555558</v>
      </c>
      <c r="BI42" s="16">
        <v>0.1111111111111111</v>
      </c>
      <c r="BJ42" s="16">
        <v>0.25</v>
      </c>
      <c r="BK42" s="21">
        <v>1.25</v>
      </c>
      <c r="BL42" s="16">
        <v>0.29166666666666669</v>
      </c>
      <c r="BM42" s="16">
        <v>0.3</v>
      </c>
      <c r="BN42" s="16">
        <v>0.41176470588235292</v>
      </c>
      <c r="BO42" s="16">
        <v>0</v>
      </c>
      <c r="BP42" s="16">
        <v>0.79411764705882348</v>
      </c>
      <c r="BQ42" s="16">
        <v>0.82352941176470584</v>
      </c>
      <c r="BR42" s="16">
        <v>0.76470588235294112</v>
      </c>
      <c r="BS42" s="16">
        <v>1</v>
      </c>
      <c r="BT42" s="16">
        <v>0.58620689655172409</v>
      </c>
      <c r="BU42" s="16">
        <v>9.2105263157894732E-2</v>
      </c>
      <c r="BV42" s="16">
        <v>3.2258064516129031E-2</v>
      </c>
      <c r="BW42" s="54">
        <v>5</v>
      </c>
      <c r="BX42" s="54">
        <v>0.55000000000000004</v>
      </c>
      <c r="BY42" s="54">
        <v>0.63157894736842102</v>
      </c>
      <c r="BZ42" s="12">
        <v>14</v>
      </c>
      <c r="CA42" s="12">
        <v>5</v>
      </c>
      <c r="CB42" s="12">
        <v>1</v>
      </c>
      <c r="CC42" s="12">
        <v>2</v>
      </c>
      <c r="CD42" s="12">
        <v>0</v>
      </c>
      <c r="CE42" s="12">
        <v>0</v>
      </c>
      <c r="CF42" s="12">
        <v>2</v>
      </c>
      <c r="CG42" s="12">
        <v>1</v>
      </c>
      <c r="CH42" s="12">
        <v>0</v>
      </c>
      <c r="CI42" s="12">
        <v>0</v>
      </c>
      <c r="CJ42" s="12">
        <v>0</v>
      </c>
      <c r="CK42" s="12">
        <v>0</v>
      </c>
      <c r="CL42" s="12">
        <v>5</v>
      </c>
      <c r="CM42" s="12">
        <v>2</v>
      </c>
      <c r="CN42" s="12">
        <v>0</v>
      </c>
      <c r="CO42" s="12">
        <v>0</v>
      </c>
      <c r="CP42" s="12">
        <v>1</v>
      </c>
      <c r="CQ42" s="12">
        <v>0</v>
      </c>
      <c r="CR42" s="12">
        <v>10</v>
      </c>
      <c r="CS42" s="12">
        <v>1</v>
      </c>
      <c r="CT42" s="12">
        <v>2</v>
      </c>
      <c r="CU42" s="12">
        <v>0</v>
      </c>
      <c r="CV42" s="12">
        <v>0</v>
      </c>
      <c r="CW42" s="12">
        <v>0</v>
      </c>
      <c r="CX42" s="12">
        <v>12</v>
      </c>
      <c r="CY42" s="12">
        <v>1</v>
      </c>
      <c r="CZ42" s="12">
        <v>2</v>
      </c>
      <c r="DA42" s="12">
        <v>1</v>
      </c>
      <c r="DB42" s="12">
        <v>0</v>
      </c>
      <c r="DC42" s="12">
        <v>0</v>
      </c>
      <c r="DD42" s="12">
        <v>2</v>
      </c>
      <c r="DE42" s="12">
        <v>2</v>
      </c>
      <c r="DF42" s="12">
        <v>16</v>
      </c>
      <c r="DG42" s="12">
        <v>20</v>
      </c>
      <c r="DH42" s="12">
        <v>1</v>
      </c>
      <c r="DI42" s="12">
        <v>0</v>
      </c>
      <c r="DJ42" s="12">
        <v>0</v>
      </c>
      <c r="DK42" s="12">
        <v>0</v>
      </c>
      <c r="DL42" s="12">
        <v>10</v>
      </c>
      <c r="DM42" s="12">
        <v>11</v>
      </c>
      <c r="DN42" s="12">
        <v>12</v>
      </c>
      <c r="DO42" s="12">
        <v>18</v>
      </c>
      <c r="DP42" s="12">
        <v>0</v>
      </c>
      <c r="DQ42" s="12">
        <v>1</v>
      </c>
      <c r="DR42" s="12">
        <v>0</v>
      </c>
      <c r="DS42" s="12">
        <v>2</v>
      </c>
      <c r="DT42" s="12">
        <v>9</v>
      </c>
      <c r="DU42" s="12">
        <v>22</v>
      </c>
      <c r="DV42" s="12">
        <v>0</v>
      </c>
      <c r="DW42" s="12">
        <v>0</v>
      </c>
      <c r="DX42" s="12">
        <v>84</v>
      </c>
      <c r="DY42" s="12">
        <v>18</v>
      </c>
      <c r="DZ42" s="12">
        <v>35</v>
      </c>
      <c r="EA42" s="16">
        <v>0.51428571428571423</v>
      </c>
      <c r="EB42" s="12">
        <v>10</v>
      </c>
      <c r="EC42" s="12">
        <v>27</v>
      </c>
      <c r="ED42" s="16">
        <v>0.37037037037037035</v>
      </c>
      <c r="EE42" s="12">
        <v>28</v>
      </c>
      <c r="EF42" s="12">
        <v>62</v>
      </c>
      <c r="EG42" s="16">
        <v>0.45161290322580644</v>
      </c>
      <c r="EH42" s="12">
        <v>18</v>
      </c>
      <c r="EI42" s="12">
        <v>21</v>
      </c>
      <c r="EJ42" s="16">
        <v>0.8571428571428571</v>
      </c>
      <c r="EK42" s="12">
        <v>7</v>
      </c>
      <c r="EL42" s="12">
        <v>17</v>
      </c>
      <c r="EM42" s="12">
        <v>24</v>
      </c>
      <c r="EN42" s="12">
        <v>15</v>
      </c>
      <c r="EO42" s="12">
        <v>19</v>
      </c>
      <c r="EP42" s="12">
        <v>20</v>
      </c>
      <c r="EQ42" s="12">
        <v>6</v>
      </c>
      <c r="ER42" s="12">
        <v>13</v>
      </c>
      <c r="ES42" s="12">
        <v>3</v>
      </c>
      <c r="ET42" s="12">
        <v>2</v>
      </c>
      <c r="EU42" s="12">
        <v>81</v>
      </c>
      <c r="EV42" s="12">
        <v>-5</v>
      </c>
      <c r="EW42" s="12">
        <v>76</v>
      </c>
      <c r="EX42" s="12">
        <v>84</v>
      </c>
      <c r="EY42" s="12">
        <v>4</v>
      </c>
      <c r="EZ42" s="12">
        <v>4</v>
      </c>
      <c r="FA42" s="12">
        <v>7</v>
      </c>
      <c r="FB42" s="12">
        <v>3</v>
      </c>
      <c r="FC42" s="12">
        <v>7</v>
      </c>
      <c r="FD42" s="12">
        <v>1</v>
      </c>
      <c r="FE42" s="12">
        <v>0</v>
      </c>
      <c r="FF42" s="12">
        <v>2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4</v>
      </c>
      <c r="FM42" s="12">
        <v>0</v>
      </c>
      <c r="FN42" s="12">
        <v>0</v>
      </c>
      <c r="FO42" s="12">
        <v>0</v>
      </c>
      <c r="FP42" s="12">
        <v>1</v>
      </c>
      <c r="FQ42" s="12">
        <v>1</v>
      </c>
      <c r="FR42" s="12">
        <v>4</v>
      </c>
      <c r="FS42" s="12">
        <v>0</v>
      </c>
      <c r="FT42" s="12">
        <v>1</v>
      </c>
      <c r="FU42" s="12">
        <v>0</v>
      </c>
      <c r="FV42" s="12">
        <v>2</v>
      </c>
      <c r="FW42" s="12">
        <v>0</v>
      </c>
      <c r="FX42" s="12">
        <v>8</v>
      </c>
      <c r="FY42" s="12">
        <v>0</v>
      </c>
      <c r="FZ42" s="12">
        <v>1</v>
      </c>
      <c r="GA42" s="12">
        <v>0</v>
      </c>
      <c r="GB42" s="12">
        <v>0</v>
      </c>
      <c r="GC42" s="12">
        <v>0</v>
      </c>
      <c r="GD42" s="12">
        <v>0</v>
      </c>
      <c r="GE42" s="12">
        <v>2</v>
      </c>
      <c r="GF42" s="12">
        <v>15</v>
      </c>
      <c r="GG42" s="12">
        <v>16</v>
      </c>
      <c r="GH42" s="12">
        <v>0</v>
      </c>
      <c r="GI42" s="12">
        <v>3</v>
      </c>
      <c r="GJ42" s="12">
        <v>3</v>
      </c>
      <c r="GK42" s="12">
        <v>0</v>
      </c>
      <c r="GL42" s="12">
        <v>5</v>
      </c>
      <c r="GM42" s="12">
        <v>7</v>
      </c>
      <c r="GN42" s="12">
        <v>9</v>
      </c>
      <c r="GO42" s="12">
        <v>21</v>
      </c>
      <c r="GP42" s="12">
        <v>4</v>
      </c>
      <c r="GQ42" s="12">
        <v>7</v>
      </c>
      <c r="GR42" s="12">
        <v>0</v>
      </c>
      <c r="GS42" s="12">
        <v>0</v>
      </c>
      <c r="GT42" s="12">
        <v>10</v>
      </c>
      <c r="GU42" s="12">
        <v>27</v>
      </c>
      <c r="GV42" s="12">
        <v>0</v>
      </c>
      <c r="GW42" s="12">
        <v>0</v>
      </c>
      <c r="GY42" s="16"/>
    </row>
    <row r="43" spans="2:207" ht="15" customHeight="1" x14ac:dyDescent="0.2">
      <c r="B43" s="12">
        <v>3</v>
      </c>
      <c r="C43" s="12" t="s">
        <v>265</v>
      </c>
      <c r="D43" s="12" t="s">
        <v>277</v>
      </c>
      <c r="E43" s="14" t="s">
        <v>267</v>
      </c>
      <c r="F43" s="14" t="s">
        <v>279</v>
      </c>
      <c r="G43" s="15">
        <v>45216</v>
      </c>
      <c r="H43" s="15" t="s">
        <v>271</v>
      </c>
      <c r="I43" s="12" t="s">
        <v>269</v>
      </c>
      <c r="J43" s="12" t="s">
        <v>272</v>
      </c>
      <c r="K43" s="12">
        <v>200</v>
      </c>
      <c r="L43" s="12">
        <v>84</v>
      </c>
      <c r="M43" s="12">
        <v>18</v>
      </c>
      <c r="N43" s="12">
        <v>35</v>
      </c>
      <c r="O43" s="16">
        <v>0.51428571428571423</v>
      </c>
      <c r="P43" s="12">
        <v>10</v>
      </c>
      <c r="Q43" s="12">
        <v>27</v>
      </c>
      <c r="R43" s="16">
        <v>0.37037037037037035</v>
      </c>
      <c r="S43" s="12">
        <v>28</v>
      </c>
      <c r="T43" s="12">
        <v>62</v>
      </c>
      <c r="U43" s="16">
        <v>0.45161290322580644</v>
      </c>
      <c r="V43" s="12">
        <v>18</v>
      </c>
      <c r="W43" s="12">
        <v>21</v>
      </c>
      <c r="X43" s="16">
        <v>0.8571428571428571</v>
      </c>
      <c r="Y43" s="12">
        <v>7</v>
      </c>
      <c r="Z43" s="12">
        <v>17</v>
      </c>
      <c r="AA43" s="12">
        <v>24</v>
      </c>
      <c r="AB43" s="12">
        <v>15</v>
      </c>
      <c r="AC43" s="12">
        <v>13</v>
      </c>
      <c r="AD43" s="12">
        <v>6</v>
      </c>
      <c r="AE43" s="12">
        <v>3</v>
      </c>
      <c r="AF43" s="12">
        <v>2</v>
      </c>
      <c r="AG43" s="12">
        <v>19</v>
      </c>
      <c r="AH43" s="12">
        <v>20</v>
      </c>
      <c r="AI43" s="17">
        <v>81</v>
      </c>
      <c r="AJ43" s="12">
        <v>-5</v>
      </c>
      <c r="AK43" s="12">
        <v>76</v>
      </c>
      <c r="AL43" s="12">
        <v>84</v>
      </c>
      <c r="AM43" s="19">
        <v>1</v>
      </c>
      <c r="AN43" s="19">
        <v>1.1125</v>
      </c>
      <c r="AO43" s="18">
        <v>110.5263157894737</v>
      </c>
      <c r="AP43" s="18">
        <v>121.91780821917808</v>
      </c>
      <c r="AQ43" s="18">
        <v>-11.391492429704385</v>
      </c>
      <c r="AR43" s="53">
        <v>0.532258064516129</v>
      </c>
      <c r="AS43" s="53">
        <v>0.59154929577464788</v>
      </c>
      <c r="AT43" s="16">
        <v>8.3333333333333329E-2</v>
      </c>
      <c r="AU43" s="19">
        <v>1.4285714285714286</v>
      </c>
      <c r="AV43" s="16">
        <v>0.25</v>
      </c>
      <c r="AW43" s="19">
        <v>0.8571428571428571</v>
      </c>
      <c r="AX43" s="16">
        <v>8.3333333333333329E-2</v>
      </c>
      <c r="AY43" s="19">
        <v>1.1428571428571428</v>
      </c>
      <c r="AZ43" s="16">
        <v>0</v>
      </c>
      <c r="BA43" s="19" t="s">
        <v>269</v>
      </c>
      <c r="BB43" s="16">
        <v>0.32142857142857145</v>
      </c>
      <c r="BC43" s="21">
        <v>1.1111111111111112</v>
      </c>
      <c r="BD43" s="16">
        <v>0.10714285714285714</v>
      </c>
      <c r="BE43" s="16">
        <v>0.15662650602409639</v>
      </c>
      <c r="BF43" s="16">
        <v>0.3783783783783784</v>
      </c>
      <c r="BG43" s="16">
        <v>0.22222222222222221</v>
      </c>
      <c r="BH43" s="16">
        <v>0.7</v>
      </c>
      <c r="BI43" s="16">
        <v>0.33333333333333331</v>
      </c>
      <c r="BJ43" s="16">
        <v>0.18072289156626506</v>
      </c>
      <c r="BK43" s="21">
        <v>1.1538461538461537</v>
      </c>
      <c r="BL43" s="16">
        <v>0.20588235294117646</v>
      </c>
      <c r="BM43" s="16">
        <v>0.17647058823529413</v>
      </c>
      <c r="BN43" s="16">
        <v>0.23529411764705882</v>
      </c>
      <c r="BO43" s="16">
        <v>0</v>
      </c>
      <c r="BP43" s="16">
        <v>0.70833333333333337</v>
      </c>
      <c r="BQ43" s="16">
        <v>0.7</v>
      </c>
      <c r="BR43" s="16">
        <v>0.58823529411764708</v>
      </c>
      <c r="BS43" s="16">
        <v>1</v>
      </c>
      <c r="BT43" s="16">
        <v>0.41379310344827586</v>
      </c>
      <c r="BU43" s="16">
        <v>8.2191780821917804E-2</v>
      </c>
      <c r="BV43" s="16">
        <v>5.5555555555555552E-2</v>
      </c>
      <c r="BW43" s="54">
        <v>4</v>
      </c>
      <c r="BX43" s="54">
        <v>0.57894736842105265</v>
      </c>
      <c r="BY43" s="54">
        <v>0.55000000000000004</v>
      </c>
      <c r="BZ43" s="12">
        <v>4</v>
      </c>
      <c r="CA43" s="12">
        <v>7</v>
      </c>
      <c r="CB43" s="12">
        <v>3</v>
      </c>
      <c r="CC43" s="12">
        <v>7</v>
      </c>
      <c r="CD43" s="12">
        <v>1</v>
      </c>
      <c r="CE43" s="12">
        <v>0</v>
      </c>
      <c r="CF43" s="12">
        <v>2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4</v>
      </c>
      <c r="CM43" s="12">
        <v>0</v>
      </c>
      <c r="CN43" s="12">
        <v>0</v>
      </c>
      <c r="CO43" s="12">
        <v>0</v>
      </c>
      <c r="CP43" s="12">
        <v>1</v>
      </c>
      <c r="CQ43" s="12">
        <v>1</v>
      </c>
      <c r="CR43" s="12">
        <v>4</v>
      </c>
      <c r="CS43" s="12">
        <v>0</v>
      </c>
      <c r="CT43" s="12">
        <v>1</v>
      </c>
      <c r="CU43" s="12">
        <v>0</v>
      </c>
      <c r="CV43" s="12">
        <v>2</v>
      </c>
      <c r="CW43" s="12">
        <v>0</v>
      </c>
      <c r="CX43" s="12">
        <v>8</v>
      </c>
      <c r="CY43" s="12">
        <v>0</v>
      </c>
      <c r="CZ43" s="12">
        <v>1</v>
      </c>
      <c r="DA43" s="12">
        <v>0</v>
      </c>
      <c r="DB43" s="12">
        <v>0</v>
      </c>
      <c r="DC43" s="12">
        <v>0</v>
      </c>
      <c r="DD43" s="12">
        <v>0</v>
      </c>
      <c r="DE43" s="12">
        <v>2</v>
      </c>
      <c r="DF43" s="12">
        <v>15</v>
      </c>
      <c r="DG43" s="12">
        <v>16</v>
      </c>
      <c r="DH43" s="12">
        <v>0</v>
      </c>
      <c r="DI43" s="12">
        <v>3</v>
      </c>
      <c r="DJ43" s="12">
        <v>3</v>
      </c>
      <c r="DK43" s="12">
        <v>0</v>
      </c>
      <c r="DL43" s="12">
        <v>5</v>
      </c>
      <c r="DM43" s="12">
        <v>7</v>
      </c>
      <c r="DN43" s="12">
        <v>9</v>
      </c>
      <c r="DO43" s="12">
        <v>21</v>
      </c>
      <c r="DP43" s="12">
        <v>4</v>
      </c>
      <c r="DQ43" s="12">
        <v>7</v>
      </c>
      <c r="DR43" s="12">
        <v>0</v>
      </c>
      <c r="DS43" s="12">
        <v>0</v>
      </c>
      <c r="DT43" s="12">
        <v>10</v>
      </c>
      <c r="DU43" s="12">
        <v>27</v>
      </c>
      <c r="DV43" s="12">
        <v>0</v>
      </c>
      <c r="DW43" s="12">
        <v>0</v>
      </c>
      <c r="DX43" s="12">
        <v>89</v>
      </c>
      <c r="DY43" s="12">
        <v>22</v>
      </c>
      <c r="DZ43" s="12">
        <v>30</v>
      </c>
      <c r="EA43" s="16">
        <v>0.73333333333333328</v>
      </c>
      <c r="EB43" s="12">
        <v>9</v>
      </c>
      <c r="EC43" s="12">
        <v>24</v>
      </c>
      <c r="ED43" s="16">
        <v>0.375</v>
      </c>
      <c r="EE43" s="12">
        <v>31</v>
      </c>
      <c r="EF43" s="12">
        <v>54</v>
      </c>
      <c r="EG43" s="16">
        <v>0.57407407407407407</v>
      </c>
      <c r="EH43" s="12">
        <v>18</v>
      </c>
      <c r="EI43" s="12">
        <v>22</v>
      </c>
      <c r="EJ43" s="16">
        <v>0.81818181818181823</v>
      </c>
      <c r="EK43" s="12">
        <v>7</v>
      </c>
      <c r="EL43" s="12">
        <v>27</v>
      </c>
      <c r="EM43" s="12">
        <v>34</v>
      </c>
      <c r="EN43" s="12">
        <v>20</v>
      </c>
      <c r="EO43" s="12">
        <v>20</v>
      </c>
      <c r="EP43" s="12">
        <v>19</v>
      </c>
      <c r="EQ43" s="12">
        <v>7</v>
      </c>
      <c r="ER43" s="12">
        <v>16</v>
      </c>
      <c r="ES43" s="12">
        <v>2</v>
      </c>
      <c r="ET43" s="12">
        <v>3</v>
      </c>
      <c r="EU43" s="12">
        <v>105</v>
      </c>
      <c r="EV43" s="12">
        <v>5</v>
      </c>
      <c r="EW43" s="12">
        <v>73</v>
      </c>
      <c r="EX43" s="12">
        <v>80</v>
      </c>
      <c r="EY43" s="12">
        <v>5</v>
      </c>
      <c r="EZ43" s="12">
        <v>14</v>
      </c>
      <c r="FA43" s="12">
        <v>5</v>
      </c>
      <c r="FB43" s="12">
        <v>1</v>
      </c>
      <c r="FC43" s="12">
        <v>2</v>
      </c>
      <c r="FD43" s="12">
        <v>0</v>
      </c>
      <c r="FE43" s="12">
        <v>0</v>
      </c>
      <c r="FF43" s="12">
        <v>2</v>
      </c>
      <c r="FG43" s="12">
        <v>1</v>
      </c>
      <c r="FH43" s="12">
        <v>0</v>
      </c>
      <c r="FI43" s="12">
        <v>0</v>
      </c>
      <c r="FJ43" s="12">
        <v>0</v>
      </c>
      <c r="FK43" s="12">
        <v>0</v>
      </c>
      <c r="FL43" s="12">
        <v>5</v>
      </c>
      <c r="FM43" s="12">
        <v>2</v>
      </c>
      <c r="FN43" s="12">
        <v>0</v>
      </c>
      <c r="FO43" s="12">
        <v>0</v>
      </c>
      <c r="FP43" s="12">
        <v>1</v>
      </c>
      <c r="FQ43" s="12">
        <v>0</v>
      </c>
      <c r="FR43" s="12">
        <v>10</v>
      </c>
      <c r="FS43" s="12">
        <v>1</v>
      </c>
      <c r="FT43" s="12">
        <v>2</v>
      </c>
      <c r="FU43" s="12">
        <v>0</v>
      </c>
      <c r="FV43" s="12">
        <v>0</v>
      </c>
      <c r="FW43" s="12">
        <v>0</v>
      </c>
      <c r="FX43" s="12">
        <v>12</v>
      </c>
      <c r="FY43" s="12">
        <v>1</v>
      </c>
      <c r="FZ43" s="12">
        <v>2</v>
      </c>
      <c r="GA43" s="12">
        <v>1</v>
      </c>
      <c r="GB43" s="12">
        <v>0</v>
      </c>
      <c r="GC43" s="12">
        <v>0</v>
      </c>
      <c r="GD43" s="12">
        <v>1</v>
      </c>
      <c r="GE43" s="12">
        <v>1</v>
      </c>
      <c r="GF43" s="12">
        <v>16</v>
      </c>
      <c r="GG43" s="12">
        <v>20</v>
      </c>
      <c r="GH43" s="12">
        <v>1</v>
      </c>
      <c r="GI43" s="12">
        <v>0</v>
      </c>
      <c r="GJ43" s="12">
        <v>0</v>
      </c>
      <c r="GK43" s="12">
        <v>0</v>
      </c>
      <c r="GL43" s="12">
        <v>10</v>
      </c>
      <c r="GM43" s="12">
        <v>11</v>
      </c>
      <c r="GN43" s="12">
        <v>12</v>
      </c>
      <c r="GO43" s="12">
        <v>18</v>
      </c>
      <c r="GP43" s="12">
        <v>0</v>
      </c>
      <c r="GQ43" s="12">
        <v>1</v>
      </c>
      <c r="GR43" s="12">
        <v>0</v>
      </c>
      <c r="GS43" s="12">
        <v>2</v>
      </c>
      <c r="GT43" s="12">
        <v>9</v>
      </c>
      <c r="GU43" s="12">
        <v>22</v>
      </c>
      <c r="GV43" s="12">
        <v>0</v>
      </c>
      <c r="GW43" s="12">
        <v>0</v>
      </c>
      <c r="GY43" s="16"/>
    </row>
    <row r="44" spans="2:207" ht="15" customHeight="1" x14ac:dyDescent="0.2">
      <c r="B44" s="12">
        <v>3</v>
      </c>
      <c r="C44" s="12" t="s">
        <v>297</v>
      </c>
      <c r="D44" s="12" t="s">
        <v>282</v>
      </c>
      <c r="E44" s="14" t="s">
        <v>299</v>
      </c>
      <c r="F44" s="14" t="s">
        <v>284</v>
      </c>
      <c r="G44" s="15">
        <v>45216</v>
      </c>
      <c r="H44" s="15" t="s">
        <v>268</v>
      </c>
      <c r="I44" s="12" t="s">
        <v>269</v>
      </c>
      <c r="J44" s="12" t="s">
        <v>272</v>
      </c>
      <c r="K44" s="12">
        <v>200</v>
      </c>
      <c r="L44" s="12">
        <v>68</v>
      </c>
      <c r="M44" s="12">
        <v>15</v>
      </c>
      <c r="N44" s="12">
        <v>37</v>
      </c>
      <c r="O44" s="16">
        <v>0.40540540540540543</v>
      </c>
      <c r="P44" s="12">
        <v>9</v>
      </c>
      <c r="Q44" s="12">
        <v>27</v>
      </c>
      <c r="R44" s="16">
        <v>0.33333333333333331</v>
      </c>
      <c r="S44" s="12">
        <v>24</v>
      </c>
      <c r="T44" s="12">
        <v>64</v>
      </c>
      <c r="U44" s="16">
        <v>0.375</v>
      </c>
      <c r="V44" s="12">
        <v>11</v>
      </c>
      <c r="W44" s="12">
        <v>17</v>
      </c>
      <c r="X44" s="16">
        <v>0.6470588235294118</v>
      </c>
      <c r="Y44" s="12">
        <v>12</v>
      </c>
      <c r="Z44" s="12">
        <v>21</v>
      </c>
      <c r="AA44" s="12">
        <v>33</v>
      </c>
      <c r="AB44" s="12">
        <v>15</v>
      </c>
      <c r="AC44" s="12">
        <v>14</v>
      </c>
      <c r="AD44" s="12">
        <v>7</v>
      </c>
      <c r="AE44" s="12">
        <v>2</v>
      </c>
      <c r="AF44" s="12">
        <v>5</v>
      </c>
      <c r="AG44" s="12">
        <v>20</v>
      </c>
      <c r="AH44" s="12">
        <v>18</v>
      </c>
      <c r="AI44" s="17">
        <v>58</v>
      </c>
      <c r="AJ44" s="12">
        <v>-8</v>
      </c>
      <c r="AK44" s="12">
        <v>72</v>
      </c>
      <c r="AL44" s="12">
        <v>85</v>
      </c>
      <c r="AM44" s="19">
        <v>0.8</v>
      </c>
      <c r="AN44" s="19">
        <v>0.90476190476190477</v>
      </c>
      <c r="AO44" s="18">
        <v>94.444444444444443</v>
      </c>
      <c r="AP44" s="18">
        <v>108.57142857142857</v>
      </c>
      <c r="AQ44" s="18">
        <v>-14.126984126984127</v>
      </c>
      <c r="AR44" s="53">
        <v>0.4453125</v>
      </c>
      <c r="AS44" s="53">
        <v>0.47887323943661969</v>
      </c>
      <c r="AT44" s="16">
        <v>4.7058823529411764E-2</v>
      </c>
      <c r="AU44" s="19">
        <v>1</v>
      </c>
      <c r="AV44" s="16">
        <v>0.30588235294117649</v>
      </c>
      <c r="AW44" s="19">
        <v>0.84615384615384615</v>
      </c>
      <c r="AX44" s="16">
        <v>8.2352941176470587E-2</v>
      </c>
      <c r="AY44" s="19">
        <v>0.5714285714285714</v>
      </c>
      <c r="AZ44" s="16">
        <v>0</v>
      </c>
      <c r="BA44" s="19" t="s">
        <v>269</v>
      </c>
      <c r="BB44" s="16">
        <v>0.29411764705882354</v>
      </c>
      <c r="BC44" s="21">
        <v>1.08</v>
      </c>
      <c r="BD44" s="16">
        <v>8.2352941176470587E-2</v>
      </c>
      <c r="BE44" s="16">
        <v>0.16666666666666666</v>
      </c>
      <c r="BF44" s="16">
        <v>0.4838709677419355</v>
      </c>
      <c r="BG44" s="16">
        <v>0.46666666666666667</v>
      </c>
      <c r="BH44" s="16">
        <v>0.66666666666666663</v>
      </c>
      <c r="BI44" s="16">
        <v>0.2857142857142857</v>
      </c>
      <c r="BJ44" s="16">
        <v>0.17857142857142858</v>
      </c>
      <c r="BK44" s="21">
        <v>1.0714285714285714</v>
      </c>
      <c r="BL44" s="16">
        <v>0.29268292682926828</v>
      </c>
      <c r="BM44" s="16">
        <v>0.34615384615384615</v>
      </c>
      <c r="BN44" s="16">
        <v>0.47368421052631576</v>
      </c>
      <c r="BO44" s="16">
        <v>0</v>
      </c>
      <c r="BP44" s="16">
        <v>0.6</v>
      </c>
      <c r="BQ44" s="16">
        <v>0.54545454545454541</v>
      </c>
      <c r="BR44" s="16">
        <v>0.5714285714285714</v>
      </c>
      <c r="BS44" s="16" t="s">
        <v>269</v>
      </c>
      <c r="BT44" s="16">
        <v>0.43421052631578949</v>
      </c>
      <c r="BU44" s="16">
        <v>0.1</v>
      </c>
      <c r="BV44" s="16">
        <v>3.125E-2</v>
      </c>
      <c r="BW44" s="54">
        <v>3</v>
      </c>
      <c r="BX44" s="54">
        <v>0.45</v>
      </c>
      <c r="BY44" s="54">
        <v>0.5</v>
      </c>
      <c r="BZ44" s="12">
        <v>7</v>
      </c>
      <c r="CA44" s="12">
        <v>6</v>
      </c>
      <c r="CB44" s="12">
        <v>2</v>
      </c>
      <c r="CC44" s="12">
        <v>5</v>
      </c>
      <c r="CD44" s="12">
        <v>0</v>
      </c>
      <c r="CE44" s="12">
        <v>0</v>
      </c>
      <c r="CF44" s="12">
        <v>4</v>
      </c>
      <c r="CG44" s="12">
        <v>2</v>
      </c>
      <c r="CH44" s="12">
        <v>2</v>
      </c>
      <c r="CI44" s="12">
        <v>1</v>
      </c>
      <c r="CJ44" s="12">
        <v>0</v>
      </c>
      <c r="CK44" s="12">
        <v>0</v>
      </c>
      <c r="CL44" s="12">
        <v>6</v>
      </c>
      <c r="CM44" s="12">
        <v>3</v>
      </c>
      <c r="CN44" s="12">
        <v>0</v>
      </c>
      <c r="CO44" s="12">
        <v>0</v>
      </c>
      <c r="CP44" s="12">
        <v>0</v>
      </c>
      <c r="CQ44" s="12">
        <v>0</v>
      </c>
      <c r="CR44" s="12">
        <v>4</v>
      </c>
      <c r="CS44" s="12">
        <v>0</v>
      </c>
      <c r="CT44" s="12">
        <v>2</v>
      </c>
      <c r="CU44" s="12">
        <v>0</v>
      </c>
      <c r="CV44" s="12">
        <v>0</v>
      </c>
      <c r="CW44" s="12">
        <v>0</v>
      </c>
      <c r="CX44" s="12">
        <v>14</v>
      </c>
      <c r="CY44" s="12">
        <v>2</v>
      </c>
      <c r="CZ44" s="12">
        <v>0</v>
      </c>
      <c r="DA44" s="12">
        <v>0</v>
      </c>
      <c r="DB44" s="12">
        <v>0</v>
      </c>
      <c r="DC44" s="12">
        <v>0</v>
      </c>
      <c r="DD44" s="12">
        <v>1</v>
      </c>
      <c r="DE44" s="12">
        <v>2</v>
      </c>
      <c r="DF44" s="12">
        <v>8</v>
      </c>
      <c r="DG44" s="12">
        <v>12</v>
      </c>
      <c r="DH44" s="12">
        <v>0</v>
      </c>
      <c r="DI44" s="12">
        <v>2</v>
      </c>
      <c r="DJ44" s="12">
        <v>3</v>
      </c>
      <c r="DK44" s="12">
        <v>0</v>
      </c>
      <c r="DL44" s="12">
        <v>2</v>
      </c>
      <c r="DM44" s="12">
        <v>4</v>
      </c>
      <c r="DN44" s="12">
        <v>11</v>
      </c>
      <c r="DO44" s="12">
        <v>26</v>
      </c>
      <c r="DP44" s="12">
        <v>2</v>
      </c>
      <c r="DQ44" s="12">
        <v>7</v>
      </c>
      <c r="DR44" s="12">
        <v>0</v>
      </c>
      <c r="DS44" s="12">
        <v>0</v>
      </c>
      <c r="DT44" s="12">
        <v>9</v>
      </c>
      <c r="DU44" s="12">
        <v>25</v>
      </c>
      <c r="DV44" s="12">
        <v>0</v>
      </c>
      <c r="DW44" s="12">
        <v>2</v>
      </c>
      <c r="DX44" s="12">
        <v>76</v>
      </c>
      <c r="DY44" s="12">
        <v>20</v>
      </c>
      <c r="DZ44" s="12">
        <v>30</v>
      </c>
      <c r="EA44" s="16">
        <v>0.66666666666666663</v>
      </c>
      <c r="EB44" s="12">
        <v>8</v>
      </c>
      <c r="EC44" s="12">
        <v>34</v>
      </c>
      <c r="ED44" s="16">
        <v>0.23529411764705882</v>
      </c>
      <c r="EE44" s="12">
        <v>28</v>
      </c>
      <c r="EF44" s="12">
        <v>64</v>
      </c>
      <c r="EG44" s="16">
        <v>0.4375</v>
      </c>
      <c r="EH44" s="12">
        <v>12</v>
      </c>
      <c r="EI44" s="12">
        <v>15</v>
      </c>
      <c r="EJ44" s="16">
        <v>0.8</v>
      </c>
      <c r="EK44" s="12">
        <v>14</v>
      </c>
      <c r="EL44" s="12">
        <v>29</v>
      </c>
      <c r="EM44" s="12">
        <v>43</v>
      </c>
      <c r="EN44" s="12">
        <v>17</v>
      </c>
      <c r="EO44" s="12">
        <v>18</v>
      </c>
      <c r="EP44" s="12">
        <v>20</v>
      </c>
      <c r="EQ44" s="12">
        <v>7</v>
      </c>
      <c r="ER44" s="12">
        <v>14</v>
      </c>
      <c r="ES44" s="12">
        <v>5</v>
      </c>
      <c r="ET44" s="12">
        <v>2</v>
      </c>
      <c r="EU44" s="12">
        <v>95</v>
      </c>
      <c r="EV44" s="12">
        <v>8</v>
      </c>
      <c r="EW44" s="12">
        <v>70</v>
      </c>
      <c r="EX44" s="12">
        <v>84</v>
      </c>
      <c r="EY44" s="12">
        <v>8</v>
      </c>
      <c r="EZ44" s="12">
        <v>9</v>
      </c>
      <c r="FA44" s="12">
        <v>7</v>
      </c>
      <c r="FB44" s="12">
        <v>1</v>
      </c>
      <c r="FC44" s="12">
        <v>2</v>
      </c>
      <c r="FD44" s="12">
        <v>0</v>
      </c>
      <c r="FE44" s="12">
        <v>0</v>
      </c>
      <c r="FF44" s="12">
        <v>1</v>
      </c>
      <c r="FG44" s="12">
        <v>1</v>
      </c>
      <c r="FH44" s="12">
        <v>3</v>
      </c>
      <c r="FI44" s="12">
        <v>0</v>
      </c>
      <c r="FJ44" s="12">
        <v>0</v>
      </c>
      <c r="FK44" s="12">
        <v>0</v>
      </c>
      <c r="FL44" s="12">
        <v>10</v>
      </c>
      <c r="FM44" s="12">
        <v>2</v>
      </c>
      <c r="FN44" s="12">
        <v>0</v>
      </c>
      <c r="FO44" s="12">
        <v>0</v>
      </c>
      <c r="FP44" s="12">
        <v>2</v>
      </c>
      <c r="FQ44" s="12">
        <v>0</v>
      </c>
      <c r="FR44" s="12">
        <v>11</v>
      </c>
      <c r="FS44" s="12">
        <v>1</v>
      </c>
      <c r="FT44" s="12">
        <v>3</v>
      </c>
      <c r="FU44" s="12">
        <v>0</v>
      </c>
      <c r="FV44" s="12">
        <v>0</v>
      </c>
      <c r="FW44" s="12">
        <v>0</v>
      </c>
      <c r="FX44" s="12">
        <v>10</v>
      </c>
      <c r="FY44" s="12">
        <v>0</v>
      </c>
      <c r="FZ44" s="12">
        <v>3</v>
      </c>
      <c r="GA44" s="12">
        <v>0</v>
      </c>
      <c r="GB44" s="12">
        <v>0</v>
      </c>
      <c r="GC44" s="12">
        <v>0</v>
      </c>
      <c r="GD44" s="12">
        <v>2</v>
      </c>
      <c r="GE44" s="12">
        <v>3</v>
      </c>
      <c r="GF44" s="12">
        <v>10</v>
      </c>
      <c r="GG44" s="12">
        <v>12</v>
      </c>
      <c r="GH44" s="12">
        <v>0</v>
      </c>
      <c r="GI44" s="12">
        <v>0</v>
      </c>
      <c r="GJ44" s="12">
        <v>0</v>
      </c>
      <c r="GK44" s="12">
        <v>0</v>
      </c>
      <c r="GL44" s="12">
        <v>4</v>
      </c>
      <c r="GM44" s="12">
        <v>4</v>
      </c>
      <c r="GN44" s="12">
        <v>13</v>
      </c>
      <c r="GO44" s="12">
        <v>18</v>
      </c>
      <c r="GP44" s="12">
        <v>3</v>
      </c>
      <c r="GQ44" s="12">
        <v>8</v>
      </c>
      <c r="GR44" s="12">
        <v>0</v>
      </c>
      <c r="GS44" s="12">
        <v>0</v>
      </c>
      <c r="GT44" s="12">
        <v>8</v>
      </c>
      <c r="GU44" s="12">
        <v>33</v>
      </c>
      <c r="GV44" s="12">
        <v>0</v>
      </c>
      <c r="GW44" s="12">
        <v>1</v>
      </c>
      <c r="GY44" s="16"/>
    </row>
    <row r="45" spans="2:207" ht="15" customHeight="1" x14ac:dyDescent="0.2">
      <c r="B45" s="12">
        <v>3</v>
      </c>
      <c r="C45" s="12" t="s">
        <v>282</v>
      </c>
      <c r="D45" s="12" t="s">
        <v>297</v>
      </c>
      <c r="E45" s="14" t="s">
        <v>284</v>
      </c>
      <c r="F45" s="14" t="s">
        <v>299</v>
      </c>
      <c r="G45" s="15">
        <v>45216</v>
      </c>
      <c r="H45" s="15" t="s">
        <v>271</v>
      </c>
      <c r="I45" s="12" t="s">
        <v>269</v>
      </c>
      <c r="J45" s="12" t="s">
        <v>270</v>
      </c>
      <c r="K45" s="12">
        <v>200</v>
      </c>
      <c r="L45" s="12">
        <v>76</v>
      </c>
      <c r="M45" s="12">
        <v>20</v>
      </c>
      <c r="N45" s="12">
        <v>30</v>
      </c>
      <c r="O45" s="16">
        <v>0.66666666666666663</v>
      </c>
      <c r="P45" s="12">
        <v>8</v>
      </c>
      <c r="Q45" s="12">
        <v>34</v>
      </c>
      <c r="R45" s="16">
        <v>0.23529411764705882</v>
      </c>
      <c r="S45" s="12">
        <v>28</v>
      </c>
      <c r="T45" s="12">
        <v>64</v>
      </c>
      <c r="U45" s="16">
        <v>0.4375</v>
      </c>
      <c r="V45" s="12">
        <v>12</v>
      </c>
      <c r="W45" s="12">
        <v>15</v>
      </c>
      <c r="X45" s="16">
        <v>0.8</v>
      </c>
      <c r="Y45" s="12">
        <v>14</v>
      </c>
      <c r="Z45" s="12">
        <v>29</v>
      </c>
      <c r="AA45" s="12">
        <v>43</v>
      </c>
      <c r="AB45" s="12">
        <v>17</v>
      </c>
      <c r="AC45" s="12">
        <v>14</v>
      </c>
      <c r="AD45" s="12">
        <v>7</v>
      </c>
      <c r="AE45" s="12">
        <v>5</v>
      </c>
      <c r="AF45" s="12">
        <v>2</v>
      </c>
      <c r="AG45" s="12">
        <v>18</v>
      </c>
      <c r="AH45" s="12">
        <v>20</v>
      </c>
      <c r="AI45" s="17">
        <v>95</v>
      </c>
      <c r="AJ45" s="12">
        <v>8</v>
      </c>
      <c r="AK45" s="12">
        <v>70</v>
      </c>
      <c r="AL45" s="12">
        <v>84</v>
      </c>
      <c r="AM45" s="19">
        <v>0.90476190476190477</v>
      </c>
      <c r="AN45" s="19">
        <v>0.8</v>
      </c>
      <c r="AO45" s="18">
        <v>108.57142857142857</v>
      </c>
      <c r="AP45" s="18">
        <v>94.444444444444443</v>
      </c>
      <c r="AQ45" s="18">
        <v>14.126984126984127</v>
      </c>
      <c r="AR45" s="53">
        <v>0.5</v>
      </c>
      <c r="AS45" s="53">
        <v>0.54285714285714282</v>
      </c>
      <c r="AT45" s="16">
        <v>4.7619047619047616E-2</v>
      </c>
      <c r="AU45" s="19">
        <v>2</v>
      </c>
      <c r="AV45" s="16">
        <v>0.21428571428571427</v>
      </c>
      <c r="AW45" s="19">
        <v>1.4444444444444444</v>
      </c>
      <c r="AX45" s="16">
        <v>9.5238095238095233E-2</v>
      </c>
      <c r="AY45" s="19">
        <v>0.75</v>
      </c>
      <c r="AZ45" s="16">
        <v>0</v>
      </c>
      <c r="BA45" s="19" t="s">
        <v>269</v>
      </c>
      <c r="BB45" s="16">
        <v>0.39285714285714285</v>
      </c>
      <c r="BC45" s="21">
        <v>0.72727272727272729</v>
      </c>
      <c r="BD45" s="16">
        <v>7.1428571428571425E-2</v>
      </c>
      <c r="BE45" s="16">
        <v>0.16666666666666666</v>
      </c>
      <c r="BF45" s="16">
        <v>0.5</v>
      </c>
      <c r="BG45" s="16">
        <v>0.45</v>
      </c>
      <c r="BH45" s="16">
        <v>0.875</v>
      </c>
      <c r="BI45" s="16">
        <v>0.16666666666666666</v>
      </c>
      <c r="BJ45" s="16">
        <v>0.20238095238095238</v>
      </c>
      <c r="BK45" s="21">
        <v>1.2142857142857142</v>
      </c>
      <c r="BL45" s="16">
        <v>0.4</v>
      </c>
      <c r="BM45" s="16">
        <v>0.45454545454545453</v>
      </c>
      <c r="BN45" s="16">
        <v>0.42857142857142855</v>
      </c>
      <c r="BO45" s="16" t="s">
        <v>269</v>
      </c>
      <c r="BP45" s="16">
        <v>0.70731707317073167</v>
      </c>
      <c r="BQ45" s="16">
        <v>0.65384615384615385</v>
      </c>
      <c r="BR45" s="16">
        <v>0.52631578947368418</v>
      </c>
      <c r="BS45" s="16">
        <v>1</v>
      </c>
      <c r="BT45" s="16">
        <v>0.56578947368421051</v>
      </c>
      <c r="BU45" s="16">
        <v>9.7222222222222224E-2</v>
      </c>
      <c r="BV45" s="16">
        <v>7.8125E-2</v>
      </c>
      <c r="BW45" s="54">
        <v>8</v>
      </c>
      <c r="BX45" s="54">
        <v>0.5</v>
      </c>
      <c r="BY45" s="54">
        <v>0.45</v>
      </c>
      <c r="BZ45" s="12">
        <v>9</v>
      </c>
      <c r="CA45" s="12">
        <v>7</v>
      </c>
      <c r="CB45" s="12">
        <v>1</v>
      </c>
      <c r="CC45" s="12">
        <v>2</v>
      </c>
      <c r="CD45" s="12">
        <v>0</v>
      </c>
      <c r="CE45" s="12">
        <v>0</v>
      </c>
      <c r="CF45" s="12">
        <v>1</v>
      </c>
      <c r="CG45" s="12">
        <v>1</v>
      </c>
      <c r="CH45" s="12">
        <v>3</v>
      </c>
      <c r="CI45" s="12">
        <v>0</v>
      </c>
      <c r="CJ45" s="12">
        <v>0</v>
      </c>
      <c r="CK45" s="12">
        <v>0</v>
      </c>
      <c r="CL45" s="12">
        <v>10</v>
      </c>
      <c r="CM45" s="12">
        <v>2</v>
      </c>
      <c r="CN45" s="12">
        <v>0</v>
      </c>
      <c r="CO45" s="12">
        <v>0</v>
      </c>
      <c r="CP45" s="12">
        <v>2</v>
      </c>
      <c r="CQ45" s="12">
        <v>0</v>
      </c>
      <c r="CR45" s="12">
        <v>11</v>
      </c>
      <c r="CS45" s="12">
        <v>1</v>
      </c>
      <c r="CT45" s="12">
        <v>3</v>
      </c>
      <c r="CU45" s="12">
        <v>0</v>
      </c>
      <c r="CV45" s="12">
        <v>0</v>
      </c>
      <c r="CW45" s="12">
        <v>0</v>
      </c>
      <c r="CX45" s="12">
        <v>10</v>
      </c>
      <c r="CY45" s="12">
        <v>0</v>
      </c>
      <c r="CZ45" s="12">
        <v>3</v>
      </c>
      <c r="DA45" s="12">
        <v>0</v>
      </c>
      <c r="DB45" s="12">
        <v>0</v>
      </c>
      <c r="DC45" s="12">
        <v>0</v>
      </c>
      <c r="DD45" s="12">
        <v>2</v>
      </c>
      <c r="DE45" s="12">
        <v>3</v>
      </c>
      <c r="DF45" s="12">
        <v>10</v>
      </c>
      <c r="DG45" s="12">
        <v>12</v>
      </c>
      <c r="DH45" s="12">
        <v>0</v>
      </c>
      <c r="DI45" s="12">
        <v>0</v>
      </c>
      <c r="DJ45" s="12">
        <v>0</v>
      </c>
      <c r="DK45" s="12">
        <v>0</v>
      </c>
      <c r="DL45" s="12">
        <v>4</v>
      </c>
      <c r="DM45" s="12">
        <v>4</v>
      </c>
      <c r="DN45" s="12">
        <v>13</v>
      </c>
      <c r="DO45" s="12">
        <v>18</v>
      </c>
      <c r="DP45" s="12">
        <v>3</v>
      </c>
      <c r="DQ45" s="12">
        <v>8</v>
      </c>
      <c r="DR45" s="12">
        <v>0</v>
      </c>
      <c r="DS45" s="12">
        <v>0</v>
      </c>
      <c r="DT45" s="12">
        <v>8</v>
      </c>
      <c r="DU45" s="12">
        <v>33</v>
      </c>
      <c r="DV45" s="12">
        <v>0</v>
      </c>
      <c r="DW45" s="12">
        <v>1</v>
      </c>
      <c r="DX45" s="12">
        <v>68</v>
      </c>
      <c r="DY45" s="12">
        <v>15</v>
      </c>
      <c r="DZ45" s="12">
        <v>37</v>
      </c>
      <c r="EA45" s="16">
        <v>0.40540540540540543</v>
      </c>
      <c r="EB45" s="12">
        <v>9</v>
      </c>
      <c r="EC45" s="12">
        <v>27</v>
      </c>
      <c r="ED45" s="16">
        <v>0.33333333333333331</v>
      </c>
      <c r="EE45" s="12">
        <v>24</v>
      </c>
      <c r="EF45" s="12">
        <v>64</v>
      </c>
      <c r="EG45" s="16">
        <v>0.375</v>
      </c>
      <c r="EH45" s="12">
        <v>11</v>
      </c>
      <c r="EI45" s="12">
        <v>17</v>
      </c>
      <c r="EJ45" s="16">
        <v>0.6470588235294118</v>
      </c>
      <c r="EK45" s="12">
        <v>12</v>
      </c>
      <c r="EL45" s="12">
        <v>21</v>
      </c>
      <c r="EM45" s="12">
        <v>33</v>
      </c>
      <c r="EN45" s="12">
        <v>15</v>
      </c>
      <c r="EO45" s="12">
        <v>20</v>
      </c>
      <c r="EP45" s="12">
        <v>18</v>
      </c>
      <c r="EQ45" s="12">
        <v>7</v>
      </c>
      <c r="ER45" s="12">
        <v>14</v>
      </c>
      <c r="ES45" s="12">
        <v>2</v>
      </c>
      <c r="ET45" s="12">
        <v>5</v>
      </c>
      <c r="EU45" s="12">
        <v>58</v>
      </c>
      <c r="EV45" s="12">
        <v>-8</v>
      </c>
      <c r="EW45" s="12">
        <v>72</v>
      </c>
      <c r="EX45" s="12">
        <v>85</v>
      </c>
      <c r="EY45" s="12">
        <v>3</v>
      </c>
      <c r="EZ45" s="12">
        <v>7</v>
      </c>
      <c r="FA45" s="12">
        <v>6</v>
      </c>
      <c r="FB45" s="12">
        <v>2</v>
      </c>
      <c r="FC45" s="12">
        <v>5</v>
      </c>
      <c r="FD45" s="12">
        <v>0</v>
      </c>
      <c r="FE45" s="12">
        <v>0</v>
      </c>
      <c r="FF45" s="12">
        <v>4</v>
      </c>
      <c r="FG45" s="12">
        <v>2</v>
      </c>
      <c r="FH45" s="12">
        <v>2</v>
      </c>
      <c r="FI45" s="12">
        <v>1</v>
      </c>
      <c r="FJ45" s="12">
        <v>0</v>
      </c>
      <c r="FK45" s="12">
        <v>0</v>
      </c>
      <c r="FL45" s="12">
        <v>6</v>
      </c>
      <c r="FM45" s="12">
        <v>3</v>
      </c>
      <c r="FN45" s="12">
        <v>0</v>
      </c>
      <c r="FO45" s="12">
        <v>0</v>
      </c>
      <c r="FP45" s="12">
        <v>0</v>
      </c>
      <c r="FQ45" s="12">
        <v>0</v>
      </c>
      <c r="FR45" s="12">
        <v>4</v>
      </c>
      <c r="FS45" s="12">
        <v>0</v>
      </c>
      <c r="FT45" s="12">
        <v>2</v>
      </c>
      <c r="FU45" s="12">
        <v>0</v>
      </c>
      <c r="FV45" s="12">
        <v>0</v>
      </c>
      <c r="FW45" s="12">
        <v>0</v>
      </c>
      <c r="FX45" s="12">
        <v>14</v>
      </c>
      <c r="FY45" s="12">
        <v>2</v>
      </c>
      <c r="FZ45" s="12">
        <v>0</v>
      </c>
      <c r="GA45" s="12">
        <v>0</v>
      </c>
      <c r="GB45" s="12">
        <v>0</v>
      </c>
      <c r="GC45" s="12">
        <v>0</v>
      </c>
      <c r="GD45" s="12">
        <v>1</v>
      </c>
      <c r="GE45" s="12">
        <v>2</v>
      </c>
      <c r="GF45" s="12">
        <v>8</v>
      </c>
      <c r="GG45" s="12">
        <v>12</v>
      </c>
      <c r="GH45" s="12">
        <v>0</v>
      </c>
      <c r="GI45" s="12">
        <v>2</v>
      </c>
      <c r="GJ45" s="12">
        <v>3</v>
      </c>
      <c r="GK45" s="12">
        <v>0</v>
      </c>
      <c r="GL45" s="12">
        <v>2</v>
      </c>
      <c r="GM45" s="12">
        <v>4</v>
      </c>
      <c r="GN45" s="12">
        <v>11</v>
      </c>
      <c r="GO45" s="12">
        <v>26</v>
      </c>
      <c r="GP45" s="12">
        <v>2</v>
      </c>
      <c r="GQ45" s="12">
        <v>7</v>
      </c>
      <c r="GR45" s="12">
        <v>0</v>
      </c>
      <c r="GS45" s="12">
        <v>0</v>
      </c>
      <c r="GT45" s="12">
        <v>9</v>
      </c>
      <c r="GU45" s="12">
        <v>25</v>
      </c>
      <c r="GV45" s="12">
        <v>0</v>
      </c>
      <c r="GW45" s="12">
        <v>2</v>
      </c>
      <c r="GY45" s="16"/>
    </row>
    <row r="46" spans="2:207" ht="15" customHeight="1" x14ac:dyDescent="0.2">
      <c r="B46" s="12">
        <v>3</v>
      </c>
      <c r="C46" s="12" t="s">
        <v>289</v>
      </c>
      <c r="D46" s="12" t="s">
        <v>293</v>
      </c>
      <c r="E46" s="14" t="s">
        <v>291</v>
      </c>
      <c r="F46" s="14" t="s">
        <v>295</v>
      </c>
      <c r="G46" s="15">
        <v>45216</v>
      </c>
      <c r="H46" s="15" t="s">
        <v>268</v>
      </c>
      <c r="I46" s="12" t="s">
        <v>269</v>
      </c>
      <c r="J46" s="12" t="s">
        <v>270</v>
      </c>
      <c r="K46" s="12">
        <v>200</v>
      </c>
      <c r="L46" s="12">
        <v>65</v>
      </c>
      <c r="M46" s="12">
        <v>16</v>
      </c>
      <c r="N46" s="12">
        <v>27</v>
      </c>
      <c r="O46" s="16">
        <v>0.59259259259259256</v>
      </c>
      <c r="P46" s="12">
        <v>8</v>
      </c>
      <c r="Q46" s="12">
        <v>24</v>
      </c>
      <c r="R46" s="16">
        <v>0.33333333333333331</v>
      </c>
      <c r="S46" s="12">
        <v>24</v>
      </c>
      <c r="T46" s="12">
        <v>51</v>
      </c>
      <c r="U46" s="16">
        <v>0.47058823529411764</v>
      </c>
      <c r="V46" s="12">
        <v>9</v>
      </c>
      <c r="W46" s="12">
        <v>11</v>
      </c>
      <c r="X46" s="16">
        <v>0.81818181818181823</v>
      </c>
      <c r="Y46" s="12">
        <v>7</v>
      </c>
      <c r="Z46" s="12">
        <v>22</v>
      </c>
      <c r="AA46" s="12">
        <v>29</v>
      </c>
      <c r="AB46" s="12">
        <v>14</v>
      </c>
      <c r="AC46" s="12">
        <v>14</v>
      </c>
      <c r="AD46" s="12">
        <v>7</v>
      </c>
      <c r="AE46" s="12">
        <v>0</v>
      </c>
      <c r="AF46" s="12">
        <v>2</v>
      </c>
      <c r="AG46" s="12">
        <v>21</v>
      </c>
      <c r="AH46" s="12">
        <v>16</v>
      </c>
      <c r="AI46" s="17">
        <v>65</v>
      </c>
      <c r="AJ46" s="12">
        <v>12</v>
      </c>
      <c r="AK46" s="12">
        <v>62</v>
      </c>
      <c r="AL46" s="12">
        <v>69</v>
      </c>
      <c r="AM46" s="19">
        <v>0.94202898550724634</v>
      </c>
      <c r="AN46" s="19">
        <v>0.72602739726027399</v>
      </c>
      <c r="AO46" s="18">
        <v>104.83870967741935</v>
      </c>
      <c r="AP46" s="18">
        <v>85.483870967741936</v>
      </c>
      <c r="AQ46" s="18">
        <v>19.354838709677409</v>
      </c>
      <c r="AR46" s="53">
        <v>0.5490196078431373</v>
      </c>
      <c r="AS46" s="53">
        <v>0.59090909090909094</v>
      </c>
      <c r="AT46" s="16">
        <v>0.10144927536231885</v>
      </c>
      <c r="AU46" s="19">
        <v>2</v>
      </c>
      <c r="AV46" s="16">
        <v>0.15942028985507245</v>
      </c>
      <c r="AW46" s="19">
        <v>1.0909090909090908</v>
      </c>
      <c r="AX46" s="16">
        <v>0.13043478260869565</v>
      </c>
      <c r="AY46" s="19">
        <v>0.66666666666666663</v>
      </c>
      <c r="AZ46" s="16">
        <v>2.8985507246376812E-2</v>
      </c>
      <c r="BA46" s="19">
        <v>0</v>
      </c>
      <c r="BB46" s="16">
        <v>0.3188405797101449</v>
      </c>
      <c r="BC46" s="21">
        <v>1.0909090909090908</v>
      </c>
      <c r="BD46" s="16">
        <v>5.7971014492753624E-2</v>
      </c>
      <c r="BE46" s="16">
        <v>0.20289855072463769</v>
      </c>
      <c r="BF46" s="16">
        <v>0.5</v>
      </c>
      <c r="BG46" s="16">
        <v>0.4375</v>
      </c>
      <c r="BH46" s="16">
        <v>0.75</v>
      </c>
      <c r="BI46" s="16">
        <v>0.25</v>
      </c>
      <c r="BJ46" s="16">
        <v>0.20289855072463769</v>
      </c>
      <c r="BK46" s="21">
        <v>1</v>
      </c>
      <c r="BL46" s="16">
        <v>0.25925925925925924</v>
      </c>
      <c r="BM46" s="16">
        <v>0.23076923076923078</v>
      </c>
      <c r="BN46" s="16">
        <v>0.3125</v>
      </c>
      <c r="BO46" s="16" t="s">
        <v>269</v>
      </c>
      <c r="BP46" s="16">
        <v>0.66666666666666663</v>
      </c>
      <c r="BQ46" s="16">
        <v>0.75</v>
      </c>
      <c r="BR46" s="16">
        <v>0.5625</v>
      </c>
      <c r="BS46" s="16" t="s">
        <v>269</v>
      </c>
      <c r="BT46" s="16">
        <v>0.48333333333333334</v>
      </c>
      <c r="BU46" s="16">
        <v>0.11290322580645161</v>
      </c>
      <c r="BV46" s="16">
        <v>0</v>
      </c>
      <c r="BW46" s="54">
        <v>7</v>
      </c>
      <c r="BX46" s="54">
        <v>0.2857142857142857</v>
      </c>
      <c r="BY46" s="54">
        <v>0.3125</v>
      </c>
      <c r="BZ46" s="12">
        <v>7</v>
      </c>
      <c r="CA46" s="12">
        <v>6</v>
      </c>
      <c r="CB46" s="12">
        <v>1</v>
      </c>
      <c r="CC46" s="12">
        <v>2</v>
      </c>
      <c r="CD46" s="12">
        <v>0</v>
      </c>
      <c r="CE46" s="12">
        <v>0</v>
      </c>
      <c r="CF46" s="12">
        <v>1</v>
      </c>
      <c r="CG46" s="12">
        <v>0</v>
      </c>
      <c r="CH46" s="12">
        <v>1</v>
      </c>
      <c r="CI46" s="12">
        <v>1</v>
      </c>
      <c r="CJ46" s="12">
        <v>0</v>
      </c>
      <c r="CK46" s="12">
        <v>0</v>
      </c>
      <c r="CL46" s="12">
        <v>5</v>
      </c>
      <c r="CM46" s="12">
        <v>0</v>
      </c>
      <c r="CN46" s="12">
        <v>0</v>
      </c>
      <c r="CO46" s="12">
        <v>0</v>
      </c>
      <c r="CP46" s="12">
        <v>4</v>
      </c>
      <c r="CQ46" s="12">
        <v>1</v>
      </c>
      <c r="CR46" s="12">
        <v>10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8</v>
      </c>
      <c r="CY46" s="12">
        <v>1</v>
      </c>
      <c r="CZ46" s="12">
        <v>0</v>
      </c>
      <c r="DA46" s="12">
        <v>0</v>
      </c>
      <c r="DB46" s="12">
        <v>1</v>
      </c>
      <c r="DC46" s="12">
        <v>2</v>
      </c>
      <c r="DD46" s="12">
        <v>1</v>
      </c>
      <c r="DE46" s="12">
        <v>1</v>
      </c>
      <c r="DF46" s="12">
        <v>7</v>
      </c>
      <c r="DG46" s="12">
        <v>8</v>
      </c>
      <c r="DH46" s="12">
        <v>0</v>
      </c>
      <c r="DI46" s="12">
        <v>0</v>
      </c>
      <c r="DJ46" s="12">
        <v>0</v>
      </c>
      <c r="DK46" s="12">
        <v>0</v>
      </c>
      <c r="DL46" s="12">
        <v>7</v>
      </c>
      <c r="DM46" s="12">
        <v>7</v>
      </c>
      <c r="DN46" s="12">
        <v>6</v>
      </c>
      <c r="DO46" s="12">
        <v>11</v>
      </c>
      <c r="DP46" s="12">
        <v>3</v>
      </c>
      <c r="DQ46" s="12">
        <v>9</v>
      </c>
      <c r="DR46" s="12">
        <v>0</v>
      </c>
      <c r="DS46" s="12">
        <v>2</v>
      </c>
      <c r="DT46" s="12">
        <v>8</v>
      </c>
      <c r="DU46" s="12">
        <v>22</v>
      </c>
      <c r="DV46" s="12">
        <v>0</v>
      </c>
      <c r="DW46" s="12">
        <v>0</v>
      </c>
      <c r="DX46" s="12">
        <v>53</v>
      </c>
      <c r="DY46" s="12">
        <v>14</v>
      </c>
      <c r="DZ46" s="12">
        <v>34</v>
      </c>
      <c r="EA46" s="16">
        <v>0.41176470588235292</v>
      </c>
      <c r="EB46" s="12">
        <v>5</v>
      </c>
      <c r="EC46" s="12">
        <v>19</v>
      </c>
      <c r="ED46" s="16">
        <v>0.26315789473684209</v>
      </c>
      <c r="EE46" s="12">
        <v>19</v>
      </c>
      <c r="EF46" s="12">
        <v>53</v>
      </c>
      <c r="EG46" s="16">
        <v>0.35849056603773582</v>
      </c>
      <c r="EH46" s="12">
        <v>10</v>
      </c>
      <c r="EI46" s="12">
        <v>12</v>
      </c>
      <c r="EJ46" s="16">
        <v>0.83333333333333337</v>
      </c>
      <c r="EK46" s="12">
        <v>11</v>
      </c>
      <c r="EL46" s="12">
        <v>20</v>
      </c>
      <c r="EM46" s="12">
        <v>31</v>
      </c>
      <c r="EN46" s="12">
        <v>12</v>
      </c>
      <c r="EO46" s="12">
        <v>18</v>
      </c>
      <c r="EP46" s="12">
        <v>20</v>
      </c>
      <c r="EQ46" s="12">
        <v>6</v>
      </c>
      <c r="ER46" s="12">
        <v>15</v>
      </c>
      <c r="ES46" s="12">
        <v>2</v>
      </c>
      <c r="ET46" s="12">
        <v>0</v>
      </c>
      <c r="EU46" s="12">
        <v>55</v>
      </c>
      <c r="EV46" s="12">
        <v>-12</v>
      </c>
      <c r="EW46" s="12">
        <v>62</v>
      </c>
      <c r="EX46" s="12">
        <v>73</v>
      </c>
      <c r="EY46" s="12">
        <v>6</v>
      </c>
      <c r="EZ46" s="12">
        <v>7</v>
      </c>
      <c r="FA46" s="12">
        <v>4</v>
      </c>
      <c r="FB46" s="12">
        <v>1</v>
      </c>
      <c r="FC46" s="12">
        <v>2</v>
      </c>
      <c r="FD46" s="12">
        <v>0</v>
      </c>
      <c r="FE46" s="12">
        <v>0</v>
      </c>
      <c r="FF46" s="12">
        <v>2</v>
      </c>
      <c r="FG46" s="12">
        <v>0</v>
      </c>
      <c r="FH46" s="12">
        <v>3</v>
      </c>
      <c r="FI46" s="12">
        <v>0</v>
      </c>
      <c r="FJ46" s="12">
        <v>0</v>
      </c>
      <c r="FK46" s="12">
        <v>0</v>
      </c>
      <c r="FL46" s="12">
        <v>6</v>
      </c>
      <c r="FM46" s="12">
        <v>1</v>
      </c>
      <c r="FN46" s="12">
        <v>0</v>
      </c>
      <c r="FO46" s="12">
        <v>0</v>
      </c>
      <c r="FP46" s="12">
        <v>0</v>
      </c>
      <c r="FQ46" s="12">
        <v>0</v>
      </c>
      <c r="FR46" s="12">
        <v>4</v>
      </c>
      <c r="FS46" s="12">
        <v>1</v>
      </c>
      <c r="FT46" s="12">
        <v>5</v>
      </c>
      <c r="FU46" s="12">
        <v>0</v>
      </c>
      <c r="FV46" s="12">
        <v>2</v>
      </c>
      <c r="FW46" s="12">
        <v>0</v>
      </c>
      <c r="FX46" s="12">
        <v>9</v>
      </c>
      <c r="FY46" s="12">
        <v>0</v>
      </c>
      <c r="FZ46" s="12">
        <v>0</v>
      </c>
      <c r="GA46" s="12">
        <v>0</v>
      </c>
      <c r="GB46" s="12">
        <v>0</v>
      </c>
      <c r="GC46" s="12">
        <v>1</v>
      </c>
      <c r="GD46" s="12">
        <v>1</v>
      </c>
      <c r="GE46" s="12">
        <v>1</v>
      </c>
      <c r="GF46" s="12">
        <v>9</v>
      </c>
      <c r="GG46" s="12">
        <v>10</v>
      </c>
      <c r="GH46" s="12">
        <v>0</v>
      </c>
      <c r="GI46" s="12">
        <v>0</v>
      </c>
      <c r="GJ46" s="12">
        <v>0</v>
      </c>
      <c r="GK46" s="12">
        <v>0</v>
      </c>
      <c r="GL46" s="12">
        <v>8</v>
      </c>
      <c r="GM46" s="12">
        <v>12</v>
      </c>
      <c r="GN46" s="12">
        <v>5</v>
      </c>
      <c r="GO46" s="12">
        <v>17</v>
      </c>
      <c r="GP46" s="12">
        <v>1</v>
      </c>
      <c r="GQ46" s="12">
        <v>5</v>
      </c>
      <c r="GR46" s="12">
        <v>2</v>
      </c>
      <c r="GS46" s="12">
        <v>2</v>
      </c>
      <c r="GT46" s="12">
        <v>3</v>
      </c>
      <c r="GU46" s="12">
        <v>17</v>
      </c>
      <c r="GV46" s="12">
        <v>0</v>
      </c>
      <c r="GW46" s="12">
        <v>0</v>
      </c>
      <c r="GY46" s="16"/>
    </row>
    <row r="47" spans="2:207" ht="15" customHeight="1" x14ac:dyDescent="0.2">
      <c r="B47" s="12">
        <v>3</v>
      </c>
      <c r="C47" s="12" t="s">
        <v>293</v>
      </c>
      <c r="D47" s="12" t="s">
        <v>289</v>
      </c>
      <c r="E47" s="14" t="s">
        <v>295</v>
      </c>
      <c r="F47" s="14" t="s">
        <v>291</v>
      </c>
      <c r="G47" s="15">
        <v>45216</v>
      </c>
      <c r="H47" s="15" t="s">
        <v>271</v>
      </c>
      <c r="I47" s="12" t="s">
        <v>269</v>
      </c>
      <c r="J47" s="12" t="s">
        <v>272</v>
      </c>
      <c r="K47" s="12">
        <v>200</v>
      </c>
      <c r="L47" s="12">
        <v>53</v>
      </c>
      <c r="M47" s="12">
        <v>14</v>
      </c>
      <c r="N47" s="12">
        <v>34</v>
      </c>
      <c r="O47" s="16">
        <v>0.41176470588235292</v>
      </c>
      <c r="P47" s="12">
        <v>5</v>
      </c>
      <c r="Q47" s="12">
        <v>19</v>
      </c>
      <c r="R47" s="16">
        <v>0.26315789473684209</v>
      </c>
      <c r="S47" s="12">
        <v>19</v>
      </c>
      <c r="T47" s="12">
        <v>53</v>
      </c>
      <c r="U47" s="16">
        <v>0.35849056603773582</v>
      </c>
      <c r="V47" s="12">
        <v>10</v>
      </c>
      <c r="W47" s="12">
        <v>12</v>
      </c>
      <c r="X47" s="16">
        <v>0.83333333333333337</v>
      </c>
      <c r="Y47" s="12">
        <v>11</v>
      </c>
      <c r="Z47" s="12">
        <v>20</v>
      </c>
      <c r="AA47" s="12">
        <v>31</v>
      </c>
      <c r="AB47" s="12">
        <v>12</v>
      </c>
      <c r="AC47" s="12">
        <v>15</v>
      </c>
      <c r="AD47" s="12">
        <v>6</v>
      </c>
      <c r="AE47" s="12">
        <v>2</v>
      </c>
      <c r="AF47" s="12">
        <v>0</v>
      </c>
      <c r="AG47" s="12">
        <v>18</v>
      </c>
      <c r="AH47" s="12">
        <v>20</v>
      </c>
      <c r="AI47" s="17">
        <v>55</v>
      </c>
      <c r="AJ47" s="12">
        <v>-12</v>
      </c>
      <c r="AK47" s="12">
        <v>62</v>
      </c>
      <c r="AL47" s="12">
        <v>73</v>
      </c>
      <c r="AM47" s="19">
        <v>0.72602739726027399</v>
      </c>
      <c r="AN47" s="19">
        <v>0.94202898550724634</v>
      </c>
      <c r="AO47" s="18">
        <v>85.483870967741936</v>
      </c>
      <c r="AP47" s="18">
        <v>104.83870967741935</v>
      </c>
      <c r="AQ47" s="18">
        <v>-19.354838709677409</v>
      </c>
      <c r="AR47" s="53">
        <v>0.40566037735849059</v>
      </c>
      <c r="AS47" s="53">
        <v>0.45689655172413796</v>
      </c>
      <c r="AT47" s="16">
        <v>0.16438356164383561</v>
      </c>
      <c r="AU47" s="19">
        <v>1.3333333333333333</v>
      </c>
      <c r="AV47" s="16">
        <v>0.23287671232876711</v>
      </c>
      <c r="AW47" s="19">
        <v>0.58823529411764708</v>
      </c>
      <c r="AX47" s="16">
        <v>6.8493150684931503E-2</v>
      </c>
      <c r="AY47" s="19">
        <v>0.4</v>
      </c>
      <c r="AZ47" s="16">
        <v>2.7397260273972601E-2</v>
      </c>
      <c r="BA47" s="19">
        <v>3</v>
      </c>
      <c r="BB47" s="16">
        <v>0.23287671232876711</v>
      </c>
      <c r="BC47" s="21">
        <v>0.52941176470588236</v>
      </c>
      <c r="BD47" s="16">
        <v>6.8493150684931503E-2</v>
      </c>
      <c r="BE47" s="16">
        <v>0.20547945205479451</v>
      </c>
      <c r="BF47" s="16">
        <v>0.5</v>
      </c>
      <c r="BG47" s="16">
        <v>0.5</v>
      </c>
      <c r="BH47" s="16">
        <v>0.8</v>
      </c>
      <c r="BI47" s="16">
        <v>0.2</v>
      </c>
      <c r="BJ47" s="16">
        <v>0.16438356164383561</v>
      </c>
      <c r="BK47" s="21">
        <v>0.8</v>
      </c>
      <c r="BL47" s="16">
        <v>0.33333333333333331</v>
      </c>
      <c r="BM47" s="16">
        <v>0.25</v>
      </c>
      <c r="BN47" s="16">
        <v>0.4375</v>
      </c>
      <c r="BO47" s="16" t="s">
        <v>269</v>
      </c>
      <c r="BP47" s="16">
        <v>0.7407407407407407</v>
      </c>
      <c r="BQ47" s="16">
        <v>0.76923076923076927</v>
      </c>
      <c r="BR47" s="16">
        <v>0.6875</v>
      </c>
      <c r="BS47" s="16" t="s">
        <v>269</v>
      </c>
      <c r="BT47" s="16">
        <v>0.51666666666666672</v>
      </c>
      <c r="BU47" s="16">
        <v>9.6774193548387094E-2</v>
      </c>
      <c r="BV47" s="16">
        <v>3.9215686274509803E-2</v>
      </c>
      <c r="BW47" s="54">
        <v>6</v>
      </c>
      <c r="BX47" s="54">
        <v>0.27777777777777779</v>
      </c>
      <c r="BY47" s="54">
        <v>0.3</v>
      </c>
      <c r="BZ47" s="12">
        <v>7</v>
      </c>
      <c r="CA47" s="12">
        <v>4</v>
      </c>
      <c r="CB47" s="12">
        <v>1</v>
      </c>
      <c r="CC47" s="12">
        <v>2</v>
      </c>
      <c r="CD47" s="12">
        <v>0</v>
      </c>
      <c r="CE47" s="12">
        <v>0</v>
      </c>
      <c r="CF47" s="12">
        <v>2</v>
      </c>
      <c r="CG47" s="12">
        <v>0</v>
      </c>
      <c r="CH47" s="12">
        <v>3</v>
      </c>
      <c r="CI47" s="12">
        <v>0</v>
      </c>
      <c r="CJ47" s="12">
        <v>0</v>
      </c>
      <c r="CK47" s="12">
        <v>0</v>
      </c>
      <c r="CL47" s="12">
        <v>6</v>
      </c>
      <c r="CM47" s="12">
        <v>1</v>
      </c>
      <c r="CN47" s="12">
        <v>0</v>
      </c>
      <c r="CO47" s="12">
        <v>0</v>
      </c>
      <c r="CP47" s="12">
        <v>0</v>
      </c>
      <c r="CQ47" s="12">
        <v>0</v>
      </c>
      <c r="CR47" s="12">
        <v>4</v>
      </c>
      <c r="CS47" s="12">
        <v>1</v>
      </c>
      <c r="CT47" s="12">
        <v>5</v>
      </c>
      <c r="CU47" s="12">
        <v>0</v>
      </c>
      <c r="CV47" s="12">
        <v>2</v>
      </c>
      <c r="CW47" s="12">
        <v>0</v>
      </c>
      <c r="CX47" s="12">
        <v>9</v>
      </c>
      <c r="CY47" s="12">
        <v>0</v>
      </c>
      <c r="CZ47" s="12">
        <v>0</v>
      </c>
      <c r="DA47" s="12">
        <v>0</v>
      </c>
      <c r="DB47" s="12">
        <v>0</v>
      </c>
      <c r="DC47" s="12">
        <v>1</v>
      </c>
      <c r="DD47" s="12">
        <v>1</v>
      </c>
      <c r="DE47" s="12">
        <v>1</v>
      </c>
      <c r="DF47" s="12">
        <v>9</v>
      </c>
      <c r="DG47" s="12">
        <v>10</v>
      </c>
      <c r="DH47" s="12">
        <v>0</v>
      </c>
      <c r="DI47" s="12">
        <v>0</v>
      </c>
      <c r="DJ47" s="12">
        <v>0</v>
      </c>
      <c r="DK47" s="12">
        <v>0</v>
      </c>
      <c r="DL47" s="12">
        <v>8</v>
      </c>
      <c r="DM47" s="12">
        <v>12</v>
      </c>
      <c r="DN47" s="12">
        <v>5</v>
      </c>
      <c r="DO47" s="12">
        <v>17</v>
      </c>
      <c r="DP47" s="12">
        <v>1</v>
      </c>
      <c r="DQ47" s="12">
        <v>5</v>
      </c>
      <c r="DR47" s="12">
        <v>2</v>
      </c>
      <c r="DS47" s="12">
        <v>2</v>
      </c>
      <c r="DT47" s="12">
        <v>3</v>
      </c>
      <c r="DU47" s="12">
        <v>17</v>
      </c>
      <c r="DV47" s="12">
        <v>0</v>
      </c>
      <c r="DW47" s="12">
        <v>0</v>
      </c>
      <c r="DX47" s="12">
        <v>65</v>
      </c>
      <c r="DY47" s="12">
        <v>16</v>
      </c>
      <c r="DZ47" s="12">
        <v>27</v>
      </c>
      <c r="EA47" s="16">
        <v>0.59259259259259256</v>
      </c>
      <c r="EB47" s="12">
        <v>8</v>
      </c>
      <c r="EC47" s="12">
        <v>24</v>
      </c>
      <c r="ED47" s="16">
        <v>0.33333333333333331</v>
      </c>
      <c r="EE47" s="12">
        <v>24</v>
      </c>
      <c r="EF47" s="12">
        <v>51</v>
      </c>
      <c r="EG47" s="16">
        <v>0.47058823529411764</v>
      </c>
      <c r="EH47" s="12">
        <v>9</v>
      </c>
      <c r="EI47" s="12">
        <v>11</v>
      </c>
      <c r="EJ47" s="16">
        <v>0.81818181818181823</v>
      </c>
      <c r="EK47" s="12">
        <v>7</v>
      </c>
      <c r="EL47" s="12">
        <v>22</v>
      </c>
      <c r="EM47" s="12">
        <v>29</v>
      </c>
      <c r="EN47" s="12">
        <v>14</v>
      </c>
      <c r="EO47" s="12">
        <v>21</v>
      </c>
      <c r="EP47" s="12">
        <v>16</v>
      </c>
      <c r="EQ47" s="12">
        <v>7</v>
      </c>
      <c r="ER47" s="12">
        <v>14</v>
      </c>
      <c r="ES47" s="12">
        <v>0</v>
      </c>
      <c r="ET47" s="12">
        <v>2</v>
      </c>
      <c r="EU47" s="12">
        <v>65</v>
      </c>
      <c r="EV47" s="12">
        <v>12</v>
      </c>
      <c r="EW47" s="12">
        <v>62</v>
      </c>
      <c r="EX47" s="12">
        <v>69</v>
      </c>
      <c r="EY47" s="12">
        <v>7</v>
      </c>
      <c r="EZ47" s="12">
        <v>7</v>
      </c>
      <c r="FA47" s="12">
        <v>6</v>
      </c>
      <c r="FB47" s="12">
        <v>1</v>
      </c>
      <c r="FC47" s="12">
        <v>2</v>
      </c>
      <c r="FD47" s="12">
        <v>0</v>
      </c>
      <c r="FE47" s="12">
        <v>0</v>
      </c>
      <c r="FF47" s="12">
        <v>1</v>
      </c>
      <c r="FG47" s="12">
        <v>0</v>
      </c>
      <c r="FH47" s="12">
        <v>1</v>
      </c>
      <c r="FI47" s="12">
        <v>1</v>
      </c>
      <c r="FJ47" s="12">
        <v>0</v>
      </c>
      <c r="FK47" s="12">
        <v>0</v>
      </c>
      <c r="FL47" s="12">
        <v>5</v>
      </c>
      <c r="FM47" s="12">
        <v>0</v>
      </c>
      <c r="FN47" s="12">
        <v>0</v>
      </c>
      <c r="FO47" s="12">
        <v>0</v>
      </c>
      <c r="FP47" s="12">
        <v>4</v>
      </c>
      <c r="FQ47" s="12">
        <v>1</v>
      </c>
      <c r="FR47" s="12">
        <v>10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8</v>
      </c>
      <c r="FY47" s="12">
        <v>1</v>
      </c>
      <c r="FZ47" s="12">
        <v>0</v>
      </c>
      <c r="GA47" s="12">
        <v>0</v>
      </c>
      <c r="GB47" s="12">
        <v>1</v>
      </c>
      <c r="GC47" s="12">
        <v>2</v>
      </c>
      <c r="GD47" s="12">
        <v>1</v>
      </c>
      <c r="GE47" s="12">
        <v>1</v>
      </c>
      <c r="GF47" s="12">
        <v>7</v>
      </c>
      <c r="GG47" s="12">
        <v>8</v>
      </c>
      <c r="GH47" s="12">
        <v>0</v>
      </c>
      <c r="GI47" s="12">
        <v>0</v>
      </c>
      <c r="GJ47" s="12">
        <v>0</v>
      </c>
      <c r="GK47" s="12">
        <v>0</v>
      </c>
      <c r="GL47" s="12">
        <v>7</v>
      </c>
      <c r="GM47" s="12">
        <v>7</v>
      </c>
      <c r="GN47" s="12">
        <v>6</v>
      </c>
      <c r="GO47" s="12">
        <v>11</v>
      </c>
      <c r="GP47" s="12">
        <v>3</v>
      </c>
      <c r="GQ47" s="12">
        <v>9</v>
      </c>
      <c r="GR47" s="12">
        <v>0</v>
      </c>
      <c r="GS47" s="12">
        <v>2</v>
      </c>
      <c r="GT47" s="12">
        <v>8</v>
      </c>
      <c r="GU47" s="12">
        <v>22</v>
      </c>
      <c r="GV47" s="12">
        <v>0</v>
      </c>
      <c r="GW47" s="12">
        <v>0</v>
      </c>
      <c r="GY47" s="16"/>
    </row>
    <row r="48" spans="2:207" ht="15" customHeight="1" x14ac:dyDescent="0.2">
      <c r="B48" s="12">
        <v>3</v>
      </c>
      <c r="C48" s="12" t="s">
        <v>298</v>
      </c>
      <c r="D48" s="12" t="s">
        <v>286</v>
      </c>
      <c r="E48" s="14" t="s">
        <v>300</v>
      </c>
      <c r="F48" s="14" t="s">
        <v>288</v>
      </c>
      <c r="G48" s="15">
        <v>45216</v>
      </c>
      <c r="H48" s="15" t="s">
        <v>268</v>
      </c>
      <c r="I48" s="12" t="s">
        <v>269</v>
      </c>
      <c r="J48" s="12" t="s">
        <v>270</v>
      </c>
      <c r="K48" s="12">
        <v>200</v>
      </c>
      <c r="L48" s="12">
        <v>93</v>
      </c>
      <c r="M48" s="12">
        <v>22</v>
      </c>
      <c r="N48" s="12">
        <v>34</v>
      </c>
      <c r="O48" s="16">
        <v>0.6470588235294118</v>
      </c>
      <c r="P48" s="12">
        <v>12</v>
      </c>
      <c r="Q48" s="12">
        <v>25</v>
      </c>
      <c r="R48" s="16">
        <v>0.48</v>
      </c>
      <c r="S48" s="12">
        <v>34</v>
      </c>
      <c r="T48" s="12">
        <v>59</v>
      </c>
      <c r="U48" s="16">
        <v>0.57627118644067798</v>
      </c>
      <c r="V48" s="12">
        <v>13</v>
      </c>
      <c r="W48" s="12">
        <v>19</v>
      </c>
      <c r="X48" s="16">
        <v>0.68421052631578949</v>
      </c>
      <c r="Y48" s="12">
        <v>7</v>
      </c>
      <c r="Z48" s="12">
        <v>28</v>
      </c>
      <c r="AA48" s="12">
        <v>35</v>
      </c>
      <c r="AB48" s="12">
        <v>26</v>
      </c>
      <c r="AC48" s="12">
        <v>13</v>
      </c>
      <c r="AD48" s="12">
        <v>6</v>
      </c>
      <c r="AE48" s="12">
        <v>6</v>
      </c>
      <c r="AF48" s="12">
        <v>1</v>
      </c>
      <c r="AG48" s="12">
        <v>18</v>
      </c>
      <c r="AH48" s="12">
        <v>19</v>
      </c>
      <c r="AI48" s="17">
        <v>122</v>
      </c>
      <c r="AJ48" s="12">
        <v>14</v>
      </c>
      <c r="AK48" s="12">
        <v>73</v>
      </c>
      <c r="AL48" s="12">
        <v>80</v>
      </c>
      <c r="AM48" s="19">
        <v>1.1625000000000001</v>
      </c>
      <c r="AN48" s="19">
        <v>0.92941176470588238</v>
      </c>
      <c r="AO48" s="18">
        <v>127.39726027397261</v>
      </c>
      <c r="AP48" s="18">
        <v>108.21917808219179</v>
      </c>
      <c r="AQ48" s="18">
        <v>19.178082191780817</v>
      </c>
      <c r="AR48" s="53">
        <v>0.67796610169491522</v>
      </c>
      <c r="AS48" s="53">
        <v>0.69402985074626866</v>
      </c>
      <c r="AT48" s="16">
        <v>6.25E-2</v>
      </c>
      <c r="AU48" s="19">
        <v>2</v>
      </c>
      <c r="AV48" s="16">
        <v>0.33750000000000002</v>
      </c>
      <c r="AW48" s="19">
        <v>1.1111111111111112</v>
      </c>
      <c r="AX48" s="16">
        <v>2.5000000000000001E-2</v>
      </c>
      <c r="AY48" s="19">
        <v>2</v>
      </c>
      <c r="AZ48" s="16">
        <v>0</v>
      </c>
      <c r="BA48" s="19" t="s">
        <v>269</v>
      </c>
      <c r="BB48" s="16">
        <v>0.3125</v>
      </c>
      <c r="BC48" s="21">
        <v>1.44</v>
      </c>
      <c r="BD48" s="16">
        <v>0.1</v>
      </c>
      <c r="BE48" s="16">
        <v>0.16250000000000001</v>
      </c>
      <c r="BF48" s="16">
        <v>0.61904761904761907</v>
      </c>
      <c r="BG48" s="16">
        <v>0.68181818181818177</v>
      </c>
      <c r="BH48" s="16">
        <v>0.66666666666666663</v>
      </c>
      <c r="BI48" s="16">
        <v>0.375</v>
      </c>
      <c r="BJ48" s="16">
        <v>0.32500000000000001</v>
      </c>
      <c r="BK48" s="21">
        <v>2</v>
      </c>
      <c r="BL48" s="16">
        <v>0.25</v>
      </c>
      <c r="BM48" s="16">
        <v>0.42857142857142855</v>
      </c>
      <c r="BN48" s="16">
        <v>0.16666666666666666</v>
      </c>
      <c r="BO48" s="16">
        <v>0.33333333333333331</v>
      </c>
      <c r="BP48" s="16">
        <v>0.71794871794871795</v>
      </c>
      <c r="BQ48" s="16">
        <v>0.69230769230769229</v>
      </c>
      <c r="BR48" s="16">
        <v>0.7857142857142857</v>
      </c>
      <c r="BS48" s="16" t="s">
        <v>269</v>
      </c>
      <c r="BT48" s="16">
        <v>0.52238805970149249</v>
      </c>
      <c r="BU48" s="16">
        <v>8.2191780821917804E-2</v>
      </c>
      <c r="BV48" s="16">
        <v>8.3333333333333329E-2</v>
      </c>
      <c r="BW48" s="54">
        <v>4</v>
      </c>
      <c r="BX48" s="54">
        <v>0.27777777777777779</v>
      </c>
      <c r="BY48" s="54">
        <v>0.52631578947368418</v>
      </c>
      <c r="BZ48" s="12">
        <v>15</v>
      </c>
      <c r="CA48" s="12">
        <v>8</v>
      </c>
      <c r="CB48" s="12">
        <v>3</v>
      </c>
      <c r="CC48" s="12">
        <v>4</v>
      </c>
      <c r="CD48" s="12">
        <v>0</v>
      </c>
      <c r="CE48" s="12">
        <v>0</v>
      </c>
      <c r="CF48" s="12">
        <v>4</v>
      </c>
      <c r="CG48" s="12">
        <v>2</v>
      </c>
      <c r="CH48" s="12">
        <v>0</v>
      </c>
      <c r="CI48" s="12">
        <v>0</v>
      </c>
      <c r="CJ48" s="12">
        <v>0</v>
      </c>
      <c r="CK48" s="12">
        <v>0</v>
      </c>
      <c r="CL48" s="12">
        <v>2</v>
      </c>
      <c r="CM48" s="12">
        <v>0</v>
      </c>
      <c r="CN48" s="12">
        <v>1</v>
      </c>
      <c r="CO48" s="12">
        <v>0</v>
      </c>
      <c r="CP48" s="12">
        <v>2</v>
      </c>
      <c r="CQ48" s="12">
        <v>0</v>
      </c>
      <c r="CR48" s="12">
        <v>13</v>
      </c>
      <c r="CS48" s="12">
        <v>0</v>
      </c>
      <c r="CT48" s="12">
        <v>3</v>
      </c>
      <c r="CU48" s="12">
        <v>0</v>
      </c>
      <c r="CV48" s="12">
        <v>0</v>
      </c>
      <c r="CW48" s="12">
        <v>0</v>
      </c>
      <c r="CX48" s="12">
        <v>10</v>
      </c>
      <c r="CY48" s="12">
        <v>1</v>
      </c>
      <c r="CZ48" s="12">
        <v>0</v>
      </c>
      <c r="DA48" s="12">
        <v>0</v>
      </c>
      <c r="DB48" s="12">
        <v>0</v>
      </c>
      <c r="DC48" s="12">
        <v>1</v>
      </c>
      <c r="DD48" s="12">
        <v>0</v>
      </c>
      <c r="DE48" s="12">
        <v>2</v>
      </c>
      <c r="DF48" s="12">
        <v>13</v>
      </c>
      <c r="DG48" s="12">
        <v>16</v>
      </c>
      <c r="DH48" s="12">
        <v>0</v>
      </c>
      <c r="DI48" s="12">
        <v>0</v>
      </c>
      <c r="DJ48" s="12">
        <v>0</v>
      </c>
      <c r="DK48" s="12">
        <v>0</v>
      </c>
      <c r="DL48" s="12">
        <v>5</v>
      </c>
      <c r="DM48" s="12">
        <v>5</v>
      </c>
      <c r="DN48" s="12">
        <v>15</v>
      </c>
      <c r="DO48" s="12">
        <v>27</v>
      </c>
      <c r="DP48" s="12">
        <v>2</v>
      </c>
      <c r="DQ48" s="12">
        <v>2</v>
      </c>
      <c r="DR48" s="12">
        <v>0</v>
      </c>
      <c r="DS48" s="12">
        <v>0</v>
      </c>
      <c r="DT48" s="12">
        <v>12</v>
      </c>
      <c r="DU48" s="12">
        <v>25</v>
      </c>
      <c r="DV48" s="12">
        <v>0</v>
      </c>
      <c r="DW48" s="12">
        <v>0</v>
      </c>
      <c r="DX48" s="12">
        <v>79</v>
      </c>
      <c r="DY48" s="12">
        <v>21</v>
      </c>
      <c r="DZ48" s="12">
        <v>48</v>
      </c>
      <c r="EA48" s="16">
        <v>0.4375</v>
      </c>
      <c r="EB48" s="12">
        <v>10</v>
      </c>
      <c r="EC48" s="12">
        <v>24</v>
      </c>
      <c r="ED48" s="16">
        <v>0.41666666666666669</v>
      </c>
      <c r="EE48" s="12">
        <v>31</v>
      </c>
      <c r="EF48" s="12">
        <v>72</v>
      </c>
      <c r="EG48" s="16">
        <v>0.43055555555555558</v>
      </c>
      <c r="EH48" s="12">
        <v>7</v>
      </c>
      <c r="EI48" s="12">
        <v>8</v>
      </c>
      <c r="EJ48" s="16">
        <v>0.875</v>
      </c>
      <c r="EK48" s="12">
        <v>11</v>
      </c>
      <c r="EL48" s="12">
        <v>21</v>
      </c>
      <c r="EM48" s="12">
        <v>32</v>
      </c>
      <c r="EN48" s="12">
        <v>14</v>
      </c>
      <c r="EO48" s="12">
        <v>20</v>
      </c>
      <c r="EP48" s="12">
        <v>18</v>
      </c>
      <c r="EQ48" s="12">
        <v>5</v>
      </c>
      <c r="ER48" s="12">
        <v>10</v>
      </c>
      <c r="ES48" s="12">
        <v>1</v>
      </c>
      <c r="ET48" s="12">
        <v>6</v>
      </c>
      <c r="EU48" s="12">
        <v>71</v>
      </c>
      <c r="EV48" s="12">
        <v>-14</v>
      </c>
      <c r="EW48" s="12">
        <v>73</v>
      </c>
      <c r="EX48" s="12">
        <v>85</v>
      </c>
      <c r="EY48" s="12">
        <v>5</v>
      </c>
      <c r="EZ48" s="12">
        <v>8</v>
      </c>
      <c r="FA48" s="12">
        <v>6</v>
      </c>
      <c r="FB48" s="12">
        <v>0</v>
      </c>
      <c r="FC48" s="12">
        <v>0</v>
      </c>
      <c r="FD48" s="12">
        <v>0</v>
      </c>
      <c r="FE48" s="12">
        <v>0</v>
      </c>
      <c r="FF48" s="12">
        <v>6</v>
      </c>
      <c r="FG48" s="12">
        <v>0</v>
      </c>
      <c r="FH48" s="12">
        <v>2</v>
      </c>
      <c r="FI48" s="12">
        <v>0</v>
      </c>
      <c r="FJ48" s="12">
        <v>0</v>
      </c>
      <c r="FK48" s="12">
        <v>0</v>
      </c>
      <c r="FL48" s="12">
        <v>3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8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10</v>
      </c>
      <c r="FY48" s="12">
        <v>0</v>
      </c>
      <c r="FZ48" s="12">
        <v>2</v>
      </c>
      <c r="GA48" s="12">
        <v>0</v>
      </c>
      <c r="GB48" s="12">
        <v>0</v>
      </c>
      <c r="GC48" s="12">
        <v>0</v>
      </c>
      <c r="GD48" s="12">
        <v>2</v>
      </c>
      <c r="GE48" s="12">
        <v>2</v>
      </c>
      <c r="GF48" s="12">
        <v>5</v>
      </c>
      <c r="GG48" s="12">
        <v>6</v>
      </c>
      <c r="GH48" s="12">
        <v>0</v>
      </c>
      <c r="GI48" s="12">
        <v>0</v>
      </c>
      <c r="GJ48" s="12">
        <v>0</v>
      </c>
      <c r="GK48" s="12">
        <v>0</v>
      </c>
      <c r="GL48" s="12">
        <v>6</v>
      </c>
      <c r="GM48" s="12">
        <v>9</v>
      </c>
      <c r="GN48" s="12">
        <v>14</v>
      </c>
      <c r="GO48" s="12">
        <v>33</v>
      </c>
      <c r="GP48" s="12">
        <v>1</v>
      </c>
      <c r="GQ48" s="12">
        <v>6</v>
      </c>
      <c r="GR48" s="12">
        <v>0</v>
      </c>
      <c r="GS48" s="12">
        <v>0</v>
      </c>
      <c r="GT48" s="12">
        <v>10</v>
      </c>
      <c r="GU48" s="12">
        <v>24</v>
      </c>
      <c r="GV48" s="12">
        <v>0</v>
      </c>
      <c r="GW48" s="12">
        <v>0</v>
      </c>
      <c r="GY48" s="16"/>
    </row>
    <row r="49" spans="2:207" ht="15" customHeight="1" x14ac:dyDescent="0.2">
      <c r="B49" s="12">
        <v>3</v>
      </c>
      <c r="C49" s="12" t="s">
        <v>286</v>
      </c>
      <c r="D49" s="12" t="s">
        <v>298</v>
      </c>
      <c r="E49" s="14" t="s">
        <v>288</v>
      </c>
      <c r="F49" s="14" t="s">
        <v>300</v>
      </c>
      <c r="G49" s="15">
        <v>45216</v>
      </c>
      <c r="H49" s="15" t="s">
        <v>271</v>
      </c>
      <c r="I49" s="12" t="s">
        <v>269</v>
      </c>
      <c r="J49" s="12" t="s">
        <v>272</v>
      </c>
      <c r="K49" s="12">
        <v>200</v>
      </c>
      <c r="L49" s="12">
        <v>79</v>
      </c>
      <c r="M49" s="12">
        <v>21</v>
      </c>
      <c r="N49" s="12">
        <v>48</v>
      </c>
      <c r="O49" s="16">
        <v>0.4375</v>
      </c>
      <c r="P49" s="12">
        <v>10</v>
      </c>
      <c r="Q49" s="12">
        <v>24</v>
      </c>
      <c r="R49" s="16">
        <v>0.41666666666666669</v>
      </c>
      <c r="S49" s="12">
        <v>31</v>
      </c>
      <c r="T49" s="12">
        <v>72</v>
      </c>
      <c r="U49" s="16">
        <v>0.43055555555555558</v>
      </c>
      <c r="V49" s="12">
        <v>7</v>
      </c>
      <c r="W49" s="12">
        <v>8</v>
      </c>
      <c r="X49" s="16">
        <v>0.875</v>
      </c>
      <c r="Y49" s="12">
        <v>11</v>
      </c>
      <c r="Z49" s="12">
        <v>21</v>
      </c>
      <c r="AA49" s="12">
        <v>32</v>
      </c>
      <c r="AB49" s="12">
        <v>14</v>
      </c>
      <c r="AC49" s="12">
        <v>10</v>
      </c>
      <c r="AD49" s="12">
        <v>5</v>
      </c>
      <c r="AE49" s="12">
        <v>1</v>
      </c>
      <c r="AF49" s="12">
        <v>6</v>
      </c>
      <c r="AG49" s="12">
        <v>19</v>
      </c>
      <c r="AH49" s="12">
        <v>18</v>
      </c>
      <c r="AI49" s="17">
        <v>72</v>
      </c>
      <c r="AJ49" s="12">
        <v>-14</v>
      </c>
      <c r="AK49" s="12">
        <v>73</v>
      </c>
      <c r="AL49" s="12">
        <v>85</v>
      </c>
      <c r="AM49" s="19">
        <v>0.92941176470588238</v>
      </c>
      <c r="AN49" s="19">
        <v>1.1625000000000001</v>
      </c>
      <c r="AO49" s="18">
        <v>108.21917808219179</v>
      </c>
      <c r="AP49" s="18">
        <v>127.39726027397261</v>
      </c>
      <c r="AQ49" s="18">
        <v>-19.178082191780817</v>
      </c>
      <c r="AR49" s="53">
        <v>0.5</v>
      </c>
      <c r="AS49" s="53">
        <v>0.52666666666666662</v>
      </c>
      <c r="AT49" s="16">
        <v>0.10588235294117647</v>
      </c>
      <c r="AU49" s="19">
        <v>1.3333333333333333</v>
      </c>
      <c r="AV49" s="16">
        <v>0.38823529411764707</v>
      </c>
      <c r="AW49" s="19">
        <v>0.84848484848484851</v>
      </c>
      <c r="AX49" s="16">
        <v>7.0588235294117646E-2</v>
      </c>
      <c r="AY49" s="19">
        <v>0.33333333333333331</v>
      </c>
      <c r="AZ49" s="16">
        <v>0</v>
      </c>
      <c r="BA49" s="19" t="s">
        <v>269</v>
      </c>
      <c r="BB49" s="16">
        <v>0.28235294117647058</v>
      </c>
      <c r="BC49" s="21">
        <v>1.25</v>
      </c>
      <c r="BD49" s="16">
        <v>3.5294117647058823E-2</v>
      </c>
      <c r="BE49" s="16">
        <v>0.11904761904761904</v>
      </c>
      <c r="BF49" s="16">
        <v>0.41176470588235292</v>
      </c>
      <c r="BG49" s="16">
        <v>0.38095238095238093</v>
      </c>
      <c r="BH49" s="16">
        <v>0.6</v>
      </c>
      <c r="BI49" s="16">
        <v>0</v>
      </c>
      <c r="BJ49" s="16">
        <v>0.16666666666666666</v>
      </c>
      <c r="BK49" s="21">
        <v>1.4</v>
      </c>
      <c r="BL49" s="16">
        <v>0.28205128205128205</v>
      </c>
      <c r="BM49" s="16">
        <v>0.30769230769230771</v>
      </c>
      <c r="BN49" s="16">
        <v>0.21428571428571427</v>
      </c>
      <c r="BO49" s="16" t="s">
        <v>269</v>
      </c>
      <c r="BP49" s="16">
        <v>0.75</v>
      </c>
      <c r="BQ49" s="16">
        <v>0.5714285714285714</v>
      </c>
      <c r="BR49" s="16">
        <v>0.83333333333333337</v>
      </c>
      <c r="BS49" s="16">
        <v>0.66666666666666663</v>
      </c>
      <c r="BT49" s="16">
        <v>0.47761194029850745</v>
      </c>
      <c r="BU49" s="16">
        <v>6.8493150684931503E-2</v>
      </c>
      <c r="BV49" s="16">
        <v>1.6949152542372881E-2</v>
      </c>
      <c r="BW49" s="54">
        <v>5</v>
      </c>
      <c r="BX49" s="54">
        <v>0.52631578947368418</v>
      </c>
      <c r="BY49" s="54">
        <v>0.27777777777777779</v>
      </c>
      <c r="BZ49" s="12">
        <v>8</v>
      </c>
      <c r="CA49" s="12">
        <v>6</v>
      </c>
      <c r="CB49" s="12">
        <v>0</v>
      </c>
      <c r="CC49" s="12">
        <v>0</v>
      </c>
      <c r="CD49" s="12">
        <v>0</v>
      </c>
      <c r="CE49" s="12">
        <v>0</v>
      </c>
      <c r="CF49" s="12">
        <v>6</v>
      </c>
      <c r="CG49" s="12">
        <v>0</v>
      </c>
      <c r="CH49" s="12">
        <v>2</v>
      </c>
      <c r="CI49" s="12">
        <v>0</v>
      </c>
      <c r="CJ49" s="12">
        <v>0</v>
      </c>
      <c r="CK49" s="12">
        <v>0</v>
      </c>
      <c r="CL49" s="12">
        <v>3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8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10</v>
      </c>
      <c r="CY49" s="12">
        <v>0</v>
      </c>
      <c r="CZ49" s="12">
        <v>2</v>
      </c>
      <c r="DA49" s="12">
        <v>0</v>
      </c>
      <c r="DB49" s="12">
        <v>0</v>
      </c>
      <c r="DC49" s="12">
        <v>0</v>
      </c>
      <c r="DD49" s="12">
        <v>2</v>
      </c>
      <c r="DE49" s="12">
        <v>2</v>
      </c>
      <c r="DF49" s="12">
        <v>5</v>
      </c>
      <c r="DG49" s="12">
        <v>6</v>
      </c>
      <c r="DH49" s="12">
        <v>0</v>
      </c>
      <c r="DI49" s="12">
        <v>0</v>
      </c>
      <c r="DJ49" s="12">
        <v>0</v>
      </c>
      <c r="DK49" s="12">
        <v>0</v>
      </c>
      <c r="DL49" s="12">
        <v>6</v>
      </c>
      <c r="DM49" s="12">
        <v>9</v>
      </c>
      <c r="DN49" s="12">
        <v>14</v>
      </c>
      <c r="DO49" s="12">
        <v>33</v>
      </c>
      <c r="DP49" s="12">
        <v>1</v>
      </c>
      <c r="DQ49" s="12">
        <v>6</v>
      </c>
      <c r="DR49" s="12">
        <v>0</v>
      </c>
      <c r="DS49" s="12">
        <v>0</v>
      </c>
      <c r="DT49" s="12">
        <v>10</v>
      </c>
      <c r="DU49" s="12">
        <v>24</v>
      </c>
      <c r="DV49" s="12">
        <v>0</v>
      </c>
      <c r="DW49" s="12">
        <v>0</v>
      </c>
      <c r="DX49" s="12">
        <v>93</v>
      </c>
      <c r="DY49" s="12">
        <v>22</v>
      </c>
      <c r="DZ49" s="12">
        <v>34</v>
      </c>
      <c r="EA49" s="16">
        <v>0.6470588235294118</v>
      </c>
      <c r="EB49" s="12">
        <v>12</v>
      </c>
      <c r="EC49" s="12">
        <v>25</v>
      </c>
      <c r="ED49" s="16">
        <v>0.48</v>
      </c>
      <c r="EE49" s="12">
        <v>34</v>
      </c>
      <c r="EF49" s="12">
        <v>59</v>
      </c>
      <c r="EG49" s="16">
        <v>0.57627118644067798</v>
      </c>
      <c r="EH49" s="12">
        <v>13</v>
      </c>
      <c r="EI49" s="12">
        <v>19</v>
      </c>
      <c r="EJ49" s="16">
        <v>0.68421052631578949</v>
      </c>
      <c r="EK49" s="12">
        <v>7</v>
      </c>
      <c r="EL49" s="12">
        <v>28</v>
      </c>
      <c r="EM49" s="12">
        <v>35</v>
      </c>
      <c r="EN49" s="12">
        <v>26</v>
      </c>
      <c r="EO49" s="12">
        <v>18</v>
      </c>
      <c r="EP49" s="12">
        <v>19</v>
      </c>
      <c r="EQ49" s="12">
        <v>6</v>
      </c>
      <c r="ER49" s="12">
        <v>13</v>
      </c>
      <c r="ES49" s="12">
        <v>6</v>
      </c>
      <c r="ET49" s="12">
        <v>1</v>
      </c>
      <c r="EU49" s="12">
        <v>122</v>
      </c>
      <c r="EV49" s="12">
        <v>14</v>
      </c>
      <c r="EW49" s="12">
        <v>73</v>
      </c>
      <c r="EX49" s="12">
        <v>80</v>
      </c>
      <c r="EY49" s="12">
        <v>4</v>
      </c>
      <c r="EZ49" s="12">
        <v>15</v>
      </c>
      <c r="FA49" s="12">
        <v>8</v>
      </c>
      <c r="FB49" s="12">
        <v>3</v>
      </c>
      <c r="FC49" s="12">
        <v>4</v>
      </c>
      <c r="FD49" s="12">
        <v>0</v>
      </c>
      <c r="FE49" s="12">
        <v>0</v>
      </c>
      <c r="FF49" s="12">
        <v>4</v>
      </c>
      <c r="FG49" s="12">
        <v>2</v>
      </c>
      <c r="FH49" s="12">
        <v>0</v>
      </c>
      <c r="FI49" s="12">
        <v>0</v>
      </c>
      <c r="FJ49" s="12">
        <v>0</v>
      </c>
      <c r="FK49" s="12">
        <v>0</v>
      </c>
      <c r="FL49" s="12">
        <v>2</v>
      </c>
      <c r="FM49" s="12">
        <v>0</v>
      </c>
      <c r="FN49" s="12">
        <v>1</v>
      </c>
      <c r="FO49" s="12">
        <v>0</v>
      </c>
      <c r="FP49" s="12">
        <v>2</v>
      </c>
      <c r="FQ49" s="12">
        <v>0</v>
      </c>
      <c r="FR49" s="12">
        <v>13</v>
      </c>
      <c r="FS49" s="12">
        <v>0</v>
      </c>
      <c r="FT49" s="12">
        <v>3</v>
      </c>
      <c r="FU49" s="12">
        <v>0</v>
      </c>
      <c r="FV49" s="12">
        <v>0</v>
      </c>
      <c r="FW49" s="12">
        <v>0</v>
      </c>
      <c r="FX49" s="12">
        <v>10</v>
      </c>
      <c r="FY49" s="12">
        <v>1</v>
      </c>
      <c r="FZ49" s="12">
        <v>0</v>
      </c>
      <c r="GA49" s="12">
        <v>0</v>
      </c>
      <c r="GB49" s="12">
        <v>0</v>
      </c>
      <c r="GC49" s="12">
        <v>1</v>
      </c>
      <c r="GD49" s="12">
        <v>0</v>
      </c>
      <c r="GE49" s="12">
        <v>2</v>
      </c>
      <c r="GF49" s="12">
        <v>13</v>
      </c>
      <c r="GG49" s="12">
        <v>16</v>
      </c>
      <c r="GH49" s="12">
        <v>0</v>
      </c>
      <c r="GI49" s="12">
        <v>0</v>
      </c>
      <c r="GJ49" s="12">
        <v>0</v>
      </c>
      <c r="GK49" s="12">
        <v>0</v>
      </c>
      <c r="GL49" s="12">
        <v>5</v>
      </c>
      <c r="GM49" s="12">
        <v>5</v>
      </c>
      <c r="GN49" s="12">
        <v>15</v>
      </c>
      <c r="GO49" s="12">
        <v>27</v>
      </c>
      <c r="GP49" s="12">
        <v>2</v>
      </c>
      <c r="GQ49" s="12">
        <v>2</v>
      </c>
      <c r="GR49" s="12">
        <v>0</v>
      </c>
      <c r="GS49" s="12">
        <v>0</v>
      </c>
      <c r="GT49" s="12">
        <v>12</v>
      </c>
      <c r="GU49" s="12">
        <v>25</v>
      </c>
      <c r="GV49" s="12">
        <v>0</v>
      </c>
      <c r="GW49" s="12">
        <v>0</v>
      </c>
      <c r="GY49" s="16"/>
    </row>
    <row r="50" spans="2:207" ht="15" customHeight="1" x14ac:dyDescent="0.2">
      <c r="B50" s="12">
        <v>3</v>
      </c>
      <c r="C50" s="12" t="s">
        <v>301</v>
      </c>
      <c r="D50" s="12" t="s">
        <v>264</v>
      </c>
      <c r="E50" s="14" t="s">
        <v>302</v>
      </c>
      <c r="F50" s="14" t="s">
        <v>266</v>
      </c>
      <c r="G50" s="15">
        <v>45217</v>
      </c>
      <c r="H50" s="15" t="s">
        <v>271</v>
      </c>
      <c r="I50" s="12" t="s">
        <v>269</v>
      </c>
      <c r="J50" s="12" t="s">
        <v>270</v>
      </c>
      <c r="K50" s="12">
        <v>200</v>
      </c>
      <c r="L50" s="12">
        <v>82</v>
      </c>
      <c r="M50" s="12">
        <v>21</v>
      </c>
      <c r="N50" s="12">
        <v>35</v>
      </c>
      <c r="O50" s="16">
        <v>0.6</v>
      </c>
      <c r="P50" s="12">
        <v>10</v>
      </c>
      <c r="Q50" s="12">
        <v>23</v>
      </c>
      <c r="R50" s="16">
        <v>0.43478260869565216</v>
      </c>
      <c r="S50" s="12">
        <v>31</v>
      </c>
      <c r="T50" s="12">
        <v>58</v>
      </c>
      <c r="U50" s="16">
        <v>0.53448275862068961</v>
      </c>
      <c r="V50" s="12">
        <v>10</v>
      </c>
      <c r="W50" s="12">
        <v>13</v>
      </c>
      <c r="X50" s="16">
        <v>0.76923076923076927</v>
      </c>
      <c r="Y50" s="12">
        <v>12</v>
      </c>
      <c r="Z50" s="12">
        <v>23</v>
      </c>
      <c r="AA50" s="12">
        <v>35</v>
      </c>
      <c r="AB50" s="12">
        <v>23</v>
      </c>
      <c r="AC50" s="12">
        <v>14</v>
      </c>
      <c r="AD50" s="12">
        <v>5</v>
      </c>
      <c r="AE50" s="12">
        <v>2</v>
      </c>
      <c r="AF50" s="12">
        <v>1</v>
      </c>
      <c r="AG50" s="12">
        <v>21</v>
      </c>
      <c r="AH50" s="12">
        <v>20</v>
      </c>
      <c r="AI50" s="17">
        <v>101</v>
      </c>
      <c r="AJ50" s="12">
        <v>6</v>
      </c>
      <c r="AK50" s="12">
        <v>66</v>
      </c>
      <c r="AL50" s="12">
        <v>78</v>
      </c>
      <c r="AM50" s="19">
        <v>1.0512820512820513</v>
      </c>
      <c r="AN50" s="19">
        <v>0.91566265060240959</v>
      </c>
      <c r="AO50" s="18">
        <v>124.24242424242425</v>
      </c>
      <c r="AP50" s="18">
        <v>113.43283582089552</v>
      </c>
      <c r="AQ50" s="18">
        <v>10.80958842152873</v>
      </c>
      <c r="AR50" s="53">
        <v>0.62068965517241381</v>
      </c>
      <c r="AS50" s="53">
        <v>0.640625</v>
      </c>
      <c r="AT50" s="16">
        <v>8.9743589743589744E-2</v>
      </c>
      <c r="AU50" s="19">
        <v>1.7142857142857142</v>
      </c>
      <c r="AV50" s="16">
        <v>0.21794871794871795</v>
      </c>
      <c r="AW50" s="19">
        <v>0.94117647058823528</v>
      </c>
      <c r="AX50" s="16">
        <v>0.14102564102564102</v>
      </c>
      <c r="AY50" s="19">
        <v>1.2727272727272727</v>
      </c>
      <c r="AZ50" s="16">
        <v>2.564102564102564E-2</v>
      </c>
      <c r="BA50" s="19">
        <v>1.5</v>
      </c>
      <c r="BB50" s="16">
        <v>0.26923076923076922</v>
      </c>
      <c r="BC50" s="21">
        <v>1.2857142857142858</v>
      </c>
      <c r="BD50" s="16">
        <v>7.6923076923076927E-2</v>
      </c>
      <c r="BE50" s="16">
        <v>0.17948717948717949</v>
      </c>
      <c r="BF50" s="16">
        <v>0.6216216216216216</v>
      </c>
      <c r="BG50" s="16">
        <v>0.61904761904761907</v>
      </c>
      <c r="BH50" s="16">
        <v>0.9</v>
      </c>
      <c r="BI50" s="16">
        <v>0.16666666666666666</v>
      </c>
      <c r="BJ50" s="16">
        <v>0.29487179487179488</v>
      </c>
      <c r="BK50" s="21">
        <v>1.6428571428571428</v>
      </c>
      <c r="BL50" s="16">
        <v>0.46153846153846156</v>
      </c>
      <c r="BM50" s="16">
        <v>0.46666666666666667</v>
      </c>
      <c r="BN50" s="16">
        <v>0.52941176470588236</v>
      </c>
      <c r="BO50" s="16" t="s">
        <v>269</v>
      </c>
      <c r="BP50" s="16">
        <v>0.58974358974358976</v>
      </c>
      <c r="BQ50" s="16">
        <v>0.75</v>
      </c>
      <c r="BR50" s="16">
        <v>0.44444444444444442</v>
      </c>
      <c r="BS50" s="16" t="s">
        <v>269</v>
      </c>
      <c r="BT50" s="16">
        <v>0.53846153846153844</v>
      </c>
      <c r="BU50" s="16">
        <v>7.4626865671641784E-2</v>
      </c>
      <c r="BV50" s="16">
        <v>2.9850746268656716E-2</v>
      </c>
      <c r="BW50" s="54">
        <v>8</v>
      </c>
      <c r="BX50" s="54">
        <v>0.33333333333333331</v>
      </c>
      <c r="BY50" s="54">
        <v>0.35</v>
      </c>
      <c r="BZ50" s="12">
        <v>13</v>
      </c>
      <c r="CA50" s="12">
        <v>9</v>
      </c>
      <c r="CB50" s="12">
        <v>1</v>
      </c>
      <c r="CC50" s="12">
        <v>2</v>
      </c>
      <c r="CD50" s="12">
        <v>1</v>
      </c>
      <c r="CE50" s="12">
        <v>0</v>
      </c>
      <c r="CF50" s="12">
        <v>4</v>
      </c>
      <c r="CG50" s="12">
        <v>1</v>
      </c>
      <c r="CH50" s="12">
        <v>1</v>
      </c>
      <c r="CI50" s="12">
        <v>0</v>
      </c>
      <c r="CJ50" s="12">
        <v>1</v>
      </c>
      <c r="CK50" s="12">
        <v>0</v>
      </c>
      <c r="CL50" s="12">
        <v>5</v>
      </c>
      <c r="CM50" s="12">
        <v>3</v>
      </c>
      <c r="CN50" s="12">
        <v>0</v>
      </c>
      <c r="CO50" s="12">
        <v>0</v>
      </c>
      <c r="CP50" s="12">
        <v>4</v>
      </c>
      <c r="CQ50" s="12">
        <v>0</v>
      </c>
      <c r="CR50" s="12">
        <v>6</v>
      </c>
      <c r="CS50" s="12">
        <v>0</v>
      </c>
      <c r="CT50" s="12">
        <v>2</v>
      </c>
      <c r="CU50" s="12">
        <v>0</v>
      </c>
      <c r="CV50" s="12">
        <v>1</v>
      </c>
      <c r="CW50" s="12">
        <v>0</v>
      </c>
      <c r="CX50" s="12">
        <v>10</v>
      </c>
      <c r="CY50" s="12">
        <v>1</v>
      </c>
      <c r="CZ50" s="12">
        <v>0</v>
      </c>
      <c r="DA50" s="12">
        <v>0</v>
      </c>
      <c r="DB50" s="12">
        <v>0</v>
      </c>
      <c r="DC50" s="12">
        <v>0</v>
      </c>
      <c r="DD50" s="12">
        <v>1</v>
      </c>
      <c r="DE50" s="12">
        <v>1</v>
      </c>
      <c r="DF50" s="12">
        <v>9</v>
      </c>
      <c r="DG50" s="12">
        <v>12</v>
      </c>
      <c r="DH50" s="12">
        <v>0</v>
      </c>
      <c r="DI50" s="12">
        <v>0</v>
      </c>
      <c r="DJ50" s="12">
        <v>0</v>
      </c>
      <c r="DK50" s="12">
        <v>0</v>
      </c>
      <c r="DL50" s="12">
        <v>6</v>
      </c>
      <c r="DM50" s="12">
        <v>7</v>
      </c>
      <c r="DN50" s="12">
        <v>8</v>
      </c>
      <c r="DO50" s="12">
        <v>17</v>
      </c>
      <c r="DP50" s="12">
        <v>7</v>
      </c>
      <c r="DQ50" s="12">
        <v>11</v>
      </c>
      <c r="DR50" s="12">
        <v>1</v>
      </c>
      <c r="DS50" s="12">
        <v>2</v>
      </c>
      <c r="DT50" s="12">
        <v>9</v>
      </c>
      <c r="DU50" s="12">
        <v>21</v>
      </c>
      <c r="DV50" s="12">
        <v>0</v>
      </c>
      <c r="DW50" s="12">
        <v>0</v>
      </c>
      <c r="DX50" s="12">
        <v>76</v>
      </c>
      <c r="DY50" s="12">
        <v>17</v>
      </c>
      <c r="DZ50" s="12">
        <v>33</v>
      </c>
      <c r="EA50" s="16">
        <v>0.51515151515151514</v>
      </c>
      <c r="EB50" s="12">
        <v>10</v>
      </c>
      <c r="EC50" s="12">
        <v>34</v>
      </c>
      <c r="ED50" s="16">
        <v>0.29411764705882354</v>
      </c>
      <c r="EE50" s="12">
        <v>27</v>
      </c>
      <c r="EF50" s="12">
        <v>67</v>
      </c>
      <c r="EG50" s="16">
        <v>0.40298507462686567</v>
      </c>
      <c r="EH50" s="12">
        <v>12</v>
      </c>
      <c r="EI50" s="12">
        <v>13</v>
      </c>
      <c r="EJ50" s="16">
        <v>0.92307692307692313</v>
      </c>
      <c r="EK50" s="12">
        <v>16</v>
      </c>
      <c r="EL50" s="12">
        <v>14</v>
      </c>
      <c r="EM50" s="12">
        <v>30</v>
      </c>
      <c r="EN50" s="12">
        <v>19</v>
      </c>
      <c r="EO50" s="12">
        <v>20</v>
      </c>
      <c r="EP50" s="12">
        <v>21</v>
      </c>
      <c r="EQ50" s="12">
        <v>9</v>
      </c>
      <c r="ER50" s="12">
        <v>10</v>
      </c>
      <c r="ES50" s="12">
        <v>1</v>
      </c>
      <c r="ET50" s="12">
        <v>2</v>
      </c>
      <c r="EU50" s="12">
        <v>83</v>
      </c>
      <c r="EV50" s="12">
        <v>-6</v>
      </c>
      <c r="EW50" s="12">
        <v>67</v>
      </c>
      <c r="EX50" s="12">
        <v>83</v>
      </c>
      <c r="EY50" s="12">
        <v>3</v>
      </c>
      <c r="EZ50" s="12">
        <v>9</v>
      </c>
      <c r="FA50" s="12">
        <v>9</v>
      </c>
      <c r="FB50" s="12">
        <v>1</v>
      </c>
      <c r="FC50" s="12">
        <v>2</v>
      </c>
      <c r="FD50" s="12">
        <v>0</v>
      </c>
      <c r="FE50" s="12">
        <v>0</v>
      </c>
      <c r="FF50" s="12">
        <v>2</v>
      </c>
      <c r="FG50" s="12">
        <v>0</v>
      </c>
      <c r="FH50" s="12">
        <v>2</v>
      </c>
      <c r="FI50" s="12">
        <v>0</v>
      </c>
      <c r="FJ50" s="12">
        <v>0</v>
      </c>
      <c r="FK50" s="12">
        <v>0</v>
      </c>
      <c r="FL50" s="12">
        <v>12</v>
      </c>
      <c r="FM50" s="12">
        <v>3</v>
      </c>
      <c r="FN50" s="12">
        <v>0</v>
      </c>
      <c r="FO50" s="12">
        <v>0</v>
      </c>
      <c r="FP50" s="12">
        <v>0</v>
      </c>
      <c r="FQ50" s="12">
        <v>0</v>
      </c>
      <c r="FR50" s="12">
        <v>4</v>
      </c>
      <c r="FS50" s="12">
        <v>1</v>
      </c>
      <c r="FT50" s="12">
        <v>3</v>
      </c>
      <c r="FU50" s="12">
        <v>0</v>
      </c>
      <c r="FV50" s="12">
        <v>0</v>
      </c>
      <c r="FW50" s="12">
        <v>0</v>
      </c>
      <c r="FX50" s="12">
        <v>7</v>
      </c>
      <c r="FY50" s="12">
        <v>1</v>
      </c>
      <c r="FZ50" s="12">
        <v>0</v>
      </c>
      <c r="GA50" s="12">
        <v>0</v>
      </c>
      <c r="GB50" s="12">
        <v>0</v>
      </c>
      <c r="GC50" s="12">
        <v>0</v>
      </c>
      <c r="GD50" s="12">
        <v>1</v>
      </c>
      <c r="GE50" s="12">
        <v>1</v>
      </c>
      <c r="GF50" s="12">
        <v>11</v>
      </c>
      <c r="GG50" s="12">
        <v>12</v>
      </c>
      <c r="GH50" s="12">
        <v>0</v>
      </c>
      <c r="GI50" s="12">
        <v>0</v>
      </c>
      <c r="GJ50" s="12">
        <v>0</v>
      </c>
      <c r="GK50" s="12">
        <v>0</v>
      </c>
      <c r="GL50" s="12">
        <v>7</v>
      </c>
      <c r="GM50" s="12">
        <v>11</v>
      </c>
      <c r="GN50" s="12">
        <v>10</v>
      </c>
      <c r="GO50" s="12">
        <v>18</v>
      </c>
      <c r="GP50" s="12">
        <v>0</v>
      </c>
      <c r="GQ50" s="12">
        <v>4</v>
      </c>
      <c r="GR50" s="12">
        <v>2</v>
      </c>
      <c r="GS50" s="12">
        <v>3</v>
      </c>
      <c r="GT50" s="12">
        <v>8</v>
      </c>
      <c r="GU50" s="12">
        <v>31</v>
      </c>
      <c r="GV50" s="12">
        <v>0</v>
      </c>
      <c r="GW50" s="12">
        <v>0</v>
      </c>
      <c r="GY50" s="16"/>
    </row>
    <row r="51" spans="2:207" ht="15" customHeight="1" x14ac:dyDescent="0.2">
      <c r="B51" s="12">
        <v>3</v>
      </c>
      <c r="C51" s="12" t="s">
        <v>264</v>
      </c>
      <c r="D51" s="12" t="s">
        <v>301</v>
      </c>
      <c r="E51" s="14" t="s">
        <v>266</v>
      </c>
      <c r="F51" s="14" t="s">
        <v>302</v>
      </c>
      <c r="G51" s="15">
        <v>45217</v>
      </c>
      <c r="H51" s="15" t="s">
        <v>268</v>
      </c>
      <c r="I51" s="12" t="s">
        <v>269</v>
      </c>
      <c r="J51" s="12" t="s">
        <v>272</v>
      </c>
      <c r="K51" s="12">
        <v>200</v>
      </c>
      <c r="L51" s="12">
        <v>76</v>
      </c>
      <c r="M51" s="12">
        <v>17</v>
      </c>
      <c r="N51" s="12">
        <v>33</v>
      </c>
      <c r="O51" s="16">
        <v>0.51515151515151514</v>
      </c>
      <c r="P51" s="12">
        <v>10</v>
      </c>
      <c r="Q51" s="12">
        <v>34</v>
      </c>
      <c r="R51" s="16">
        <v>0.29411764705882354</v>
      </c>
      <c r="S51" s="12">
        <v>27</v>
      </c>
      <c r="T51" s="12">
        <v>67</v>
      </c>
      <c r="U51" s="16">
        <v>0.40298507462686567</v>
      </c>
      <c r="V51" s="12">
        <v>12</v>
      </c>
      <c r="W51" s="12">
        <v>13</v>
      </c>
      <c r="X51" s="16">
        <v>0.92307692307692313</v>
      </c>
      <c r="Y51" s="12">
        <v>16</v>
      </c>
      <c r="Z51" s="12">
        <v>14</v>
      </c>
      <c r="AA51" s="12">
        <v>30</v>
      </c>
      <c r="AB51" s="12">
        <v>19</v>
      </c>
      <c r="AC51" s="12">
        <v>10</v>
      </c>
      <c r="AD51" s="12">
        <v>9</v>
      </c>
      <c r="AE51" s="12">
        <v>1</v>
      </c>
      <c r="AF51" s="12">
        <v>2</v>
      </c>
      <c r="AG51" s="12">
        <v>20</v>
      </c>
      <c r="AH51" s="12">
        <v>21</v>
      </c>
      <c r="AI51" s="17">
        <v>83</v>
      </c>
      <c r="AJ51" s="12">
        <v>-6</v>
      </c>
      <c r="AK51" s="12">
        <v>67</v>
      </c>
      <c r="AL51" s="12">
        <v>83</v>
      </c>
      <c r="AM51" s="19">
        <v>0.91566265060240959</v>
      </c>
      <c r="AN51" s="19">
        <v>1.0512820512820513</v>
      </c>
      <c r="AO51" s="18">
        <v>113.43283582089552</v>
      </c>
      <c r="AP51" s="18">
        <v>124.24242424242425</v>
      </c>
      <c r="AQ51" s="18">
        <v>-10.80958842152873</v>
      </c>
      <c r="AR51" s="53">
        <v>0.47761194029850745</v>
      </c>
      <c r="AS51" s="53">
        <v>0.52054794520547942</v>
      </c>
      <c r="AT51" s="16">
        <v>0.13253012048192772</v>
      </c>
      <c r="AU51" s="19">
        <v>1.2727272727272727</v>
      </c>
      <c r="AV51" s="16">
        <v>0.21686746987951808</v>
      </c>
      <c r="AW51" s="19">
        <v>1.1111111111111112</v>
      </c>
      <c r="AX51" s="16">
        <v>4.8192771084337352E-2</v>
      </c>
      <c r="AY51" s="19">
        <v>0</v>
      </c>
      <c r="AZ51" s="16">
        <v>3.614457831325301E-2</v>
      </c>
      <c r="BA51" s="19">
        <v>2</v>
      </c>
      <c r="BB51" s="16">
        <v>0.37349397590361444</v>
      </c>
      <c r="BC51" s="21">
        <v>0.77419354838709675</v>
      </c>
      <c r="BD51" s="16">
        <v>7.2289156626506021E-2</v>
      </c>
      <c r="BE51" s="16">
        <v>0.12048192771084337</v>
      </c>
      <c r="BF51" s="16">
        <v>0.5757575757575758</v>
      </c>
      <c r="BG51" s="16">
        <v>0.52941176470588236</v>
      </c>
      <c r="BH51" s="16">
        <v>0.9</v>
      </c>
      <c r="BI51" s="16">
        <v>0.16666666666666666</v>
      </c>
      <c r="BJ51" s="16">
        <v>0.2289156626506024</v>
      </c>
      <c r="BK51" s="21">
        <v>1.9</v>
      </c>
      <c r="BL51" s="16">
        <v>0.41025641025641024</v>
      </c>
      <c r="BM51" s="16">
        <v>0.25</v>
      </c>
      <c r="BN51" s="16">
        <v>0.55555555555555558</v>
      </c>
      <c r="BO51" s="16" t="s">
        <v>269</v>
      </c>
      <c r="BP51" s="16">
        <v>0.53846153846153844</v>
      </c>
      <c r="BQ51" s="16">
        <v>0.53333333333333333</v>
      </c>
      <c r="BR51" s="16">
        <v>0.47058823529411764</v>
      </c>
      <c r="BS51" s="16" t="s">
        <v>269</v>
      </c>
      <c r="BT51" s="16">
        <v>0.46153846153846156</v>
      </c>
      <c r="BU51" s="16">
        <v>0.13636363636363635</v>
      </c>
      <c r="BV51" s="16">
        <v>1.7241379310344827E-2</v>
      </c>
      <c r="BW51" s="54">
        <v>3</v>
      </c>
      <c r="BX51" s="54">
        <v>0.35</v>
      </c>
      <c r="BY51" s="54">
        <v>0.33333333333333331</v>
      </c>
      <c r="BZ51" s="12">
        <v>9</v>
      </c>
      <c r="CA51" s="12">
        <v>9</v>
      </c>
      <c r="CB51" s="12">
        <v>1</v>
      </c>
      <c r="CC51" s="12">
        <v>2</v>
      </c>
      <c r="CD51" s="12">
        <v>0</v>
      </c>
      <c r="CE51" s="12">
        <v>0</v>
      </c>
      <c r="CF51" s="12">
        <v>2</v>
      </c>
      <c r="CG51" s="12">
        <v>0</v>
      </c>
      <c r="CH51" s="12">
        <v>2</v>
      </c>
      <c r="CI51" s="12">
        <v>0</v>
      </c>
      <c r="CJ51" s="12">
        <v>0</v>
      </c>
      <c r="CK51" s="12">
        <v>0</v>
      </c>
      <c r="CL51" s="12">
        <v>12</v>
      </c>
      <c r="CM51" s="12">
        <v>3</v>
      </c>
      <c r="CN51" s="12">
        <v>0</v>
      </c>
      <c r="CO51" s="12">
        <v>0</v>
      </c>
      <c r="CP51" s="12">
        <v>0</v>
      </c>
      <c r="CQ51" s="12">
        <v>0</v>
      </c>
      <c r="CR51" s="12">
        <v>4</v>
      </c>
      <c r="CS51" s="12">
        <v>1</v>
      </c>
      <c r="CT51" s="12">
        <v>3</v>
      </c>
      <c r="CU51" s="12">
        <v>0</v>
      </c>
      <c r="CV51" s="12">
        <v>0</v>
      </c>
      <c r="CW51" s="12">
        <v>0</v>
      </c>
      <c r="CX51" s="12">
        <v>7</v>
      </c>
      <c r="CY51" s="12">
        <v>1</v>
      </c>
      <c r="CZ51" s="12">
        <v>0</v>
      </c>
      <c r="DA51" s="12">
        <v>0</v>
      </c>
      <c r="DB51" s="12">
        <v>0</v>
      </c>
      <c r="DC51" s="12">
        <v>0</v>
      </c>
      <c r="DD51" s="12">
        <v>1</v>
      </c>
      <c r="DE51" s="12">
        <v>1</v>
      </c>
      <c r="DF51" s="12">
        <v>11</v>
      </c>
      <c r="DG51" s="12">
        <v>12</v>
      </c>
      <c r="DH51" s="12">
        <v>0</v>
      </c>
      <c r="DI51" s="12">
        <v>0</v>
      </c>
      <c r="DJ51" s="12">
        <v>0</v>
      </c>
      <c r="DK51" s="12">
        <v>0</v>
      </c>
      <c r="DL51" s="12">
        <v>7</v>
      </c>
      <c r="DM51" s="12">
        <v>11</v>
      </c>
      <c r="DN51" s="12">
        <v>10</v>
      </c>
      <c r="DO51" s="12">
        <v>18</v>
      </c>
      <c r="DP51" s="12">
        <v>0</v>
      </c>
      <c r="DQ51" s="12">
        <v>4</v>
      </c>
      <c r="DR51" s="12">
        <v>2</v>
      </c>
      <c r="DS51" s="12">
        <v>3</v>
      </c>
      <c r="DT51" s="12">
        <v>8</v>
      </c>
      <c r="DU51" s="12">
        <v>31</v>
      </c>
      <c r="DV51" s="12">
        <v>0</v>
      </c>
      <c r="DW51" s="12">
        <v>0</v>
      </c>
      <c r="DX51" s="12">
        <v>82</v>
      </c>
      <c r="DY51" s="12">
        <v>21</v>
      </c>
      <c r="DZ51" s="12">
        <v>35</v>
      </c>
      <c r="EA51" s="16">
        <v>0.6</v>
      </c>
      <c r="EB51" s="12">
        <v>10</v>
      </c>
      <c r="EC51" s="12">
        <v>23</v>
      </c>
      <c r="ED51" s="16">
        <v>0.43478260869565216</v>
      </c>
      <c r="EE51" s="12">
        <v>31</v>
      </c>
      <c r="EF51" s="12">
        <v>58</v>
      </c>
      <c r="EG51" s="16">
        <v>0.53448275862068961</v>
      </c>
      <c r="EH51" s="12">
        <v>10</v>
      </c>
      <c r="EI51" s="12">
        <v>13</v>
      </c>
      <c r="EJ51" s="16">
        <v>0.76923076923076927</v>
      </c>
      <c r="EK51" s="12">
        <v>12</v>
      </c>
      <c r="EL51" s="12">
        <v>23</v>
      </c>
      <c r="EM51" s="12">
        <v>35</v>
      </c>
      <c r="EN51" s="12">
        <v>23</v>
      </c>
      <c r="EO51" s="12">
        <v>21</v>
      </c>
      <c r="EP51" s="12">
        <v>20</v>
      </c>
      <c r="EQ51" s="12">
        <v>5</v>
      </c>
      <c r="ER51" s="12">
        <v>14</v>
      </c>
      <c r="ES51" s="12">
        <v>2</v>
      </c>
      <c r="ET51" s="12">
        <v>1</v>
      </c>
      <c r="EU51" s="12">
        <v>101</v>
      </c>
      <c r="EV51" s="12">
        <v>6</v>
      </c>
      <c r="EW51" s="12">
        <v>66</v>
      </c>
      <c r="EX51" s="12">
        <v>78</v>
      </c>
      <c r="EY51" s="12">
        <v>8</v>
      </c>
      <c r="EZ51" s="12">
        <v>13</v>
      </c>
      <c r="FA51" s="12">
        <v>9</v>
      </c>
      <c r="FB51" s="12">
        <v>1</v>
      </c>
      <c r="FC51" s="12">
        <v>2</v>
      </c>
      <c r="FD51" s="12">
        <v>1</v>
      </c>
      <c r="FE51" s="12">
        <v>0</v>
      </c>
      <c r="FF51" s="12">
        <v>4</v>
      </c>
      <c r="FG51" s="12">
        <v>1</v>
      </c>
      <c r="FH51" s="12">
        <v>1</v>
      </c>
      <c r="FI51" s="12">
        <v>0</v>
      </c>
      <c r="FJ51" s="12">
        <v>1</v>
      </c>
      <c r="FK51" s="12">
        <v>0</v>
      </c>
      <c r="FL51" s="12">
        <v>5</v>
      </c>
      <c r="FM51" s="12">
        <v>3</v>
      </c>
      <c r="FN51" s="12">
        <v>0</v>
      </c>
      <c r="FO51" s="12">
        <v>0</v>
      </c>
      <c r="FP51" s="12">
        <v>4</v>
      </c>
      <c r="FQ51" s="12">
        <v>0</v>
      </c>
      <c r="FR51" s="12">
        <v>6</v>
      </c>
      <c r="FS51" s="12">
        <v>0</v>
      </c>
      <c r="FT51" s="12">
        <v>2</v>
      </c>
      <c r="FU51" s="12">
        <v>0</v>
      </c>
      <c r="FV51" s="12">
        <v>1</v>
      </c>
      <c r="FW51" s="12">
        <v>0</v>
      </c>
      <c r="FX51" s="12">
        <v>10</v>
      </c>
      <c r="FY51" s="12">
        <v>1</v>
      </c>
      <c r="FZ51" s="12">
        <v>0</v>
      </c>
      <c r="GA51" s="12">
        <v>0</v>
      </c>
      <c r="GB51" s="12">
        <v>0</v>
      </c>
      <c r="GC51" s="12">
        <v>0</v>
      </c>
      <c r="GD51" s="12">
        <v>1</v>
      </c>
      <c r="GE51" s="12">
        <v>1</v>
      </c>
      <c r="GF51" s="12">
        <v>9</v>
      </c>
      <c r="GG51" s="12">
        <v>12</v>
      </c>
      <c r="GH51" s="12">
        <v>0</v>
      </c>
      <c r="GI51" s="12">
        <v>0</v>
      </c>
      <c r="GJ51" s="12">
        <v>0</v>
      </c>
      <c r="GK51" s="12">
        <v>0</v>
      </c>
      <c r="GL51" s="12">
        <v>6</v>
      </c>
      <c r="GM51" s="12">
        <v>7</v>
      </c>
      <c r="GN51" s="12">
        <v>8</v>
      </c>
      <c r="GO51" s="12">
        <v>17</v>
      </c>
      <c r="GP51" s="12">
        <v>7</v>
      </c>
      <c r="GQ51" s="12">
        <v>11</v>
      </c>
      <c r="GR51" s="12">
        <v>1</v>
      </c>
      <c r="GS51" s="12">
        <v>2</v>
      </c>
      <c r="GT51" s="12">
        <v>9</v>
      </c>
      <c r="GU51" s="12">
        <v>21</v>
      </c>
      <c r="GV51" s="12">
        <v>0</v>
      </c>
      <c r="GW51" s="12">
        <v>0</v>
      </c>
      <c r="GY51" s="16"/>
    </row>
    <row r="52" spans="2:207" ht="15" customHeight="1" x14ac:dyDescent="0.2">
      <c r="B52" s="12">
        <v>3</v>
      </c>
      <c r="C52" s="12" t="s">
        <v>273</v>
      </c>
      <c r="D52" s="12" t="s">
        <v>93</v>
      </c>
      <c r="E52" s="14" t="s">
        <v>275</v>
      </c>
      <c r="F52" s="14" t="s">
        <v>303</v>
      </c>
      <c r="G52" s="15">
        <v>45217</v>
      </c>
      <c r="H52" s="15" t="s">
        <v>271</v>
      </c>
      <c r="I52" s="12" t="s">
        <v>269</v>
      </c>
      <c r="J52" s="12" t="s">
        <v>272</v>
      </c>
      <c r="K52" s="12">
        <v>200</v>
      </c>
      <c r="L52" s="12">
        <v>66</v>
      </c>
      <c r="M52" s="12">
        <v>15</v>
      </c>
      <c r="N52" s="12">
        <v>30</v>
      </c>
      <c r="O52" s="16">
        <v>0.5</v>
      </c>
      <c r="P52" s="12">
        <v>8</v>
      </c>
      <c r="Q52" s="12">
        <v>26</v>
      </c>
      <c r="R52" s="16">
        <v>0.30769230769230771</v>
      </c>
      <c r="S52" s="12">
        <v>23</v>
      </c>
      <c r="T52" s="12">
        <v>56</v>
      </c>
      <c r="U52" s="16">
        <v>0.4107142857142857</v>
      </c>
      <c r="V52" s="12">
        <v>12</v>
      </c>
      <c r="W52" s="12">
        <v>17</v>
      </c>
      <c r="X52" s="16">
        <v>0.70588235294117652</v>
      </c>
      <c r="Y52" s="12">
        <v>8</v>
      </c>
      <c r="Z52" s="12">
        <v>19</v>
      </c>
      <c r="AA52" s="12">
        <v>27</v>
      </c>
      <c r="AB52" s="12">
        <v>18</v>
      </c>
      <c r="AC52" s="12">
        <v>15</v>
      </c>
      <c r="AD52" s="12">
        <v>2</v>
      </c>
      <c r="AE52" s="12">
        <v>3</v>
      </c>
      <c r="AF52" s="12">
        <v>3</v>
      </c>
      <c r="AG52" s="12">
        <v>19</v>
      </c>
      <c r="AH52" s="12">
        <v>18</v>
      </c>
      <c r="AI52" s="17">
        <v>59</v>
      </c>
      <c r="AJ52" s="12">
        <v>-9</v>
      </c>
      <c r="AK52" s="12">
        <v>70</v>
      </c>
      <c r="AL52" s="12">
        <v>78</v>
      </c>
      <c r="AM52" s="19">
        <v>0.84615384615384615</v>
      </c>
      <c r="AN52" s="19">
        <v>0.92592592592592593</v>
      </c>
      <c r="AO52" s="18">
        <v>94.285714285714278</v>
      </c>
      <c r="AP52" s="18">
        <v>107.14285714285714</v>
      </c>
      <c r="AQ52" s="18">
        <v>-12.857142857142861</v>
      </c>
      <c r="AR52" s="53">
        <v>0.48214285714285715</v>
      </c>
      <c r="AS52" s="53">
        <v>0.52380952380952384</v>
      </c>
      <c r="AT52" s="16">
        <v>0.17948717948717949</v>
      </c>
      <c r="AU52" s="19">
        <v>1.1428571428571428</v>
      </c>
      <c r="AV52" s="16">
        <v>0.16666666666666666</v>
      </c>
      <c r="AW52" s="19">
        <v>0.76923076923076927</v>
      </c>
      <c r="AX52" s="16">
        <v>3.8461538461538464E-2</v>
      </c>
      <c r="AY52" s="19">
        <v>1.3333333333333333</v>
      </c>
      <c r="AZ52" s="16">
        <v>2.564102564102564E-2</v>
      </c>
      <c r="BA52" s="19">
        <v>1.5</v>
      </c>
      <c r="BB52" s="16">
        <v>0.29487179487179488</v>
      </c>
      <c r="BC52" s="21">
        <v>0.91304347826086951</v>
      </c>
      <c r="BD52" s="16">
        <v>8.9743589743589744E-2</v>
      </c>
      <c r="BE52" s="16">
        <v>0.19230769230769232</v>
      </c>
      <c r="BF52" s="16">
        <v>0.6</v>
      </c>
      <c r="BG52" s="16">
        <v>0.73333333333333328</v>
      </c>
      <c r="BH52" s="16">
        <v>0.75</v>
      </c>
      <c r="BI52" s="16">
        <v>0.14285714285714285</v>
      </c>
      <c r="BJ52" s="16">
        <v>0.23076923076923078</v>
      </c>
      <c r="BK52" s="21">
        <v>1.2</v>
      </c>
      <c r="BL52" s="16">
        <v>0.25</v>
      </c>
      <c r="BM52" s="16">
        <v>0.2</v>
      </c>
      <c r="BN52" s="16">
        <v>0.35294117647058826</v>
      </c>
      <c r="BO52" s="16">
        <v>0</v>
      </c>
      <c r="BP52" s="16">
        <v>0.6333333333333333</v>
      </c>
      <c r="BQ52" s="16">
        <v>0.56521739130434778</v>
      </c>
      <c r="BR52" s="16">
        <v>0.63636363636363635</v>
      </c>
      <c r="BS52" s="16" t="s">
        <v>269</v>
      </c>
      <c r="BT52" s="16">
        <v>0.43548387096774194</v>
      </c>
      <c r="BU52" s="16">
        <v>2.8571428571428571E-2</v>
      </c>
      <c r="BV52" s="16">
        <v>5.2631578947368418E-2</v>
      </c>
      <c r="BW52" s="54">
        <v>5</v>
      </c>
      <c r="BX52" s="54">
        <v>0.42105263157894735</v>
      </c>
      <c r="BY52" s="54">
        <v>0.44444444444444442</v>
      </c>
      <c r="BZ52" s="12">
        <v>11</v>
      </c>
      <c r="CA52" s="12">
        <v>6</v>
      </c>
      <c r="CB52" s="12">
        <v>1</v>
      </c>
      <c r="CC52" s="12">
        <v>2</v>
      </c>
      <c r="CD52" s="12">
        <v>1</v>
      </c>
      <c r="CE52" s="12">
        <v>0</v>
      </c>
      <c r="CF52" s="12">
        <v>2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5</v>
      </c>
      <c r="CM52" s="12">
        <v>1</v>
      </c>
      <c r="CN52" s="12">
        <v>0</v>
      </c>
      <c r="CO52" s="12">
        <v>0</v>
      </c>
      <c r="CP52" s="12">
        <v>2</v>
      </c>
      <c r="CQ52" s="12">
        <v>0</v>
      </c>
      <c r="CR52" s="12">
        <v>2</v>
      </c>
      <c r="CS52" s="12">
        <v>1</v>
      </c>
      <c r="CT52" s="12">
        <v>8</v>
      </c>
      <c r="CU52" s="12">
        <v>0</v>
      </c>
      <c r="CV52" s="12">
        <v>0</v>
      </c>
      <c r="CW52" s="12">
        <v>0</v>
      </c>
      <c r="CX52" s="12">
        <v>6</v>
      </c>
      <c r="CY52" s="12">
        <v>1</v>
      </c>
      <c r="CZ52" s="12">
        <v>0</v>
      </c>
      <c r="DA52" s="12">
        <v>0</v>
      </c>
      <c r="DB52" s="12">
        <v>1</v>
      </c>
      <c r="DC52" s="12">
        <v>2</v>
      </c>
      <c r="DD52" s="12">
        <v>0</v>
      </c>
      <c r="DE52" s="12">
        <v>1</v>
      </c>
      <c r="DF52" s="12">
        <v>11</v>
      </c>
      <c r="DG52" s="12">
        <v>14</v>
      </c>
      <c r="DH52" s="12">
        <v>0</v>
      </c>
      <c r="DI52" s="12">
        <v>0</v>
      </c>
      <c r="DJ52" s="12">
        <v>0</v>
      </c>
      <c r="DK52" s="12">
        <v>0</v>
      </c>
      <c r="DL52" s="12">
        <v>8</v>
      </c>
      <c r="DM52" s="12">
        <v>14</v>
      </c>
      <c r="DN52" s="12">
        <v>5</v>
      </c>
      <c r="DO52" s="12">
        <v>13</v>
      </c>
      <c r="DP52" s="12">
        <v>2</v>
      </c>
      <c r="DQ52" s="12">
        <v>3</v>
      </c>
      <c r="DR52" s="12">
        <v>1</v>
      </c>
      <c r="DS52" s="12">
        <v>2</v>
      </c>
      <c r="DT52" s="12">
        <v>7</v>
      </c>
      <c r="DU52" s="12">
        <v>23</v>
      </c>
      <c r="DV52" s="12">
        <v>0</v>
      </c>
      <c r="DW52" s="12">
        <v>1</v>
      </c>
      <c r="DX52" s="12">
        <v>75</v>
      </c>
      <c r="DY52" s="12">
        <v>20</v>
      </c>
      <c r="DZ52" s="12">
        <v>41</v>
      </c>
      <c r="EA52" s="16">
        <v>0.48780487804878048</v>
      </c>
      <c r="EB52" s="12">
        <v>7</v>
      </c>
      <c r="EC52" s="12">
        <v>16</v>
      </c>
      <c r="ED52" s="16">
        <v>0.4375</v>
      </c>
      <c r="EE52" s="12">
        <v>27</v>
      </c>
      <c r="EF52" s="12">
        <v>57</v>
      </c>
      <c r="EG52" s="16">
        <v>0.47368421052631576</v>
      </c>
      <c r="EH52" s="12">
        <v>14</v>
      </c>
      <c r="EI52" s="12">
        <v>17</v>
      </c>
      <c r="EJ52" s="16">
        <v>0.82352941176470584</v>
      </c>
      <c r="EK52" s="12">
        <v>11</v>
      </c>
      <c r="EL52" s="12">
        <v>24</v>
      </c>
      <c r="EM52" s="12">
        <v>35</v>
      </c>
      <c r="EN52" s="12">
        <v>20</v>
      </c>
      <c r="EO52" s="12">
        <v>20</v>
      </c>
      <c r="EP52" s="12">
        <v>19</v>
      </c>
      <c r="EQ52" s="12">
        <v>8</v>
      </c>
      <c r="ER52" s="12">
        <v>16</v>
      </c>
      <c r="ES52" s="12">
        <v>3</v>
      </c>
      <c r="ET52" s="12">
        <v>3</v>
      </c>
      <c r="EU52" s="12">
        <v>88</v>
      </c>
      <c r="EV52" s="12">
        <v>9</v>
      </c>
      <c r="EW52" s="12">
        <v>70</v>
      </c>
      <c r="EX52" s="12">
        <v>81</v>
      </c>
      <c r="EY52" s="12">
        <v>5</v>
      </c>
      <c r="EZ52" s="12">
        <v>11</v>
      </c>
      <c r="FA52" s="12">
        <v>6</v>
      </c>
      <c r="FB52" s="12">
        <v>3</v>
      </c>
      <c r="FC52" s="12">
        <v>7</v>
      </c>
      <c r="FD52" s="12">
        <v>2</v>
      </c>
      <c r="FE52" s="12">
        <v>1</v>
      </c>
      <c r="FF52" s="12">
        <v>3</v>
      </c>
      <c r="FG52" s="12">
        <v>1</v>
      </c>
      <c r="FH52" s="12">
        <v>3</v>
      </c>
      <c r="FI52" s="12">
        <v>0</v>
      </c>
      <c r="FJ52" s="12">
        <v>0</v>
      </c>
      <c r="FK52" s="12">
        <v>0</v>
      </c>
      <c r="FL52" s="12">
        <v>3</v>
      </c>
      <c r="FM52" s="12">
        <v>1</v>
      </c>
      <c r="FN52" s="12">
        <v>0</v>
      </c>
      <c r="FO52" s="12">
        <v>0</v>
      </c>
      <c r="FP52" s="12">
        <v>5</v>
      </c>
      <c r="FQ52" s="12">
        <v>0</v>
      </c>
      <c r="FR52" s="12">
        <v>6</v>
      </c>
      <c r="FS52" s="12">
        <v>0</v>
      </c>
      <c r="FT52" s="12">
        <v>1</v>
      </c>
      <c r="FU52" s="12">
        <v>0</v>
      </c>
      <c r="FV52" s="12">
        <v>1</v>
      </c>
      <c r="FW52" s="12">
        <v>0</v>
      </c>
      <c r="FX52" s="12">
        <v>10</v>
      </c>
      <c r="FY52" s="12">
        <v>0</v>
      </c>
      <c r="FZ52" s="12">
        <v>1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11</v>
      </c>
      <c r="GG52" s="12">
        <v>14</v>
      </c>
      <c r="GH52" s="12">
        <v>0</v>
      </c>
      <c r="GI52" s="12">
        <v>3</v>
      </c>
      <c r="GJ52" s="12">
        <v>3</v>
      </c>
      <c r="GK52" s="12">
        <v>0</v>
      </c>
      <c r="GL52" s="12">
        <v>18</v>
      </c>
      <c r="GM52" s="12">
        <v>22</v>
      </c>
      <c r="GN52" s="12">
        <v>2</v>
      </c>
      <c r="GO52" s="12">
        <v>8</v>
      </c>
      <c r="GP52" s="12">
        <v>0</v>
      </c>
      <c r="GQ52" s="12">
        <v>11</v>
      </c>
      <c r="GR52" s="12">
        <v>0</v>
      </c>
      <c r="GS52" s="12">
        <v>0</v>
      </c>
      <c r="GT52" s="12">
        <v>7</v>
      </c>
      <c r="GU52" s="12">
        <v>16</v>
      </c>
      <c r="GV52" s="12">
        <v>0</v>
      </c>
      <c r="GW52" s="12">
        <v>0</v>
      </c>
      <c r="GY52" s="16"/>
    </row>
    <row r="53" spans="2:207" ht="15" customHeight="1" x14ac:dyDescent="0.2">
      <c r="B53" s="12">
        <v>3</v>
      </c>
      <c r="C53" s="12" t="s">
        <v>93</v>
      </c>
      <c r="D53" s="12" t="s">
        <v>273</v>
      </c>
      <c r="E53" s="14" t="s">
        <v>303</v>
      </c>
      <c r="F53" s="14" t="s">
        <v>275</v>
      </c>
      <c r="G53" s="15">
        <v>45217</v>
      </c>
      <c r="H53" s="15" t="s">
        <v>268</v>
      </c>
      <c r="I53" s="12" t="s">
        <v>269</v>
      </c>
      <c r="J53" s="12" t="s">
        <v>270</v>
      </c>
      <c r="K53" s="12">
        <v>200</v>
      </c>
      <c r="L53" s="12">
        <v>75</v>
      </c>
      <c r="M53" s="12">
        <v>20</v>
      </c>
      <c r="N53" s="12">
        <v>41</v>
      </c>
      <c r="O53" s="16">
        <v>0.48780487804878048</v>
      </c>
      <c r="P53" s="12">
        <v>7</v>
      </c>
      <c r="Q53" s="12">
        <v>16</v>
      </c>
      <c r="R53" s="16">
        <v>0.4375</v>
      </c>
      <c r="S53" s="12">
        <v>27</v>
      </c>
      <c r="T53" s="12">
        <v>57</v>
      </c>
      <c r="U53" s="16">
        <v>0.47368421052631576</v>
      </c>
      <c r="V53" s="12">
        <v>14</v>
      </c>
      <c r="W53" s="12">
        <v>17</v>
      </c>
      <c r="X53" s="16">
        <v>0.82352941176470584</v>
      </c>
      <c r="Y53" s="12">
        <v>11</v>
      </c>
      <c r="Z53" s="12">
        <v>24</v>
      </c>
      <c r="AA53" s="12">
        <v>35</v>
      </c>
      <c r="AB53" s="12">
        <v>20</v>
      </c>
      <c r="AC53" s="12">
        <v>16</v>
      </c>
      <c r="AD53" s="12">
        <v>8</v>
      </c>
      <c r="AE53" s="12">
        <v>3</v>
      </c>
      <c r="AF53" s="12">
        <v>3</v>
      </c>
      <c r="AG53" s="12">
        <v>19</v>
      </c>
      <c r="AH53" s="12">
        <v>19</v>
      </c>
      <c r="AI53" s="17">
        <v>89</v>
      </c>
      <c r="AJ53" s="12">
        <v>9</v>
      </c>
      <c r="AK53" s="12">
        <v>70</v>
      </c>
      <c r="AL53" s="12">
        <v>81</v>
      </c>
      <c r="AM53" s="19">
        <v>0.92592592592592593</v>
      </c>
      <c r="AN53" s="19">
        <v>0.84615384615384615</v>
      </c>
      <c r="AO53" s="18">
        <v>107.14285714285714</v>
      </c>
      <c r="AP53" s="18">
        <v>94.285714285714278</v>
      </c>
      <c r="AQ53" s="18">
        <v>12.857142857142861</v>
      </c>
      <c r="AR53" s="53">
        <v>0.53508771929824561</v>
      </c>
      <c r="AS53" s="53">
        <v>0.57692307692307687</v>
      </c>
      <c r="AT53" s="16">
        <v>0.27160493827160492</v>
      </c>
      <c r="AU53" s="19">
        <v>1.6363636363636365</v>
      </c>
      <c r="AV53" s="16">
        <v>9.8765432098765427E-2</v>
      </c>
      <c r="AW53" s="19">
        <v>0.5</v>
      </c>
      <c r="AX53" s="16">
        <v>0.13580246913580246</v>
      </c>
      <c r="AY53" s="19">
        <v>0</v>
      </c>
      <c r="AZ53" s="16">
        <v>0</v>
      </c>
      <c r="BA53" s="19" t="s">
        <v>269</v>
      </c>
      <c r="BB53" s="16">
        <v>0.19753086419753085</v>
      </c>
      <c r="BC53" s="21">
        <v>1.3125</v>
      </c>
      <c r="BD53" s="16">
        <v>9.8765432098765427E-2</v>
      </c>
      <c r="BE53" s="16">
        <v>0.19753086419753085</v>
      </c>
      <c r="BF53" s="16">
        <v>0.5714285714285714</v>
      </c>
      <c r="BG53" s="16">
        <v>0.55000000000000004</v>
      </c>
      <c r="BH53" s="16">
        <v>0.8571428571428571</v>
      </c>
      <c r="BI53" s="16">
        <v>0.375</v>
      </c>
      <c r="BJ53" s="16">
        <v>0.24691358024691357</v>
      </c>
      <c r="BK53" s="21">
        <v>1.25</v>
      </c>
      <c r="BL53" s="16">
        <v>0.36666666666666664</v>
      </c>
      <c r="BM53" s="16">
        <v>0.43478260869565216</v>
      </c>
      <c r="BN53" s="16">
        <v>0.36363636363636365</v>
      </c>
      <c r="BO53" s="16" t="s">
        <v>269</v>
      </c>
      <c r="BP53" s="16">
        <v>0.75</v>
      </c>
      <c r="BQ53" s="16">
        <v>0.8</v>
      </c>
      <c r="BR53" s="16">
        <v>0.6470588235294118</v>
      </c>
      <c r="BS53" s="16">
        <v>1</v>
      </c>
      <c r="BT53" s="16">
        <v>0.56451612903225812</v>
      </c>
      <c r="BU53" s="16">
        <v>0.11428571428571428</v>
      </c>
      <c r="BV53" s="16">
        <v>5.3571428571428568E-2</v>
      </c>
      <c r="BW53" s="54">
        <v>5</v>
      </c>
      <c r="BX53" s="54">
        <v>0.36842105263157893</v>
      </c>
      <c r="BY53" s="54">
        <v>0.42105263157894735</v>
      </c>
      <c r="BZ53" s="12">
        <v>11</v>
      </c>
      <c r="CA53" s="12">
        <v>6</v>
      </c>
      <c r="CB53" s="12">
        <v>3</v>
      </c>
      <c r="CC53" s="12">
        <v>7</v>
      </c>
      <c r="CD53" s="12">
        <v>2</v>
      </c>
      <c r="CE53" s="12">
        <v>1</v>
      </c>
      <c r="CF53" s="12">
        <v>3</v>
      </c>
      <c r="CG53" s="12">
        <v>1</v>
      </c>
      <c r="CH53" s="12">
        <v>3</v>
      </c>
      <c r="CI53" s="12">
        <v>0</v>
      </c>
      <c r="CJ53" s="12">
        <v>0</v>
      </c>
      <c r="CK53" s="12">
        <v>0</v>
      </c>
      <c r="CL53" s="12">
        <v>3</v>
      </c>
      <c r="CM53" s="12">
        <v>1</v>
      </c>
      <c r="CN53" s="12">
        <v>0</v>
      </c>
      <c r="CO53" s="12">
        <v>0</v>
      </c>
      <c r="CP53" s="12">
        <v>5</v>
      </c>
      <c r="CQ53" s="12">
        <v>0</v>
      </c>
      <c r="CR53" s="12">
        <v>6</v>
      </c>
      <c r="CS53" s="12">
        <v>0</v>
      </c>
      <c r="CT53" s="12">
        <v>1</v>
      </c>
      <c r="CU53" s="12">
        <v>0</v>
      </c>
      <c r="CV53" s="12">
        <v>1</v>
      </c>
      <c r="CW53" s="12">
        <v>0</v>
      </c>
      <c r="CX53" s="12">
        <v>10</v>
      </c>
      <c r="CY53" s="12">
        <v>0</v>
      </c>
      <c r="CZ53" s="12">
        <v>1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11</v>
      </c>
      <c r="DG53" s="12">
        <v>14</v>
      </c>
      <c r="DH53" s="12">
        <v>0</v>
      </c>
      <c r="DI53" s="12">
        <v>3</v>
      </c>
      <c r="DJ53" s="12">
        <v>3</v>
      </c>
      <c r="DK53" s="12">
        <v>0</v>
      </c>
      <c r="DL53" s="12">
        <v>18</v>
      </c>
      <c r="DM53" s="12">
        <v>22</v>
      </c>
      <c r="DN53" s="12">
        <v>2</v>
      </c>
      <c r="DO53" s="12">
        <v>8</v>
      </c>
      <c r="DP53" s="12">
        <v>0</v>
      </c>
      <c r="DQ53" s="12">
        <v>11</v>
      </c>
      <c r="DR53" s="12">
        <v>0</v>
      </c>
      <c r="DS53" s="12">
        <v>0</v>
      </c>
      <c r="DT53" s="12">
        <v>7</v>
      </c>
      <c r="DU53" s="12">
        <v>16</v>
      </c>
      <c r="DV53" s="12">
        <v>0</v>
      </c>
      <c r="DW53" s="12">
        <v>0</v>
      </c>
      <c r="DX53" s="12">
        <v>66</v>
      </c>
      <c r="DY53" s="12">
        <v>15</v>
      </c>
      <c r="DZ53" s="12">
        <v>30</v>
      </c>
      <c r="EA53" s="16">
        <v>0.5</v>
      </c>
      <c r="EB53" s="12">
        <v>8</v>
      </c>
      <c r="EC53" s="12">
        <v>26</v>
      </c>
      <c r="ED53" s="16">
        <v>0.30769230769230771</v>
      </c>
      <c r="EE53" s="12">
        <v>23</v>
      </c>
      <c r="EF53" s="12">
        <v>56</v>
      </c>
      <c r="EG53" s="16">
        <v>0.4107142857142857</v>
      </c>
      <c r="EH53" s="12">
        <v>12</v>
      </c>
      <c r="EI53" s="12">
        <v>17</v>
      </c>
      <c r="EJ53" s="16">
        <v>0.70588235294117652</v>
      </c>
      <c r="EK53" s="12">
        <v>8</v>
      </c>
      <c r="EL53" s="12">
        <v>19</v>
      </c>
      <c r="EM53" s="12">
        <v>27</v>
      </c>
      <c r="EN53" s="12">
        <v>18</v>
      </c>
      <c r="EO53" s="12">
        <v>19</v>
      </c>
      <c r="EP53" s="12">
        <v>18</v>
      </c>
      <c r="EQ53" s="12">
        <v>2</v>
      </c>
      <c r="ER53" s="12">
        <v>15</v>
      </c>
      <c r="ES53" s="12">
        <v>3</v>
      </c>
      <c r="ET53" s="12">
        <v>3</v>
      </c>
      <c r="EU53" s="12">
        <v>59</v>
      </c>
      <c r="EV53" s="12">
        <v>-9</v>
      </c>
      <c r="EW53" s="12">
        <v>70</v>
      </c>
      <c r="EX53" s="12">
        <v>78</v>
      </c>
      <c r="EY53" s="12">
        <v>5</v>
      </c>
      <c r="EZ53" s="12">
        <v>11</v>
      </c>
      <c r="FA53" s="12">
        <v>6</v>
      </c>
      <c r="FB53" s="12">
        <v>1</v>
      </c>
      <c r="FC53" s="12">
        <v>2</v>
      </c>
      <c r="FD53" s="12">
        <v>1</v>
      </c>
      <c r="FE53" s="12">
        <v>0</v>
      </c>
      <c r="FF53" s="12">
        <v>2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5</v>
      </c>
      <c r="FM53" s="12">
        <v>1</v>
      </c>
      <c r="FN53" s="12">
        <v>0</v>
      </c>
      <c r="FO53" s="12">
        <v>0</v>
      </c>
      <c r="FP53" s="12">
        <v>2</v>
      </c>
      <c r="FQ53" s="12">
        <v>0</v>
      </c>
      <c r="FR53" s="12">
        <v>2</v>
      </c>
      <c r="FS53" s="12">
        <v>1</v>
      </c>
      <c r="FT53" s="12">
        <v>8</v>
      </c>
      <c r="FU53" s="12">
        <v>0</v>
      </c>
      <c r="FV53" s="12">
        <v>0</v>
      </c>
      <c r="FW53" s="12">
        <v>0</v>
      </c>
      <c r="FX53" s="12">
        <v>6</v>
      </c>
      <c r="FY53" s="12">
        <v>1</v>
      </c>
      <c r="FZ53" s="12">
        <v>0</v>
      </c>
      <c r="GA53" s="12">
        <v>0</v>
      </c>
      <c r="GB53" s="12">
        <v>1</v>
      </c>
      <c r="GC53" s="12">
        <v>2</v>
      </c>
      <c r="GD53" s="12">
        <v>0</v>
      </c>
      <c r="GE53" s="12">
        <v>0</v>
      </c>
      <c r="GF53" s="12">
        <v>11</v>
      </c>
      <c r="GG53" s="12">
        <v>14</v>
      </c>
      <c r="GH53" s="12">
        <v>0</v>
      </c>
      <c r="GI53" s="12">
        <v>0</v>
      </c>
      <c r="GJ53" s="12">
        <v>0</v>
      </c>
      <c r="GK53" s="12">
        <v>0</v>
      </c>
      <c r="GL53" s="12">
        <v>8</v>
      </c>
      <c r="GM53" s="12">
        <v>14</v>
      </c>
      <c r="GN53" s="12">
        <v>5</v>
      </c>
      <c r="GO53" s="12">
        <v>13</v>
      </c>
      <c r="GP53" s="12">
        <v>2</v>
      </c>
      <c r="GQ53" s="12">
        <v>3</v>
      </c>
      <c r="GR53" s="12">
        <v>1</v>
      </c>
      <c r="GS53" s="12">
        <v>2</v>
      </c>
      <c r="GT53" s="12">
        <v>7</v>
      </c>
      <c r="GU53" s="12">
        <v>23</v>
      </c>
      <c r="GV53" s="12">
        <v>0</v>
      </c>
      <c r="GW53" s="12">
        <v>1</v>
      </c>
      <c r="GY53" s="16"/>
    </row>
    <row r="54" spans="2:207" ht="15" customHeight="1" x14ac:dyDescent="0.2">
      <c r="B54" s="12">
        <v>3</v>
      </c>
      <c r="C54" s="12" t="s">
        <v>281</v>
      </c>
      <c r="D54" s="12" t="s">
        <v>285</v>
      </c>
      <c r="E54" s="14" t="s">
        <v>283</v>
      </c>
      <c r="F54" s="14" t="s">
        <v>287</v>
      </c>
      <c r="G54" s="15">
        <v>45217</v>
      </c>
      <c r="H54" s="15" t="s">
        <v>271</v>
      </c>
      <c r="I54" s="12" t="s">
        <v>269</v>
      </c>
      <c r="J54" s="12" t="s">
        <v>272</v>
      </c>
      <c r="K54" s="12">
        <v>200</v>
      </c>
      <c r="L54" s="12">
        <v>76</v>
      </c>
      <c r="M54" s="12">
        <v>20</v>
      </c>
      <c r="N54" s="12">
        <v>37</v>
      </c>
      <c r="O54" s="16">
        <v>0.54054054054054057</v>
      </c>
      <c r="P54" s="12">
        <v>9</v>
      </c>
      <c r="Q54" s="12">
        <v>19</v>
      </c>
      <c r="R54" s="16">
        <v>0.47368421052631576</v>
      </c>
      <c r="S54" s="12">
        <v>29</v>
      </c>
      <c r="T54" s="12">
        <v>56</v>
      </c>
      <c r="U54" s="16">
        <v>0.5178571428571429</v>
      </c>
      <c r="V54" s="12">
        <v>9</v>
      </c>
      <c r="W54" s="12">
        <v>13</v>
      </c>
      <c r="X54" s="16">
        <v>0.69230769230769229</v>
      </c>
      <c r="Y54" s="12">
        <v>7</v>
      </c>
      <c r="Z54" s="12">
        <v>25</v>
      </c>
      <c r="AA54" s="12">
        <v>32</v>
      </c>
      <c r="AB54" s="12">
        <v>12</v>
      </c>
      <c r="AC54" s="12">
        <v>17</v>
      </c>
      <c r="AD54" s="12">
        <v>6</v>
      </c>
      <c r="AE54" s="12">
        <v>1</v>
      </c>
      <c r="AF54" s="12">
        <v>2</v>
      </c>
      <c r="AG54" s="12">
        <v>17</v>
      </c>
      <c r="AH54" s="12">
        <v>16</v>
      </c>
      <c r="AI54" s="17">
        <v>76</v>
      </c>
      <c r="AJ54" s="12">
        <v>-11</v>
      </c>
      <c r="AK54" s="12">
        <v>72</v>
      </c>
      <c r="AL54" s="12">
        <v>79</v>
      </c>
      <c r="AM54" s="19">
        <v>0.96202531645569622</v>
      </c>
      <c r="AN54" s="19">
        <v>1.0740740740740742</v>
      </c>
      <c r="AO54" s="18">
        <v>105.55555555555556</v>
      </c>
      <c r="AP54" s="18">
        <v>119.17808219178083</v>
      </c>
      <c r="AQ54" s="18">
        <v>-13.622526636225274</v>
      </c>
      <c r="AR54" s="53">
        <v>0.5982142857142857</v>
      </c>
      <c r="AS54" s="53">
        <v>0.61290322580645162</v>
      </c>
      <c r="AT54" s="16">
        <v>0.10126582278481013</v>
      </c>
      <c r="AU54" s="19">
        <v>1.75</v>
      </c>
      <c r="AV54" s="16">
        <v>0.22784810126582278</v>
      </c>
      <c r="AW54" s="19">
        <v>0.77777777777777779</v>
      </c>
      <c r="AX54" s="16">
        <v>0.13924050632911392</v>
      </c>
      <c r="AY54" s="19">
        <v>1.0909090909090908</v>
      </c>
      <c r="AZ54" s="16">
        <v>1.2658227848101266E-2</v>
      </c>
      <c r="BA54" s="19">
        <v>0</v>
      </c>
      <c r="BB54" s="16">
        <v>0.22784810126582278</v>
      </c>
      <c r="BC54" s="21">
        <v>1.5</v>
      </c>
      <c r="BD54" s="16">
        <v>7.5949367088607597E-2</v>
      </c>
      <c r="BE54" s="16">
        <v>0.21518987341772153</v>
      </c>
      <c r="BF54" s="16">
        <v>0.35294117647058826</v>
      </c>
      <c r="BG54" s="16">
        <v>0.3</v>
      </c>
      <c r="BH54" s="16">
        <v>0.66666666666666663</v>
      </c>
      <c r="BI54" s="16">
        <v>0</v>
      </c>
      <c r="BJ54" s="16">
        <v>0.15189873417721519</v>
      </c>
      <c r="BK54" s="21">
        <v>0.70588235294117652</v>
      </c>
      <c r="BL54" s="16">
        <v>0.25</v>
      </c>
      <c r="BM54" s="16">
        <v>0.31578947368421051</v>
      </c>
      <c r="BN54" s="16">
        <v>9.0909090909090912E-2</v>
      </c>
      <c r="BO54" s="16">
        <v>0</v>
      </c>
      <c r="BP54" s="16">
        <v>0.75757575757575757</v>
      </c>
      <c r="BQ54" s="16">
        <v>0.75</v>
      </c>
      <c r="BR54" s="16">
        <v>0.77777777777777779</v>
      </c>
      <c r="BS54" s="16">
        <v>0.5</v>
      </c>
      <c r="BT54" s="16">
        <v>0.52459016393442626</v>
      </c>
      <c r="BU54" s="16">
        <v>8.2191780821917804E-2</v>
      </c>
      <c r="BV54" s="16">
        <v>1.5625E-2</v>
      </c>
      <c r="BW54" s="54">
        <v>4</v>
      </c>
      <c r="BX54" s="54">
        <v>0.47058823529411764</v>
      </c>
      <c r="BY54" s="54">
        <v>0.4375</v>
      </c>
      <c r="BZ54" s="12">
        <v>6</v>
      </c>
      <c r="CA54" s="12">
        <v>6</v>
      </c>
      <c r="CB54" s="12">
        <v>0</v>
      </c>
      <c r="CC54" s="12">
        <v>0</v>
      </c>
      <c r="CD54" s="12">
        <v>0</v>
      </c>
      <c r="CE54" s="12">
        <v>0</v>
      </c>
      <c r="CF54" s="12">
        <v>4</v>
      </c>
      <c r="CG54" s="12">
        <v>0</v>
      </c>
      <c r="CH54" s="12">
        <v>2</v>
      </c>
      <c r="CI54" s="12">
        <v>0</v>
      </c>
      <c r="CJ54" s="12">
        <v>0</v>
      </c>
      <c r="CK54" s="12">
        <v>0</v>
      </c>
      <c r="CL54" s="12">
        <v>1</v>
      </c>
      <c r="CM54" s="12">
        <v>0</v>
      </c>
      <c r="CN54" s="12">
        <v>0</v>
      </c>
      <c r="CO54" s="12">
        <v>0</v>
      </c>
      <c r="CP54" s="12">
        <v>1</v>
      </c>
      <c r="CQ54" s="12">
        <v>0</v>
      </c>
      <c r="CR54" s="12">
        <v>5</v>
      </c>
      <c r="CS54" s="12">
        <v>1</v>
      </c>
      <c r="CT54" s="12">
        <v>4</v>
      </c>
      <c r="CU54" s="12">
        <v>1</v>
      </c>
      <c r="CV54" s="12">
        <v>2</v>
      </c>
      <c r="CW54" s="12">
        <v>1</v>
      </c>
      <c r="CX54" s="12">
        <v>11</v>
      </c>
      <c r="CY54" s="12">
        <v>0</v>
      </c>
      <c r="CZ54" s="12">
        <v>1</v>
      </c>
      <c r="DA54" s="12">
        <v>0</v>
      </c>
      <c r="DB54" s="12">
        <v>0</v>
      </c>
      <c r="DC54" s="12">
        <v>0</v>
      </c>
      <c r="DD54" s="12">
        <v>1</v>
      </c>
      <c r="DE54" s="12">
        <v>1</v>
      </c>
      <c r="DF54" s="12">
        <v>8</v>
      </c>
      <c r="DG54" s="12">
        <v>12</v>
      </c>
      <c r="DH54" s="12">
        <v>1</v>
      </c>
      <c r="DI54" s="12">
        <v>0</v>
      </c>
      <c r="DJ54" s="12">
        <v>0</v>
      </c>
      <c r="DK54" s="12">
        <v>0</v>
      </c>
      <c r="DL54" s="12">
        <v>7</v>
      </c>
      <c r="DM54" s="12">
        <v>8</v>
      </c>
      <c r="DN54" s="12">
        <v>7</v>
      </c>
      <c r="DO54" s="12">
        <v>18</v>
      </c>
      <c r="DP54" s="12">
        <v>6</v>
      </c>
      <c r="DQ54" s="12">
        <v>11</v>
      </c>
      <c r="DR54" s="12">
        <v>0</v>
      </c>
      <c r="DS54" s="12">
        <v>1</v>
      </c>
      <c r="DT54" s="12">
        <v>9</v>
      </c>
      <c r="DU54" s="12">
        <v>18</v>
      </c>
      <c r="DV54" s="12">
        <v>0</v>
      </c>
      <c r="DW54" s="12">
        <v>0</v>
      </c>
      <c r="DX54" s="12">
        <v>87</v>
      </c>
      <c r="DY54" s="12">
        <v>22</v>
      </c>
      <c r="DZ54" s="12">
        <v>35</v>
      </c>
      <c r="EA54" s="16">
        <v>0.62857142857142856</v>
      </c>
      <c r="EB54" s="12">
        <v>10</v>
      </c>
      <c r="EC54" s="12">
        <v>29</v>
      </c>
      <c r="ED54" s="16">
        <v>0.34482758620689657</v>
      </c>
      <c r="EE54" s="12">
        <v>32</v>
      </c>
      <c r="EF54" s="12">
        <v>64</v>
      </c>
      <c r="EG54" s="16">
        <v>0.5</v>
      </c>
      <c r="EH54" s="12">
        <v>13</v>
      </c>
      <c r="EI54" s="12">
        <v>17</v>
      </c>
      <c r="EJ54" s="16">
        <v>0.76470588235294112</v>
      </c>
      <c r="EK54" s="12">
        <v>8</v>
      </c>
      <c r="EL54" s="12">
        <v>21</v>
      </c>
      <c r="EM54" s="12">
        <v>29</v>
      </c>
      <c r="EN54" s="12">
        <v>21</v>
      </c>
      <c r="EO54" s="12">
        <v>16</v>
      </c>
      <c r="EP54" s="12">
        <v>17</v>
      </c>
      <c r="EQ54" s="12">
        <v>9</v>
      </c>
      <c r="ER54" s="12">
        <v>10</v>
      </c>
      <c r="ES54" s="12">
        <v>2</v>
      </c>
      <c r="ET54" s="12">
        <v>1</v>
      </c>
      <c r="EU54" s="12">
        <v>102</v>
      </c>
      <c r="EV54" s="12">
        <v>11</v>
      </c>
      <c r="EW54" s="12">
        <v>73</v>
      </c>
      <c r="EX54" s="12">
        <v>81</v>
      </c>
      <c r="EY54" s="12">
        <v>5</v>
      </c>
      <c r="EZ54" s="12">
        <v>11</v>
      </c>
      <c r="FA54" s="12">
        <v>8</v>
      </c>
      <c r="FB54" s="12">
        <v>2</v>
      </c>
      <c r="FC54" s="12">
        <v>4</v>
      </c>
      <c r="FD54" s="12">
        <v>0</v>
      </c>
      <c r="FE54" s="12">
        <v>0</v>
      </c>
      <c r="FF54" s="12">
        <v>2</v>
      </c>
      <c r="FG54" s="12">
        <v>0</v>
      </c>
      <c r="FH54" s="12">
        <v>1</v>
      </c>
      <c r="FI54" s="12">
        <v>1</v>
      </c>
      <c r="FJ54" s="12">
        <v>0</v>
      </c>
      <c r="FK54" s="12">
        <v>0</v>
      </c>
      <c r="FL54" s="12">
        <v>4</v>
      </c>
      <c r="FM54" s="12">
        <v>0</v>
      </c>
      <c r="FN54" s="12">
        <v>1</v>
      </c>
      <c r="FO54" s="12">
        <v>0</v>
      </c>
      <c r="FP54" s="12">
        <v>1</v>
      </c>
      <c r="FQ54" s="12">
        <v>0</v>
      </c>
      <c r="FR54" s="12">
        <v>7</v>
      </c>
      <c r="FS54" s="12">
        <v>1</v>
      </c>
      <c r="FT54" s="12">
        <v>3</v>
      </c>
      <c r="FU54" s="12">
        <v>1</v>
      </c>
      <c r="FV54" s="12">
        <v>1</v>
      </c>
      <c r="FW54" s="12">
        <v>0</v>
      </c>
      <c r="FX54" s="12">
        <v>8</v>
      </c>
      <c r="FY54" s="12">
        <v>1</v>
      </c>
      <c r="FZ54" s="12">
        <v>1</v>
      </c>
      <c r="GA54" s="12">
        <v>0</v>
      </c>
      <c r="GB54" s="12">
        <v>0</v>
      </c>
      <c r="GC54" s="12">
        <v>0</v>
      </c>
      <c r="GD54" s="12">
        <v>1</v>
      </c>
      <c r="GE54" s="12">
        <v>1</v>
      </c>
      <c r="GF54" s="12">
        <v>9</v>
      </c>
      <c r="GG54" s="12">
        <v>12</v>
      </c>
      <c r="GH54" s="12">
        <v>0</v>
      </c>
      <c r="GI54" s="12">
        <v>3</v>
      </c>
      <c r="GJ54" s="12">
        <v>3</v>
      </c>
      <c r="GK54" s="12">
        <v>0</v>
      </c>
      <c r="GL54" s="12">
        <v>7</v>
      </c>
      <c r="GM54" s="12">
        <v>8</v>
      </c>
      <c r="GN54" s="12">
        <v>12</v>
      </c>
      <c r="GO54" s="12">
        <v>19</v>
      </c>
      <c r="GP54" s="12">
        <v>3</v>
      </c>
      <c r="GQ54" s="12">
        <v>8</v>
      </c>
      <c r="GR54" s="12">
        <v>0</v>
      </c>
      <c r="GS54" s="12">
        <v>2</v>
      </c>
      <c r="GT54" s="12">
        <v>10</v>
      </c>
      <c r="GU54" s="12">
        <v>27</v>
      </c>
      <c r="GV54" s="12">
        <v>0</v>
      </c>
      <c r="GW54" s="12">
        <v>0</v>
      </c>
      <c r="GY54" s="16"/>
    </row>
    <row r="55" spans="2:207" ht="15" customHeight="1" x14ac:dyDescent="0.2">
      <c r="B55" s="12">
        <v>3</v>
      </c>
      <c r="C55" s="12" t="s">
        <v>285</v>
      </c>
      <c r="D55" s="12" t="s">
        <v>281</v>
      </c>
      <c r="E55" s="14" t="s">
        <v>287</v>
      </c>
      <c r="F55" s="14" t="s">
        <v>283</v>
      </c>
      <c r="G55" s="15">
        <v>45217</v>
      </c>
      <c r="H55" s="15" t="s">
        <v>268</v>
      </c>
      <c r="I55" s="12" t="s">
        <v>269</v>
      </c>
      <c r="J55" s="12" t="s">
        <v>270</v>
      </c>
      <c r="K55" s="12">
        <v>200</v>
      </c>
      <c r="L55" s="12">
        <v>87</v>
      </c>
      <c r="M55" s="12">
        <v>22</v>
      </c>
      <c r="N55" s="12">
        <v>35</v>
      </c>
      <c r="O55" s="16">
        <v>0.62857142857142856</v>
      </c>
      <c r="P55" s="12">
        <v>10</v>
      </c>
      <c r="Q55" s="12">
        <v>29</v>
      </c>
      <c r="R55" s="16">
        <v>0.34482758620689657</v>
      </c>
      <c r="S55" s="12">
        <v>32</v>
      </c>
      <c r="T55" s="12">
        <v>64</v>
      </c>
      <c r="U55" s="16">
        <v>0.5</v>
      </c>
      <c r="V55" s="12">
        <v>13</v>
      </c>
      <c r="W55" s="12">
        <v>17</v>
      </c>
      <c r="X55" s="16">
        <v>0.76470588235294112</v>
      </c>
      <c r="Y55" s="12">
        <v>8</v>
      </c>
      <c r="Z55" s="12">
        <v>21</v>
      </c>
      <c r="AA55" s="12">
        <v>29</v>
      </c>
      <c r="AB55" s="12">
        <v>21</v>
      </c>
      <c r="AC55" s="12">
        <v>10</v>
      </c>
      <c r="AD55" s="12">
        <v>9</v>
      </c>
      <c r="AE55" s="12">
        <v>2</v>
      </c>
      <c r="AF55" s="12">
        <v>1</v>
      </c>
      <c r="AG55" s="12">
        <v>16</v>
      </c>
      <c r="AH55" s="12">
        <v>17</v>
      </c>
      <c r="AI55" s="17">
        <v>102</v>
      </c>
      <c r="AJ55" s="12">
        <v>11</v>
      </c>
      <c r="AK55" s="12">
        <v>73</v>
      </c>
      <c r="AL55" s="12">
        <v>81</v>
      </c>
      <c r="AM55" s="19">
        <v>1.0740740740740742</v>
      </c>
      <c r="AN55" s="19">
        <v>0.96202531645569622</v>
      </c>
      <c r="AO55" s="18">
        <v>119.17808219178083</v>
      </c>
      <c r="AP55" s="18">
        <v>105.55555555555556</v>
      </c>
      <c r="AQ55" s="18">
        <v>13.622526636225274</v>
      </c>
      <c r="AR55" s="53">
        <v>0.578125</v>
      </c>
      <c r="AS55" s="53">
        <v>0.61267605633802813</v>
      </c>
      <c r="AT55" s="16">
        <v>9.8765432098765427E-2</v>
      </c>
      <c r="AU55" s="19">
        <v>1.75</v>
      </c>
      <c r="AV55" s="16">
        <v>0.23456790123456789</v>
      </c>
      <c r="AW55" s="19">
        <v>1.263157894736842</v>
      </c>
      <c r="AX55" s="16">
        <v>9.8765432098765427E-2</v>
      </c>
      <c r="AY55" s="19">
        <v>0.75</v>
      </c>
      <c r="AZ55" s="16">
        <v>2.4691358024691357E-2</v>
      </c>
      <c r="BA55" s="19">
        <v>0</v>
      </c>
      <c r="BB55" s="16">
        <v>0.33333333333333331</v>
      </c>
      <c r="BC55" s="21">
        <v>1.1111111111111112</v>
      </c>
      <c r="BD55" s="16">
        <v>8.6419753086419748E-2</v>
      </c>
      <c r="BE55" s="16">
        <v>0.12345679012345678</v>
      </c>
      <c r="BF55" s="16">
        <v>0.53846153846153844</v>
      </c>
      <c r="BG55" s="16">
        <v>0.5</v>
      </c>
      <c r="BH55" s="16">
        <v>0.8</v>
      </c>
      <c r="BI55" s="16">
        <v>0.2857142857142857</v>
      </c>
      <c r="BJ55" s="16">
        <v>0.25925925925925924</v>
      </c>
      <c r="BK55" s="21">
        <v>2.1</v>
      </c>
      <c r="BL55" s="16">
        <v>0.24242424242424243</v>
      </c>
      <c r="BM55" s="16">
        <v>0.25</v>
      </c>
      <c r="BN55" s="16">
        <v>0.22222222222222221</v>
      </c>
      <c r="BO55" s="16">
        <v>0.5</v>
      </c>
      <c r="BP55" s="16">
        <v>0.75</v>
      </c>
      <c r="BQ55" s="16">
        <v>0.68421052631578949</v>
      </c>
      <c r="BR55" s="16">
        <v>0.90909090909090906</v>
      </c>
      <c r="BS55" s="16">
        <v>1</v>
      </c>
      <c r="BT55" s="16">
        <v>0.47540983606557374</v>
      </c>
      <c r="BU55" s="16">
        <v>0.125</v>
      </c>
      <c r="BV55" s="16">
        <v>3.5714285714285712E-2</v>
      </c>
      <c r="BW55" s="54">
        <v>5</v>
      </c>
      <c r="BX55" s="54">
        <v>0.4375</v>
      </c>
      <c r="BY55" s="54">
        <v>0.52941176470588236</v>
      </c>
      <c r="BZ55" s="12">
        <v>11</v>
      </c>
      <c r="CA55" s="12">
        <v>8</v>
      </c>
      <c r="CB55" s="12">
        <v>2</v>
      </c>
      <c r="CC55" s="12">
        <v>4</v>
      </c>
      <c r="CD55" s="12">
        <v>0</v>
      </c>
      <c r="CE55" s="12">
        <v>0</v>
      </c>
      <c r="CF55" s="12">
        <v>2</v>
      </c>
      <c r="CG55" s="12">
        <v>0</v>
      </c>
      <c r="CH55" s="12">
        <v>1</v>
      </c>
      <c r="CI55" s="12">
        <v>1</v>
      </c>
      <c r="CJ55" s="12">
        <v>0</v>
      </c>
      <c r="CK55" s="12">
        <v>0</v>
      </c>
      <c r="CL55" s="12">
        <v>4</v>
      </c>
      <c r="CM55" s="12">
        <v>0</v>
      </c>
      <c r="CN55" s="12">
        <v>1</v>
      </c>
      <c r="CO55" s="12">
        <v>0</v>
      </c>
      <c r="CP55" s="12">
        <v>1</v>
      </c>
      <c r="CQ55" s="12">
        <v>0</v>
      </c>
      <c r="CR55" s="12">
        <v>7</v>
      </c>
      <c r="CS55" s="12">
        <v>1</v>
      </c>
      <c r="CT55" s="12">
        <v>3</v>
      </c>
      <c r="CU55" s="12">
        <v>1</v>
      </c>
      <c r="CV55" s="12">
        <v>1</v>
      </c>
      <c r="CW55" s="12">
        <v>0</v>
      </c>
      <c r="CX55" s="12">
        <v>8</v>
      </c>
      <c r="CY55" s="12">
        <v>1</v>
      </c>
      <c r="CZ55" s="12">
        <v>1</v>
      </c>
      <c r="DA55" s="12">
        <v>0</v>
      </c>
      <c r="DB55" s="12">
        <v>0</v>
      </c>
      <c r="DC55" s="12">
        <v>0</v>
      </c>
      <c r="DD55" s="12">
        <v>1</v>
      </c>
      <c r="DE55" s="12">
        <v>2</v>
      </c>
      <c r="DF55" s="12">
        <v>9</v>
      </c>
      <c r="DG55" s="12">
        <v>12</v>
      </c>
      <c r="DH55" s="12">
        <v>0</v>
      </c>
      <c r="DI55" s="12">
        <v>3</v>
      </c>
      <c r="DJ55" s="12">
        <v>3</v>
      </c>
      <c r="DK55" s="12">
        <v>0</v>
      </c>
      <c r="DL55" s="12">
        <v>7</v>
      </c>
      <c r="DM55" s="12">
        <v>8</v>
      </c>
      <c r="DN55" s="12">
        <v>12</v>
      </c>
      <c r="DO55" s="12">
        <v>19</v>
      </c>
      <c r="DP55" s="12">
        <v>3</v>
      </c>
      <c r="DQ55" s="12">
        <v>8</v>
      </c>
      <c r="DR55" s="12">
        <v>0</v>
      </c>
      <c r="DS55" s="12">
        <v>2</v>
      </c>
      <c r="DT55" s="12">
        <v>10</v>
      </c>
      <c r="DU55" s="12">
        <v>27</v>
      </c>
      <c r="DV55" s="12">
        <v>0</v>
      </c>
      <c r="DW55" s="12">
        <v>0</v>
      </c>
      <c r="DX55" s="12">
        <v>76</v>
      </c>
      <c r="DY55" s="12">
        <v>20</v>
      </c>
      <c r="DZ55" s="12">
        <v>37</v>
      </c>
      <c r="EA55" s="16">
        <v>0.54054054054054057</v>
      </c>
      <c r="EB55" s="12">
        <v>9</v>
      </c>
      <c r="EC55" s="12">
        <v>19</v>
      </c>
      <c r="ED55" s="16">
        <v>0.47368421052631576</v>
      </c>
      <c r="EE55" s="12">
        <v>29</v>
      </c>
      <c r="EF55" s="12">
        <v>56</v>
      </c>
      <c r="EG55" s="16">
        <v>0.5178571428571429</v>
      </c>
      <c r="EH55" s="12">
        <v>9</v>
      </c>
      <c r="EI55" s="12">
        <v>13</v>
      </c>
      <c r="EJ55" s="16">
        <v>0.69230769230769229</v>
      </c>
      <c r="EK55" s="12">
        <v>7</v>
      </c>
      <c r="EL55" s="12">
        <v>25</v>
      </c>
      <c r="EM55" s="12">
        <v>32</v>
      </c>
      <c r="EN55" s="12">
        <v>12</v>
      </c>
      <c r="EO55" s="12">
        <v>17</v>
      </c>
      <c r="EP55" s="12">
        <v>16</v>
      </c>
      <c r="EQ55" s="12">
        <v>6</v>
      </c>
      <c r="ER55" s="12">
        <v>17</v>
      </c>
      <c r="ES55" s="12">
        <v>1</v>
      </c>
      <c r="ET55" s="12">
        <v>2</v>
      </c>
      <c r="EU55" s="12">
        <v>76</v>
      </c>
      <c r="EV55" s="12">
        <v>-11</v>
      </c>
      <c r="EW55" s="12">
        <v>72</v>
      </c>
      <c r="EX55" s="12">
        <v>79</v>
      </c>
      <c r="EY55" s="12">
        <v>4</v>
      </c>
      <c r="EZ55" s="12">
        <v>6</v>
      </c>
      <c r="FA55" s="12">
        <v>6</v>
      </c>
      <c r="FB55" s="12">
        <v>0</v>
      </c>
      <c r="FC55" s="12">
        <v>0</v>
      </c>
      <c r="FD55" s="12">
        <v>0</v>
      </c>
      <c r="FE55" s="12">
        <v>0</v>
      </c>
      <c r="FF55" s="12">
        <v>4</v>
      </c>
      <c r="FG55" s="12">
        <v>0</v>
      </c>
      <c r="FH55" s="12">
        <v>2</v>
      </c>
      <c r="FI55" s="12">
        <v>0</v>
      </c>
      <c r="FJ55" s="12">
        <v>0</v>
      </c>
      <c r="FK55" s="12">
        <v>0</v>
      </c>
      <c r="FL55" s="12">
        <v>1</v>
      </c>
      <c r="FM55" s="12">
        <v>0</v>
      </c>
      <c r="FN55" s="12">
        <v>0</v>
      </c>
      <c r="FO55" s="12">
        <v>0</v>
      </c>
      <c r="FP55" s="12">
        <v>1</v>
      </c>
      <c r="FQ55" s="12">
        <v>0</v>
      </c>
      <c r="FR55" s="12">
        <v>5</v>
      </c>
      <c r="FS55" s="12">
        <v>1</v>
      </c>
      <c r="FT55" s="12">
        <v>4</v>
      </c>
      <c r="FU55" s="12">
        <v>1</v>
      </c>
      <c r="FV55" s="12">
        <v>2</v>
      </c>
      <c r="FW55" s="12">
        <v>1</v>
      </c>
      <c r="FX55" s="12">
        <v>11</v>
      </c>
      <c r="FY55" s="12">
        <v>0</v>
      </c>
      <c r="FZ55" s="12">
        <v>1</v>
      </c>
      <c r="GA55" s="12">
        <v>0</v>
      </c>
      <c r="GB55" s="12">
        <v>0</v>
      </c>
      <c r="GC55" s="12">
        <v>0</v>
      </c>
      <c r="GD55" s="12">
        <v>1</v>
      </c>
      <c r="GE55" s="12">
        <v>1</v>
      </c>
      <c r="GF55" s="12">
        <v>8</v>
      </c>
      <c r="GG55" s="12">
        <v>12</v>
      </c>
      <c r="GH55" s="12">
        <v>1</v>
      </c>
      <c r="GI55" s="12">
        <v>0</v>
      </c>
      <c r="GJ55" s="12">
        <v>0</v>
      </c>
      <c r="GK55" s="12">
        <v>0</v>
      </c>
      <c r="GL55" s="12">
        <v>7</v>
      </c>
      <c r="GM55" s="12">
        <v>8</v>
      </c>
      <c r="GN55" s="12">
        <v>7</v>
      </c>
      <c r="GO55" s="12">
        <v>18</v>
      </c>
      <c r="GP55" s="12">
        <v>6</v>
      </c>
      <c r="GQ55" s="12">
        <v>11</v>
      </c>
      <c r="GR55" s="12">
        <v>0</v>
      </c>
      <c r="GS55" s="12">
        <v>1</v>
      </c>
      <c r="GT55" s="12">
        <v>9</v>
      </c>
      <c r="GU55" s="12">
        <v>18</v>
      </c>
      <c r="GV55" s="12">
        <v>0</v>
      </c>
      <c r="GW55" s="12">
        <v>0</v>
      </c>
      <c r="GY55" s="16"/>
    </row>
    <row r="56" spans="2:207" ht="15" customHeight="1" x14ac:dyDescent="0.2">
      <c r="B56" s="12">
        <v>4</v>
      </c>
      <c r="C56" s="12" t="s">
        <v>290</v>
      </c>
      <c r="D56" s="12" t="s">
        <v>265</v>
      </c>
      <c r="E56" s="14" t="s">
        <v>292</v>
      </c>
      <c r="F56" s="14" t="s">
        <v>267</v>
      </c>
      <c r="G56" s="15">
        <v>45218</v>
      </c>
      <c r="H56" s="15" t="s">
        <v>268</v>
      </c>
      <c r="I56" s="12" t="s">
        <v>269</v>
      </c>
      <c r="J56" s="12" t="s">
        <v>270</v>
      </c>
      <c r="K56" s="12">
        <v>200</v>
      </c>
      <c r="L56" s="12">
        <v>101</v>
      </c>
      <c r="M56" s="12">
        <v>21</v>
      </c>
      <c r="N56" s="12">
        <v>34</v>
      </c>
      <c r="O56" s="16">
        <v>0.61764705882352944</v>
      </c>
      <c r="P56" s="12">
        <v>16</v>
      </c>
      <c r="Q56" s="12">
        <v>38</v>
      </c>
      <c r="R56" s="16">
        <v>0.42105263157894735</v>
      </c>
      <c r="S56" s="12">
        <v>37</v>
      </c>
      <c r="T56" s="12">
        <v>72</v>
      </c>
      <c r="U56" s="16">
        <v>0.51388888888888884</v>
      </c>
      <c r="V56" s="12">
        <v>11</v>
      </c>
      <c r="W56" s="12">
        <v>16</v>
      </c>
      <c r="X56" s="16">
        <v>0.6875</v>
      </c>
      <c r="Y56" s="12">
        <v>15</v>
      </c>
      <c r="Z56" s="12">
        <v>22</v>
      </c>
      <c r="AA56" s="12">
        <v>37</v>
      </c>
      <c r="AB56" s="12">
        <v>22</v>
      </c>
      <c r="AC56" s="12">
        <v>8</v>
      </c>
      <c r="AD56" s="12">
        <v>8</v>
      </c>
      <c r="AE56" s="12">
        <v>1</v>
      </c>
      <c r="AF56" s="12">
        <v>2</v>
      </c>
      <c r="AG56" s="12">
        <v>18</v>
      </c>
      <c r="AH56" s="12">
        <v>19</v>
      </c>
      <c r="AI56" s="17">
        <v>120</v>
      </c>
      <c r="AJ56" s="12">
        <v>15</v>
      </c>
      <c r="AK56" s="12">
        <v>71</v>
      </c>
      <c r="AL56" s="12">
        <v>86</v>
      </c>
      <c r="AM56" s="19">
        <v>1.1744186046511629</v>
      </c>
      <c r="AN56" s="19">
        <v>1.036144578313253</v>
      </c>
      <c r="AO56" s="18">
        <v>142.25352112676057</v>
      </c>
      <c r="AP56" s="18">
        <v>119.44444444444444</v>
      </c>
      <c r="AQ56" s="18">
        <v>22.809076682316132</v>
      </c>
      <c r="AR56" s="53">
        <v>0.625</v>
      </c>
      <c r="AS56" s="53">
        <v>0.64743589743589747</v>
      </c>
      <c r="AT56" s="16">
        <v>0.15116279069767441</v>
      </c>
      <c r="AU56" s="19">
        <v>2</v>
      </c>
      <c r="AV56" s="16">
        <v>0.13953488372093023</v>
      </c>
      <c r="AW56" s="19">
        <v>0.66666666666666663</v>
      </c>
      <c r="AX56" s="16">
        <v>0.10465116279069768</v>
      </c>
      <c r="AY56" s="19">
        <v>0.88888888888888884</v>
      </c>
      <c r="AZ56" s="16">
        <v>0.10465116279069768</v>
      </c>
      <c r="BA56" s="19">
        <v>2</v>
      </c>
      <c r="BB56" s="16">
        <v>0.32558139534883723</v>
      </c>
      <c r="BC56" s="21">
        <v>1.0714285714285714</v>
      </c>
      <c r="BD56" s="16">
        <v>6.9767441860465115E-2</v>
      </c>
      <c r="BE56" s="16">
        <v>9.3023255813953487E-2</v>
      </c>
      <c r="BF56" s="16">
        <v>0.52380952380952384</v>
      </c>
      <c r="BG56" s="16">
        <v>0.47619047619047616</v>
      </c>
      <c r="BH56" s="16">
        <v>0.75</v>
      </c>
      <c r="BI56" s="16">
        <v>0</v>
      </c>
      <c r="BJ56" s="16">
        <v>0.2558139534883721</v>
      </c>
      <c r="BK56" s="21">
        <v>2.75</v>
      </c>
      <c r="BL56" s="16">
        <v>0.42857142857142855</v>
      </c>
      <c r="BM56" s="16">
        <v>0.42857142857142855</v>
      </c>
      <c r="BN56" s="16">
        <v>0.5</v>
      </c>
      <c r="BO56" s="16">
        <v>0.66666666666666663</v>
      </c>
      <c r="BP56" s="16">
        <v>0.66666666666666663</v>
      </c>
      <c r="BQ56" s="16">
        <v>0.6875</v>
      </c>
      <c r="BR56" s="16">
        <v>0.70588235294117652</v>
      </c>
      <c r="BS56" s="16">
        <v>0.5</v>
      </c>
      <c r="BT56" s="16">
        <v>0.54411764705882348</v>
      </c>
      <c r="BU56" s="16">
        <v>0.1111111111111111</v>
      </c>
      <c r="BV56" s="16">
        <v>1.6129032258064516E-2</v>
      </c>
      <c r="BW56" s="54">
        <v>4</v>
      </c>
      <c r="BX56" s="54">
        <v>0.55555555555555558</v>
      </c>
      <c r="BY56" s="54">
        <v>0.42105263157894735</v>
      </c>
      <c r="BZ56" s="12">
        <v>10</v>
      </c>
      <c r="CA56" s="12">
        <v>12</v>
      </c>
      <c r="CB56" s="12">
        <v>0</v>
      </c>
      <c r="CC56" s="12">
        <v>0</v>
      </c>
      <c r="CD56" s="12">
        <v>0</v>
      </c>
      <c r="CE56" s="12">
        <v>0</v>
      </c>
      <c r="CF56" s="12">
        <v>3</v>
      </c>
      <c r="CG56" s="12">
        <v>1</v>
      </c>
      <c r="CH56" s="12">
        <v>2</v>
      </c>
      <c r="CI56" s="12">
        <v>0</v>
      </c>
      <c r="CJ56" s="12">
        <v>1</v>
      </c>
      <c r="CK56" s="12">
        <v>1</v>
      </c>
      <c r="CL56" s="12">
        <v>8</v>
      </c>
      <c r="CM56" s="12">
        <v>3</v>
      </c>
      <c r="CN56" s="12">
        <v>1</v>
      </c>
      <c r="CO56" s="12">
        <v>1</v>
      </c>
      <c r="CP56" s="12">
        <v>0</v>
      </c>
      <c r="CQ56" s="12">
        <v>0</v>
      </c>
      <c r="CR56" s="12">
        <v>6</v>
      </c>
      <c r="CS56" s="12">
        <v>0</v>
      </c>
      <c r="CT56" s="12">
        <v>5</v>
      </c>
      <c r="CU56" s="12">
        <v>0</v>
      </c>
      <c r="CV56" s="12">
        <v>2</v>
      </c>
      <c r="CW56" s="12">
        <v>1</v>
      </c>
      <c r="CX56" s="12">
        <v>8</v>
      </c>
      <c r="CY56" s="12">
        <v>1</v>
      </c>
      <c r="CZ56" s="12">
        <v>1</v>
      </c>
      <c r="DA56" s="12">
        <v>1</v>
      </c>
      <c r="DB56" s="12">
        <v>0</v>
      </c>
      <c r="DC56" s="12">
        <v>1</v>
      </c>
      <c r="DD56" s="12">
        <v>1</v>
      </c>
      <c r="DE56" s="12">
        <v>2</v>
      </c>
      <c r="DF56" s="12">
        <v>7</v>
      </c>
      <c r="DG56" s="12">
        <v>10</v>
      </c>
      <c r="DH56" s="12">
        <v>1</v>
      </c>
      <c r="DI56" s="12">
        <v>3</v>
      </c>
      <c r="DJ56" s="12">
        <v>3</v>
      </c>
      <c r="DK56" s="12">
        <v>0</v>
      </c>
      <c r="DL56" s="12">
        <v>13</v>
      </c>
      <c r="DM56" s="12">
        <v>13</v>
      </c>
      <c r="DN56" s="12">
        <v>4</v>
      </c>
      <c r="DO56" s="12">
        <v>12</v>
      </c>
      <c r="DP56" s="12">
        <v>4</v>
      </c>
      <c r="DQ56" s="12">
        <v>9</v>
      </c>
      <c r="DR56" s="12">
        <v>6</v>
      </c>
      <c r="DS56" s="12">
        <v>9</v>
      </c>
      <c r="DT56" s="12">
        <v>10</v>
      </c>
      <c r="DU56" s="12">
        <v>28</v>
      </c>
      <c r="DV56" s="12">
        <v>0</v>
      </c>
      <c r="DW56" s="12">
        <v>1</v>
      </c>
      <c r="DX56" s="12">
        <v>86</v>
      </c>
      <c r="DY56" s="12">
        <v>21</v>
      </c>
      <c r="DZ56" s="12">
        <v>38</v>
      </c>
      <c r="EA56" s="16">
        <v>0.55263157894736847</v>
      </c>
      <c r="EB56" s="12">
        <v>9</v>
      </c>
      <c r="EC56" s="12">
        <v>24</v>
      </c>
      <c r="ED56" s="16">
        <v>0.375</v>
      </c>
      <c r="EE56" s="12">
        <v>30</v>
      </c>
      <c r="EF56" s="12">
        <v>62</v>
      </c>
      <c r="EG56" s="16">
        <v>0.4838709677419355</v>
      </c>
      <c r="EH56" s="12">
        <v>17</v>
      </c>
      <c r="EI56" s="12">
        <v>21</v>
      </c>
      <c r="EJ56" s="16">
        <v>0.80952380952380953</v>
      </c>
      <c r="EK56" s="12">
        <v>11</v>
      </c>
      <c r="EL56" s="12">
        <v>20</v>
      </c>
      <c r="EM56" s="12">
        <v>31</v>
      </c>
      <c r="EN56" s="12">
        <v>20</v>
      </c>
      <c r="EO56" s="12">
        <v>20</v>
      </c>
      <c r="EP56" s="12">
        <v>18</v>
      </c>
      <c r="EQ56" s="12">
        <v>4</v>
      </c>
      <c r="ER56" s="12">
        <v>12</v>
      </c>
      <c r="ES56" s="12">
        <v>2</v>
      </c>
      <c r="ET56" s="12">
        <v>1</v>
      </c>
      <c r="EU56" s="12">
        <v>92</v>
      </c>
      <c r="EV56" s="12">
        <v>-15</v>
      </c>
      <c r="EW56" s="12">
        <v>72</v>
      </c>
      <c r="EX56" s="12">
        <v>83</v>
      </c>
      <c r="EY56" s="12">
        <v>2</v>
      </c>
      <c r="EZ56" s="12">
        <v>11</v>
      </c>
      <c r="FA56" s="12">
        <v>6</v>
      </c>
      <c r="FB56" s="12">
        <v>3</v>
      </c>
      <c r="FC56" s="12">
        <v>7</v>
      </c>
      <c r="FD56" s="12">
        <v>0</v>
      </c>
      <c r="FE56" s="12">
        <v>0</v>
      </c>
      <c r="FF56" s="12">
        <v>5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4</v>
      </c>
      <c r="FM56" s="12">
        <v>1</v>
      </c>
      <c r="FN56" s="12">
        <v>1</v>
      </c>
      <c r="FO56" s="12">
        <v>1</v>
      </c>
      <c r="FP56" s="12">
        <v>0</v>
      </c>
      <c r="FQ56" s="12">
        <v>0</v>
      </c>
      <c r="FR56" s="12">
        <v>5</v>
      </c>
      <c r="FS56" s="12">
        <v>0</v>
      </c>
      <c r="FT56" s="12">
        <v>3</v>
      </c>
      <c r="FU56" s="12">
        <v>0</v>
      </c>
      <c r="FV56" s="12">
        <v>2</v>
      </c>
      <c r="FW56" s="12">
        <v>0</v>
      </c>
      <c r="FX56" s="12">
        <v>9</v>
      </c>
      <c r="FY56" s="12">
        <v>2</v>
      </c>
      <c r="FZ56" s="12">
        <v>1</v>
      </c>
      <c r="GA56" s="12">
        <v>0</v>
      </c>
      <c r="GB56" s="12">
        <v>1</v>
      </c>
      <c r="GC56" s="12">
        <v>1</v>
      </c>
      <c r="GD56" s="12">
        <v>0</v>
      </c>
      <c r="GE56" s="12">
        <v>1</v>
      </c>
      <c r="GF56" s="12">
        <v>13</v>
      </c>
      <c r="GG56" s="12">
        <v>16</v>
      </c>
      <c r="GH56" s="12">
        <v>0</v>
      </c>
      <c r="GI56" s="12">
        <v>3</v>
      </c>
      <c r="GJ56" s="12">
        <v>3</v>
      </c>
      <c r="GK56" s="12">
        <v>0</v>
      </c>
      <c r="GL56" s="12">
        <v>12</v>
      </c>
      <c r="GM56" s="12">
        <v>12</v>
      </c>
      <c r="GN56" s="12">
        <v>6</v>
      </c>
      <c r="GO56" s="12">
        <v>18</v>
      </c>
      <c r="GP56" s="12">
        <v>3</v>
      </c>
      <c r="GQ56" s="12">
        <v>8</v>
      </c>
      <c r="GR56" s="12">
        <v>3</v>
      </c>
      <c r="GS56" s="12">
        <v>5</v>
      </c>
      <c r="GT56" s="12">
        <v>6</v>
      </c>
      <c r="GU56" s="12">
        <v>19</v>
      </c>
      <c r="GV56" s="12">
        <v>0</v>
      </c>
      <c r="GW56" s="12">
        <v>0</v>
      </c>
      <c r="GY56" s="16"/>
    </row>
    <row r="57" spans="2:207" ht="15" customHeight="1" x14ac:dyDescent="0.2">
      <c r="B57" s="12">
        <v>4</v>
      </c>
      <c r="C57" s="12" t="s">
        <v>265</v>
      </c>
      <c r="D57" s="12" t="s">
        <v>290</v>
      </c>
      <c r="E57" s="14" t="s">
        <v>267</v>
      </c>
      <c r="F57" s="14" t="s">
        <v>292</v>
      </c>
      <c r="G57" s="15">
        <v>45218</v>
      </c>
      <c r="H57" s="15" t="s">
        <v>271</v>
      </c>
      <c r="I57" s="12" t="s">
        <v>269</v>
      </c>
      <c r="J57" s="12" t="s">
        <v>272</v>
      </c>
      <c r="K57" s="12">
        <v>200</v>
      </c>
      <c r="L57" s="12">
        <v>86</v>
      </c>
      <c r="M57" s="12">
        <v>21</v>
      </c>
      <c r="N57" s="12">
        <v>38</v>
      </c>
      <c r="O57" s="16">
        <v>0.55263157894736847</v>
      </c>
      <c r="P57" s="12">
        <v>9</v>
      </c>
      <c r="Q57" s="12">
        <v>24</v>
      </c>
      <c r="R57" s="16">
        <v>0.375</v>
      </c>
      <c r="S57" s="12">
        <v>30</v>
      </c>
      <c r="T57" s="12">
        <v>62</v>
      </c>
      <c r="U57" s="16">
        <v>0.4838709677419355</v>
      </c>
      <c r="V57" s="12">
        <v>17</v>
      </c>
      <c r="W57" s="12">
        <v>21</v>
      </c>
      <c r="X57" s="16">
        <v>0.80952380952380953</v>
      </c>
      <c r="Y57" s="12">
        <v>11</v>
      </c>
      <c r="Z57" s="12">
        <v>20</v>
      </c>
      <c r="AA57" s="12">
        <v>31</v>
      </c>
      <c r="AB57" s="12">
        <v>20</v>
      </c>
      <c r="AC57" s="12">
        <v>12</v>
      </c>
      <c r="AD57" s="12">
        <v>4</v>
      </c>
      <c r="AE57" s="12">
        <v>2</v>
      </c>
      <c r="AF57" s="12">
        <v>1</v>
      </c>
      <c r="AG57" s="12">
        <v>20</v>
      </c>
      <c r="AH57" s="12">
        <v>18</v>
      </c>
      <c r="AI57" s="17">
        <v>92</v>
      </c>
      <c r="AJ57" s="12">
        <v>-15</v>
      </c>
      <c r="AK57" s="12">
        <v>72</v>
      </c>
      <c r="AL57" s="12">
        <v>83</v>
      </c>
      <c r="AM57" s="19">
        <v>1.036144578313253</v>
      </c>
      <c r="AN57" s="19">
        <v>1.1744186046511629</v>
      </c>
      <c r="AO57" s="18">
        <v>119.44444444444444</v>
      </c>
      <c r="AP57" s="18">
        <v>142.25352112676057</v>
      </c>
      <c r="AQ57" s="18">
        <v>-22.809076682316132</v>
      </c>
      <c r="AR57" s="53">
        <v>0.55645161290322576</v>
      </c>
      <c r="AS57" s="53">
        <v>0.60563380281690138</v>
      </c>
      <c r="AT57" s="16">
        <v>0.14457831325301204</v>
      </c>
      <c r="AU57" s="19">
        <v>2</v>
      </c>
      <c r="AV57" s="16">
        <v>0.21686746987951808</v>
      </c>
      <c r="AW57" s="19">
        <v>0.66666666666666663</v>
      </c>
      <c r="AX57" s="16">
        <v>9.6385542168674704E-2</v>
      </c>
      <c r="AY57" s="19">
        <v>0.75</v>
      </c>
      <c r="AZ57" s="16">
        <v>6.0240963855421686E-2</v>
      </c>
      <c r="BA57" s="19">
        <v>1.8</v>
      </c>
      <c r="BB57" s="16">
        <v>0.2289156626506024</v>
      </c>
      <c r="BC57" s="21">
        <v>0.94736842105263153</v>
      </c>
      <c r="BD57" s="16">
        <v>0.10843373493975904</v>
      </c>
      <c r="BE57" s="16">
        <v>0.14457831325301204</v>
      </c>
      <c r="BF57" s="16">
        <v>0.51282051282051277</v>
      </c>
      <c r="BG57" s="16">
        <v>0.52380952380952384</v>
      </c>
      <c r="BH57" s="16">
        <v>0.66666666666666663</v>
      </c>
      <c r="BI57" s="16">
        <v>0.33333333333333331</v>
      </c>
      <c r="BJ57" s="16">
        <v>0.24096385542168675</v>
      </c>
      <c r="BK57" s="21">
        <v>1.6666666666666667</v>
      </c>
      <c r="BL57" s="16">
        <v>0.33333333333333331</v>
      </c>
      <c r="BM57" s="16">
        <v>0.3125</v>
      </c>
      <c r="BN57" s="16">
        <v>0.29411764705882354</v>
      </c>
      <c r="BO57" s="16">
        <v>0.5</v>
      </c>
      <c r="BP57" s="16">
        <v>0.5714285714285714</v>
      </c>
      <c r="BQ57" s="16">
        <v>0.5714285714285714</v>
      </c>
      <c r="BR57" s="16">
        <v>0.5</v>
      </c>
      <c r="BS57" s="16">
        <v>0.33333333333333331</v>
      </c>
      <c r="BT57" s="16">
        <v>0.45588235294117646</v>
      </c>
      <c r="BU57" s="16">
        <v>5.6338028169014086E-2</v>
      </c>
      <c r="BV57" s="16">
        <v>2.7777777777777776E-2</v>
      </c>
      <c r="BW57" s="54">
        <v>2</v>
      </c>
      <c r="BX57" s="54">
        <v>0.4</v>
      </c>
      <c r="BY57" s="54">
        <v>0.55555555555555558</v>
      </c>
      <c r="BZ57" s="12">
        <v>11</v>
      </c>
      <c r="CA57" s="12">
        <v>6</v>
      </c>
      <c r="CB57" s="12">
        <v>3</v>
      </c>
      <c r="CC57" s="12">
        <v>7</v>
      </c>
      <c r="CD57" s="12">
        <v>0</v>
      </c>
      <c r="CE57" s="12">
        <v>0</v>
      </c>
      <c r="CF57" s="12">
        <v>5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4</v>
      </c>
      <c r="CM57" s="12">
        <v>1</v>
      </c>
      <c r="CN57" s="12">
        <v>1</v>
      </c>
      <c r="CO57" s="12">
        <v>1</v>
      </c>
      <c r="CP57" s="12">
        <v>0</v>
      </c>
      <c r="CQ57" s="12">
        <v>0</v>
      </c>
      <c r="CR57" s="12">
        <v>5</v>
      </c>
      <c r="CS57" s="12">
        <v>0</v>
      </c>
      <c r="CT57" s="12">
        <v>3</v>
      </c>
      <c r="CU57" s="12">
        <v>0</v>
      </c>
      <c r="CV57" s="12">
        <v>2</v>
      </c>
      <c r="CW57" s="12">
        <v>0</v>
      </c>
      <c r="CX57" s="12">
        <v>9</v>
      </c>
      <c r="CY57" s="12">
        <v>2</v>
      </c>
      <c r="CZ57" s="12">
        <v>1</v>
      </c>
      <c r="DA57" s="12">
        <v>0</v>
      </c>
      <c r="DB57" s="12">
        <v>1</v>
      </c>
      <c r="DC57" s="12">
        <v>1</v>
      </c>
      <c r="DD57" s="12">
        <v>0</v>
      </c>
      <c r="DE57" s="12">
        <v>1</v>
      </c>
      <c r="DF57" s="12">
        <v>13</v>
      </c>
      <c r="DG57" s="12">
        <v>16</v>
      </c>
      <c r="DH57" s="12">
        <v>0</v>
      </c>
      <c r="DI57" s="12">
        <v>3</v>
      </c>
      <c r="DJ57" s="12">
        <v>3</v>
      </c>
      <c r="DK57" s="12">
        <v>0</v>
      </c>
      <c r="DL57" s="12">
        <v>12</v>
      </c>
      <c r="DM57" s="12">
        <v>12</v>
      </c>
      <c r="DN57" s="12">
        <v>6</v>
      </c>
      <c r="DO57" s="12">
        <v>18</v>
      </c>
      <c r="DP57" s="12">
        <v>3</v>
      </c>
      <c r="DQ57" s="12">
        <v>8</v>
      </c>
      <c r="DR57" s="12">
        <v>3</v>
      </c>
      <c r="DS57" s="12">
        <v>5</v>
      </c>
      <c r="DT57" s="12">
        <v>6</v>
      </c>
      <c r="DU57" s="12">
        <v>19</v>
      </c>
      <c r="DV57" s="12">
        <v>0</v>
      </c>
      <c r="DW57" s="12">
        <v>0</v>
      </c>
      <c r="DX57" s="12">
        <v>101</v>
      </c>
      <c r="DY57" s="12">
        <v>21</v>
      </c>
      <c r="DZ57" s="12">
        <v>34</v>
      </c>
      <c r="EA57" s="16">
        <v>0.61764705882352944</v>
      </c>
      <c r="EB57" s="12">
        <v>16</v>
      </c>
      <c r="EC57" s="12">
        <v>38</v>
      </c>
      <c r="ED57" s="16">
        <v>0.42105263157894735</v>
      </c>
      <c r="EE57" s="12">
        <v>37</v>
      </c>
      <c r="EF57" s="12">
        <v>72</v>
      </c>
      <c r="EG57" s="16">
        <v>0.51388888888888884</v>
      </c>
      <c r="EH57" s="12">
        <v>11</v>
      </c>
      <c r="EI57" s="12">
        <v>16</v>
      </c>
      <c r="EJ57" s="16">
        <v>0.6875</v>
      </c>
      <c r="EK57" s="12">
        <v>15</v>
      </c>
      <c r="EL57" s="12">
        <v>22</v>
      </c>
      <c r="EM57" s="12">
        <v>37</v>
      </c>
      <c r="EN57" s="12">
        <v>22</v>
      </c>
      <c r="EO57" s="12">
        <v>19</v>
      </c>
      <c r="EP57" s="12">
        <v>19</v>
      </c>
      <c r="EQ57" s="12">
        <v>8</v>
      </c>
      <c r="ER57" s="12">
        <v>8</v>
      </c>
      <c r="ES57" s="12">
        <v>1</v>
      </c>
      <c r="ET57" s="12">
        <v>2</v>
      </c>
      <c r="EU57" s="12">
        <v>119</v>
      </c>
      <c r="EV57" s="12">
        <v>15</v>
      </c>
      <c r="EW57" s="12">
        <v>71</v>
      </c>
      <c r="EX57" s="12">
        <v>86</v>
      </c>
      <c r="EY57" s="12">
        <v>4</v>
      </c>
      <c r="EZ57" s="12">
        <v>10</v>
      </c>
      <c r="FA57" s="12">
        <v>12</v>
      </c>
      <c r="FB57" s="12">
        <v>0</v>
      </c>
      <c r="FC57" s="12">
        <v>0</v>
      </c>
      <c r="FD57" s="12">
        <v>0</v>
      </c>
      <c r="FE57" s="12">
        <v>0</v>
      </c>
      <c r="FF57" s="12">
        <v>3</v>
      </c>
      <c r="FG57" s="12">
        <v>1</v>
      </c>
      <c r="FH57" s="12">
        <v>2</v>
      </c>
      <c r="FI57" s="12">
        <v>0</v>
      </c>
      <c r="FJ57" s="12">
        <v>1</v>
      </c>
      <c r="FK57" s="12">
        <v>1</v>
      </c>
      <c r="FL57" s="12">
        <v>8</v>
      </c>
      <c r="FM57" s="12">
        <v>3</v>
      </c>
      <c r="FN57" s="12">
        <v>1</v>
      </c>
      <c r="FO57" s="12">
        <v>1</v>
      </c>
      <c r="FP57" s="12">
        <v>0</v>
      </c>
      <c r="FQ57" s="12">
        <v>0</v>
      </c>
      <c r="FR57" s="12">
        <v>6</v>
      </c>
      <c r="FS57" s="12">
        <v>0</v>
      </c>
      <c r="FT57" s="12">
        <v>5</v>
      </c>
      <c r="FU57" s="12">
        <v>0</v>
      </c>
      <c r="FV57" s="12">
        <v>2</v>
      </c>
      <c r="FW57" s="12">
        <v>1</v>
      </c>
      <c r="FX57" s="12">
        <v>8</v>
      </c>
      <c r="FY57" s="12">
        <v>1</v>
      </c>
      <c r="FZ57" s="12">
        <v>1</v>
      </c>
      <c r="GA57" s="12">
        <v>1</v>
      </c>
      <c r="GB57" s="12">
        <v>0</v>
      </c>
      <c r="GC57" s="12">
        <v>1</v>
      </c>
      <c r="GD57" s="12">
        <v>1</v>
      </c>
      <c r="GE57" s="12">
        <v>2</v>
      </c>
      <c r="GF57" s="12">
        <v>7</v>
      </c>
      <c r="GG57" s="12">
        <v>10</v>
      </c>
      <c r="GH57" s="12">
        <v>1</v>
      </c>
      <c r="GI57" s="12">
        <v>3</v>
      </c>
      <c r="GJ57" s="12">
        <v>3</v>
      </c>
      <c r="GK57" s="12">
        <v>0</v>
      </c>
      <c r="GL57" s="12">
        <v>13</v>
      </c>
      <c r="GM57" s="12">
        <v>13</v>
      </c>
      <c r="GN57" s="12">
        <v>4</v>
      </c>
      <c r="GO57" s="12">
        <v>12</v>
      </c>
      <c r="GP57" s="12">
        <v>4</v>
      </c>
      <c r="GQ57" s="12">
        <v>9</v>
      </c>
      <c r="GR57" s="12">
        <v>6</v>
      </c>
      <c r="GS57" s="12">
        <v>9</v>
      </c>
      <c r="GT57" s="12">
        <v>10</v>
      </c>
      <c r="GU57" s="12">
        <v>28</v>
      </c>
      <c r="GV57" s="12">
        <v>0</v>
      </c>
      <c r="GW57" s="12">
        <v>1</v>
      </c>
      <c r="GY57" s="16"/>
    </row>
    <row r="58" spans="2:207" ht="15" customHeight="1" x14ac:dyDescent="0.2">
      <c r="B58" s="12">
        <v>4</v>
      </c>
      <c r="C58" s="12" t="s">
        <v>293</v>
      </c>
      <c r="D58" s="12" t="s">
        <v>274</v>
      </c>
      <c r="E58" s="14" t="s">
        <v>295</v>
      </c>
      <c r="F58" s="14" t="s">
        <v>276</v>
      </c>
      <c r="G58" s="15">
        <v>45218</v>
      </c>
      <c r="H58" s="15" t="s">
        <v>268</v>
      </c>
      <c r="I58" s="12" t="s">
        <v>269</v>
      </c>
      <c r="J58" s="12" t="s">
        <v>270</v>
      </c>
      <c r="K58" s="12">
        <v>225</v>
      </c>
      <c r="L58" s="12">
        <v>98</v>
      </c>
      <c r="M58" s="12">
        <v>16</v>
      </c>
      <c r="N58" s="12">
        <v>32</v>
      </c>
      <c r="O58" s="16">
        <v>0.5</v>
      </c>
      <c r="P58" s="12">
        <v>11</v>
      </c>
      <c r="Q58" s="12">
        <v>36</v>
      </c>
      <c r="R58" s="16">
        <v>0.30555555555555558</v>
      </c>
      <c r="S58" s="12">
        <v>27</v>
      </c>
      <c r="T58" s="12">
        <v>68</v>
      </c>
      <c r="U58" s="16">
        <v>0.39705882352941174</v>
      </c>
      <c r="V58" s="12">
        <v>33</v>
      </c>
      <c r="W58" s="12">
        <v>36</v>
      </c>
      <c r="X58" s="16">
        <v>0.91666666666666663</v>
      </c>
      <c r="Y58" s="12">
        <v>18</v>
      </c>
      <c r="Z58" s="12">
        <v>20</v>
      </c>
      <c r="AA58" s="12">
        <v>38</v>
      </c>
      <c r="AB58" s="12">
        <v>17</v>
      </c>
      <c r="AC58" s="12">
        <v>13</v>
      </c>
      <c r="AD58" s="12">
        <v>10</v>
      </c>
      <c r="AE58" s="12">
        <v>1</v>
      </c>
      <c r="AF58" s="12">
        <v>3</v>
      </c>
      <c r="AG58" s="12">
        <v>22</v>
      </c>
      <c r="AH58" s="12">
        <v>31</v>
      </c>
      <c r="AI58" s="17">
        <v>113</v>
      </c>
      <c r="AJ58" s="12">
        <v>4</v>
      </c>
      <c r="AK58" s="12">
        <v>78</v>
      </c>
      <c r="AL58" s="12">
        <v>97</v>
      </c>
      <c r="AM58" s="19">
        <v>1.0103092783505154</v>
      </c>
      <c r="AN58" s="19">
        <v>1.0444444444444445</v>
      </c>
      <c r="AO58" s="18">
        <v>125.64102564102564</v>
      </c>
      <c r="AP58" s="18">
        <v>117.5</v>
      </c>
      <c r="AQ58" s="18">
        <v>8.1410256410256352</v>
      </c>
      <c r="AR58" s="53">
        <v>0.47794117647058826</v>
      </c>
      <c r="AS58" s="53">
        <v>0.58333333333333337</v>
      </c>
      <c r="AT58" s="16">
        <v>9.2783505154639179E-2</v>
      </c>
      <c r="AU58" s="19">
        <v>1.7777777777777777</v>
      </c>
      <c r="AV58" s="16">
        <v>0.18556701030927836</v>
      </c>
      <c r="AW58" s="19">
        <v>0.55555555555555558</v>
      </c>
      <c r="AX58" s="16">
        <v>5.1546391752577317E-2</v>
      </c>
      <c r="AY58" s="19">
        <v>1.2</v>
      </c>
      <c r="AZ58" s="16">
        <v>7.2164948453608241E-2</v>
      </c>
      <c r="BA58" s="19">
        <v>1.2857142857142858</v>
      </c>
      <c r="BB58" s="16">
        <v>0.28865979381443296</v>
      </c>
      <c r="BC58" s="21">
        <v>0.8571428571428571</v>
      </c>
      <c r="BD58" s="16">
        <v>0.16494845360824742</v>
      </c>
      <c r="BE58" s="16">
        <v>0.13541666666666666</v>
      </c>
      <c r="BF58" s="16">
        <v>0.39534883720930231</v>
      </c>
      <c r="BG58" s="16">
        <v>0.4375</v>
      </c>
      <c r="BH58" s="16">
        <v>0.72727272727272729</v>
      </c>
      <c r="BI58" s="16">
        <v>0.125</v>
      </c>
      <c r="BJ58" s="16">
        <v>0.17708333333333334</v>
      </c>
      <c r="BK58" s="21">
        <v>1.3076923076923077</v>
      </c>
      <c r="BL58" s="16">
        <v>0.46153846153846156</v>
      </c>
      <c r="BM58" s="16">
        <v>0.45</v>
      </c>
      <c r="BN58" s="16">
        <v>0.5357142857142857</v>
      </c>
      <c r="BO58" s="16" t="s">
        <v>269</v>
      </c>
      <c r="BP58" s="16">
        <v>0.66666666666666663</v>
      </c>
      <c r="BQ58" s="16">
        <v>0.52941176470588236</v>
      </c>
      <c r="BR58" s="16">
        <v>0.73333333333333328</v>
      </c>
      <c r="BS58" s="16">
        <v>1</v>
      </c>
      <c r="BT58" s="16">
        <v>0.55072463768115942</v>
      </c>
      <c r="BU58" s="16">
        <v>0.125</v>
      </c>
      <c r="BV58" s="16">
        <v>1.6666666666666666E-2</v>
      </c>
      <c r="BW58" s="54">
        <v>5</v>
      </c>
      <c r="BX58" s="54">
        <v>0.59090909090909094</v>
      </c>
      <c r="BY58" s="54">
        <v>0.58064516129032262</v>
      </c>
      <c r="BZ58" s="12">
        <v>7</v>
      </c>
      <c r="CA58" s="12">
        <v>8</v>
      </c>
      <c r="CB58" s="12">
        <v>2</v>
      </c>
      <c r="CC58" s="12">
        <v>5</v>
      </c>
      <c r="CD58" s="12">
        <v>1</v>
      </c>
      <c r="CE58" s="12">
        <v>0</v>
      </c>
      <c r="CF58" s="12">
        <v>4</v>
      </c>
      <c r="CG58" s="12">
        <v>1</v>
      </c>
      <c r="CH58" s="12">
        <v>2</v>
      </c>
      <c r="CI58" s="12">
        <v>1</v>
      </c>
      <c r="CJ58" s="12">
        <v>2</v>
      </c>
      <c r="CK58" s="12">
        <v>1</v>
      </c>
      <c r="CL58" s="12">
        <v>9</v>
      </c>
      <c r="CM58" s="12">
        <v>3</v>
      </c>
      <c r="CN58" s="12">
        <v>0</v>
      </c>
      <c r="CO58" s="12">
        <v>0</v>
      </c>
      <c r="CP58" s="12">
        <v>1</v>
      </c>
      <c r="CQ58" s="12">
        <v>0</v>
      </c>
      <c r="CR58" s="12">
        <v>2</v>
      </c>
      <c r="CS58" s="12">
        <v>0</v>
      </c>
      <c r="CT58" s="12">
        <v>5</v>
      </c>
      <c r="CU58" s="12">
        <v>1</v>
      </c>
      <c r="CV58" s="12">
        <v>1</v>
      </c>
      <c r="CW58" s="12">
        <v>0</v>
      </c>
      <c r="CX58" s="12">
        <v>8</v>
      </c>
      <c r="CY58" s="12">
        <v>2</v>
      </c>
      <c r="CZ58" s="12">
        <v>3</v>
      </c>
      <c r="DA58" s="12">
        <v>0</v>
      </c>
      <c r="DB58" s="12">
        <v>0</v>
      </c>
      <c r="DC58" s="12">
        <v>1</v>
      </c>
      <c r="DD58" s="12">
        <v>2</v>
      </c>
      <c r="DE58" s="12">
        <v>2</v>
      </c>
      <c r="DF58" s="12">
        <v>28</v>
      </c>
      <c r="DG58" s="12">
        <v>30</v>
      </c>
      <c r="DH58" s="12">
        <v>0</v>
      </c>
      <c r="DI58" s="12">
        <v>3</v>
      </c>
      <c r="DJ58" s="12">
        <v>3</v>
      </c>
      <c r="DK58" s="12">
        <v>0</v>
      </c>
      <c r="DL58" s="12">
        <v>8</v>
      </c>
      <c r="DM58" s="12">
        <v>9</v>
      </c>
      <c r="DN58" s="12">
        <v>5</v>
      </c>
      <c r="DO58" s="12">
        <v>18</v>
      </c>
      <c r="DP58" s="12">
        <v>3</v>
      </c>
      <c r="DQ58" s="12">
        <v>5</v>
      </c>
      <c r="DR58" s="12">
        <v>3</v>
      </c>
      <c r="DS58" s="12">
        <v>7</v>
      </c>
      <c r="DT58" s="12">
        <v>8</v>
      </c>
      <c r="DU58" s="12">
        <v>28</v>
      </c>
      <c r="DV58" s="12">
        <v>0</v>
      </c>
      <c r="DW58" s="12">
        <v>1</v>
      </c>
      <c r="DX58" s="12">
        <v>94</v>
      </c>
      <c r="DY58" s="12">
        <v>21</v>
      </c>
      <c r="DZ58" s="12">
        <v>36</v>
      </c>
      <c r="EA58" s="16">
        <v>0.58333333333333337</v>
      </c>
      <c r="EB58" s="12">
        <v>10</v>
      </c>
      <c r="EC58" s="12">
        <v>24</v>
      </c>
      <c r="ED58" s="16">
        <v>0.41666666666666669</v>
      </c>
      <c r="EE58" s="12">
        <v>31</v>
      </c>
      <c r="EF58" s="12">
        <v>60</v>
      </c>
      <c r="EG58" s="16">
        <v>0.51666666666666672</v>
      </c>
      <c r="EH58" s="12">
        <v>22</v>
      </c>
      <c r="EI58" s="12">
        <v>27</v>
      </c>
      <c r="EJ58" s="16">
        <v>0.81481481481481477</v>
      </c>
      <c r="EK58" s="12">
        <v>10</v>
      </c>
      <c r="EL58" s="12">
        <v>21</v>
      </c>
      <c r="EM58" s="12">
        <v>31</v>
      </c>
      <c r="EN58" s="12">
        <v>17</v>
      </c>
      <c r="EO58" s="12">
        <v>32</v>
      </c>
      <c r="EP58" s="12">
        <v>22</v>
      </c>
      <c r="EQ58" s="12">
        <v>8</v>
      </c>
      <c r="ER58" s="12">
        <v>18</v>
      </c>
      <c r="ES58" s="12">
        <v>3</v>
      </c>
      <c r="ET58" s="12">
        <v>1</v>
      </c>
      <c r="EU58" s="12">
        <v>90</v>
      </c>
      <c r="EV58" s="12">
        <v>-4</v>
      </c>
      <c r="EW58" s="12">
        <v>80</v>
      </c>
      <c r="EX58" s="12">
        <v>90</v>
      </c>
      <c r="EY58" s="12">
        <v>3</v>
      </c>
      <c r="EZ58" s="12">
        <v>5</v>
      </c>
      <c r="FA58" s="12">
        <v>9</v>
      </c>
      <c r="FB58" s="12">
        <v>3</v>
      </c>
      <c r="FC58" s="12">
        <v>7</v>
      </c>
      <c r="FD58" s="12">
        <v>1</v>
      </c>
      <c r="FE58" s="12">
        <v>0</v>
      </c>
      <c r="FF58" s="12">
        <v>5</v>
      </c>
      <c r="FG58" s="12">
        <v>0</v>
      </c>
      <c r="FH58" s="12">
        <v>1</v>
      </c>
      <c r="FI58" s="12">
        <v>1</v>
      </c>
      <c r="FJ58" s="12">
        <v>0</v>
      </c>
      <c r="FK58" s="12">
        <v>0</v>
      </c>
      <c r="FL58" s="12">
        <v>3</v>
      </c>
      <c r="FM58" s="12">
        <v>1</v>
      </c>
      <c r="FN58" s="12">
        <v>0</v>
      </c>
      <c r="FO58" s="12">
        <v>0</v>
      </c>
      <c r="FP58" s="12">
        <v>0</v>
      </c>
      <c r="FQ58" s="12">
        <v>0</v>
      </c>
      <c r="FR58" s="12">
        <v>9</v>
      </c>
      <c r="FS58" s="12">
        <v>2</v>
      </c>
      <c r="FT58" s="12">
        <v>0</v>
      </c>
      <c r="FU58" s="12">
        <v>0</v>
      </c>
      <c r="FV58" s="12">
        <v>2</v>
      </c>
      <c r="FW58" s="12">
        <v>0</v>
      </c>
      <c r="FX58" s="12">
        <v>10</v>
      </c>
      <c r="FY58" s="12">
        <v>1</v>
      </c>
      <c r="FZ58" s="12">
        <v>0</v>
      </c>
      <c r="GA58" s="12">
        <v>0</v>
      </c>
      <c r="GB58" s="12">
        <v>0</v>
      </c>
      <c r="GC58" s="12">
        <v>0</v>
      </c>
      <c r="GD58" s="12">
        <v>1</v>
      </c>
      <c r="GE58" s="12">
        <v>1</v>
      </c>
      <c r="GF58" s="12">
        <v>16</v>
      </c>
      <c r="GG58" s="12">
        <v>20</v>
      </c>
      <c r="GH58" s="12">
        <v>0</v>
      </c>
      <c r="GI58" s="12">
        <v>5</v>
      </c>
      <c r="GJ58" s="12">
        <v>6</v>
      </c>
      <c r="GK58" s="12">
        <v>0</v>
      </c>
      <c r="GL58" s="12">
        <v>7</v>
      </c>
      <c r="GM58" s="12">
        <v>9</v>
      </c>
      <c r="GN58" s="12">
        <v>4</v>
      </c>
      <c r="GO58" s="12">
        <v>11</v>
      </c>
      <c r="GP58" s="12">
        <v>10</v>
      </c>
      <c r="GQ58" s="12">
        <v>16</v>
      </c>
      <c r="GR58" s="12">
        <v>2</v>
      </c>
      <c r="GS58" s="12">
        <v>4</v>
      </c>
      <c r="GT58" s="12">
        <v>8</v>
      </c>
      <c r="GU58" s="12">
        <v>19</v>
      </c>
      <c r="GV58" s="12">
        <v>0</v>
      </c>
      <c r="GW58" s="12">
        <v>1</v>
      </c>
      <c r="GY58" s="16"/>
    </row>
    <row r="59" spans="2:207" ht="15" customHeight="1" x14ac:dyDescent="0.2">
      <c r="B59" s="12">
        <v>4</v>
      </c>
      <c r="C59" s="12" t="s">
        <v>274</v>
      </c>
      <c r="D59" s="12" t="s">
        <v>293</v>
      </c>
      <c r="E59" s="14" t="s">
        <v>276</v>
      </c>
      <c r="F59" s="14" t="s">
        <v>295</v>
      </c>
      <c r="G59" s="15">
        <v>45218</v>
      </c>
      <c r="H59" s="15" t="s">
        <v>271</v>
      </c>
      <c r="I59" s="12" t="s">
        <v>269</v>
      </c>
      <c r="J59" s="12" t="s">
        <v>272</v>
      </c>
      <c r="K59" s="12">
        <v>225</v>
      </c>
      <c r="L59" s="12">
        <v>94</v>
      </c>
      <c r="M59" s="12">
        <v>21</v>
      </c>
      <c r="N59" s="12">
        <v>36</v>
      </c>
      <c r="O59" s="16">
        <v>0.58333333333333337</v>
      </c>
      <c r="P59" s="12">
        <v>10</v>
      </c>
      <c r="Q59" s="12">
        <v>24</v>
      </c>
      <c r="R59" s="16">
        <v>0.41666666666666669</v>
      </c>
      <c r="S59" s="12">
        <v>31</v>
      </c>
      <c r="T59" s="12">
        <v>60</v>
      </c>
      <c r="U59" s="16">
        <v>0.51666666666666672</v>
      </c>
      <c r="V59" s="12">
        <v>22</v>
      </c>
      <c r="W59" s="12">
        <v>27</v>
      </c>
      <c r="X59" s="16">
        <v>0.81481481481481477</v>
      </c>
      <c r="Y59" s="12">
        <v>10</v>
      </c>
      <c r="Z59" s="12">
        <v>21</v>
      </c>
      <c r="AA59" s="12">
        <v>31</v>
      </c>
      <c r="AB59" s="12">
        <v>17</v>
      </c>
      <c r="AC59" s="12">
        <v>18</v>
      </c>
      <c r="AD59" s="12">
        <v>8</v>
      </c>
      <c r="AE59" s="12">
        <v>3</v>
      </c>
      <c r="AF59" s="12">
        <v>1</v>
      </c>
      <c r="AG59" s="12">
        <v>32</v>
      </c>
      <c r="AH59" s="12">
        <v>22</v>
      </c>
      <c r="AI59" s="17">
        <v>90</v>
      </c>
      <c r="AJ59" s="12">
        <v>-4</v>
      </c>
      <c r="AK59" s="12">
        <v>80</v>
      </c>
      <c r="AL59" s="12">
        <v>90</v>
      </c>
      <c r="AM59" s="19">
        <v>1.0444444444444445</v>
      </c>
      <c r="AN59" s="19">
        <v>1.0103092783505154</v>
      </c>
      <c r="AO59" s="18">
        <v>117.5</v>
      </c>
      <c r="AP59" s="18">
        <v>125.64102564102564</v>
      </c>
      <c r="AQ59" s="18">
        <v>-8.1410256410256352</v>
      </c>
      <c r="AR59" s="53">
        <v>0.6</v>
      </c>
      <c r="AS59" s="53">
        <v>0.65277777777777779</v>
      </c>
      <c r="AT59" s="16">
        <v>0.1</v>
      </c>
      <c r="AU59" s="19">
        <v>1.5555555555555556</v>
      </c>
      <c r="AV59" s="16">
        <v>0.12222222222222222</v>
      </c>
      <c r="AW59" s="19">
        <v>0.72727272727272729</v>
      </c>
      <c r="AX59" s="16">
        <v>0.17777777777777778</v>
      </c>
      <c r="AY59" s="19">
        <v>1.25</v>
      </c>
      <c r="AZ59" s="16">
        <v>4.4444444444444446E-2</v>
      </c>
      <c r="BA59" s="19">
        <v>1.5</v>
      </c>
      <c r="BB59" s="16">
        <v>0.21111111111111111</v>
      </c>
      <c r="BC59" s="21">
        <v>1.263157894736842</v>
      </c>
      <c r="BD59" s="16">
        <v>0.13333333333333333</v>
      </c>
      <c r="BE59" s="16">
        <v>0.2</v>
      </c>
      <c r="BF59" s="16">
        <v>0.39534883720930231</v>
      </c>
      <c r="BG59" s="16">
        <v>0.23809523809523808</v>
      </c>
      <c r="BH59" s="16">
        <v>0.9</v>
      </c>
      <c r="BI59" s="16">
        <v>0.25</v>
      </c>
      <c r="BJ59" s="16">
        <v>0.18888888888888888</v>
      </c>
      <c r="BK59" s="21">
        <v>0.94444444444444442</v>
      </c>
      <c r="BL59" s="16">
        <v>0.33333333333333331</v>
      </c>
      <c r="BM59" s="16">
        <v>0.47058823529411764</v>
      </c>
      <c r="BN59" s="16">
        <v>0.26666666666666666</v>
      </c>
      <c r="BO59" s="16">
        <v>0</v>
      </c>
      <c r="BP59" s="16">
        <v>0.53846153846153844</v>
      </c>
      <c r="BQ59" s="16">
        <v>0.55000000000000004</v>
      </c>
      <c r="BR59" s="16">
        <v>0.4642857142857143</v>
      </c>
      <c r="BS59" s="16" t="s">
        <v>269</v>
      </c>
      <c r="BT59" s="16">
        <v>0.44927536231884058</v>
      </c>
      <c r="BU59" s="16">
        <v>0.10256410256410256</v>
      </c>
      <c r="BV59" s="16">
        <v>4.4117647058823532E-2</v>
      </c>
      <c r="BW59" s="54">
        <v>3</v>
      </c>
      <c r="BX59" s="54">
        <v>0.5625</v>
      </c>
      <c r="BY59" s="54">
        <v>0.59090909090909094</v>
      </c>
      <c r="BZ59" s="12">
        <v>5</v>
      </c>
      <c r="CA59" s="12">
        <v>9</v>
      </c>
      <c r="CB59" s="12">
        <v>3</v>
      </c>
      <c r="CC59" s="12">
        <v>7</v>
      </c>
      <c r="CD59" s="12">
        <v>1</v>
      </c>
      <c r="CE59" s="12">
        <v>0</v>
      </c>
      <c r="CF59" s="12">
        <v>5</v>
      </c>
      <c r="CG59" s="12">
        <v>0</v>
      </c>
      <c r="CH59" s="12">
        <v>1</v>
      </c>
      <c r="CI59" s="12">
        <v>1</v>
      </c>
      <c r="CJ59" s="12">
        <v>0</v>
      </c>
      <c r="CK59" s="12">
        <v>0</v>
      </c>
      <c r="CL59" s="12">
        <v>3</v>
      </c>
      <c r="CM59" s="12">
        <v>1</v>
      </c>
      <c r="CN59" s="12">
        <v>0</v>
      </c>
      <c r="CO59" s="12">
        <v>0</v>
      </c>
      <c r="CP59" s="12">
        <v>0</v>
      </c>
      <c r="CQ59" s="12">
        <v>0</v>
      </c>
      <c r="CR59" s="12">
        <v>9</v>
      </c>
      <c r="CS59" s="12">
        <v>2</v>
      </c>
      <c r="CT59" s="12">
        <v>0</v>
      </c>
      <c r="CU59" s="12">
        <v>0</v>
      </c>
      <c r="CV59" s="12">
        <v>2</v>
      </c>
      <c r="CW59" s="12">
        <v>0</v>
      </c>
      <c r="CX59" s="12">
        <v>10</v>
      </c>
      <c r="CY59" s="12">
        <v>1</v>
      </c>
      <c r="CZ59" s="12">
        <v>0</v>
      </c>
      <c r="DA59" s="12">
        <v>0</v>
      </c>
      <c r="DB59" s="12">
        <v>0</v>
      </c>
      <c r="DC59" s="12">
        <v>0</v>
      </c>
      <c r="DD59" s="12">
        <v>1</v>
      </c>
      <c r="DE59" s="12">
        <v>1</v>
      </c>
      <c r="DF59" s="12">
        <v>16</v>
      </c>
      <c r="DG59" s="12">
        <v>20</v>
      </c>
      <c r="DH59" s="12">
        <v>0</v>
      </c>
      <c r="DI59" s="12">
        <v>5</v>
      </c>
      <c r="DJ59" s="12">
        <v>6</v>
      </c>
      <c r="DK59" s="12">
        <v>0</v>
      </c>
      <c r="DL59" s="12">
        <v>7</v>
      </c>
      <c r="DM59" s="12">
        <v>9</v>
      </c>
      <c r="DN59" s="12">
        <v>4</v>
      </c>
      <c r="DO59" s="12">
        <v>11</v>
      </c>
      <c r="DP59" s="12">
        <v>10</v>
      </c>
      <c r="DQ59" s="12">
        <v>16</v>
      </c>
      <c r="DR59" s="12">
        <v>2</v>
      </c>
      <c r="DS59" s="12">
        <v>4</v>
      </c>
      <c r="DT59" s="12">
        <v>8</v>
      </c>
      <c r="DU59" s="12">
        <v>19</v>
      </c>
      <c r="DV59" s="12">
        <v>0</v>
      </c>
      <c r="DW59" s="12">
        <v>1</v>
      </c>
      <c r="DX59" s="12">
        <v>98</v>
      </c>
      <c r="DY59" s="12">
        <v>16</v>
      </c>
      <c r="DZ59" s="12">
        <v>32</v>
      </c>
      <c r="EA59" s="16">
        <v>0.5</v>
      </c>
      <c r="EB59" s="12">
        <v>11</v>
      </c>
      <c r="EC59" s="12">
        <v>36</v>
      </c>
      <c r="ED59" s="16">
        <v>0.30555555555555558</v>
      </c>
      <c r="EE59" s="12">
        <v>27</v>
      </c>
      <c r="EF59" s="12">
        <v>68</v>
      </c>
      <c r="EG59" s="16">
        <v>0.39705882352941174</v>
      </c>
      <c r="EH59" s="12">
        <v>33</v>
      </c>
      <c r="EI59" s="12">
        <v>36</v>
      </c>
      <c r="EJ59" s="16">
        <v>0.91666666666666663</v>
      </c>
      <c r="EK59" s="12">
        <v>18</v>
      </c>
      <c r="EL59" s="12">
        <v>20</v>
      </c>
      <c r="EM59" s="12">
        <v>38</v>
      </c>
      <c r="EN59" s="12">
        <v>17</v>
      </c>
      <c r="EO59" s="12">
        <v>22</v>
      </c>
      <c r="EP59" s="12">
        <v>31</v>
      </c>
      <c r="EQ59" s="12">
        <v>10</v>
      </c>
      <c r="ER59" s="12">
        <v>13</v>
      </c>
      <c r="ES59" s="12">
        <v>1</v>
      </c>
      <c r="ET59" s="12">
        <v>3</v>
      </c>
      <c r="EU59" s="12">
        <v>113</v>
      </c>
      <c r="EV59" s="12">
        <v>4</v>
      </c>
      <c r="EW59" s="12">
        <v>78</v>
      </c>
      <c r="EX59" s="12">
        <v>97</v>
      </c>
      <c r="EY59" s="12">
        <v>5</v>
      </c>
      <c r="EZ59" s="12">
        <v>7</v>
      </c>
      <c r="FA59" s="12">
        <v>8</v>
      </c>
      <c r="FB59" s="12">
        <v>2</v>
      </c>
      <c r="FC59" s="12">
        <v>5</v>
      </c>
      <c r="FD59" s="12">
        <v>1</v>
      </c>
      <c r="FE59" s="12">
        <v>0</v>
      </c>
      <c r="FF59" s="12">
        <v>4</v>
      </c>
      <c r="FG59" s="12">
        <v>1</v>
      </c>
      <c r="FH59" s="12">
        <v>2</v>
      </c>
      <c r="FI59" s="12">
        <v>1</v>
      </c>
      <c r="FJ59" s="12">
        <v>2</v>
      </c>
      <c r="FK59" s="12">
        <v>1</v>
      </c>
      <c r="FL59" s="12">
        <v>9</v>
      </c>
      <c r="FM59" s="12">
        <v>3</v>
      </c>
      <c r="FN59" s="12">
        <v>0</v>
      </c>
      <c r="FO59" s="12">
        <v>0</v>
      </c>
      <c r="FP59" s="12">
        <v>1</v>
      </c>
      <c r="FQ59" s="12">
        <v>0</v>
      </c>
      <c r="FR59" s="12">
        <v>2</v>
      </c>
      <c r="FS59" s="12">
        <v>0</v>
      </c>
      <c r="FT59" s="12">
        <v>5</v>
      </c>
      <c r="FU59" s="12">
        <v>1</v>
      </c>
      <c r="FV59" s="12">
        <v>1</v>
      </c>
      <c r="FW59" s="12">
        <v>0</v>
      </c>
      <c r="FX59" s="12">
        <v>8</v>
      </c>
      <c r="FY59" s="12">
        <v>2</v>
      </c>
      <c r="FZ59" s="12">
        <v>3</v>
      </c>
      <c r="GA59" s="12">
        <v>0</v>
      </c>
      <c r="GB59" s="12">
        <v>0</v>
      </c>
      <c r="GC59" s="12">
        <v>1</v>
      </c>
      <c r="GD59" s="12">
        <v>2</v>
      </c>
      <c r="GE59" s="12">
        <v>2</v>
      </c>
      <c r="GF59" s="12">
        <v>28</v>
      </c>
      <c r="GG59" s="12">
        <v>30</v>
      </c>
      <c r="GH59" s="12">
        <v>0</v>
      </c>
      <c r="GI59" s="12">
        <v>3</v>
      </c>
      <c r="GJ59" s="12">
        <v>3</v>
      </c>
      <c r="GK59" s="12">
        <v>0</v>
      </c>
      <c r="GL59" s="12">
        <v>8</v>
      </c>
      <c r="GM59" s="12">
        <v>9</v>
      </c>
      <c r="GN59" s="12">
        <v>5</v>
      </c>
      <c r="GO59" s="12">
        <v>18</v>
      </c>
      <c r="GP59" s="12">
        <v>3</v>
      </c>
      <c r="GQ59" s="12">
        <v>5</v>
      </c>
      <c r="GR59" s="12">
        <v>3</v>
      </c>
      <c r="GS59" s="12">
        <v>7</v>
      </c>
      <c r="GT59" s="12">
        <v>8</v>
      </c>
      <c r="GU59" s="12">
        <v>28</v>
      </c>
      <c r="GV59" s="12">
        <v>0</v>
      </c>
      <c r="GW59" s="12">
        <v>1</v>
      </c>
      <c r="GY59" s="16"/>
    </row>
    <row r="60" spans="2:207" ht="15" customHeight="1" x14ac:dyDescent="0.2">
      <c r="B60" s="12">
        <v>4</v>
      </c>
      <c r="C60" s="12" t="s">
        <v>297</v>
      </c>
      <c r="D60" s="12" t="s">
        <v>286</v>
      </c>
      <c r="E60" s="14" t="s">
        <v>299</v>
      </c>
      <c r="F60" s="14" t="s">
        <v>288</v>
      </c>
      <c r="G60" s="15">
        <v>45218</v>
      </c>
      <c r="H60" s="15" t="s">
        <v>268</v>
      </c>
      <c r="I60" s="12" t="s">
        <v>269</v>
      </c>
      <c r="J60" s="12" t="s">
        <v>272</v>
      </c>
      <c r="K60" s="12">
        <v>200</v>
      </c>
      <c r="L60" s="12">
        <v>82</v>
      </c>
      <c r="M60" s="12">
        <v>16</v>
      </c>
      <c r="N60" s="12">
        <v>38</v>
      </c>
      <c r="O60" s="16">
        <v>0.42105263157894735</v>
      </c>
      <c r="P60" s="12">
        <v>11</v>
      </c>
      <c r="Q60" s="12">
        <v>32</v>
      </c>
      <c r="R60" s="16">
        <v>0.34375</v>
      </c>
      <c r="S60" s="12">
        <v>27</v>
      </c>
      <c r="T60" s="12">
        <v>70</v>
      </c>
      <c r="U60" s="16">
        <v>0.38571428571428573</v>
      </c>
      <c r="V60" s="12">
        <v>17</v>
      </c>
      <c r="W60" s="12">
        <v>23</v>
      </c>
      <c r="X60" s="16">
        <v>0.73913043478260865</v>
      </c>
      <c r="Y60" s="12">
        <v>12</v>
      </c>
      <c r="Z60" s="12">
        <v>21</v>
      </c>
      <c r="AA60" s="12">
        <v>33</v>
      </c>
      <c r="AB60" s="12">
        <v>17</v>
      </c>
      <c r="AC60" s="12">
        <v>5</v>
      </c>
      <c r="AD60" s="12">
        <v>6</v>
      </c>
      <c r="AE60" s="12">
        <v>3</v>
      </c>
      <c r="AF60" s="12">
        <v>1</v>
      </c>
      <c r="AG60" s="12">
        <v>20</v>
      </c>
      <c r="AH60" s="12">
        <v>24</v>
      </c>
      <c r="AI60" s="17">
        <v>90</v>
      </c>
      <c r="AJ60" s="12">
        <v>-17</v>
      </c>
      <c r="AK60" s="12">
        <v>74</v>
      </c>
      <c r="AL60" s="12">
        <v>86</v>
      </c>
      <c r="AM60" s="19">
        <v>0.95348837209302328</v>
      </c>
      <c r="AN60" s="19">
        <v>1.2375</v>
      </c>
      <c r="AO60" s="18">
        <v>110.81081081081081</v>
      </c>
      <c r="AP60" s="18">
        <v>133.7837837837838</v>
      </c>
      <c r="AQ60" s="18">
        <v>-22.972972972972997</v>
      </c>
      <c r="AR60" s="53">
        <v>0.4642857142857143</v>
      </c>
      <c r="AS60" s="53">
        <v>0.50617283950617287</v>
      </c>
      <c r="AT60" s="16">
        <v>8.1395348837209308E-2</v>
      </c>
      <c r="AU60" s="19">
        <v>1.1428571428571428</v>
      </c>
      <c r="AV60" s="16">
        <v>0.27906976744186046</v>
      </c>
      <c r="AW60" s="19">
        <v>0.91666666666666663</v>
      </c>
      <c r="AX60" s="16">
        <v>8.1395348837209308E-2</v>
      </c>
      <c r="AY60" s="19">
        <v>0.2857142857142857</v>
      </c>
      <c r="AZ60" s="16">
        <v>3.4883720930232558E-2</v>
      </c>
      <c r="BA60" s="19">
        <v>2</v>
      </c>
      <c r="BB60" s="16">
        <v>0.33720930232558138</v>
      </c>
      <c r="BC60" s="21">
        <v>0.93103448275862066</v>
      </c>
      <c r="BD60" s="16">
        <v>0.12790697674418605</v>
      </c>
      <c r="BE60" s="16">
        <v>5.8139534883720929E-2</v>
      </c>
      <c r="BF60" s="16">
        <v>0.44736842105263158</v>
      </c>
      <c r="BG60" s="16">
        <v>0.3125</v>
      </c>
      <c r="BH60" s="16">
        <v>0.81818181818181823</v>
      </c>
      <c r="BI60" s="16">
        <v>0.27272727272727271</v>
      </c>
      <c r="BJ60" s="16">
        <v>0.19767441860465115</v>
      </c>
      <c r="BK60" s="21">
        <v>3.4</v>
      </c>
      <c r="BL60" s="16">
        <v>0.26666666666666666</v>
      </c>
      <c r="BM60" s="16">
        <v>0.21739130434782608</v>
      </c>
      <c r="BN60" s="16">
        <v>0.36363636363636365</v>
      </c>
      <c r="BO60" s="16">
        <v>0</v>
      </c>
      <c r="BP60" s="16">
        <v>0.77777777777777779</v>
      </c>
      <c r="BQ60" s="16">
        <v>0.79166666666666663</v>
      </c>
      <c r="BR60" s="16">
        <v>0.75</v>
      </c>
      <c r="BS60" s="16" t="s">
        <v>269</v>
      </c>
      <c r="BT60" s="16">
        <v>0.45833333333333331</v>
      </c>
      <c r="BU60" s="16">
        <v>8.1081081081081086E-2</v>
      </c>
      <c r="BV60" s="16">
        <v>0.05</v>
      </c>
      <c r="BW60" s="54">
        <v>3</v>
      </c>
      <c r="BX60" s="54">
        <v>0.6</v>
      </c>
      <c r="BY60" s="54">
        <v>0.5</v>
      </c>
      <c r="BZ60" s="12">
        <v>5</v>
      </c>
      <c r="CA60" s="12">
        <v>9</v>
      </c>
      <c r="CB60" s="12">
        <v>3</v>
      </c>
      <c r="CC60" s="12">
        <v>4</v>
      </c>
      <c r="CD60" s="12">
        <v>2</v>
      </c>
      <c r="CE60" s="12">
        <v>0</v>
      </c>
      <c r="CF60" s="12">
        <v>2</v>
      </c>
      <c r="CG60" s="12">
        <v>0</v>
      </c>
      <c r="CH60" s="12">
        <v>1</v>
      </c>
      <c r="CI60" s="12">
        <v>0</v>
      </c>
      <c r="CJ60" s="12">
        <v>1</v>
      </c>
      <c r="CK60" s="12">
        <v>1</v>
      </c>
      <c r="CL60" s="12">
        <v>6</v>
      </c>
      <c r="CM60" s="12">
        <v>0</v>
      </c>
      <c r="CN60" s="12">
        <v>0</v>
      </c>
      <c r="CO60" s="12">
        <v>0</v>
      </c>
      <c r="CP60" s="12">
        <v>1</v>
      </c>
      <c r="CQ60" s="12">
        <v>0</v>
      </c>
      <c r="CR60" s="12">
        <v>10</v>
      </c>
      <c r="CS60" s="12">
        <v>3</v>
      </c>
      <c r="CT60" s="12">
        <v>5</v>
      </c>
      <c r="CU60" s="12">
        <v>0</v>
      </c>
      <c r="CV60" s="12">
        <v>0</v>
      </c>
      <c r="CW60" s="12">
        <v>0</v>
      </c>
      <c r="CX60" s="12">
        <v>5</v>
      </c>
      <c r="CY60" s="12">
        <v>1</v>
      </c>
      <c r="CZ60" s="12">
        <v>0</v>
      </c>
      <c r="DA60" s="12">
        <v>0</v>
      </c>
      <c r="DB60" s="12">
        <v>0</v>
      </c>
      <c r="DC60" s="12">
        <v>0</v>
      </c>
      <c r="DD60" s="12">
        <v>1</v>
      </c>
      <c r="DE60" s="12">
        <v>1</v>
      </c>
      <c r="DF60" s="12">
        <v>16</v>
      </c>
      <c r="DG60" s="12">
        <v>22</v>
      </c>
      <c r="DH60" s="12">
        <v>0</v>
      </c>
      <c r="DI60" s="12">
        <v>0</v>
      </c>
      <c r="DJ60" s="12">
        <v>0</v>
      </c>
      <c r="DK60" s="12">
        <v>0</v>
      </c>
      <c r="DL60" s="12">
        <v>4</v>
      </c>
      <c r="DM60" s="12">
        <v>7</v>
      </c>
      <c r="DN60" s="12">
        <v>11</v>
      </c>
      <c r="DO60" s="12">
        <v>24</v>
      </c>
      <c r="DP60" s="12">
        <v>1</v>
      </c>
      <c r="DQ60" s="12">
        <v>7</v>
      </c>
      <c r="DR60" s="12">
        <v>2</v>
      </c>
      <c r="DS60" s="12">
        <v>3</v>
      </c>
      <c r="DT60" s="12">
        <v>9</v>
      </c>
      <c r="DU60" s="12">
        <v>29</v>
      </c>
      <c r="DV60" s="12">
        <v>0</v>
      </c>
      <c r="DW60" s="12">
        <v>0</v>
      </c>
      <c r="DX60" s="12">
        <v>99</v>
      </c>
      <c r="DY60" s="12">
        <v>18</v>
      </c>
      <c r="DZ60" s="12">
        <v>39</v>
      </c>
      <c r="EA60" s="16">
        <v>0.46153846153846156</v>
      </c>
      <c r="EB60" s="12">
        <v>14</v>
      </c>
      <c r="EC60" s="12">
        <v>21</v>
      </c>
      <c r="ED60" s="16">
        <v>0.66666666666666663</v>
      </c>
      <c r="EE60" s="12">
        <v>32</v>
      </c>
      <c r="EF60" s="12">
        <v>60</v>
      </c>
      <c r="EG60" s="16">
        <v>0.53333333333333333</v>
      </c>
      <c r="EH60" s="12">
        <v>21</v>
      </c>
      <c r="EI60" s="12">
        <v>23</v>
      </c>
      <c r="EJ60" s="16">
        <v>0.91304347826086951</v>
      </c>
      <c r="EK60" s="12">
        <v>6</v>
      </c>
      <c r="EL60" s="12">
        <v>33</v>
      </c>
      <c r="EM60" s="12">
        <v>39</v>
      </c>
      <c r="EN60" s="12">
        <v>21</v>
      </c>
      <c r="EO60" s="12">
        <v>24</v>
      </c>
      <c r="EP60" s="12">
        <v>20</v>
      </c>
      <c r="EQ60" s="12">
        <v>1</v>
      </c>
      <c r="ER60" s="12">
        <v>10</v>
      </c>
      <c r="ES60" s="12">
        <v>1</v>
      </c>
      <c r="ET60" s="12">
        <v>3</v>
      </c>
      <c r="EU60" s="12">
        <v>114</v>
      </c>
      <c r="EV60" s="12">
        <v>17</v>
      </c>
      <c r="EW60" s="12">
        <v>74</v>
      </c>
      <c r="EX60" s="12">
        <v>80</v>
      </c>
      <c r="EY60" s="12">
        <v>6</v>
      </c>
      <c r="EZ60" s="12">
        <v>5</v>
      </c>
      <c r="FA60" s="12">
        <v>13</v>
      </c>
      <c r="FB60" s="12">
        <v>3</v>
      </c>
      <c r="FC60" s="12">
        <v>7</v>
      </c>
      <c r="FD60" s="12">
        <v>0</v>
      </c>
      <c r="FE60" s="12">
        <v>0</v>
      </c>
      <c r="FF60" s="12">
        <v>4</v>
      </c>
      <c r="FG60" s="12">
        <v>0</v>
      </c>
      <c r="FH60" s="12">
        <v>1</v>
      </c>
      <c r="FI60" s="12">
        <v>0</v>
      </c>
      <c r="FJ60" s="12">
        <v>0</v>
      </c>
      <c r="FK60" s="12">
        <v>0</v>
      </c>
      <c r="FL60" s="12">
        <v>1</v>
      </c>
      <c r="FM60" s="12">
        <v>1</v>
      </c>
      <c r="FN60" s="12">
        <v>0</v>
      </c>
      <c r="FO60" s="12">
        <v>0</v>
      </c>
      <c r="FP60" s="12">
        <v>1</v>
      </c>
      <c r="FQ60" s="12">
        <v>0</v>
      </c>
      <c r="FR60" s="12">
        <v>11</v>
      </c>
      <c r="FS60" s="12">
        <v>1</v>
      </c>
      <c r="FT60" s="12">
        <v>5</v>
      </c>
      <c r="FU60" s="12">
        <v>0</v>
      </c>
      <c r="FV60" s="12">
        <v>0</v>
      </c>
      <c r="FW60" s="12">
        <v>0</v>
      </c>
      <c r="FX60" s="12">
        <v>14</v>
      </c>
      <c r="FY60" s="12">
        <v>0</v>
      </c>
      <c r="FZ60" s="12">
        <v>2</v>
      </c>
      <c r="GA60" s="12">
        <v>0</v>
      </c>
      <c r="GB60" s="12">
        <v>0</v>
      </c>
      <c r="GC60" s="12">
        <v>0</v>
      </c>
      <c r="GD60" s="12">
        <v>2</v>
      </c>
      <c r="GE60" s="12">
        <v>2</v>
      </c>
      <c r="GF60" s="12">
        <v>17</v>
      </c>
      <c r="GG60" s="12">
        <v>18</v>
      </c>
      <c r="GH60" s="12">
        <v>0</v>
      </c>
      <c r="GI60" s="12">
        <v>2</v>
      </c>
      <c r="GJ60" s="12">
        <v>3</v>
      </c>
      <c r="GK60" s="12">
        <v>0</v>
      </c>
      <c r="GL60" s="12">
        <v>6</v>
      </c>
      <c r="GM60" s="12">
        <v>7</v>
      </c>
      <c r="GN60" s="12">
        <v>12</v>
      </c>
      <c r="GO60" s="12">
        <v>26</v>
      </c>
      <c r="GP60" s="12">
        <v>0</v>
      </c>
      <c r="GQ60" s="12">
        <v>6</v>
      </c>
      <c r="GR60" s="12">
        <v>1</v>
      </c>
      <c r="GS60" s="12">
        <v>1</v>
      </c>
      <c r="GT60" s="12">
        <v>13</v>
      </c>
      <c r="GU60" s="12">
        <v>20</v>
      </c>
      <c r="GV60" s="12">
        <v>0</v>
      </c>
      <c r="GW60" s="12">
        <v>0</v>
      </c>
      <c r="GY60" s="16"/>
    </row>
    <row r="61" spans="2:207" ht="15" customHeight="1" x14ac:dyDescent="0.2">
      <c r="B61" s="12">
        <v>4</v>
      </c>
      <c r="C61" s="12" t="s">
        <v>286</v>
      </c>
      <c r="D61" s="12" t="s">
        <v>297</v>
      </c>
      <c r="E61" s="14" t="s">
        <v>288</v>
      </c>
      <c r="F61" s="14" t="s">
        <v>299</v>
      </c>
      <c r="G61" s="15">
        <v>45218</v>
      </c>
      <c r="H61" s="15" t="s">
        <v>271</v>
      </c>
      <c r="I61" s="12" t="s">
        <v>269</v>
      </c>
      <c r="J61" s="12" t="s">
        <v>270</v>
      </c>
      <c r="K61" s="12">
        <v>200</v>
      </c>
      <c r="L61" s="12">
        <v>99</v>
      </c>
      <c r="M61" s="12">
        <v>18</v>
      </c>
      <c r="N61" s="12">
        <v>39</v>
      </c>
      <c r="O61" s="16">
        <v>0.46153846153846156</v>
      </c>
      <c r="P61" s="12">
        <v>14</v>
      </c>
      <c r="Q61" s="12">
        <v>21</v>
      </c>
      <c r="R61" s="16">
        <v>0.66666666666666663</v>
      </c>
      <c r="S61" s="12">
        <v>32</v>
      </c>
      <c r="T61" s="12">
        <v>60</v>
      </c>
      <c r="U61" s="16">
        <v>0.53333333333333333</v>
      </c>
      <c r="V61" s="12">
        <v>21</v>
      </c>
      <c r="W61" s="12">
        <v>23</v>
      </c>
      <c r="X61" s="16">
        <v>0.91304347826086951</v>
      </c>
      <c r="Y61" s="12">
        <v>6</v>
      </c>
      <c r="Z61" s="12">
        <v>33</v>
      </c>
      <c r="AA61" s="12">
        <v>39</v>
      </c>
      <c r="AB61" s="12">
        <v>21</v>
      </c>
      <c r="AC61" s="12">
        <v>10</v>
      </c>
      <c r="AD61" s="12">
        <v>1</v>
      </c>
      <c r="AE61" s="12">
        <v>1</v>
      </c>
      <c r="AF61" s="12">
        <v>3</v>
      </c>
      <c r="AG61" s="12">
        <v>24</v>
      </c>
      <c r="AH61" s="12">
        <v>20</v>
      </c>
      <c r="AI61" s="17">
        <v>114</v>
      </c>
      <c r="AJ61" s="12">
        <v>17</v>
      </c>
      <c r="AK61" s="12">
        <v>74</v>
      </c>
      <c r="AL61" s="12">
        <v>80</v>
      </c>
      <c r="AM61" s="19">
        <v>1.2375</v>
      </c>
      <c r="AN61" s="19">
        <v>0.95348837209302328</v>
      </c>
      <c r="AO61" s="18">
        <v>133.7837837837838</v>
      </c>
      <c r="AP61" s="18">
        <v>110.81081081081081</v>
      </c>
      <c r="AQ61" s="18">
        <v>22.972972972972997</v>
      </c>
      <c r="AR61" s="53">
        <v>0.65</v>
      </c>
      <c r="AS61" s="53">
        <v>0.70714285714285718</v>
      </c>
      <c r="AT61" s="16">
        <v>8.7499999999999994E-2</v>
      </c>
      <c r="AU61" s="19">
        <v>1.7142857142857142</v>
      </c>
      <c r="AV61" s="16">
        <v>0.32500000000000001</v>
      </c>
      <c r="AW61" s="19">
        <v>0.92307692307692313</v>
      </c>
      <c r="AX61" s="16">
        <v>7.4999999999999997E-2</v>
      </c>
      <c r="AY61" s="19">
        <v>0</v>
      </c>
      <c r="AZ61" s="16">
        <v>1.2500000000000001E-2</v>
      </c>
      <c r="BA61" s="19">
        <v>3</v>
      </c>
      <c r="BB61" s="16">
        <v>0.25</v>
      </c>
      <c r="BC61" s="21">
        <v>1.95</v>
      </c>
      <c r="BD61" s="16">
        <v>0.125</v>
      </c>
      <c r="BE61" s="16">
        <v>0.125</v>
      </c>
      <c r="BF61" s="16">
        <v>0.5</v>
      </c>
      <c r="BG61" s="16">
        <v>0.27777777777777779</v>
      </c>
      <c r="BH61" s="16">
        <v>0.9285714285714286</v>
      </c>
      <c r="BI61" s="16">
        <v>0.3</v>
      </c>
      <c r="BJ61" s="16">
        <v>0.26250000000000001</v>
      </c>
      <c r="BK61" s="21">
        <v>2.1</v>
      </c>
      <c r="BL61" s="16">
        <v>0.22222222222222221</v>
      </c>
      <c r="BM61" s="16">
        <v>0.20833333333333334</v>
      </c>
      <c r="BN61" s="16">
        <v>0.25</v>
      </c>
      <c r="BO61" s="16" t="s">
        <v>269</v>
      </c>
      <c r="BP61" s="16">
        <v>0.73333333333333328</v>
      </c>
      <c r="BQ61" s="16">
        <v>0.78260869565217395</v>
      </c>
      <c r="BR61" s="16">
        <v>0.63636363636363635</v>
      </c>
      <c r="BS61" s="16">
        <v>1</v>
      </c>
      <c r="BT61" s="16">
        <v>0.54166666666666663</v>
      </c>
      <c r="BU61" s="16">
        <v>1.3513513513513514E-2</v>
      </c>
      <c r="BV61" s="16">
        <v>1.4285714285714285E-2</v>
      </c>
      <c r="BW61" s="54">
        <v>6</v>
      </c>
      <c r="BX61" s="54">
        <v>0.5</v>
      </c>
      <c r="BY61" s="54">
        <v>0.6</v>
      </c>
      <c r="BZ61" s="12">
        <v>5</v>
      </c>
      <c r="CA61" s="12">
        <v>13</v>
      </c>
      <c r="CB61" s="12">
        <v>3</v>
      </c>
      <c r="CC61" s="12">
        <v>7</v>
      </c>
      <c r="CD61" s="12">
        <v>0</v>
      </c>
      <c r="CE61" s="12">
        <v>0</v>
      </c>
      <c r="CF61" s="12">
        <v>4</v>
      </c>
      <c r="CG61" s="12">
        <v>0</v>
      </c>
      <c r="CH61" s="12">
        <v>1</v>
      </c>
      <c r="CI61" s="12">
        <v>0</v>
      </c>
      <c r="CJ61" s="12">
        <v>0</v>
      </c>
      <c r="CK61" s="12">
        <v>0</v>
      </c>
      <c r="CL61" s="12">
        <v>1</v>
      </c>
      <c r="CM61" s="12">
        <v>1</v>
      </c>
      <c r="CN61" s="12">
        <v>0</v>
      </c>
      <c r="CO61" s="12">
        <v>0</v>
      </c>
      <c r="CP61" s="12">
        <v>1</v>
      </c>
      <c r="CQ61" s="12">
        <v>0</v>
      </c>
      <c r="CR61" s="12">
        <v>11</v>
      </c>
      <c r="CS61" s="12">
        <v>1</v>
      </c>
      <c r="CT61" s="12">
        <v>5</v>
      </c>
      <c r="CU61" s="12">
        <v>0</v>
      </c>
      <c r="CV61" s="12">
        <v>0</v>
      </c>
      <c r="CW61" s="12">
        <v>0</v>
      </c>
      <c r="CX61" s="12">
        <v>14</v>
      </c>
      <c r="CY61" s="12">
        <v>0</v>
      </c>
      <c r="CZ61" s="12">
        <v>2</v>
      </c>
      <c r="DA61" s="12">
        <v>0</v>
      </c>
      <c r="DB61" s="12">
        <v>0</v>
      </c>
      <c r="DC61" s="12">
        <v>0</v>
      </c>
      <c r="DD61" s="12">
        <v>2</v>
      </c>
      <c r="DE61" s="12">
        <v>2</v>
      </c>
      <c r="DF61" s="12">
        <v>17</v>
      </c>
      <c r="DG61" s="12">
        <v>18</v>
      </c>
      <c r="DH61" s="12">
        <v>0</v>
      </c>
      <c r="DI61" s="12">
        <v>2</v>
      </c>
      <c r="DJ61" s="12">
        <v>3</v>
      </c>
      <c r="DK61" s="12">
        <v>0</v>
      </c>
      <c r="DL61" s="12">
        <v>6</v>
      </c>
      <c r="DM61" s="12">
        <v>7</v>
      </c>
      <c r="DN61" s="12">
        <v>12</v>
      </c>
      <c r="DO61" s="12">
        <v>26</v>
      </c>
      <c r="DP61" s="12">
        <v>0</v>
      </c>
      <c r="DQ61" s="12">
        <v>6</v>
      </c>
      <c r="DR61" s="12">
        <v>1</v>
      </c>
      <c r="DS61" s="12">
        <v>1</v>
      </c>
      <c r="DT61" s="12">
        <v>13</v>
      </c>
      <c r="DU61" s="12">
        <v>20</v>
      </c>
      <c r="DV61" s="12">
        <v>0</v>
      </c>
      <c r="DW61" s="12">
        <v>0</v>
      </c>
      <c r="DX61" s="12">
        <v>82</v>
      </c>
      <c r="DY61" s="12">
        <v>16</v>
      </c>
      <c r="DZ61" s="12">
        <v>38</v>
      </c>
      <c r="EA61" s="16">
        <v>0.42105263157894735</v>
      </c>
      <c r="EB61" s="12">
        <v>11</v>
      </c>
      <c r="EC61" s="12">
        <v>32</v>
      </c>
      <c r="ED61" s="16">
        <v>0.34375</v>
      </c>
      <c r="EE61" s="12">
        <v>27</v>
      </c>
      <c r="EF61" s="12">
        <v>70</v>
      </c>
      <c r="EG61" s="16">
        <v>0.38571428571428573</v>
      </c>
      <c r="EH61" s="12">
        <v>17</v>
      </c>
      <c r="EI61" s="12">
        <v>23</v>
      </c>
      <c r="EJ61" s="16">
        <v>0.73913043478260865</v>
      </c>
      <c r="EK61" s="12">
        <v>12</v>
      </c>
      <c r="EL61" s="12">
        <v>21</v>
      </c>
      <c r="EM61" s="12">
        <v>33</v>
      </c>
      <c r="EN61" s="12">
        <v>17</v>
      </c>
      <c r="EO61" s="12">
        <v>20</v>
      </c>
      <c r="EP61" s="12">
        <v>24</v>
      </c>
      <c r="EQ61" s="12">
        <v>6</v>
      </c>
      <c r="ER61" s="12">
        <v>5</v>
      </c>
      <c r="ES61" s="12">
        <v>3</v>
      </c>
      <c r="ET61" s="12">
        <v>1</v>
      </c>
      <c r="EU61" s="12">
        <v>90</v>
      </c>
      <c r="EV61" s="12">
        <v>-17</v>
      </c>
      <c r="EW61" s="12">
        <v>74</v>
      </c>
      <c r="EX61" s="12">
        <v>86</v>
      </c>
      <c r="EY61" s="12">
        <v>3</v>
      </c>
      <c r="EZ61" s="12">
        <v>5</v>
      </c>
      <c r="FA61" s="12">
        <v>9</v>
      </c>
      <c r="FB61" s="12">
        <v>3</v>
      </c>
      <c r="FC61" s="12">
        <v>4</v>
      </c>
      <c r="FD61" s="12">
        <v>2</v>
      </c>
      <c r="FE61" s="12">
        <v>0</v>
      </c>
      <c r="FF61" s="12">
        <v>2</v>
      </c>
      <c r="FG61" s="12">
        <v>0</v>
      </c>
      <c r="FH61" s="12">
        <v>1</v>
      </c>
      <c r="FI61" s="12">
        <v>0</v>
      </c>
      <c r="FJ61" s="12">
        <v>1</v>
      </c>
      <c r="FK61" s="12">
        <v>1</v>
      </c>
      <c r="FL61" s="12">
        <v>6</v>
      </c>
      <c r="FM61" s="12">
        <v>0</v>
      </c>
      <c r="FN61" s="12">
        <v>0</v>
      </c>
      <c r="FO61" s="12">
        <v>0</v>
      </c>
      <c r="FP61" s="12">
        <v>1</v>
      </c>
      <c r="FQ61" s="12">
        <v>0</v>
      </c>
      <c r="FR61" s="12">
        <v>10</v>
      </c>
      <c r="FS61" s="12">
        <v>3</v>
      </c>
      <c r="FT61" s="12">
        <v>5</v>
      </c>
      <c r="FU61" s="12">
        <v>0</v>
      </c>
      <c r="FV61" s="12">
        <v>0</v>
      </c>
      <c r="FW61" s="12">
        <v>0</v>
      </c>
      <c r="FX61" s="12">
        <v>5</v>
      </c>
      <c r="FY61" s="12">
        <v>1</v>
      </c>
      <c r="FZ61" s="12">
        <v>0</v>
      </c>
      <c r="GA61" s="12">
        <v>0</v>
      </c>
      <c r="GB61" s="12">
        <v>0</v>
      </c>
      <c r="GC61" s="12">
        <v>0</v>
      </c>
      <c r="GD61" s="12">
        <v>1</v>
      </c>
      <c r="GE61" s="12">
        <v>1</v>
      </c>
      <c r="GF61" s="12">
        <v>16</v>
      </c>
      <c r="GG61" s="12">
        <v>22</v>
      </c>
      <c r="GH61" s="12">
        <v>0</v>
      </c>
      <c r="GI61" s="12">
        <v>0</v>
      </c>
      <c r="GJ61" s="12">
        <v>0</v>
      </c>
      <c r="GK61" s="12">
        <v>0</v>
      </c>
      <c r="GL61" s="12">
        <v>4</v>
      </c>
      <c r="GM61" s="12">
        <v>7</v>
      </c>
      <c r="GN61" s="12">
        <v>11</v>
      </c>
      <c r="GO61" s="12">
        <v>24</v>
      </c>
      <c r="GP61" s="12">
        <v>1</v>
      </c>
      <c r="GQ61" s="12">
        <v>7</v>
      </c>
      <c r="GR61" s="12">
        <v>2</v>
      </c>
      <c r="GS61" s="12">
        <v>3</v>
      </c>
      <c r="GT61" s="12">
        <v>9</v>
      </c>
      <c r="GU61" s="12">
        <v>29</v>
      </c>
      <c r="GV61" s="12">
        <v>0</v>
      </c>
      <c r="GW61" s="12">
        <v>0</v>
      </c>
      <c r="GY61" s="16"/>
    </row>
    <row r="62" spans="2:207" ht="15" customHeight="1" x14ac:dyDescent="0.2">
      <c r="B62" s="12">
        <v>4</v>
      </c>
      <c r="C62" s="12" t="s">
        <v>289</v>
      </c>
      <c r="D62" s="12" t="s">
        <v>298</v>
      </c>
      <c r="E62" s="14" t="s">
        <v>291</v>
      </c>
      <c r="F62" s="14" t="s">
        <v>300</v>
      </c>
      <c r="G62" s="15">
        <v>45218</v>
      </c>
      <c r="H62" s="15" t="s">
        <v>271</v>
      </c>
      <c r="I62" s="12" t="s">
        <v>269</v>
      </c>
      <c r="J62" s="12" t="s">
        <v>272</v>
      </c>
      <c r="K62" s="12">
        <v>200</v>
      </c>
      <c r="L62" s="12">
        <v>71</v>
      </c>
      <c r="M62" s="12">
        <v>23</v>
      </c>
      <c r="N62" s="12">
        <v>41</v>
      </c>
      <c r="O62" s="16">
        <v>0.56097560975609762</v>
      </c>
      <c r="P62" s="12">
        <v>4</v>
      </c>
      <c r="Q62" s="12">
        <v>19</v>
      </c>
      <c r="R62" s="16">
        <v>0.21052631578947367</v>
      </c>
      <c r="S62" s="12">
        <v>27</v>
      </c>
      <c r="T62" s="12">
        <v>60</v>
      </c>
      <c r="U62" s="16">
        <v>0.45</v>
      </c>
      <c r="V62" s="12">
        <v>13</v>
      </c>
      <c r="W62" s="12">
        <v>18</v>
      </c>
      <c r="X62" s="16">
        <v>0.72222222222222221</v>
      </c>
      <c r="Y62" s="12">
        <v>14</v>
      </c>
      <c r="Z62" s="12">
        <v>17</v>
      </c>
      <c r="AA62" s="12">
        <v>31</v>
      </c>
      <c r="AB62" s="12">
        <v>10</v>
      </c>
      <c r="AC62" s="12">
        <v>18</v>
      </c>
      <c r="AD62" s="12">
        <v>6</v>
      </c>
      <c r="AE62" s="12">
        <v>1</v>
      </c>
      <c r="AF62" s="12">
        <v>1</v>
      </c>
      <c r="AG62" s="12">
        <v>20</v>
      </c>
      <c r="AH62" s="12">
        <v>21</v>
      </c>
      <c r="AI62" s="17">
        <v>63</v>
      </c>
      <c r="AJ62" s="12">
        <v>-17</v>
      </c>
      <c r="AK62" s="12">
        <v>72</v>
      </c>
      <c r="AL62" s="12">
        <v>86</v>
      </c>
      <c r="AM62" s="19">
        <v>0.82558139534883723</v>
      </c>
      <c r="AN62" s="19">
        <v>1.1000000000000001</v>
      </c>
      <c r="AO62" s="18">
        <v>98.611111111111114</v>
      </c>
      <c r="AP62" s="18">
        <v>120.54794520547945</v>
      </c>
      <c r="AQ62" s="18">
        <v>-21.936834094368336</v>
      </c>
      <c r="AR62" s="53">
        <v>0.48333333333333334</v>
      </c>
      <c r="AS62" s="53">
        <v>0.5220588235294118</v>
      </c>
      <c r="AT62" s="16">
        <v>4.6511627906976744E-2</v>
      </c>
      <c r="AU62" s="19">
        <v>2</v>
      </c>
      <c r="AV62" s="16">
        <v>0.2441860465116279</v>
      </c>
      <c r="AW62" s="19">
        <v>1.3333333333333333</v>
      </c>
      <c r="AX62" s="16">
        <v>0.18604651162790697</v>
      </c>
      <c r="AY62" s="19">
        <v>0.625</v>
      </c>
      <c r="AZ62" s="16">
        <v>1.1627906976744186E-2</v>
      </c>
      <c r="BA62" s="19">
        <v>0</v>
      </c>
      <c r="BB62" s="16">
        <v>0.20930232558139536</v>
      </c>
      <c r="BC62" s="21">
        <v>0.66666666666666663</v>
      </c>
      <c r="BD62" s="16">
        <v>9.3023255813953487E-2</v>
      </c>
      <c r="BE62" s="16">
        <v>0.20930232558139536</v>
      </c>
      <c r="BF62" s="16">
        <v>0.29411764705882354</v>
      </c>
      <c r="BG62" s="16">
        <v>0.34782608695652173</v>
      </c>
      <c r="BH62" s="16">
        <v>0.5</v>
      </c>
      <c r="BI62" s="16">
        <v>0</v>
      </c>
      <c r="BJ62" s="16">
        <v>0.11627906976744186</v>
      </c>
      <c r="BK62" s="21">
        <v>0.55555555555555558</v>
      </c>
      <c r="BL62" s="16">
        <v>0.4</v>
      </c>
      <c r="BM62" s="16">
        <v>0.35</v>
      </c>
      <c r="BN62" s="16">
        <v>0.46666666666666667</v>
      </c>
      <c r="BO62" s="16">
        <v>0.33333333333333331</v>
      </c>
      <c r="BP62" s="16">
        <v>0.70833333333333337</v>
      </c>
      <c r="BQ62" s="16">
        <v>0.6428571428571429</v>
      </c>
      <c r="BR62" s="16">
        <v>0.69230769230769229</v>
      </c>
      <c r="BS62" s="16" t="s">
        <v>269</v>
      </c>
      <c r="BT62" s="16">
        <v>0.52542372881355937</v>
      </c>
      <c r="BU62" s="16">
        <v>8.2191780821917804E-2</v>
      </c>
      <c r="BV62" s="16">
        <v>1.6666666666666666E-2</v>
      </c>
      <c r="BW62" s="54">
        <v>2</v>
      </c>
      <c r="BX62" s="54">
        <v>0.3</v>
      </c>
      <c r="BY62" s="54">
        <v>0.38095238095238093</v>
      </c>
      <c r="BZ62" s="12">
        <v>8</v>
      </c>
      <c r="CA62" s="12">
        <v>2</v>
      </c>
      <c r="CB62" s="12">
        <v>0</v>
      </c>
      <c r="CC62" s="12">
        <v>0</v>
      </c>
      <c r="CD62" s="12">
        <v>0</v>
      </c>
      <c r="CE62" s="12">
        <v>0</v>
      </c>
      <c r="CF62" s="12">
        <v>3</v>
      </c>
      <c r="CG62" s="12">
        <v>0</v>
      </c>
      <c r="CH62" s="12">
        <v>3</v>
      </c>
      <c r="CI62" s="12">
        <v>1</v>
      </c>
      <c r="CJ62" s="12">
        <v>0</v>
      </c>
      <c r="CK62" s="12">
        <v>0</v>
      </c>
      <c r="CL62" s="12">
        <v>7</v>
      </c>
      <c r="CM62" s="12">
        <v>0</v>
      </c>
      <c r="CN62" s="12">
        <v>1</v>
      </c>
      <c r="CO62" s="12">
        <v>0</v>
      </c>
      <c r="CP62" s="12">
        <v>0</v>
      </c>
      <c r="CQ62" s="12">
        <v>0</v>
      </c>
      <c r="CR62" s="12">
        <v>6</v>
      </c>
      <c r="CS62" s="12">
        <v>1</v>
      </c>
      <c r="CT62" s="12">
        <v>2</v>
      </c>
      <c r="CU62" s="12">
        <v>0</v>
      </c>
      <c r="CV62" s="12">
        <v>0</v>
      </c>
      <c r="CW62" s="12">
        <v>0</v>
      </c>
      <c r="CX62" s="12">
        <v>9</v>
      </c>
      <c r="CY62" s="12">
        <v>0</v>
      </c>
      <c r="CZ62" s="12">
        <v>0</v>
      </c>
      <c r="DA62" s="12">
        <v>0</v>
      </c>
      <c r="DB62" s="12">
        <v>1</v>
      </c>
      <c r="DC62" s="12">
        <v>2</v>
      </c>
      <c r="DD62" s="12">
        <v>0</v>
      </c>
      <c r="DE62" s="12">
        <v>0</v>
      </c>
      <c r="DF62" s="12">
        <v>12</v>
      </c>
      <c r="DG62" s="12">
        <v>16</v>
      </c>
      <c r="DH62" s="12">
        <v>1</v>
      </c>
      <c r="DI62" s="12">
        <v>0</v>
      </c>
      <c r="DJ62" s="12">
        <v>0</v>
      </c>
      <c r="DK62" s="12">
        <v>0</v>
      </c>
      <c r="DL62" s="12">
        <v>4</v>
      </c>
      <c r="DM62" s="12">
        <v>4</v>
      </c>
      <c r="DN62" s="12">
        <v>14</v>
      </c>
      <c r="DO62" s="12">
        <v>21</v>
      </c>
      <c r="DP62" s="12">
        <v>5</v>
      </c>
      <c r="DQ62" s="12">
        <v>16</v>
      </c>
      <c r="DR62" s="12">
        <v>0</v>
      </c>
      <c r="DS62" s="12">
        <v>1</v>
      </c>
      <c r="DT62" s="12">
        <v>4</v>
      </c>
      <c r="DU62" s="12">
        <v>18</v>
      </c>
      <c r="DV62" s="12">
        <v>0</v>
      </c>
      <c r="DW62" s="12">
        <v>0</v>
      </c>
      <c r="DX62" s="12">
        <v>88</v>
      </c>
      <c r="DY62" s="12">
        <v>24</v>
      </c>
      <c r="DZ62" s="12">
        <v>37</v>
      </c>
      <c r="EA62" s="16">
        <v>0.64864864864864868</v>
      </c>
      <c r="EB62" s="12">
        <v>10</v>
      </c>
      <c r="EC62" s="12">
        <v>23</v>
      </c>
      <c r="ED62" s="16">
        <v>0.43478260869565216</v>
      </c>
      <c r="EE62" s="12">
        <v>34</v>
      </c>
      <c r="EF62" s="12">
        <v>60</v>
      </c>
      <c r="EG62" s="16">
        <v>0.56666666666666665</v>
      </c>
      <c r="EH62" s="12">
        <v>10</v>
      </c>
      <c r="EI62" s="12">
        <v>12</v>
      </c>
      <c r="EJ62" s="16">
        <v>0.83333333333333337</v>
      </c>
      <c r="EK62" s="12">
        <v>7</v>
      </c>
      <c r="EL62" s="12">
        <v>21</v>
      </c>
      <c r="EM62" s="12">
        <v>28</v>
      </c>
      <c r="EN62" s="12">
        <v>21</v>
      </c>
      <c r="EO62" s="12">
        <v>23</v>
      </c>
      <c r="EP62" s="12">
        <v>20</v>
      </c>
      <c r="EQ62" s="12">
        <v>5</v>
      </c>
      <c r="ER62" s="12">
        <v>15</v>
      </c>
      <c r="ES62" s="12">
        <v>1</v>
      </c>
      <c r="ET62" s="12">
        <v>1</v>
      </c>
      <c r="EU62" s="12">
        <v>96</v>
      </c>
      <c r="EV62" s="12">
        <v>17</v>
      </c>
      <c r="EW62" s="12">
        <v>73</v>
      </c>
      <c r="EX62" s="12">
        <v>80</v>
      </c>
      <c r="EY62" s="12">
        <v>4</v>
      </c>
      <c r="EZ62" s="12">
        <v>16</v>
      </c>
      <c r="FA62" s="12">
        <v>5</v>
      </c>
      <c r="FB62" s="12">
        <v>0</v>
      </c>
      <c r="FC62" s="12">
        <v>0</v>
      </c>
      <c r="FD62" s="12">
        <v>0</v>
      </c>
      <c r="FE62" s="12">
        <v>0</v>
      </c>
      <c r="FF62" s="12">
        <v>1</v>
      </c>
      <c r="FG62" s="12">
        <v>0</v>
      </c>
      <c r="FH62" s="12">
        <v>4</v>
      </c>
      <c r="FI62" s="12">
        <v>0</v>
      </c>
      <c r="FJ62" s="12">
        <v>1</v>
      </c>
      <c r="FK62" s="12">
        <v>1</v>
      </c>
      <c r="FL62" s="12">
        <v>1</v>
      </c>
      <c r="FM62" s="12">
        <v>1</v>
      </c>
      <c r="FN62" s="12">
        <v>0</v>
      </c>
      <c r="FO62" s="12">
        <v>0</v>
      </c>
      <c r="FP62" s="12">
        <v>0</v>
      </c>
      <c r="FQ62" s="12">
        <v>0</v>
      </c>
      <c r="FR62" s="12">
        <v>4</v>
      </c>
      <c r="FS62" s="12">
        <v>0</v>
      </c>
      <c r="FT62" s="12">
        <v>8</v>
      </c>
      <c r="FU62" s="12">
        <v>1</v>
      </c>
      <c r="FV62" s="12">
        <v>1</v>
      </c>
      <c r="FW62" s="12">
        <v>0</v>
      </c>
      <c r="FX62" s="12">
        <v>7</v>
      </c>
      <c r="FY62" s="12">
        <v>0</v>
      </c>
      <c r="FZ62" s="12">
        <v>1</v>
      </c>
      <c r="GA62" s="12">
        <v>1</v>
      </c>
      <c r="GB62" s="12">
        <v>0</v>
      </c>
      <c r="GC62" s="12">
        <v>1</v>
      </c>
      <c r="GD62" s="12">
        <v>1</v>
      </c>
      <c r="GE62" s="12">
        <v>1</v>
      </c>
      <c r="GF62" s="12">
        <v>9</v>
      </c>
      <c r="GG62" s="12">
        <v>10</v>
      </c>
      <c r="GH62" s="12">
        <v>0</v>
      </c>
      <c r="GI62" s="12">
        <v>0</v>
      </c>
      <c r="GJ62" s="12">
        <v>0</v>
      </c>
      <c r="GK62" s="12">
        <v>0</v>
      </c>
      <c r="GL62" s="12">
        <v>9</v>
      </c>
      <c r="GM62" s="12">
        <v>9</v>
      </c>
      <c r="GN62" s="12">
        <v>11</v>
      </c>
      <c r="GO62" s="12">
        <v>18</v>
      </c>
      <c r="GP62" s="12">
        <v>4</v>
      </c>
      <c r="GQ62" s="12">
        <v>10</v>
      </c>
      <c r="GR62" s="12">
        <v>1</v>
      </c>
      <c r="GS62" s="12">
        <v>2</v>
      </c>
      <c r="GT62" s="12">
        <v>9</v>
      </c>
      <c r="GU62" s="12">
        <v>21</v>
      </c>
      <c r="GV62" s="12">
        <v>0</v>
      </c>
      <c r="GW62" s="12">
        <v>0</v>
      </c>
      <c r="GY62" s="16"/>
    </row>
    <row r="63" spans="2:207" ht="15" customHeight="1" x14ac:dyDescent="0.2">
      <c r="B63" s="12">
        <v>4</v>
      </c>
      <c r="C63" s="12" t="s">
        <v>298</v>
      </c>
      <c r="D63" s="12" t="s">
        <v>289</v>
      </c>
      <c r="E63" s="14" t="s">
        <v>300</v>
      </c>
      <c r="F63" s="14" t="s">
        <v>291</v>
      </c>
      <c r="G63" s="15">
        <v>45218</v>
      </c>
      <c r="H63" s="15" t="s">
        <v>268</v>
      </c>
      <c r="I63" s="12" t="s">
        <v>269</v>
      </c>
      <c r="J63" s="12" t="s">
        <v>270</v>
      </c>
      <c r="K63" s="12">
        <v>200</v>
      </c>
      <c r="L63" s="12">
        <v>88</v>
      </c>
      <c r="M63" s="12">
        <v>24</v>
      </c>
      <c r="N63" s="12">
        <v>37</v>
      </c>
      <c r="O63" s="16">
        <v>0.64864864864864868</v>
      </c>
      <c r="P63" s="12">
        <v>10</v>
      </c>
      <c r="Q63" s="12">
        <v>23</v>
      </c>
      <c r="R63" s="16">
        <v>0.43478260869565216</v>
      </c>
      <c r="S63" s="12">
        <v>34</v>
      </c>
      <c r="T63" s="12">
        <v>60</v>
      </c>
      <c r="U63" s="16">
        <v>0.56666666666666665</v>
      </c>
      <c r="V63" s="12">
        <v>10</v>
      </c>
      <c r="W63" s="12">
        <v>12</v>
      </c>
      <c r="X63" s="16">
        <v>0.83333333333333337</v>
      </c>
      <c r="Y63" s="12">
        <v>7</v>
      </c>
      <c r="Z63" s="12">
        <v>21</v>
      </c>
      <c r="AA63" s="12">
        <v>28</v>
      </c>
      <c r="AB63" s="12">
        <v>21</v>
      </c>
      <c r="AC63" s="12">
        <v>15</v>
      </c>
      <c r="AD63" s="12">
        <v>5</v>
      </c>
      <c r="AE63" s="12">
        <v>1</v>
      </c>
      <c r="AF63" s="12">
        <v>1</v>
      </c>
      <c r="AG63" s="12">
        <v>23</v>
      </c>
      <c r="AH63" s="12">
        <v>20</v>
      </c>
      <c r="AI63" s="17">
        <v>96</v>
      </c>
      <c r="AJ63" s="12">
        <v>17</v>
      </c>
      <c r="AK63" s="12">
        <v>73</v>
      </c>
      <c r="AL63" s="12">
        <v>80</v>
      </c>
      <c r="AM63" s="19">
        <v>1.1000000000000001</v>
      </c>
      <c r="AN63" s="19">
        <v>0.82558139534883723</v>
      </c>
      <c r="AO63" s="18">
        <v>120.54794520547945</v>
      </c>
      <c r="AP63" s="18">
        <v>98.611111111111114</v>
      </c>
      <c r="AQ63" s="18">
        <v>21.936834094368336</v>
      </c>
      <c r="AR63" s="53">
        <v>0.65</v>
      </c>
      <c r="AS63" s="53">
        <v>0.67692307692307696</v>
      </c>
      <c r="AT63" s="16">
        <v>0.1125</v>
      </c>
      <c r="AU63" s="19">
        <v>2</v>
      </c>
      <c r="AV63" s="16">
        <v>0.22500000000000001</v>
      </c>
      <c r="AW63" s="19">
        <v>1.2222222222222223</v>
      </c>
      <c r="AX63" s="16">
        <v>0.125</v>
      </c>
      <c r="AY63" s="19">
        <v>0.8</v>
      </c>
      <c r="AZ63" s="16">
        <v>2.5000000000000001E-2</v>
      </c>
      <c r="BA63" s="19">
        <v>1.5</v>
      </c>
      <c r="BB63" s="16">
        <v>0.26250000000000001</v>
      </c>
      <c r="BC63" s="21">
        <v>1.2857142857142858</v>
      </c>
      <c r="BD63" s="16">
        <v>6.25E-2</v>
      </c>
      <c r="BE63" s="16">
        <v>0.1875</v>
      </c>
      <c r="BF63" s="16">
        <v>0.53846153846153844</v>
      </c>
      <c r="BG63" s="16">
        <v>0.66666666666666663</v>
      </c>
      <c r="BH63" s="16">
        <v>0.5</v>
      </c>
      <c r="BI63" s="16">
        <v>0</v>
      </c>
      <c r="BJ63" s="16">
        <v>0.26250000000000001</v>
      </c>
      <c r="BK63" s="21">
        <v>1.4</v>
      </c>
      <c r="BL63" s="16">
        <v>0.29166666666666669</v>
      </c>
      <c r="BM63" s="16">
        <v>0.35714285714285715</v>
      </c>
      <c r="BN63" s="16">
        <v>0.30769230769230771</v>
      </c>
      <c r="BO63" s="16" t="s">
        <v>269</v>
      </c>
      <c r="BP63" s="16">
        <v>0.6</v>
      </c>
      <c r="BQ63" s="16">
        <v>0.65</v>
      </c>
      <c r="BR63" s="16">
        <v>0.53333333333333333</v>
      </c>
      <c r="BS63" s="16">
        <v>0.66666666666666663</v>
      </c>
      <c r="BT63" s="16">
        <v>0.47457627118644069</v>
      </c>
      <c r="BU63" s="16">
        <v>6.9444444444444448E-2</v>
      </c>
      <c r="BV63" s="16">
        <v>1.6666666666666666E-2</v>
      </c>
      <c r="BW63" s="54">
        <v>4</v>
      </c>
      <c r="BX63" s="54">
        <v>0.34782608695652173</v>
      </c>
      <c r="BY63" s="54">
        <v>0.3</v>
      </c>
      <c r="BZ63" s="12">
        <v>16</v>
      </c>
      <c r="CA63" s="12">
        <v>5</v>
      </c>
      <c r="CB63" s="12">
        <v>0</v>
      </c>
      <c r="CC63" s="12">
        <v>0</v>
      </c>
      <c r="CD63" s="12">
        <v>0</v>
      </c>
      <c r="CE63" s="12">
        <v>0</v>
      </c>
      <c r="CF63" s="12">
        <v>1</v>
      </c>
      <c r="CG63" s="12">
        <v>0</v>
      </c>
      <c r="CH63" s="12">
        <v>4</v>
      </c>
      <c r="CI63" s="12">
        <v>0</v>
      </c>
      <c r="CJ63" s="12">
        <v>1</v>
      </c>
      <c r="CK63" s="12">
        <v>1</v>
      </c>
      <c r="CL63" s="12">
        <v>1</v>
      </c>
      <c r="CM63" s="12">
        <v>1</v>
      </c>
      <c r="CN63" s="12">
        <v>0</v>
      </c>
      <c r="CO63" s="12">
        <v>0</v>
      </c>
      <c r="CP63" s="12">
        <v>0</v>
      </c>
      <c r="CQ63" s="12">
        <v>0</v>
      </c>
      <c r="CR63" s="12">
        <v>4</v>
      </c>
      <c r="CS63" s="12">
        <v>0</v>
      </c>
      <c r="CT63" s="12">
        <v>8</v>
      </c>
      <c r="CU63" s="12">
        <v>1</v>
      </c>
      <c r="CV63" s="12">
        <v>1</v>
      </c>
      <c r="CW63" s="12">
        <v>0</v>
      </c>
      <c r="CX63" s="12">
        <v>7</v>
      </c>
      <c r="CY63" s="12">
        <v>0</v>
      </c>
      <c r="CZ63" s="12">
        <v>1</v>
      </c>
      <c r="DA63" s="12">
        <v>1</v>
      </c>
      <c r="DB63" s="12">
        <v>0</v>
      </c>
      <c r="DC63" s="12">
        <v>1</v>
      </c>
      <c r="DD63" s="12">
        <v>1</v>
      </c>
      <c r="DE63" s="12">
        <v>1</v>
      </c>
      <c r="DF63" s="12">
        <v>9</v>
      </c>
      <c r="DG63" s="12">
        <v>10</v>
      </c>
      <c r="DH63" s="12">
        <v>0</v>
      </c>
      <c r="DI63" s="12">
        <v>0</v>
      </c>
      <c r="DJ63" s="12">
        <v>0</v>
      </c>
      <c r="DK63" s="12">
        <v>0</v>
      </c>
      <c r="DL63" s="12">
        <v>9</v>
      </c>
      <c r="DM63" s="12">
        <v>9</v>
      </c>
      <c r="DN63" s="12">
        <v>11</v>
      </c>
      <c r="DO63" s="12">
        <v>18</v>
      </c>
      <c r="DP63" s="12">
        <v>4</v>
      </c>
      <c r="DQ63" s="12">
        <v>10</v>
      </c>
      <c r="DR63" s="12">
        <v>1</v>
      </c>
      <c r="DS63" s="12">
        <v>2</v>
      </c>
      <c r="DT63" s="12">
        <v>9</v>
      </c>
      <c r="DU63" s="12">
        <v>21</v>
      </c>
      <c r="DV63" s="12">
        <v>0</v>
      </c>
      <c r="DW63" s="12">
        <v>0</v>
      </c>
      <c r="DX63" s="12">
        <v>71</v>
      </c>
      <c r="DY63" s="12">
        <v>23</v>
      </c>
      <c r="DZ63" s="12">
        <v>41</v>
      </c>
      <c r="EA63" s="16">
        <v>0.56097560975609762</v>
      </c>
      <c r="EB63" s="12">
        <v>4</v>
      </c>
      <c r="EC63" s="12">
        <v>19</v>
      </c>
      <c r="ED63" s="16">
        <v>0.21052631578947367</v>
      </c>
      <c r="EE63" s="12">
        <v>27</v>
      </c>
      <c r="EF63" s="12">
        <v>60</v>
      </c>
      <c r="EG63" s="16">
        <v>0.45</v>
      </c>
      <c r="EH63" s="12">
        <v>13</v>
      </c>
      <c r="EI63" s="12">
        <v>18</v>
      </c>
      <c r="EJ63" s="16">
        <v>0.72222222222222221</v>
      </c>
      <c r="EK63" s="12">
        <v>14</v>
      </c>
      <c r="EL63" s="12">
        <v>17</v>
      </c>
      <c r="EM63" s="12">
        <v>31</v>
      </c>
      <c r="EN63" s="12">
        <v>10</v>
      </c>
      <c r="EO63" s="12">
        <v>21</v>
      </c>
      <c r="EP63" s="12">
        <v>21</v>
      </c>
      <c r="EQ63" s="12">
        <v>6</v>
      </c>
      <c r="ER63" s="12">
        <v>18</v>
      </c>
      <c r="ES63" s="12">
        <v>1</v>
      </c>
      <c r="ET63" s="12">
        <v>1</v>
      </c>
      <c r="EU63" s="12">
        <v>62</v>
      </c>
      <c r="EV63" s="12">
        <v>-17</v>
      </c>
      <c r="EW63" s="12">
        <v>72</v>
      </c>
      <c r="EX63" s="12">
        <v>86</v>
      </c>
      <c r="EY63" s="12">
        <v>2</v>
      </c>
      <c r="EZ63" s="12">
        <v>8</v>
      </c>
      <c r="FA63" s="12">
        <v>2</v>
      </c>
      <c r="FB63" s="12">
        <v>0</v>
      </c>
      <c r="FC63" s="12">
        <v>0</v>
      </c>
      <c r="FD63" s="12">
        <v>0</v>
      </c>
      <c r="FE63" s="12">
        <v>0</v>
      </c>
      <c r="FF63" s="12">
        <v>3</v>
      </c>
      <c r="FG63" s="12">
        <v>0</v>
      </c>
      <c r="FH63" s="12">
        <v>3</v>
      </c>
      <c r="FI63" s="12">
        <v>1</v>
      </c>
      <c r="FJ63" s="12">
        <v>0</v>
      </c>
      <c r="FK63" s="12">
        <v>0</v>
      </c>
      <c r="FL63" s="12">
        <v>7</v>
      </c>
      <c r="FM63" s="12">
        <v>0</v>
      </c>
      <c r="FN63" s="12">
        <v>1</v>
      </c>
      <c r="FO63" s="12">
        <v>0</v>
      </c>
      <c r="FP63" s="12">
        <v>0</v>
      </c>
      <c r="FQ63" s="12">
        <v>0</v>
      </c>
      <c r="FR63" s="12">
        <v>6</v>
      </c>
      <c r="FS63" s="12">
        <v>1</v>
      </c>
      <c r="FT63" s="12">
        <v>2</v>
      </c>
      <c r="FU63" s="12">
        <v>0</v>
      </c>
      <c r="FV63" s="12">
        <v>0</v>
      </c>
      <c r="FW63" s="12">
        <v>0</v>
      </c>
      <c r="FX63" s="12">
        <v>9</v>
      </c>
      <c r="FY63" s="12">
        <v>0</v>
      </c>
      <c r="FZ63" s="12">
        <v>0</v>
      </c>
      <c r="GA63" s="12">
        <v>0</v>
      </c>
      <c r="GB63" s="12">
        <v>1</v>
      </c>
      <c r="GC63" s="12">
        <v>2</v>
      </c>
      <c r="GD63" s="12">
        <v>0</v>
      </c>
      <c r="GE63" s="12">
        <v>0</v>
      </c>
      <c r="GF63" s="12">
        <v>12</v>
      </c>
      <c r="GG63" s="12">
        <v>16</v>
      </c>
      <c r="GH63" s="12">
        <v>1</v>
      </c>
      <c r="GI63" s="12">
        <v>0</v>
      </c>
      <c r="GJ63" s="12">
        <v>0</v>
      </c>
      <c r="GK63" s="12">
        <v>0</v>
      </c>
      <c r="GL63" s="12">
        <v>4</v>
      </c>
      <c r="GM63" s="12">
        <v>4</v>
      </c>
      <c r="GN63" s="12">
        <v>14</v>
      </c>
      <c r="GO63" s="12">
        <v>21</v>
      </c>
      <c r="GP63" s="12">
        <v>5</v>
      </c>
      <c r="GQ63" s="12">
        <v>16</v>
      </c>
      <c r="GR63" s="12">
        <v>0</v>
      </c>
      <c r="GS63" s="12">
        <v>1</v>
      </c>
      <c r="GT63" s="12">
        <v>4</v>
      </c>
      <c r="GU63" s="12">
        <v>18</v>
      </c>
      <c r="GV63" s="12">
        <v>0</v>
      </c>
      <c r="GW63" s="12">
        <v>0</v>
      </c>
      <c r="GY63" s="16"/>
    </row>
    <row r="64" spans="2:207" ht="15" customHeight="1" x14ac:dyDescent="0.2">
      <c r="B64" s="12">
        <v>4</v>
      </c>
      <c r="C64" s="12" t="s">
        <v>281</v>
      </c>
      <c r="D64" s="12" t="s">
        <v>301</v>
      </c>
      <c r="E64" s="14" t="s">
        <v>283</v>
      </c>
      <c r="F64" s="14" t="s">
        <v>302</v>
      </c>
      <c r="G64" s="15">
        <v>45219</v>
      </c>
      <c r="H64" s="15" t="s">
        <v>271</v>
      </c>
      <c r="I64" s="12" t="s">
        <v>269</v>
      </c>
      <c r="J64" s="12" t="s">
        <v>272</v>
      </c>
      <c r="K64" s="12">
        <v>200</v>
      </c>
      <c r="L64" s="12">
        <v>75</v>
      </c>
      <c r="M64" s="12">
        <v>15</v>
      </c>
      <c r="N64" s="12">
        <v>32</v>
      </c>
      <c r="O64" s="16">
        <v>0.46875</v>
      </c>
      <c r="P64" s="12">
        <v>11</v>
      </c>
      <c r="Q64" s="12">
        <v>32</v>
      </c>
      <c r="R64" s="16">
        <v>0.34375</v>
      </c>
      <c r="S64" s="12">
        <v>26</v>
      </c>
      <c r="T64" s="12">
        <v>64</v>
      </c>
      <c r="U64" s="16">
        <v>0.40625</v>
      </c>
      <c r="V64" s="12">
        <v>12</v>
      </c>
      <c r="W64" s="12">
        <v>14</v>
      </c>
      <c r="X64" s="16">
        <v>0.8571428571428571</v>
      </c>
      <c r="Y64" s="12">
        <v>12</v>
      </c>
      <c r="Z64" s="12">
        <v>19</v>
      </c>
      <c r="AA64" s="12">
        <v>31</v>
      </c>
      <c r="AB64" s="12">
        <v>16</v>
      </c>
      <c r="AC64" s="12">
        <v>14</v>
      </c>
      <c r="AD64" s="12">
        <v>6</v>
      </c>
      <c r="AE64" s="12">
        <v>1</v>
      </c>
      <c r="AF64" s="12">
        <v>2</v>
      </c>
      <c r="AG64" s="12">
        <v>14</v>
      </c>
      <c r="AH64" s="12">
        <v>15</v>
      </c>
      <c r="AI64" s="17">
        <v>74</v>
      </c>
      <c r="AJ64" s="12">
        <v>-11</v>
      </c>
      <c r="AK64" s="12">
        <v>72</v>
      </c>
      <c r="AL64" s="12">
        <v>84</v>
      </c>
      <c r="AM64" s="19">
        <v>0.8928571428571429</v>
      </c>
      <c r="AN64" s="19">
        <v>1.1025641025641026</v>
      </c>
      <c r="AO64" s="18">
        <v>104.16666666666667</v>
      </c>
      <c r="AP64" s="18">
        <v>121.12676056338027</v>
      </c>
      <c r="AQ64" s="18">
        <v>-16.960093896713602</v>
      </c>
      <c r="AR64" s="53">
        <v>0.4921875</v>
      </c>
      <c r="AS64" s="53">
        <v>0.5357142857142857</v>
      </c>
      <c r="AT64" s="16">
        <v>4.7619047619047616E-2</v>
      </c>
      <c r="AU64" s="19">
        <v>1.5</v>
      </c>
      <c r="AV64" s="16">
        <v>0.23809523809523808</v>
      </c>
      <c r="AW64" s="19">
        <v>1</v>
      </c>
      <c r="AX64" s="16">
        <v>9.5238095238095233E-2</v>
      </c>
      <c r="AY64" s="19">
        <v>0.5</v>
      </c>
      <c r="AZ64" s="16">
        <v>0</v>
      </c>
      <c r="BA64" s="19" t="s">
        <v>269</v>
      </c>
      <c r="BB64" s="16">
        <v>0.38095238095238093</v>
      </c>
      <c r="BC64" s="21">
        <v>1.03125</v>
      </c>
      <c r="BD64" s="16">
        <v>7.1428571428571425E-2</v>
      </c>
      <c r="BE64" s="16">
        <v>0.16666666666666666</v>
      </c>
      <c r="BF64" s="16">
        <v>0.5</v>
      </c>
      <c r="BG64" s="16">
        <v>0.46666666666666667</v>
      </c>
      <c r="BH64" s="16">
        <v>0.63636363636363635</v>
      </c>
      <c r="BI64" s="16">
        <v>0.33333333333333331</v>
      </c>
      <c r="BJ64" s="16">
        <v>0.19047619047619047</v>
      </c>
      <c r="BK64" s="21">
        <v>1.1428571428571428</v>
      </c>
      <c r="BL64" s="16">
        <v>0.31578947368421051</v>
      </c>
      <c r="BM64" s="16">
        <v>0.47368421052631576</v>
      </c>
      <c r="BN64" s="16">
        <v>0.19047619047619047</v>
      </c>
      <c r="BO64" s="16">
        <v>1</v>
      </c>
      <c r="BP64" s="16">
        <v>0.73076923076923073</v>
      </c>
      <c r="BQ64" s="16">
        <v>0.625</v>
      </c>
      <c r="BR64" s="16">
        <v>0.88888888888888884</v>
      </c>
      <c r="BS64" s="16">
        <v>1</v>
      </c>
      <c r="BT64" s="16">
        <v>0.484375</v>
      </c>
      <c r="BU64" s="16">
        <v>8.4507042253521125E-2</v>
      </c>
      <c r="BV64" s="16">
        <v>1.6949152542372881E-2</v>
      </c>
      <c r="BW64" s="54">
        <v>5</v>
      </c>
      <c r="BX64" s="54">
        <v>0.5</v>
      </c>
      <c r="BY64" s="54">
        <v>0.46666666666666667</v>
      </c>
      <c r="BZ64" s="12">
        <v>7</v>
      </c>
      <c r="CA64" s="12">
        <v>7</v>
      </c>
      <c r="CB64" s="12">
        <v>2</v>
      </c>
      <c r="CC64" s="12">
        <v>4</v>
      </c>
      <c r="CD64" s="12">
        <v>0</v>
      </c>
      <c r="CE64" s="12">
        <v>0</v>
      </c>
      <c r="CF64" s="12">
        <v>5</v>
      </c>
      <c r="CG64" s="12">
        <v>1</v>
      </c>
      <c r="CH64" s="12">
        <v>2</v>
      </c>
      <c r="CI64" s="12">
        <v>1</v>
      </c>
      <c r="CJ64" s="12">
        <v>0</v>
      </c>
      <c r="CK64" s="12">
        <v>0</v>
      </c>
      <c r="CL64" s="12">
        <v>4</v>
      </c>
      <c r="CM64" s="12">
        <v>0</v>
      </c>
      <c r="CN64" s="12">
        <v>1</v>
      </c>
      <c r="CO64" s="12">
        <v>0</v>
      </c>
      <c r="CP64" s="12">
        <v>0</v>
      </c>
      <c r="CQ64" s="12">
        <v>0</v>
      </c>
      <c r="CR64" s="12">
        <v>7</v>
      </c>
      <c r="CS64" s="12">
        <v>1</v>
      </c>
      <c r="CT64" s="12">
        <v>2</v>
      </c>
      <c r="CU64" s="12">
        <v>0</v>
      </c>
      <c r="CV64" s="12">
        <v>0</v>
      </c>
      <c r="CW64" s="12">
        <v>0</v>
      </c>
      <c r="CX64" s="12">
        <v>8</v>
      </c>
      <c r="CY64" s="12">
        <v>0</v>
      </c>
      <c r="CZ64" s="12">
        <v>2</v>
      </c>
      <c r="DA64" s="12">
        <v>0</v>
      </c>
      <c r="DB64" s="12">
        <v>1</v>
      </c>
      <c r="DC64" s="12">
        <v>1</v>
      </c>
      <c r="DD64" s="12">
        <v>1</v>
      </c>
      <c r="DE64" s="12">
        <v>1</v>
      </c>
      <c r="DF64" s="12">
        <v>10</v>
      </c>
      <c r="DG64" s="12">
        <v>12</v>
      </c>
      <c r="DH64" s="12">
        <v>0</v>
      </c>
      <c r="DI64" s="12">
        <v>0</v>
      </c>
      <c r="DJ64" s="12">
        <v>0</v>
      </c>
      <c r="DK64" s="12">
        <v>0</v>
      </c>
      <c r="DL64" s="12">
        <v>3</v>
      </c>
      <c r="DM64" s="12">
        <v>4</v>
      </c>
      <c r="DN64" s="12">
        <v>10</v>
      </c>
      <c r="DO64" s="12">
        <v>20</v>
      </c>
      <c r="DP64" s="12">
        <v>2</v>
      </c>
      <c r="DQ64" s="12">
        <v>8</v>
      </c>
      <c r="DR64" s="12">
        <v>0</v>
      </c>
      <c r="DS64" s="12">
        <v>0</v>
      </c>
      <c r="DT64" s="12">
        <v>11</v>
      </c>
      <c r="DU64" s="12">
        <v>32</v>
      </c>
      <c r="DV64" s="12">
        <v>0</v>
      </c>
      <c r="DW64" s="12">
        <v>0</v>
      </c>
      <c r="DX64" s="12">
        <v>86</v>
      </c>
      <c r="DY64" s="12">
        <v>25</v>
      </c>
      <c r="DZ64" s="12">
        <v>40</v>
      </c>
      <c r="EA64" s="16">
        <v>0.625</v>
      </c>
      <c r="EB64" s="12">
        <v>9</v>
      </c>
      <c r="EC64" s="12">
        <v>19</v>
      </c>
      <c r="ED64" s="16">
        <v>0.47368421052631576</v>
      </c>
      <c r="EE64" s="12">
        <v>34</v>
      </c>
      <c r="EF64" s="12">
        <v>59</v>
      </c>
      <c r="EG64" s="16">
        <v>0.57627118644067798</v>
      </c>
      <c r="EH64" s="12">
        <v>9</v>
      </c>
      <c r="EI64" s="12">
        <v>12</v>
      </c>
      <c r="EJ64" s="16">
        <v>0.75</v>
      </c>
      <c r="EK64" s="12">
        <v>7</v>
      </c>
      <c r="EL64" s="12">
        <v>26</v>
      </c>
      <c r="EM64" s="12">
        <v>33</v>
      </c>
      <c r="EN64" s="12">
        <v>24</v>
      </c>
      <c r="EO64" s="12">
        <v>16</v>
      </c>
      <c r="EP64" s="12">
        <v>14</v>
      </c>
      <c r="EQ64" s="12">
        <v>7</v>
      </c>
      <c r="ER64" s="12">
        <v>14</v>
      </c>
      <c r="ES64" s="12">
        <v>2</v>
      </c>
      <c r="ET64" s="12">
        <v>1</v>
      </c>
      <c r="EU64" s="12">
        <v>107</v>
      </c>
      <c r="EV64" s="12">
        <v>11</v>
      </c>
      <c r="EW64" s="12">
        <v>71</v>
      </c>
      <c r="EX64" s="12">
        <v>78</v>
      </c>
      <c r="EY64" s="12">
        <v>6</v>
      </c>
      <c r="EZ64" s="12">
        <v>15</v>
      </c>
      <c r="FA64" s="12">
        <v>9</v>
      </c>
      <c r="FB64" s="12">
        <v>0</v>
      </c>
      <c r="FC64" s="12">
        <v>0</v>
      </c>
      <c r="FD64" s="12">
        <v>1</v>
      </c>
      <c r="FE64" s="12">
        <v>0</v>
      </c>
      <c r="FF64" s="12">
        <v>4</v>
      </c>
      <c r="FG64" s="12">
        <v>0</v>
      </c>
      <c r="FH64" s="12">
        <v>1</v>
      </c>
      <c r="FI64" s="12">
        <v>0</v>
      </c>
      <c r="FJ64" s="12">
        <v>0</v>
      </c>
      <c r="FK64" s="12">
        <v>0</v>
      </c>
      <c r="FL64" s="12">
        <v>1</v>
      </c>
      <c r="FM64" s="12">
        <v>0</v>
      </c>
      <c r="FN64" s="12">
        <v>0</v>
      </c>
      <c r="FO64" s="12">
        <v>0</v>
      </c>
      <c r="FP64" s="12">
        <v>1</v>
      </c>
      <c r="FQ64" s="12">
        <v>0</v>
      </c>
      <c r="FR64" s="12">
        <v>5</v>
      </c>
      <c r="FS64" s="12">
        <v>0</v>
      </c>
      <c r="FT64" s="12">
        <v>4</v>
      </c>
      <c r="FU64" s="12">
        <v>0</v>
      </c>
      <c r="FV64" s="12">
        <v>0</v>
      </c>
      <c r="FW64" s="12">
        <v>0</v>
      </c>
      <c r="FX64" s="12">
        <v>16</v>
      </c>
      <c r="FY64" s="12">
        <v>1</v>
      </c>
      <c r="FZ64" s="12">
        <v>0</v>
      </c>
      <c r="GA64" s="12">
        <v>0</v>
      </c>
      <c r="GB64" s="12">
        <v>0</v>
      </c>
      <c r="GC64" s="12">
        <v>0</v>
      </c>
      <c r="GD64" s="12">
        <v>1</v>
      </c>
      <c r="GE64" s="12">
        <v>2</v>
      </c>
      <c r="GF64" s="12">
        <v>8</v>
      </c>
      <c r="GG64" s="12">
        <v>10</v>
      </c>
      <c r="GH64" s="12">
        <v>1</v>
      </c>
      <c r="GI64" s="12">
        <v>0</v>
      </c>
      <c r="GJ64" s="12">
        <v>0</v>
      </c>
      <c r="GK64" s="12">
        <v>0</v>
      </c>
      <c r="GL64" s="12">
        <v>2</v>
      </c>
      <c r="GM64" s="12">
        <v>3</v>
      </c>
      <c r="GN64" s="12">
        <v>16</v>
      </c>
      <c r="GO64" s="12">
        <v>27</v>
      </c>
      <c r="GP64" s="12">
        <v>7</v>
      </c>
      <c r="GQ64" s="12">
        <v>10</v>
      </c>
      <c r="GR64" s="12">
        <v>0</v>
      </c>
      <c r="GS64" s="12">
        <v>0</v>
      </c>
      <c r="GT64" s="12">
        <v>9</v>
      </c>
      <c r="GU64" s="12">
        <v>19</v>
      </c>
      <c r="GV64" s="12">
        <v>0</v>
      </c>
      <c r="GW64" s="12">
        <v>0</v>
      </c>
      <c r="GY64" s="16"/>
    </row>
    <row r="65" spans="2:207" ht="15" customHeight="1" x14ac:dyDescent="0.2">
      <c r="B65" s="12">
        <v>4</v>
      </c>
      <c r="C65" s="12" t="s">
        <v>301</v>
      </c>
      <c r="D65" s="12" t="s">
        <v>281</v>
      </c>
      <c r="E65" s="14" t="s">
        <v>302</v>
      </c>
      <c r="F65" s="14" t="s">
        <v>283</v>
      </c>
      <c r="G65" s="15">
        <v>45219</v>
      </c>
      <c r="H65" s="15" t="s">
        <v>268</v>
      </c>
      <c r="I65" s="12" t="s">
        <v>269</v>
      </c>
      <c r="J65" s="12" t="s">
        <v>270</v>
      </c>
      <c r="K65" s="12">
        <v>200</v>
      </c>
      <c r="L65" s="12">
        <v>86</v>
      </c>
      <c r="M65" s="12">
        <v>25</v>
      </c>
      <c r="N65" s="12">
        <v>40</v>
      </c>
      <c r="O65" s="16">
        <v>0.625</v>
      </c>
      <c r="P65" s="12">
        <v>9</v>
      </c>
      <c r="Q65" s="12">
        <v>19</v>
      </c>
      <c r="R65" s="16">
        <v>0.47368421052631576</v>
      </c>
      <c r="S65" s="12">
        <v>34</v>
      </c>
      <c r="T65" s="12">
        <v>59</v>
      </c>
      <c r="U65" s="16">
        <v>0.57627118644067798</v>
      </c>
      <c r="V65" s="12">
        <v>9</v>
      </c>
      <c r="W65" s="12">
        <v>12</v>
      </c>
      <c r="X65" s="16">
        <v>0.75</v>
      </c>
      <c r="Y65" s="12">
        <v>7</v>
      </c>
      <c r="Z65" s="12">
        <v>26</v>
      </c>
      <c r="AA65" s="12">
        <v>33</v>
      </c>
      <c r="AB65" s="12">
        <v>24</v>
      </c>
      <c r="AC65" s="12">
        <v>14</v>
      </c>
      <c r="AD65" s="12">
        <v>7</v>
      </c>
      <c r="AE65" s="12">
        <v>2</v>
      </c>
      <c r="AF65" s="12">
        <v>1</v>
      </c>
      <c r="AG65" s="12">
        <v>16</v>
      </c>
      <c r="AH65" s="12">
        <v>14</v>
      </c>
      <c r="AI65" s="17">
        <v>107</v>
      </c>
      <c r="AJ65" s="12">
        <v>11</v>
      </c>
      <c r="AK65" s="12">
        <v>71</v>
      </c>
      <c r="AL65" s="12">
        <v>78</v>
      </c>
      <c r="AM65" s="19">
        <v>1.1025641025641026</v>
      </c>
      <c r="AN65" s="19">
        <v>0.8928571428571429</v>
      </c>
      <c r="AO65" s="18">
        <v>121.12676056338027</v>
      </c>
      <c r="AP65" s="18">
        <v>104.16666666666667</v>
      </c>
      <c r="AQ65" s="18">
        <v>16.960093896713602</v>
      </c>
      <c r="AR65" s="53">
        <v>0.65254237288135597</v>
      </c>
      <c r="AS65" s="53">
        <v>0.671875</v>
      </c>
      <c r="AT65" s="16">
        <v>3.8461538461538464E-2</v>
      </c>
      <c r="AU65" s="19">
        <v>1.3333333333333333</v>
      </c>
      <c r="AV65" s="16">
        <v>0.34615384615384615</v>
      </c>
      <c r="AW65" s="19">
        <v>1.1851851851851851</v>
      </c>
      <c r="AX65" s="16">
        <v>0.12820512820512819</v>
      </c>
      <c r="AY65" s="19">
        <v>1.4</v>
      </c>
      <c r="AZ65" s="16">
        <v>0</v>
      </c>
      <c r="BA65" s="19" t="s">
        <v>269</v>
      </c>
      <c r="BB65" s="16">
        <v>0.24358974358974358</v>
      </c>
      <c r="BC65" s="21">
        <v>1.4210526315789473</v>
      </c>
      <c r="BD65" s="16">
        <v>6.4102564102564097E-2</v>
      </c>
      <c r="BE65" s="16">
        <v>0.17948717948717949</v>
      </c>
      <c r="BF65" s="16">
        <v>0.63157894736842102</v>
      </c>
      <c r="BG65" s="16">
        <v>0.6</v>
      </c>
      <c r="BH65" s="16">
        <v>1</v>
      </c>
      <c r="BI65" s="16">
        <v>0</v>
      </c>
      <c r="BJ65" s="16">
        <v>0.30769230769230771</v>
      </c>
      <c r="BK65" s="21">
        <v>1.7142857142857142</v>
      </c>
      <c r="BL65" s="16">
        <v>0.26923076923076922</v>
      </c>
      <c r="BM65" s="16">
        <v>0.375</v>
      </c>
      <c r="BN65" s="16">
        <v>0.1111111111111111</v>
      </c>
      <c r="BO65" s="16">
        <v>0</v>
      </c>
      <c r="BP65" s="16">
        <v>0.68421052631578949</v>
      </c>
      <c r="BQ65" s="16">
        <v>0.52631578947368418</v>
      </c>
      <c r="BR65" s="16">
        <v>0.80952380952380953</v>
      </c>
      <c r="BS65" s="16">
        <v>0</v>
      </c>
      <c r="BT65" s="16">
        <v>0.515625</v>
      </c>
      <c r="BU65" s="16">
        <v>9.7222222222222224E-2</v>
      </c>
      <c r="BV65" s="16">
        <v>3.125E-2</v>
      </c>
      <c r="BW65" s="54">
        <v>6</v>
      </c>
      <c r="BX65" s="54">
        <v>0.4375</v>
      </c>
      <c r="BY65" s="54">
        <v>0.5</v>
      </c>
      <c r="BZ65" s="12">
        <v>15</v>
      </c>
      <c r="CA65" s="12">
        <v>9</v>
      </c>
      <c r="CB65" s="12">
        <v>0</v>
      </c>
      <c r="CC65" s="12">
        <v>0</v>
      </c>
      <c r="CD65" s="12">
        <v>1</v>
      </c>
      <c r="CE65" s="12">
        <v>0</v>
      </c>
      <c r="CF65" s="12">
        <v>4</v>
      </c>
      <c r="CG65" s="12">
        <v>0</v>
      </c>
      <c r="CH65" s="12">
        <v>1</v>
      </c>
      <c r="CI65" s="12">
        <v>0</v>
      </c>
      <c r="CJ65" s="12">
        <v>0</v>
      </c>
      <c r="CK65" s="12">
        <v>0</v>
      </c>
      <c r="CL65" s="12">
        <v>1</v>
      </c>
      <c r="CM65" s="12">
        <v>0</v>
      </c>
      <c r="CN65" s="12">
        <v>0</v>
      </c>
      <c r="CO65" s="12">
        <v>0</v>
      </c>
      <c r="CP65" s="12">
        <v>1</v>
      </c>
      <c r="CQ65" s="12">
        <v>0</v>
      </c>
      <c r="CR65" s="12">
        <v>5</v>
      </c>
      <c r="CS65" s="12">
        <v>0</v>
      </c>
      <c r="CT65" s="12">
        <v>4</v>
      </c>
      <c r="CU65" s="12">
        <v>0</v>
      </c>
      <c r="CV65" s="12">
        <v>0</v>
      </c>
      <c r="CW65" s="12">
        <v>0</v>
      </c>
      <c r="CX65" s="12">
        <v>16</v>
      </c>
      <c r="CY65" s="12">
        <v>1</v>
      </c>
      <c r="CZ65" s="12">
        <v>0</v>
      </c>
      <c r="DA65" s="12">
        <v>0</v>
      </c>
      <c r="DB65" s="12">
        <v>0</v>
      </c>
      <c r="DC65" s="12">
        <v>0</v>
      </c>
      <c r="DD65" s="12">
        <v>1</v>
      </c>
      <c r="DE65" s="12">
        <v>2</v>
      </c>
      <c r="DF65" s="12">
        <v>8</v>
      </c>
      <c r="DG65" s="12">
        <v>10</v>
      </c>
      <c r="DH65" s="12">
        <v>1</v>
      </c>
      <c r="DI65" s="12">
        <v>0</v>
      </c>
      <c r="DJ65" s="12">
        <v>0</v>
      </c>
      <c r="DK65" s="12">
        <v>0</v>
      </c>
      <c r="DL65" s="12">
        <v>2</v>
      </c>
      <c r="DM65" s="12">
        <v>3</v>
      </c>
      <c r="DN65" s="12">
        <v>16</v>
      </c>
      <c r="DO65" s="12">
        <v>27</v>
      </c>
      <c r="DP65" s="12">
        <v>7</v>
      </c>
      <c r="DQ65" s="12">
        <v>10</v>
      </c>
      <c r="DR65" s="12">
        <v>0</v>
      </c>
      <c r="DS65" s="12">
        <v>0</v>
      </c>
      <c r="DT65" s="12">
        <v>9</v>
      </c>
      <c r="DU65" s="12">
        <v>19</v>
      </c>
      <c r="DV65" s="12">
        <v>0</v>
      </c>
      <c r="DW65" s="12">
        <v>0</v>
      </c>
      <c r="DX65" s="12">
        <v>75</v>
      </c>
      <c r="DY65" s="12">
        <v>15</v>
      </c>
      <c r="DZ65" s="12">
        <v>32</v>
      </c>
      <c r="EA65" s="16">
        <v>0.46875</v>
      </c>
      <c r="EB65" s="12">
        <v>11</v>
      </c>
      <c r="EC65" s="12">
        <v>32</v>
      </c>
      <c r="ED65" s="16">
        <v>0.34375</v>
      </c>
      <c r="EE65" s="12">
        <v>26</v>
      </c>
      <c r="EF65" s="12">
        <v>64</v>
      </c>
      <c r="EG65" s="16">
        <v>0.40625</v>
      </c>
      <c r="EH65" s="12">
        <v>12</v>
      </c>
      <c r="EI65" s="12">
        <v>14</v>
      </c>
      <c r="EJ65" s="16">
        <v>0.8571428571428571</v>
      </c>
      <c r="EK65" s="12">
        <v>12</v>
      </c>
      <c r="EL65" s="12">
        <v>19</v>
      </c>
      <c r="EM65" s="12">
        <v>31</v>
      </c>
      <c r="EN65" s="12">
        <v>16</v>
      </c>
      <c r="EO65" s="12">
        <v>14</v>
      </c>
      <c r="EP65" s="12">
        <v>15</v>
      </c>
      <c r="EQ65" s="12">
        <v>6</v>
      </c>
      <c r="ER65" s="12">
        <v>14</v>
      </c>
      <c r="ES65" s="12">
        <v>1</v>
      </c>
      <c r="ET65" s="12">
        <v>2</v>
      </c>
      <c r="EU65" s="12">
        <v>74</v>
      </c>
      <c r="EV65" s="12">
        <v>-11</v>
      </c>
      <c r="EW65" s="12">
        <v>72</v>
      </c>
      <c r="EX65" s="12">
        <v>84</v>
      </c>
      <c r="EY65" s="12">
        <v>5</v>
      </c>
      <c r="EZ65" s="12">
        <v>7</v>
      </c>
      <c r="FA65" s="12">
        <v>7</v>
      </c>
      <c r="FB65" s="12">
        <v>2</v>
      </c>
      <c r="FC65" s="12">
        <v>4</v>
      </c>
      <c r="FD65" s="12">
        <v>0</v>
      </c>
      <c r="FE65" s="12">
        <v>0</v>
      </c>
      <c r="FF65" s="12">
        <v>5</v>
      </c>
      <c r="FG65" s="12">
        <v>1</v>
      </c>
      <c r="FH65" s="12">
        <v>2</v>
      </c>
      <c r="FI65" s="12">
        <v>1</v>
      </c>
      <c r="FJ65" s="12">
        <v>0</v>
      </c>
      <c r="FK65" s="12">
        <v>0</v>
      </c>
      <c r="FL65" s="12">
        <v>4</v>
      </c>
      <c r="FM65" s="12">
        <v>0</v>
      </c>
      <c r="FN65" s="12">
        <v>1</v>
      </c>
      <c r="FO65" s="12">
        <v>0</v>
      </c>
      <c r="FP65" s="12">
        <v>0</v>
      </c>
      <c r="FQ65" s="12">
        <v>0</v>
      </c>
      <c r="FR65" s="12">
        <v>7</v>
      </c>
      <c r="FS65" s="12">
        <v>1</v>
      </c>
      <c r="FT65" s="12">
        <v>2</v>
      </c>
      <c r="FU65" s="12">
        <v>0</v>
      </c>
      <c r="FV65" s="12">
        <v>0</v>
      </c>
      <c r="FW65" s="12">
        <v>0</v>
      </c>
      <c r="FX65" s="12">
        <v>8</v>
      </c>
      <c r="FY65" s="12">
        <v>0</v>
      </c>
      <c r="FZ65" s="12">
        <v>2</v>
      </c>
      <c r="GA65" s="12">
        <v>0</v>
      </c>
      <c r="GB65" s="12">
        <v>1</v>
      </c>
      <c r="GC65" s="12">
        <v>1</v>
      </c>
      <c r="GD65" s="12">
        <v>1</v>
      </c>
      <c r="GE65" s="12">
        <v>1</v>
      </c>
      <c r="GF65" s="12">
        <v>10</v>
      </c>
      <c r="GG65" s="12">
        <v>12</v>
      </c>
      <c r="GH65" s="12">
        <v>0</v>
      </c>
      <c r="GI65" s="12">
        <v>0</v>
      </c>
      <c r="GJ65" s="12">
        <v>0</v>
      </c>
      <c r="GK65" s="12">
        <v>0</v>
      </c>
      <c r="GL65" s="12">
        <v>3</v>
      </c>
      <c r="GM65" s="12">
        <v>4</v>
      </c>
      <c r="GN65" s="12">
        <v>10</v>
      </c>
      <c r="GO65" s="12">
        <v>20</v>
      </c>
      <c r="GP65" s="12">
        <v>2</v>
      </c>
      <c r="GQ65" s="12">
        <v>8</v>
      </c>
      <c r="GR65" s="12">
        <v>0</v>
      </c>
      <c r="GS65" s="12">
        <v>0</v>
      </c>
      <c r="GT65" s="12">
        <v>11</v>
      </c>
      <c r="GU65" s="12">
        <v>32</v>
      </c>
      <c r="GV65" s="12">
        <v>0</v>
      </c>
      <c r="GW65" s="12">
        <v>0</v>
      </c>
      <c r="GY65" s="16"/>
    </row>
    <row r="66" spans="2:207" ht="15" customHeight="1" x14ac:dyDescent="0.2">
      <c r="B66" s="12">
        <v>4</v>
      </c>
      <c r="C66" s="12" t="s">
        <v>277</v>
      </c>
      <c r="D66" s="12" t="s">
        <v>93</v>
      </c>
      <c r="E66" s="14" t="s">
        <v>279</v>
      </c>
      <c r="F66" s="14" t="s">
        <v>303</v>
      </c>
      <c r="G66" s="15">
        <v>45219</v>
      </c>
      <c r="H66" s="15" t="s">
        <v>268</v>
      </c>
      <c r="I66" s="12" t="s">
        <v>269</v>
      </c>
      <c r="J66" s="12" t="s">
        <v>270</v>
      </c>
      <c r="K66" s="12">
        <v>200</v>
      </c>
      <c r="L66" s="12">
        <v>77</v>
      </c>
      <c r="M66" s="12">
        <v>24</v>
      </c>
      <c r="N66" s="12">
        <v>39</v>
      </c>
      <c r="O66" s="16">
        <v>0.61538461538461542</v>
      </c>
      <c r="P66" s="12">
        <v>5</v>
      </c>
      <c r="Q66" s="12">
        <v>22</v>
      </c>
      <c r="R66" s="16">
        <v>0.22727272727272727</v>
      </c>
      <c r="S66" s="12">
        <v>29</v>
      </c>
      <c r="T66" s="12">
        <v>61</v>
      </c>
      <c r="U66" s="16">
        <v>0.47540983606557374</v>
      </c>
      <c r="V66" s="12">
        <v>14</v>
      </c>
      <c r="W66" s="12">
        <v>21</v>
      </c>
      <c r="X66" s="16">
        <v>0.66666666666666663</v>
      </c>
      <c r="Y66" s="12">
        <v>9</v>
      </c>
      <c r="Z66" s="12">
        <v>25</v>
      </c>
      <c r="AA66" s="12">
        <v>34</v>
      </c>
      <c r="AB66" s="12">
        <v>23</v>
      </c>
      <c r="AC66" s="12">
        <v>9</v>
      </c>
      <c r="AD66" s="12">
        <v>5</v>
      </c>
      <c r="AE66" s="12">
        <v>2</v>
      </c>
      <c r="AF66" s="12">
        <v>2</v>
      </c>
      <c r="AG66" s="12">
        <v>15</v>
      </c>
      <c r="AH66" s="12">
        <v>22</v>
      </c>
      <c r="AI66" s="17">
        <v>98</v>
      </c>
      <c r="AJ66" s="12">
        <v>4</v>
      </c>
      <c r="AK66" s="12">
        <v>69</v>
      </c>
      <c r="AL66" s="12">
        <v>78</v>
      </c>
      <c r="AM66" s="19">
        <v>0.98717948717948723</v>
      </c>
      <c r="AN66" s="19">
        <v>0.96052631578947367</v>
      </c>
      <c r="AO66" s="18">
        <v>111.59420289855073</v>
      </c>
      <c r="AP66" s="18">
        <v>105.79710144927536</v>
      </c>
      <c r="AQ66" s="18">
        <v>5.7971014492753739</v>
      </c>
      <c r="AR66" s="53">
        <v>0.51639344262295084</v>
      </c>
      <c r="AS66" s="53">
        <v>0.55797101449275366</v>
      </c>
      <c r="AT66" s="16">
        <v>0.17948717948717949</v>
      </c>
      <c r="AU66" s="19">
        <v>1.5714285714285714</v>
      </c>
      <c r="AV66" s="16">
        <v>0.26923076923076922</v>
      </c>
      <c r="AW66" s="19">
        <v>1.2380952380952381</v>
      </c>
      <c r="AX66" s="16">
        <v>5.128205128205128E-2</v>
      </c>
      <c r="AY66" s="19">
        <v>0</v>
      </c>
      <c r="AZ66" s="16">
        <v>3.8461538461538464E-2</v>
      </c>
      <c r="BA66" s="19">
        <v>2</v>
      </c>
      <c r="BB66" s="16">
        <v>0.24358974358974358</v>
      </c>
      <c r="BC66" s="21">
        <v>0.47368421052631576</v>
      </c>
      <c r="BD66" s="16">
        <v>0.10256410256410256</v>
      </c>
      <c r="BE66" s="16">
        <v>0.11538461538461539</v>
      </c>
      <c r="BF66" s="16">
        <v>0.63888888888888884</v>
      </c>
      <c r="BG66" s="16">
        <v>0.70833333333333337</v>
      </c>
      <c r="BH66" s="16">
        <v>0.8</v>
      </c>
      <c r="BI66" s="16">
        <v>0.2857142857142857</v>
      </c>
      <c r="BJ66" s="16">
        <v>0.29487179487179488</v>
      </c>
      <c r="BK66" s="21">
        <v>2.5555555555555554</v>
      </c>
      <c r="BL66" s="16">
        <v>0.25</v>
      </c>
      <c r="BM66" s="16">
        <v>0.3125</v>
      </c>
      <c r="BN66" s="16">
        <v>0.1875</v>
      </c>
      <c r="BO66" s="16">
        <v>0.42857142857142855</v>
      </c>
      <c r="BP66" s="16">
        <v>0.78125</v>
      </c>
      <c r="BQ66" s="16">
        <v>0.75</v>
      </c>
      <c r="BR66" s="16">
        <v>0.84615384615384615</v>
      </c>
      <c r="BS66" s="16">
        <v>1</v>
      </c>
      <c r="BT66" s="16">
        <v>0.5</v>
      </c>
      <c r="BU66" s="16">
        <v>7.2463768115942032E-2</v>
      </c>
      <c r="BV66" s="16">
        <v>3.2786885245901641E-2</v>
      </c>
      <c r="BW66" s="54">
        <v>4</v>
      </c>
      <c r="BX66" s="54">
        <v>0.4</v>
      </c>
      <c r="BY66" s="54">
        <v>0.59090909090909094</v>
      </c>
      <c r="BZ66" s="12">
        <v>17</v>
      </c>
      <c r="CA66" s="12">
        <v>4</v>
      </c>
      <c r="CB66" s="12">
        <v>2</v>
      </c>
      <c r="CC66" s="12">
        <v>2</v>
      </c>
      <c r="CD66" s="12">
        <v>1</v>
      </c>
      <c r="CE66" s="12">
        <v>1</v>
      </c>
      <c r="CF66" s="12">
        <v>1</v>
      </c>
      <c r="CG66" s="12">
        <v>1</v>
      </c>
      <c r="CH66" s="12">
        <v>1</v>
      </c>
      <c r="CI66" s="12">
        <v>0</v>
      </c>
      <c r="CJ66" s="12">
        <v>0</v>
      </c>
      <c r="CK66" s="12">
        <v>0</v>
      </c>
      <c r="CL66" s="12">
        <v>3</v>
      </c>
      <c r="CM66" s="12">
        <v>0</v>
      </c>
      <c r="CN66" s="12">
        <v>2</v>
      </c>
      <c r="CO66" s="12">
        <v>1</v>
      </c>
      <c r="CP66" s="12">
        <v>1</v>
      </c>
      <c r="CQ66" s="12">
        <v>0</v>
      </c>
      <c r="CR66" s="12">
        <v>7</v>
      </c>
      <c r="CS66" s="12">
        <v>0</v>
      </c>
      <c r="CT66" s="12">
        <v>6</v>
      </c>
      <c r="CU66" s="12">
        <v>1</v>
      </c>
      <c r="CV66" s="12">
        <v>1</v>
      </c>
      <c r="CW66" s="12">
        <v>0</v>
      </c>
      <c r="CX66" s="12">
        <v>9</v>
      </c>
      <c r="CY66" s="12">
        <v>1</v>
      </c>
      <c r="CZ66" s="12">
        <v>1</v>
      </c>
      <c r="DA66" s="12">
        <v>0</v>
      </c>
      <c r="DB66" s="12">
        <v>0</v>
      </c>
      <c r="DC66" s="12">
        <v>0</v>
      </c>
      <c r="DD66" s="12">
        <v>2</v>
      </c>
      <c r="DE66" s="12">
        <v>5</v>
      </c>
      <c r="DF66" s="12">
        <v>12</v>
      </c>
      <c r="DG66" s="12">
        <v>16</v>
      </c>
      <c r="DH66" s="12">
        <v>1</v>
      </c>
      <c r="DI66" s="12">
        <v>0</v>
      </c>
      <c r="DJ66" s="12">
        <v>0</v>
      </c>
      <c r="DK66" s="12">
        <v>0</v>
      </c>
      <c r="DL66" s="12">
        <v>11</v>
      </c>
      <c r="DM66" s="12">
        <v>14</v>
      </c>
      <c r="DN66" s="12">
        <v>13</v>
      </c>
      <c r="DO66" s="12">
        <v>21</v>
      </c>
      <c r="DP66" s="12">
        <v>0</v>
      </c>
      <c r="DQ66" s="12">
        <v>4</v>
      </c>
      <c r="DR66" s="12">
        <v>2</v>
      </c>
      <c r="DS66" s="12">
        <v>3</v>
      </c>
      <c r="DT66" s="12">
        <v>3</v>
      </c>
      <c r="DU66" s="12">
        <v>19</v>
      </c>
      <c r="DV66" s="12">
        <v>0</v>
      </c>
      <c r="DW66" s="12">
        <v>0</v>
      </c>
      <c r="DX66" s="12">
        <v>73</v>
      </c>
      <c r="DY66" s="12">
        <v>21</v>
      </c>
      <c r="DZ66" s="12">
        <v>40</v>
      </c>
      <c r="EA66" s="16">
        <v>0.52500000000000002</v>
      </c>
      <c r="EB66" s="12">
        <v>8</v>
      </c>
      <c r="EC66" s="12">
        <v>21</v>
      </c>
      <c r="ED66" s="16">
        <v>0.38095238095238093</v>
      </c>
      <c r="EE66" s="12">
        <v>29</v>
      </c>
      <c r="EF66" s="12">
        <v>61</v>
      </c>
      <c r="EG66" s="16">
        <v>0.47540983606557374</v>
      </c>
      <c r="EH66" s="12">
        <v>7</v>
      </c>
      <c r="EI66" s="12">
        <v>12</v>
      </c>
      <c r="EJ66" s="16">
        <v>0.58333333333333337</v>
      </c>
      <c r="EK66" s="12">
        <v>7</v>
      </c>
      <c r="EL66" s="12">
        <v>27</v>
      </c>
      <c r="EM66" s="12">
        <v>34</v>
      </c>
      <c r="EN66" s="12">
        <v>18</v>
      </c>
      <c r="EO66" s="12">
        <v>22</v>
      </c>
      <c r="EP66" s="12">
        <v>15</v>
      </c>
      <c r="EQ66" s="12">
        <v>4</v>
      </c>
      <c r="ER66" s="12">
        <v>9</v>
      </c>
      <c r="ES66" s="12">
        <v>2</v>
      </c>
      <c r="ET66" s="12">
        <v>2</v>
      </c>
      <c r="EU66" s="12">
        <v>76</v>
      </c>
      <c r="EV66" s="12">
        <v>-4</v>
      </c>
      <c r="EW66" s="12">
        <v>69</v>
      </c>
      <c r="EX66" s="12">
        <v>76</v>
      </c>
      <c r="EY66" s="12">
        <v>1</v>
      </c>
      <c r="EZ66" s="12">
        <v>10</v>
      </c>
      <c r="FA66" s="12">
        <v>5</v>
      </c>
      <c r="FB66" s="12">
        <v>3</v>
      </c>
      <c r="FC66" s="12">
        <v>6</v>
      </c>
      <c r="FD66" s="12">
        <v>0</v>
      </c>
      <c r="FE66" s="12">
        <v>0</v>
      </c>
      <c r="FF66" s="12">
        <v>4</v>
      </c>
      <c r="FG66" s="12">
        <v>0</v>
      </c>
      <c r="FH66" s="12">
        <v>1</v>
      </c>
      <c r="FI66" s="12">
        <v>0</v>
      </c>
      <c r="FJ66" s="12">
        <v>0</v>
      </c>
      <c r="FK66" s="12">
        <v>0</v>
      </c>
      <c r="FL66" s="12">
        <v>2</v>
      </c>
      <c r="FM66" s="12">
        <v>0</v>
      </c>
      <c r="FN66" s="12">
        <v>0</v>
      </c>
      <c r="FO66" s="12">
        <v>0</v>
      </c>
      <c r="FP66" s="12">
        <v>1</v>
      </c>
      <c r="FQ66" s="12">
        <v>0</v>
      </c>
      <c r="FR66" s="12">
        <v>7</v>
      </c>
      <c r="FS66" s="12">
        <v>0</v>
      </c>
      <c r="FT66" s="12">
        <v>3</v>
      </c>
      <c r="FU66" s="12">
        <v>0</v>
      </c>
      <c r="FV66" s="12">
        <v>1</v>
      </c>
      <c r="FW66" s="12">
        <v>0</v>
      </c>
      <c r="FX66" s="12">
        <v>11</v>
      </c>
      <c r="FY66" s="12">
        <v>1</v>
      </c>
      <c r="FZ66" s="12">
        <v>4</v>
      </c>
      <c r="GA66" s="12">
        <v>0</v>
      </c>
      <c r="GB66" s="12">
        <v>0</v>
      </c>
      <c r="GC66" s="12">
        <v>0</v>
      </c>
      <c r="GD66" s="12">
        <v>0</v>
      </c>
      <c r="GE66" s="12">
        <v>0</v>
      </c>
      <c r="GF66" s="12">
        <v>7</v>
      </c>
      <c r="GG66" s="12">
        <v>12</v>
      </c>
      <c r="GH66" s="12">
        <v>0</v>
      </c>
      <c r="GI66" s="12">
        <v>0</v>
      </c>
      <c r="GJ66" s="12">
        <v>0</v>
      </c>
      <c r="GK66" s="12">
        <v>0</v>
      </c>
      <c r="GL66" s="12">
        <v>13</v>
      </c>
      <c r="GM66" s="12">
        <v>14</v>
      </c>
      <c r="GN66" s="12">
        <v>7</v>
      </c>
      <c r="GO66" s="12">
        <v>18</v>
      </c>
      <c r="GP66" s="12">
        <v>1</v>
      </c>
      <c r="GQ66" s="12">
        <v>8</v>
      </c>
      <c r="GR66" s="12">
        <v>3</v>
      </c>
      <c r="GS66" s="12">
        <v>4</v>
      </c>
      <c r="GT66" s="12">
        <v>5</v>
      </c>
      <c r="GU66" s="12">
        <v>17</v>
      </c>
      <c r="GV66" s="12">
        <v>0</v>
      </c>
      <c r="GW66" s="12">
        <v>0</v>
      </c>
      <c r="GY66" s="16"/>
    </row>
    <row r="67" spans="2:207" ht="15" customHeight="1" x14ac:dyDescent="0.2">
      <c r="B67" s="12">
        <v>4</v>
      </c>
      <c r="C67" s="12" t="s">
        <v>93</v>
      </c>
      <c r="D67" s="12" t="s">
        <v>277</v>
      </c>
      <c r="E67" s="14" t="s">
        <v>303</v>
      </c>
      <c r="F67" s="14" t="s">
        <v>279</v>
      </c>
      <c r="G67" s="15">
        <v>45219</v>
      </c>
      <c r="H67" s="15" t="s">
        <v>271</v>
      </c>
      <c r="I67" s="12" t="s">
        <v>269</v>
      </c>
      <c r="J67" s="12" t="s">
        <v>272</v>
      </c>
      <c r="K67" s="12">
        <v>200</v>
      </c>
      <c r="L67" s="12">
        <v>73</v>
      </c>
      <c r="M67" s="12">
        <v>21</v>
      </c>
      <c r="N67" s="12">
        <v>40</v>
      </c>
      <c r="O67" s="16">
        <v>0.52500000000000002</v>
      </c>
      <c r="P67" s="12">
        <v>8</v>
      </c>
      <c r="Q67" s="12">
        <v>21</v>
      </c>
      <c r="R67" s="16">
        <v>0.38095238095238093</v>
      </c>
      <c r="S67" s="12">
        <v>29</v>
      </c>
      <c r="T67" s="12">
        <v>61</v>
      </c>
      <c r="U67" s="16">
        <v>0.47540983606557374</v>
      </c>
      <c r="V67" s="12">
        <v>7</v>
      </c>
      <c r="W67" s="12">
        <v>12</v>
      </c>
      <c r="X67" s="16">
        <v>0.58333333333333337</v>
      </c>
      <c r="Y67" s="12">
        <v>7</v>
      </c>
      <c r="Z67" s="12">
        <v>27</v>
      </c>
      <c r="AA67" s="12">
        <v>34</v>
      </c>
      <c r="AB67" s="12">
        <v>18</v>
      </c>
      <c r="AC67" s="12">
        <v>9</v>
      </c>
      <c r="AD67" s="12">
        <v>4</v>
      </c>
      <c r="AE67" s="12">
        <v>2</v>
      </c>
      <c r="AF67" s="12">
        <v>2</v>
      </c>
      <c r="AG67" s="12">
        <v>22</v>
      </c>
      <c r="AH67" s="12">
        <v>15</v>
      </c>
      <c r="AI67" s="17">
        <v>76</v>
      </c>
      <c r="AJ67" s="12">
        <v>-4</v>
      </c>
      <c r="AK67" s="12">
        <v>69</v>
      </c>
      <c r="AL67" s="12">
        <v>76</v>
      </c>
      <c r="AM67" s="19">
        <v>0.96052631578947367</v>
      </c>
      <c r="AN67" s="19">
        <v>0.98717948717948723</v>
      </c>
      <c r="AO67" s="18">
        <v>105.79710144927536</v>
      </c>
      <c r="AP67" s="18">
        <v>111.59420289855073</v>
      </c>
      <c r="AQ67" s="18">
        <v>-5.7971014492753739</v>
      </c>
      <c r="AR67" s="53">
        <v>0.54098360655737709</v>
      </c>
      <c r="AS67" s="53">
        <v>0.54477611940298509</v>
      </c>
      <c r="AT67" s="16">
        <v>0.18421052631578946</v>
      </c>
      <c r="AU67" s="19">
        <v>1.8571428571428572</v>
      </c>
      <c r="AV67" s="16">
        <v>0.23684210526315788</v>
      </c>
      <c r="AW67" s="19">
        <v>0.77777777777777779</v>
      </c>
      <c r="AX67" s="16">
        <v>0.10526315789473684</v>
      </c>
      <c r="AY67" s="19">
        <v>0.25</v>
      </c>
      <c r="AZ67" s="16">
        <v>5.2631578947368418E-2</v>
      </c>
      <c r="BA67" s="19">
        <v>2.25</v>
      </c>
      <c r="BB67" s="16">
        <v>0.22368421052631579</v>
      </c>
      <c r="BC67" s="21">
        <v>0.88235294117647056</v>
      </c>
      <c r="BD67" s="16">
        <v>7.8947368421052627E-2</v>
      </c>
      <c r="BE67" s="16">
        <v>0.11842105263157894</v>
      </c>
      <c r="BF67" s="16">
        <v>0.51428571428571423</v>
      </c>
      <c r="BG67" s="16">
        <v>0.47619047619047616</v>
      </c>
      <c r="BH67" s="16">
        <v>0.625</v>
      </c>
      <c r="BI67" s="16">
        <v>0.5</v>
      </c>
      <c r="BJ67" s="16">
        <v>0.23684210526315788</v>
      </c>
      <c r="BK67" s="21">
        <v>2</v>
      </c>
      <c r="BL67" s="16">
        <v>0.21875</v>
      </c>
      <c r="BM67" s="16">
        <v>0.25</v>
      </c>
      <c r="BN67" s="16">
        <v>0.15384615384615385</v>
      </c>
      <c r="BO67" s="16">
        <v>0</v>
      </c>
      <c r="BP67" s="16">
        <v>0.75</v>
      </c>
      <c r="BQ67" s="16">
        <v>0.6875</v>
      </c>
      <c r="BR67" s="16">
        <v>0.8125</v>
      </c>
      <c r="BS67" s="16">
        <v>0.5714285714285714</v>
      </c>
      <c r="BT67" s="16">
        <v>0.5</v>
      </c>
      <c r="BU67" s="16">
        <v>5.7971014492753624E-2</v>
      </c>
      <c r="BV67" s="16">
        <v>3.2786885245901641E-2</v>
      </c>
      <c r="BW67" s="54">
        <v>1</v>
      </c>
      <c r="BX67" s="54">
        <v>0.59090909090909094</v>
      </c>
      <c r="BY67" s="54">
        <v>0.4</v>
      </c>
      <c r="BZ67" s="12">
        <v>10</v>
      </c>
      <c r="CA67" s="12">
        <v>5</v>
      </c>
      <c r="CB67" s="12">
        <v>3</v>
      </c>
      <c r="CC67" s="12">
        <v>6</v>
      </c>
      <c r="CD67" s="12">
        <v>0</v>
      </c>
      <c r="CE67" s="12">
        <v>0</v>
      </c>
      <c r="CF67" s="12">
        <v>4</v>
      </c>
      <c r="CG67" s="12">
        <v>0</v>
      </c>
      <c r="CH67" s="12">
        <v>1</v>
      </c>
      <c r="CI67" s="12">
        <v>0</v>
      </c>
      <c r="CJ67" s="12">
        <v>0</v>
      </c>
      <c r="CK67" s="12">
        <v>0</v>
      </c>
      <c r="CL67" s="12">
        <v>2</v>
      </c>
      <c r="CM67" s="12">
        <v>0</v>
      </c>
      <c r="CN67" s="12">
        <v>0</v>
      </c>
      <c r="CO67" s="12">
        <v>0</v>
      </c>
      <c r="CP67" s="12">
        <v>1</v>
      </c>
      <c r="CQ67" s="12">
        <v>0</v>
      </c>
      <c r="CR67" s="12">
        <v>7</v>
      </c>
      <c r="CS67" s="12">
        <v>0</v>
      </c>
      <c r="CT67" s="12">
        <v>3</v>
      </c>
      <c r="CU67" s="12">
        <v>0</v>
      </c>
      <c r="CV67" s="12">
        <v>1</v>
      </c>
      <c r="CW67" s="12">
        <v>0</v>
      </c>
      <c r="CX67" s="12">
        <v>11</v>
      </c>
      <c r="CY67" s="12">
        <v>1</v>
      </c>
      <c r="CZ67" s="12">
        <v>4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7</v>
      </c>
      <c r="DG67" s="12">
        <v>12</v>
      </c>
      <c r="DH67" s="12">
        <v>0</v>
      </c>
      <c r="DI67" s="12">
        <v>0</v>
      </c>
      <c r="DJ67" s="12">
        <v>0</v>
      </c>
      <c r="DK67" s="12">
        <v>0</v>
      </c>
      <c r="DL67" s="12">
        <v>13</v>
      </c>
      <c r="DM67" s="12">
        <v>14</v>
      </c>
      <c r="DN67" s="12">
        <v>7</v>
      </c>
      <c r="DO67" s="12">
        <v>18</v>
      </c>
      <c r="DP67" s="12">
        <v>1</v>
      </c>
      <c r="DQ67" s="12">
        <v>8</v>
      </c>
      <c r="DR67" s="12">
        <v>3</v>
      </c>
      <c r="DS67" s="12">
        <v>4</v>
      </c>
      <c r="DT67" s="12">
        <v>5</v>
      </c>
      <c r="DU67" s="12">
        <v>17</v>
      </c>
      <c r="DV67" s="12">
        <v>0</v>
      </c>
      <c r="DW67" s="12">
        <v>0</v>
      </c>
      <c r="DX67" s="12">
        <v>77</v>
      </c>
      <c r="DY67" s="12">
        <v>24</v>
      </c>
      <c r="DZ67" s="12">
        <v>39</v>
      </c>
      <c r="EA67" s="16">
        <v>0.61538461538461542</v>
      </c>
      <c r="EB67" s="12">
        <v>5</v>
      </c>
      <c r="EC67" s="12">
        <v>22</v>
      </c>
      <c r="ED67" s="16">
        <v>0.22727272727272727</v>
      </c>
      <c r="EE67" s="12">
        <v>29</v>
      </c>
      <c r="EF67" s="12">
        <v>61</v>
      </c>
      <c r="EG67" s="16">
        <v>0.47540983606557374</v>
      </c>
      <c r="EH67" s="12">
        <v>14</v>
      </c>
      <c r="EI67" s="12">
        <v>21</v>
      </c>
      <c r="EJ67" s="16">
        <v>0.66666666666666663</v>
      </c>
      <c r="EK67" s="12">
        <v>9</v>
      </c>
      <c r="EL67" s="12">
        <v>25</v>
      </c>
      <c r="EM67" s="12">
        <v>34</v>
      </c>
      <c r="EN67" s="12">
        <v>23</v>
      </c>
      <c r="EO67" s="12">
        <v>15</v>
      </c>
      <c r="EP67" s="12">
        <v>22</v>
      </c>
      <c r="EQ67" s="12">
        <v>5</v>
      </c>
      <c r="ER67" s="12">
        <v>9</v>
      </c>
      <c r="ES67" s="12">
        <v>2</v>
      </c>
      <c r="ET67" s="12">
        <v>2</v>
      </c>
      <c r="EU67" s="12">
        <v>98</v>
      </c>
      <c r="EV67" s="12">
        <v>4</v>
      </c>
      <c r="EW67" s="12">
        <v>69</v>
      </c>
      <c r="EX67" s="12">
        <v>78</v>
      </c>
      <c r="EY67" s="12">
        <v>4</v>
      </c>
      <c r="EZ67" s="12">
        <v>17</v>
      </c>
      <c r="FA67" s="12">
        <v>4</v>
      </c>
      <c r="FB67" s="12">
        <v>2</v>
      </c>
      <c r="FC67" s="12">
        <v>2</v>
      </c>
      <c r="FD67" s="12">
        <v>1</v>
      </c>
      <c r="FE67" s="12">
        <v>1</v>
      </c>
      <c r="FF67" s="12">
        <v>1</v>
      </c>
      <c r="FG67" s="12">
        <v>1</v>
      </c>
      <c r="FH67" s="12">
        <v>1</v>
      </c>
      <c r="FI67" s="12">
        <v>0</v>
      </c>
      <c r="FJ67" s="12">
        <v>0</v>
      </c>
      <c r="FK67" s="12">
        <v>0</v>
      </c>
      <c r="FL67" s="12">
        <v>3</v>
      </c>
      <c r="FM67" s="12">
        <v>0</v>
      </c>
      <c r="FN67" s="12">
        <v>2</v>
      </c>
      <c r="FO67" s="12">
        <v>1</v>
      </c>
      <c r="FP67" s="12">
        <v>1</v>
      </c>
      <c r="FQ67" s="12">
        <v>0</v>
      </c>
      <c r="FR67" s="12">
        <v>7</v>
      </c>
      <c r="FS67" s="12">
        <v>0</v>
      </c>
      <c r="FT67" s="12">
        <v>6</v>
      </c>
      <c r="FU67" s="12">
        <v>1</v>
      </c>
      <c r="FV67" s="12">
        <v>1</v>
      </c>
      <c r="FW67" s="12">
        <v>0</v>
      </c>
      <c r="FX67" s="12">
        <v>9</v>
      </c>
      <c r="FY67" s="12">
        <v>1</v>
      </c>
      <c r="FZ67" s="12">
        <v>1</v>
      </c>
      <c r="GA67" s="12">
        <v>0</v>
      </c>
      <c r="GB67" s="12">
        <v>0</v>
      </c>
      <c r="GC67" s="12">
        <v>0</v>
      </c>
      <c r="GD67" s="12">
        <v>2</v>
      </c>
      <c r="GE67" s="12">
        <v>5</v>
      </c>
      <c r="GF67" s="12">
        <v>12</v>
      </c>
      <c r="GG67" s="12">
        <v>16</v>
      </c>
      <c r="GH67" s="12">
        <v>1</v>
      </c>
      <c r="GI67" s="12">
        <v>0</v>
      </c>
      <c r="GJ67" s="12">
        <v>0</v>
      </c>
      <c r="GK67" s="12">
        <v>0</v>
      </c>
      <c r="GL67" s="12">
        <v>11</v>
      </c>
      <c r="GM67" s="12">
        <v>14</v>
      </c>
      <c r="GN67" s="12">
        <v>13</v>
      </c>
      <c r="GO67" s="12">
        <v>21</v>
      </c>
      <c r="GP67" s="12">
        <v>0</v>
      </c>
      <c r="GQ67" s="12">
        <v>4</v>
      </c>
      <c r="GR67" s="12">
        <v>2</v>
      </c>
      <c r="GS67" s="12">
        <v>3</v>
      </c>
      <c r="GT67" s="12">
        <v>3</v>
      </c>
      <c r="GU67" s="12">
        <v>19</v>
      </c>
      <c r="GV67" s="12">
        <v>0</v>
      </c>
      <c r="GW67" s="12">
        <v>0</v>
      </c>
      <c r="GY67" s="16"/>
    </row>
    <row r="68" spans="2:207" ht="15" customHeight="1" x14ac:dyDescent="0.2">
      <c r="B68" s="12">
        <v>4</v>
      </c>
      <c r="C68" s="12" t="s">
        <v>273</v>
      </c>
      <c r="D68" s="12" t="s">
        <v>294</v>
      </c>
      <c r="E68" s="14" t="s">
        <v>275</v>
      </c>
      <c r="F68" s="14" t="s">
        <v>296</v>
      </c>
      <c r="G68" s="15">
        <v>45219</v>
      </c>
      <c r="H68" s="15" t="s">
        <v>271</v>
      </c>
      <c r="I68" s="12" t="s">
        <v>269</v>
      </c>
      <c r="J68" s="12" t="s">
        <v>270</v>
      </c>
      <c r="K68" s="12">
        <v>225</v>
      </c>
      <c r="L68" s="12">
        <v>86</v>
      </c>
      <c r="M68" s="12">
        <v>20</v>
      </c>
      <c r="N68" s="12">
        <v>40</v>
      </c>
      <c r="O68" s="16">
        <v>0.5</v>
      </c>
      <c r="P68" s="12">
        <v>11</v>
      </c>
      <c r="Q68" s="12">
        <v>28</v>
      </c>
      <c r="R68" s="16">
        <v>0.39285714285714285</v>
      </c>
      <c r="S68" s="12">
        <v>31</v>
      </c>
      <c r="T68" s="12">
        <v>68</v>
      </c>
      <c r="U68" s="16">
        <v>0.45588235294117646</v>
      </c>
      <c r="V68" s="12">
        <v>13</v>
      </c>
      <c r="W68" s="12">
        <v>18</v>
      </c>
      <c r="X68" s="16">
        <v>0.72222222222222221</v>
      </c>
      <c r="Y68" s="12">
        <v>12</v>
      </c>
      <c r="Z68" s="12">
        <v>30</v>
      </c>
      <c r="AA68" s="12">
        <v>42</v>
      </c>
      <c r="AB68" s="12">
        <v>24</v>
      </c>
      <c r="AC68" s="12">
        <v>19</v>
      </c>
      <c r="AD68" s="12">
        <v>13</v>
      </c>
      <c r="AE68" s="12">
        <v>3</v>
      </c>
      <c r="AF68" s="12">
        <v>6</v>
      </c>
      <c r="AG68" s="12">
        <v>29</v>
      </c>
      <c r="AH68" s="12">
        <v>18</v>
      </c>
      <c r="AI68" s="17">
        <v>90</v>
      </c>
      <c r="AJ68" s="12">
        <v>5</v>
      </c>
      <c r="AK68" s="12">
        <v>83</v>
      </c>
      <c r="AL68" s="12">
        <v>95</v>
      </c>
      <c r="AM68" s="19">
        <v>0.90526315789473688</v>
      </c>
      <c r="AN68" s="19">
        <v>0.86170212765957444</v>
      </c>
      <c r="AO68" s="18">
        <v>103.6144578313253</v>
      </c>
      <c r="AP68" s="18">
        <v>100</v>
      </c>
      <c r="AQ68" s="18">
        <v>3.6144578313252964</v>
      </c>
      <c r="AR68" s="53">
        <v>0.53676470588235292</v>
      </c>
      <c r="AS68" s="53">
        <v>0.56578947368421051</v>
      </c>
      <c r="AT68" s="16">
        <v>0.18947368421052632</v>
      </c>
      <c r="AU68" s="19">
        <v>1.6666666666666667</v>
      </c>
      <c r="AV68" s="16">
        <v>0.15789473684210525</v>
      </c>
      <c r="AW68" s="19">
        <v>0.4</v>
      </c>
      <c r="AX68" s="16">
        <v>7.3684210526315783E-2</v>
      </c>
      <c r="AY68" s="19">
        <v>0.5714285714285714</v>
      </c>
      <c r="AZ68" s="16">
        <v>5.2631578947368418E-2</v>
      </c>
      <c r="BA68" s="19">
        <v>1.2</v>
      </c>
      <c r="BB68" s="16">
        <v>0.22105263157894736</v>
      </c>
      <c r="BC68" s="21">
        <v>1.2857142857142858</v>
      </c>
      <c r="BD68" s="16">
        <v>8.4210526315789472E-2</v>
      </c>
      <c r="BE68" s="16">
        <v>0.2</v>
      </c>
      <c r="BF68" s="16">
        <v>0.64864864864864868</v>
      </c>
      <c r="BG68" s="16">
        <v>0.6</v>
      </c>
      <c r="BH68" s="16">
        <v>0.81818181818181823</v>
      </c>
      <c r="BI68" s="16">
        <v>0.5</v>
      </c>
      <c r="BJ68" s="16">
        <v>0.25263157894736843</v>
      </c>
      <c r="BK68" s="21">
        <v>1.263157894736842</v>
      </c>
      <c r="BL68" s="16">
        <v>0.31578947368421051</v>
      </c>
      <c r="BM68" s="16">
        <v>0.38095238095238093</v>
      </c>
      <c r="BN68" s="16">
        <v>0.23529411764705882</v>
      </c>
      <c r="BO68" s="16">
        <v>0.33333333333333331</v>
      </c>
      <c r="BP68" s="16">
        <v>0.69767441860465118</v>
      </c>
      <c r="BQ68" s="16">
        <v>0.72222222222222221</v>
      </c>
      <c r="BR68" s="16">
        <v>0.59090909090909094</v>
      </c>
      <c r="BS68" s="16">
        <v>0.75</v>
      </c>
      <c r="BT68" s="16">
        <v>0.51851851851851849</v>
      </c>
      <c r="BU68" s="16">
        <v>0.16049382716049382</v>
      </c>
      <c r="BV68" s="16">
        <v>4.9180327868852458E-2</v>
      </c>
      <c r="BW68" s="54">
        <v>3</v>
      </c>
      <c r="BX68" s="54">
        <v>0.51724137931034486</v>
      </c>
      <c r="BY68" s="54">
        <v>0.44444444444444442</v>
      </c>
      <c r="BZ68" s="12">
        <v>12</v>
      </c>
      <c r="CA68" s="12">
        <v>9</v>
      </c>
      <c r="CB68" s="12">
        <v>3</v>
      </c>
      <c r="CC68" s="12">
        <v>4</v>
      </c>
      <c r="CD68" s="12">
        <v>1</v>
      </c>
      <c r="CE68" s="12">
        <v>0</v>
      </c>
      <c r="CF68" s="12">
        <v>5</v>
      </c>
      <c r="CG68" s="12">
        <v>1</v>
      </c>
      <c r="CH68" s="12">
        <v>1</v>
      </c>
      <c r="CI68" s="12">
        <v>0</v>
      </c>
      <c r="CJ68" s="12">
        <v>1</v>
      </c>
      <c r="CK68" s="12">
        <v>0</v>
      </c>
      <c r="CL68" s="12">
        <v>3</v>
      </c>
      <c r="CM68" s="12">
        <v>0</v>
      </c>
      <c r="CN68" s="12">
        <v>1</v>
      </c>
      <c r="CO68" s="12">
        <v>0</v>
      </c>
      <c r="CP68" s="12">
        <v>0</v>
      </c>
      <c r="CQ68" s="12">
        <v>0</v>
      </c>
      <c r="CR68" s="12">
        <v>11</v>
      </c>
      <c r="CS68" s="12">
        <v>0</v>
      </c>
      <c r="CT68" s="12">
        <v>2</v>
      </c>
      <c r="CU68" s="12">
        <v>0</v>
      </c>
      <c r="CV68" s="12">
        <v>1</v>
      </c>
      <c r="CW68" s="12">
        <v>0</v>
      </c>
      <c r="CX68" s="12">
        <v>11</v>
      </c>
      <c r="CY68" s="12">
        <v>1</v>
      </c>
      <c r="CZ68" s="12">
        <v>5</v>
      </c>
      <c r="DA68" s="12">
        <v>1</v>
      </c>
      <c r="DB68" s="12">
        <v>2</v>
      </c>
      <c r="DC68" s="12">
        <v>2</v>
      </c>
      <c r="DD68" s="12">
        <v>0</v>
      </c>
      <c r="DE68" s="12">
        <v>0</v>
      </c>
      <c r="DF68" s="12">
        <v>11</v>
      </c>
      <c r="DG68" s="12">
        <v>16</v>
      </c>
      <c r="DH68" s="12">
        <v>2</v>
      </c>
      <c r="DI68" s="12">
        <v>0</v>
      </c>
      <c r="DJ68" s="12">
        <v>0</v>
      </c>
      <c r="DK68" s="12">
        <v>0</v>
      </c>
      <c r="DL68" s="12">
        <v>15</v>
      </c>
      <c r="DM68" s="12">
        <v>18</v>
      </c>
      <c r="DN68" s="12">
        <v>3</v>
      </c>
      <c r="DO68" s="12">
        <v>15</v>
      </c>
      <c r="DP68" s="12">
        <v>2</v>
      </c>
      <c r="DQ68" s="12">
        <v>7</v>
      </c>
      <c r="DR68" s="12">
        <v>2</v>
      </c>
      <c r="DS68" s="12">
        <v>5</v>
      </c>
      <c r="DT68" s="12">
        <v>9</v>
      </c>
      <c r="DU68" s="12">
        <v>21</v>
      </c>
      <c r="DV68" s="12">
        <v>0</v>
      </c>
      <c r="DW68" s="12">
        <v>2</v>
      </c>
      <c r="DX68" s="12">
        <v>81</v>
      </c>
      <c r="DY68" s="12">
        <v>15</v>
      </c>
      <c r="DZ68" s="12">
        <v>32</v>
      </c>
      <c r="EA68" s="16">
        <v>0.46875</v>
      </c>
      <c r="EB68" s="12">
        <v>10</v>
      </c>
      <c r="EC68" s="12">
        <v>29</v>
      </c>
      <c r="ED68" s="16">
        <v>0.34482758620689657</v>
      </c>
      <c r="EE68" s="12">
        <v>25</v>
      </c>
      <c r="EF68" s="12">
        <v>61</v>
      </c>
      <c r="EG68" s="16">
        <v>0.4098360655737705</v>
      </c>
      <c r="EH68" s="12">
        <v>21</v>
      </c>
      <c r="EI68" s="12">
        <v>33</v>
      </c>
      <c r="EJ68" s="16">
        <v>0.63636363636363635</v>
      </c>
      <c r="EK68" s="12">
        <v>13</v>
      </c>
      <c r="EL68" s="12">
        <v>26</v>
      </c>
      <c r="EM68" s="12">
        <v>39</v>
      </c>
      <c r="EN68" s="12">
        <v>18</v>
      </c>
      <c r="EO68" s="12">
        <v>20</v>
      </c>
      <c r="EP68" s="12">
        <v>28</v>
      </c>
      <c r="EQ68" s="12">
        <v>13</v>
      </c>
      <c r="ER68" s="12">
        <v>18</v>
      </c>
      <c r="ES68" s="12">
        <v>6</v>
      </c>
      <c r="ET68" s="12">
        <v>3</v>
      </c>
      <c r="EU68" s="12">
        <v>96</v>
      </c>
      <c r="EV68" s="12">
        <v>-5</v>
      </c>
      <c r="EW68" s="12">
        <v>81</v>
      </c>
      <c r="EX68" s="12">
        <v>94</v>
      </c>
      <c r="EY68" s="12">
        <v>6</v>
      </c>
      <c r="EZ68" s="12">
        <v>7</v>
      </c>
      <c r="FA68" s="12">
        <v>7</v>
      </c>
      <c r="FB68" s="12">
        <v>4</v>
      </c>
      <c r="FC68" s="12">
        <v>5</v>
      </c>
      <c r="FD68" s="12">
        <v>1</v>
      </c>
      <c r="FE68" s="12">
        <v>0</v>
      </c>
      <c r="FF68" s="12">
        <v>3</v>
      </c>
      <c r="FG68" s="12">
        <v>1</v>
      </c>
      <c r="FH68" s="12">
        <v>0</v>
      </c>
      <c r="FI68" s="12">
        <v>0</v>
      </c>
      <c r="FJ68" s="12">
        <v>1</v>
      </c>
      <c r="FK68" s="12">
        <v>0</v>
      </c>
      <c r="FL68" s="12">
        <v>6</v>
      </c>
      <c r="FM68" s="12">
        <v>2</v>
      </c>
      <c r="FN68" s="12">
        <v>2</v>
      </c>
      <c r="FO68" s="12">
        <v>0</v>
      </c>
      <c r="FP68" s="12">
        <v>2</v>
      </c>
      <c r="FQ68" s="12">
        <v>0</v>
      </c>
      <c r="FR68" s="12">
        <v>7</v>
      </c>
      <c r="FS68" s="12">
        <v>0</v>
      </c>
      <c r="FT68" s="12">
        <v>4</v>
      </c>
      <c r="FU68" s="12">
        <v>0</v>
      </c>
      <c r="FV68" s="12">
        <v>2</v>
      </c>
      <c r="FW68" s="12">
        <v>0</v>
      </c>
      <c r="FX68" s="12">
        <v>9</v>
      </c>
      <c r="FY68" s="12">
        <v>2</v>
      </c>
      <c r="FZ68" s="12">
        <v>2</v>
      </c>
      <c r="GA68" s="12">
        <v>0</v>
      </c>
      <c r="GB68" s="12">
        <v>1</v>
      </c>
      <c r="GC68" s="12">
        <v>1</v>
      </c>
      <c r="GD68" s="12">
        <v>0</v>
      </c>
      <c r="GE68" s="12">
        <v>0</v>
      </c>
      <c r="GF68" s="12">
        <v>15</v>
      </c>
      <c r="GG68" s="12">
        <v>26</v>
      </c>
      <c r="GH68" s="12">
        <v>1</v>
      </c>
      <c r="GI68" s="12">
        <v>5</v>
      </c>
      <c r="GJ68" s="12">
        <v>6</v>
      </c>
      <c r="GK68" s="12">
        <v>0</v>
      </c>
      <c r="GL68" s="12">
        <v>12</v>
      </c>
      <c r="GM68" s="12">
        <v>13</v>
      </c>
      <c r="GN68" s="12">
        <v>2</v>
      </c>
      <c r="GO68" s="12">
        <v>16</v>
      </c>
      <c r="GP68" s="12">
        <v>1</v>
      </c>
      <c r="GQ68" s="12">
        <v>3</v>
      </c>
      <c r="GR68" s="12">
        <v>1</v>
      </c>
      <c r="GS68" s="12">
        <v>3</v>
      </c>
      <c r="GT68" s="12">
        <v>9</v>
      </c>
      <c r="GU68" s="12">
        <v>26</v>
      </c>
      <c r="GV68" s="12">
        <v>0</v>
      </c>
      <c r="GW68" s="12">
        <v>0</v>
      </c>
      <c r="GY68" s="16"/>
    </row>
    <row r="69" spans="2:207" ht="15" customHeight="1" x14ac:dyDescent="0.2">
      <c r="B69" s="12">
        <v>4</v>
      </c>
      <c r="C69" s="12" t="s">
        <v>294</v>
      </c>
      <c r="D69" s="12" t="s">
        <v>273</v>
      </c>
      <c r="E69" s="14" t="s">
        <v>296</v>
      </c>
      <c r="F69" s="14" t="s">
        <v>275</v>
      </c>
      <c r="G69" s="15">
        <v>45219</v>
      </c>
      <c r="H69" s="15" t="s">
        <v>268</v>
      </c>
      <c r="I69" s="12" t="s">
        <v>269</v>
      </c>
      <c r="J69" s="12" t="s">
        <v>272</v>
      </c>
      <c r="K69" s="12">
        <v>225</v>
      </c>
      <c r="L69" s="12">
        <v>81</v>
      </c>
      <c r="M69" s="12">
        <v>15</v>
      </c>
      <c r="N69" s="12">
        <v>32</v>
      </c>
      <c r="O69" s="16">
        <v>0.46875</v>
      </c>
      <c r="P69" s="12">
        <v>10</v>
      </c>
      <c r="Q69" s="12">
        <v>29</v>
      </c>
      <c r="R69" s="16">
        <v>0.34482758620689657</v>
      </c>
      <c r="S69" s="12">
        <v>25</v>
      </c>
      <c r="T69" s="12">
        <v>61</v>
      </c>
      <c r="U69" s="16">
        <v>0.4098360655737705</v>
      </c>
      <c r="V69" s="12">
        <v>21</v>
      </c>
      <c r="W69" s="12">
        <v>33</v>
      </c>
      <c r="X69" s="16">
        <v>0.63636363636363635</v>
      </c>
      <c r="Y69" s="12">
        <v>13</v>
      </c>
      <c r="Z69" s="12">
        <v>26</v>
      </c>
      <c r="AA69" s="12">
        <v>39</v>
      </c>
      <c r="AB69" s="12">
        <v>18</v>
      </c>
      <c r="AC69" s="12">
        <v>18</v>
      </c>
      <c r="AD69" s="12">
        <v>13</v>
      </c>
      <c r="AE69" s="12">
        <v>6</v>
      </c>
      <c r="AF69" s="12">
        <v>3</v>
      </c>
      <c r="AG69" s="12">
        <v>18</v>
      </c>
      <c r="AH69" s="12">
        <v>28</v>
      </c>
      <c r="AI69" s="17">
        <v>98</v>
      </c>
      <c r="AJ69" s="12">
        <v>-5</v>
      </c>
      <c r="AK69" s="12">
        <v>81</v>
      </c>
      <c r="AL69" s="12">
        <v>94</v>
      </c>
      <c r="AM69" s="19">
        <v>0.86170212765957444</v>
      </c>
      <c r="AN69" s="19">
        <v>0.90526315789473688</v>
      </c>
      <c r="AO69" s="18">
        <v>100</v>
      </c>
      <c r="AP69" s="18">
        <v>103.6144578313253</v>
      </c>
      <c r="AQ69" s="18">
        <v>-3.6144578313252964</v>
      </c>
      <c r="AR69" s="53">
        <v>0.49180327868852458</v>
      </c>
      <c r="AS69" s="53">
        <v>0.53289473684210531</v>
      </c>
      <c r="AT69" s="16">
        <v>0.13829787234042554</v>
      </c>
      <c r="AU69" s="19">
        <v>1.8461538461538463</v>
      </c>
      <c r="AV69" s="16">
        <v>0.1702127659574468</v>
      </c>
      <c r="AW69" s="19">
        <v>0.25</v>
      </c>
      <c r="AX69" s="16">
        <v>3.1914893617021274E-2</v>
      </c>
      <c r="AY69" s="19">
        <v>0.66666666666666663</v>
      </c>
      <c r="AZ69" s="16">
        <v>3.1914893617021274E-2</v>
      </c>
      <c r="BA69" s="19">
        <v>1</v>
      </c>
      <c r="BB69" s="16">
        <v>0.27659574468085107</v>
      </c>
      <c r="BC69" s="21">
        <v>1.0384615384615385</v>
      </c>
      <c r="BD69" s="16">
        <v>0.15957446808510639</v>
      </c>
      <c r="BE69" s="16">
        <v>0.19148936170212766</v>
      </c>
      <c r="BF69" s="16">
        <v>0.46153846153846156</v>
      </c>
      <c r="BG69" s="16">
        <v>0.46666666666666667</v>
      </c>
      <c r="BH69" s="16">
        <v>0.7</v>
      </c>
      <c r="BI69" s="16">
        <v>0.2857142857142857</v>
      </c>
      <c r="BJ69" s="16">
        <v>0.19148936170212766</v>
      </c>
      <c r="BK69" s="21">
        <v>1</v>
      </c>
      <c r="BL69" s="16">
        <v>0.30232558139534882</v>
      </c>
      <c r="BM69" s="16">
        <v>0.27777777777777779</v>
      </c>
      <c r="BN69" s="16">
        <v>0.40909090909090912</v>
      </c>
      <c r="BO69" s="16">
        <v>0.25</v>
      </c>
      <c r="BP69" s="16">
        <v>0.68421052631578949</v>
      </c>
      <c r="BQ69" s="16">
        <v>0.61904761904761907</v>
      </c>
      <c r="BR69" s="16">
        <v>0.76470588235294112</v>
      </c>
      <c r="BS69" s="16">
        <v>0.66666666666666663</v>
      </c>
      <c r="BT69" s="16">
        <v>0.48148148148148145</v>
      </c>
      <c r="BU69" s="16">
        <v>0.15662650602409639</v>
      </c>
      <c r="BV69" s="16">
        <v>8.8235294117647065E-2</v>
      </c>
      <c r="BW69" s="54">
        <v>6</v>
      </c>
      <c r="BX69" s="54">
        <v>0.44444444444444442</v>
      </c>
      <c r="BY69" s="54">
        <v>0.5357142857142857</v>
      </c>
      <c r="BZ69" s="12">
        <v>7</v>
      </c>
      <c r="CA69" s="12">
        <v>7</v>
      </c>
      <c r="CB69" s="12">
        <v>4</v>
      </c>
      <c r="CC69" s="12">
        <v>5</v>
      </c>
      <c r="CD69" s="12">
        <v>1</v>
      </c>
      <c r="CE69" s="12">
        <v>0</v>
      </c>
      <c r="CF69" s="12">
        <v>3</v>
      </c>
      <c r="CG69" s="12">
        <v>1</v>
      </c>
      <c r="CH69" s="12">
        <v>0</v>
      </c>
      <c r="CI69" s="12">
        <v>0</v>
      </c>
      <c r="CJ69" s="12">
        <v>1</v>
      </c>
      <c r="CK69" s="12">
        <v>0</v>
      </c>
      <c r="CL69" s="12">
        <v>6</v>
      </c>
      <c r="CM69" s="12">
        <v>2</v>
      </c>
      <c r="CN69" s="12">
        <v>2</v>
      </c>
      <c r="CO69" s="12">
        <v>0</v>
      </c>
      <c r="CP69" s="12">
        <v>2</v>
      </c>
      <c r="CQ69" s="12">
        <v>0</v>
      </c>
      <c r="CR69" s="12">
        <v>7</v>
      </c>
      <c r="CS69" s="12">
        <v>0</v>
      </c>
      <c r="CT69" s="12">
        <v>4</v>
      </c>
      <c r="CU69" s="12">
        <v>0</v>
      </c>
      <c r="CV69" s="12">
        <v>2</v>
      </c>
      <c r="CW69" s="12">
        <v>0</v>
      </c>
      <c r="CX69" s="12">
        <v>9</v>
      </c>
      <c r="CY69" s="12">
        <v>2</v>
      </c>
      <c r="CZ69" s="12">
        <v>2</v>
      </c>
      <c r="DA69" s="12">
        <v>0</v>
      </c>
      <c r="DB69" s="12">
        <v>1</v>
      </c>
      <c r="DC69" s="12">
        <v>1</v>
      </c>
      <c r="DD69" s="12">
        <v>0</v>
      </c>
      <c r="DE69" s="12">
        <v>0</v>
      </c>
      <c r="DF69" s="12">
        <v>15</v>
      </c>
      <c r="DG69" s="12">
        <v>26</v>
      </c>
      <c r="DH69" s="12">
        <v>1</v>
      </c>
      <c r="DI69" s="12">
        <v>5</v>
      </c>
      <c r="DJ69" s="12">
        <v>6</v>
      </c>
      <c r="DK69" s="12">
        <v>0</v>
      </c>
      <c r="DL69" s="12">
        <v>12</v>
      </c>
      <c r="DM69" s="12">
        <v>13</v>
      </c>
      <c r="DN69" s="12">
        <v>2</v>
      </c>
      <c r="DO69" s="12">
        <v>16</v>
      </c>
      <c r="DP69" s="12">
        <v>1</v>
      </c>
      <c r="DQ69" s="12">
        <v>3</v>
      </c>
      <c r="DR69" s="12">
        <v>1</v>
      </c>
      <c r="DS69" s="12">
        <v>3</v>
      </c>
      <c r="DT69" s="12">
        <v>9</v>
      </c>
      <c r="DU69" s="12">
        <v>26</v>
      </c>
      <c r="DV69" s="12">
        <v>0</v>
      </c>
      <c r="DW69" s="12">
        <v>0</v>
      </c>
      <c r="DX69" s="12">
        <v>86</v>
      </c>
      <c r="DY69" s="12">
        <v>20</v>
      </c>
      <c r="DZ69" s="12">
        <v>40</v>
      </c>
      <c r="EA69" s="16">
        <v>0.5</v>
      </c>
      <c r="EB69" s="12">
        <v>11</v>
      </c>
      <c r="EC69" s="12">
        <v>28</v>
      </c>
      <c r="ED69" s="16">
        <v>0.39285714285714285</v>
      </c>
      <c r="EE69" s="12">
        <v>31</v>
      </c>
      <c r="EF69" s="12">
        <v>68</v>
      </c>
      <c r="EG69" s="16">
        <v>0.45588235294117646</v>
      </c>
      <c r="EH69" s="12">
        <v>13</v>
      </c>
      <c r="EI69" s="12">
        <v>18</v>
      </c>
      <c r="EJ69" s="16">
        <v>0.72222222222222221</v>
      </c>
      <c r="EK69" s="12">
        <v>12</v>
      </c>
      <c r="EL69" s="12">
        <v>30</v>
      </c>
      <c r="EM69" s="12">
        <v>42</v>
      </c>
      <c r="EN69" s="12">
        <v>24</v>
      </c>
      <c r="EO69" s="12">
        <v>29</v>
      </c>
      <c r="EP69" s="12">
        <v>18</v>
      </c>
      <c r="EQ69" s="12">
        <v>13</v>
      </c>
      <c r="ER69" s="12">
        <v>19</v>
      </c>
      <c r="ES69" s="12">
        <v>3</v>
      </c>
      <c r="ET69" s="12">
        <v>6</v>
      </c>
      <c r="EU69" s="12">
        <v>90</v>
      </c>
      <c r="EV69" s="12">
        <v>5</v>
      </c>
      <c r="EW69" s="12">
        <v>83</v>
      </c>
      <c r="EX69" s="12">
        <v>95</v>
      </c>
      <c r="EY69" s="12">
        <v>3</v>
      </c>
      <c r="EZ69" s="12">
        <v>12</v>
      </c>
      <c r="FA69" s="12">
        <v>9</v>
      </c>
      <c r="FB69" s="12">
        <v>3</v>
      </c>
      <c r="FC69" s="12">
        <v>4</v>
      </c>
      <c r="FD69" s="12">
        <v>1</v>
      </c>
      <c r="FE69" s="12">
        <v>0</v>
      </c>
      <c r="FF69" s="12">
        <v>5</v>
      </c>
      <c r="FG69" s="12">
        <v>1</v>
      </c>
      <c r="FH69" s="12">
        <v>1</v>
      </c>
      <c r="FI69" s="12">
        <v>0</v>
      </c>
      <c r="FJ69" s="12">
        <v>1</v>
      </c>
      <c r="FK69" s="12">
        <v>0</v>
      </c>
      <c r="FL69" s="12">
        <v>3</v>
      </c>
      <c r="FM69" s="12">
        <v>0</v>
      </c>
      <c r="FN69" s="12">
        <v>1</v>
      </c>
      <c r="FO69" s="12">
        <v>0</v>
      </c>
      <c r="FP69" s="12">
        <v>0</v>
      </c>
      <c r="FQ69" s="12">
        <v>0</v>
      </c>
      <c r="FR69" s="12">
        <v>11</v>
      </c>
      <c r="FS69" s="12">
        <v>0</v>
      </c>
      <c r="FT69" s="12">
        <v>2</v>
      </c>
      <c r="FU69" s="12">
        <v>0</v>
      </c>
      <c r="FV69" s="12">
        <v>1</v>
      </c>
      <c r="FW69" s="12">
        <v>0</v>
      </c>
      <c r="FX69" s="12">
        <v>11</v>
      </c>
      <c r="FY69" s="12">
        <v>1</v>
      </c>
      <c r="FZ69" s="12">
        <v>5</v>
      </c>
      <c r="GA69" s="12">
        <v>1</v>
      </c>
      <c r="GB69" s="12">
        <v>2</v>
      </c>
      <c r="GC69" s="12">
        <v>2</v>
      </c>
      <c r="GD69" s="12">
        <v>0</v>
      </c>
      <c r="GE69" s="12">
        <v>0</v>
      </c>
      <c r="GF69" s="12">
        <v>11</v>
      </c>
      <c r="GG69" s="12">
        <v>16</v>
      </c>
      <c r="GH69" s="12">
        <v>2</v>
      </c>
      <c r="GI69" s="12">
        <v>0</v>
      </c>
      <c r="GJ69" s="12">
        <v>0</v>
      </c>
      <c r="GK69" s="12">
        <v>0</v>
      </c>
      <c r="GL69" s="12">
        <v>15</v>
      </c>
      <c r="GM69" s="12">
        <v>18</v>
      </c>
      <c r="GN69" s="12">
        <v>3</v>
      </c>
      <c r="GO69" s="12">
        <v>15</v>
      </c>
      <c r="GP69" s="12">
        <v>2</v>
      </c>
      <c r="GQ69" s="12">
        <v>7</v>
      </c>
      <c r="GR69" s="12">
        <v>2</v>
      </c>
      <c r="GS69" s="12">
        <v>5</v>
      </c>
      <c r="GT69" s="12">
        <v>9</v>
      </c>
      <c r="GU69" s="12">
        <v>21</v>
      </c>
      <c r="GV69" s="12">
        <v>0</v>
      </c>
      <c r="GW69" s="12">
        <v>2</v>
      </c>
      <c r="GY69" s="16"/>
    </row>
    <row r="70" spans="2:207" ht="15" customHeight="1" x14ac:dyDescent="0.2">
      <c r="B70" s="12">
        <v>4</v>
      </c>
      <c r="C70" s="12" t="s">
        <v>264</v>
      </c>
      <c r="D70" s="12" t="s">
        <v>285</v>
      </c>
      <c r="E70" s="14" t="s">
        <v>266</v>
      </c>
      <c r="F70" s="14" t="s">
        <v>287</v>
      </c>
      <c r="G70" s="15">
        <v>45219</v>
      </c>
      <c r="H70" s="15" t="s">
        <v>271</v>
      </c>
      <c r="I70" s="12" t="s">
        <v>269</v>
      </c>
      <c r="J70" s="12" t="s">
        <v>272</v>
      </c>
      <c r="K70" s="12">
        <v>200</v>
      </c>
      <c r="L70" s="12">
        <v>79</v>
      </c>
      <c r="M70" s="12">
        <v>20</v>
      </c>
      <c r="N70" s="12">
        <v>35</v>
      </c>
      <c r="O70" s="16">
        <v>0.5714285714285714</v>
      </c>
      <c r="P70" s="12">
        <v>8</v>
      </c>
      <c r="Q70" s="12">
        <v>33</v>
      </c>
      <c r="R70" s="16">
        <v>0.24242424242424243</v>
      </c>
      <c r="S70" s="12">
        <v>28</v>
      </c>
      <c r="T70" s="12">
        <v>68</v>
      </c>
      <c r="U70" s="16">
        <v>0.41176470588235292</v>
      </c>
      <c r="V70" s="12">
        <v>15</v>
      </c>
      <c r="W70" s="12">
        <v>21</v>
      </c>
      <c r="X70" s="16">
        <v>0.7142857142857143</v>
      </c>
      <c r="Y70" s="12">
        <v>13</v>
      </c>
      <c r="Z70" s="12">
        <v>22</v>
      </c>
      <c r="AA70" s="12">
        <v>35</v>
      </c>
      <c r="AB70" s="12">
        <v>17</v>
      </c>
      <c r="AC70" s="12">
        <v>12</v>
      </c>
      <c r="AD70" s="12">
        <v>11</v>
      </c>
      <c r="AE70" s="12">
        <v>0</v>
      </c>
      <c r="AF70" s="12">
        <v>4</v>
      </c>
      <c r="AG70" s="12">
        <v>21</v>
      </c>
      <c r="AH70" s="12">
        <v>25</v>
      </c>
      <c r="AI70" s="17">
        <v>84</v>
      </c>
      <c r="AJ70" s="12">
        <v>-6</v>
      </c>
      <c r="AK70" s="12">
        <v>77</v>
      </c>
      <c r="AL70" s="12">
        <v>90</v>
      </c>
      <c r="AM70" s="19">
        <v>0.87777777777777777</v>
      </c>
      <c r="AN70" s="19">
        <v>1.0365853658536586</v>
      </c>
      <c r="AO70" s="18">
        <v>102.59740259740259</v>
      </c>
      <c r="AP70" s="18">
        <v>111.8421052631579</v>
      </c>
      <c r="AQ70" s="18">
        <v>-9.2447026657553124</v>
      </c>
      <c r="AR70" s="53">
        <v>0.47058823529411764</v>
      </c>
      <c r="AS70" s="53">
        <v>0.50641025641025639</v>
      </c>
      <c r="AT70" s="16">
        <v>4.4444444444444446E-2</v>
      </c>
      <c r="AU70" s="19">
        <v>2</v>
      </c>
      <c r="AV70" s="16">
        <v>0.27777777777777779</v>
      </c>
      <c r="AW70" s="19">
        <v>1.2</v>
      </c>
      <c r="AX70" s="16">
        <v>6.6666666666666666E-2</v>
      </c>
      <c r="AY70" s="19">
        <v>0.33333333333333331</v>
      </c>
      <c r="AZ70" s="16">
        <v>2.2222222222222223E-2</v>
      </c>
      <c r="BA70" s="19">
        <v>3</v>
      </c>
      <c r="BB70" s="16">
        <v>0.34444444444444444</v>
      </c>
      <c r="BC70" s="21">
        <v>0.58064516129032262</v>
      </c>
      <c r="BD70" s="16">
        <v>0.1111111111111111</v>
      </c>
      <c r="BE70" s="16">
        <v>0.13333333333333333</v>
      </c>
      <c r="BF70" s="16">
        <v>0.45945945945945948</v>
      </c>
      <c r="BG70" s="16">
        <v>0.45</v>
      </c>
      <c r="BH70" s="16">
        <v>0.875</v>
      </c>
      <c r="BI70" s="16">
        <v>0.1111111111111111</v>
      </c>
      <c r="BJ70" s="16">
        <v>0.18888888888888888</v>
      </c>
      <c r="BK70" s="21">
        <v>1.4166666666666667</v>
      </c>
      <c r="BL70" s="16">
        <v>0.30952380952380953</v>
      </c>
      <c r="BM70" s="16">
        <v>0.47058823529411764</v>
      </c>
      <c r="BN70" s="16">
        <v>0.26923076923076922</v>
      </c>
      <c r="BO70" s="16">
        <v>0.5</v>
      </c>
      <c r="BP70" s="16">
        <v>0.7857142857142857</v>
      </c>
      <c r="BQ70" s="16">
        <v>0.66666666666666663</v>
      </c>
      <c r="BR70" s="16">
        <v>0.8666666666666667</v>
      </c>
      <c r="BS70" s="16">
        <v>0.5</v>
      </c>
      <c r="BT70" s="16">
        <v>0.5</v>
      </c>
      <c r="BU70" s="16">
        <v>0.14473684210526316</v>
      </c>
      <c r="BV70" s="16">
        <v>0</v>
      </c>
      <c r="BW70" s="54">
        <v>7</v>
      </c>
      <c r="BX70" s="54">
        <v>0.42857142857142855</v>
      </c>
      <c r="BY70" s="54">
        <v>0.44</v>
      </c>
      <c r="BZ70" s="12">
        <v>9</v>
      </c>
      <c r="CA70" s="12">
        <v>7</v>
      </c>
      <c r="CB70" s="12">
        <v>1</v>
      </c>
      <c r="CC70" s="12">
        <v>2</v>
      </c>
      <c r="CD70" s="12">
        <v>0</v>
      </c>
      <c r="CE70" s="12">
        <v>0</v>
      </c>
      <c r="CF70" s="12">
        <v>3</v>
      </c>
      <c r="CG70" s="12">
        <v>2</v>
      </c>
      <c r="CH70" s="12">
        <v>3</v>
      </c>
      <c r="CI70" s="12">
        <v>0</v>
      </c>
      <c r="CJ70" s="12">
        <v>0</v>
      </c>
      <c r="CK70" s="12">
        <v>0</v>
      </c>
      <c r="CL70" s="12">
        <v>6</v>
      </c>
      <c r="CM70" s="12">
        <v>1</v>
      </c>
      <c r="CN70" s="12">
        <v>1</v>
      </c>
      <c r="CO70" s="12">
        <v>0</v>
      </c>
      <c r="CP70" s="12">
        <v>1</v>
      </c>
      <c r="CQ70" s="12">
        <v>0</v>
      </c>
      <c r="CR70" s="12">
        <v>6</v>
      </c>
      <c r="CS70" s="12">
        <v>0</v>
      </c>
      <c r="CT70" s="12">
        <v>1</v>
      </c>
      <c r="CU70" s="12">
        <v>0</v>
      </c>
      <c r="CV70" s="12">
        <v>0</v>
      </c>
      <c r="CW70" s="12">
        <v>0</v>
      </c>
      <c r="CX70" s="12">
        <v>12</v>
      </c>
      <c r="CY70" s="12">
        <v>1</v>
      </c>
      <c r="CZ70" s="12">
        <v>2</v>
      </c>
      <c r="DA70" s="12">
        <v>0</v>
      </c>
      <c r="DB70" s="12">
        <v>0</v>
      </c>
      <c r="DC70" s="12">
        <v>0</v>
      </c>
      <c r="DD70" s="12">
        <v>1</v>
      </c>
      <c r="DE70" s="12">
        <v>1</v>
      </c>
      <c r="DF70" s="12">
        <v>14</v>
      </c>
      <c r="DG70" s="12">
        <v>20</v>
      </c>
      <c r="DH70" s="12">
        <v>1</v>
      </c>
      <c r="DI70" s="12">
        <v>0</v>
      </c>
      <c r="DJ70" s="12">
        <v>0</v>
      </c>
      <c r="DK70" s="12">
        <v>0</v>
      </c>
      <c r="DL70" s="12">
        <v>4</v>
      </c>
      <c r="DM70" s="12">
        <v>4</v>
      </c>
      <c r="DN70" s="12">
        <v>15</v>
      </c>
      <c r="DO70" s="12">
        <v>25</v>
      </c>
      <c r="DP70" s="12">
        <v>1</v>
      </c>
      <c r="DQ70" s="12">
        <v>6</v>
      </c>
      <c r="DR70" s="12">
        <v>2</v>
      </c>
      <c r="DS70" s="12">
        <v>2</v>
      </c>
      <c r="DT70" s="12">
        <v>6</v>
      </c>
      <c r="DU70" s="12">
        <v>31</v>
      </c>
      <c r="DV70" s="12">
        <v>0</v>
      </c>
      <c r="DW70" s="12">
        <v>0</v>
      </c>
      <c r="DX70" s="12">
        <v>85</v>
      </c>
      <c r="DY70" s="12">
        <v>19</v>
      </c>
      <c r="DZ70" s="12">
        <v>31</v>
      </c>
      <c r="EA70" s="16">
        <v>0.61290322580645162</v>
      </c>
      <c r="EB70" s="12">
        <v>12</v>
      </c>
      <c r="EC70" s="12">
        <v>26</v>
      </c>
      <c r="ED70" s="16">
        <v>0.46153846153846156</v>
      </c>
      <c r="EE70" s="12">
        <v>31</v>
      </c>
      <c r="EF70" s="12">
        <v>57</v>
      </c>
      <c r="EG70" s="16">
        <v>0.54385964912280704</v>
      </c>
      <c r="EH70" s="12">
        <v>11</v>
      </c>
      <c r="EI70" s="12">
        <v>16</v>
      </c>
      <c r="EJ70" s="16">
        <v>0.6875</v>
      </c>
      <c r="EK70" s="12">
        <v>6</v>
      </c>
      <c r="EL70" s="12">
        <v>29</v>
      </c>
      <c r="EM70" s="12">
        <v>35</v>
      </c>
      <c r="EN70" s="12">
        <v>23</v>
      </c>
      <c r="EO70" s="12">
        <v>25</v>
      </c>
      <c r="EP70" s="12">
        <v>21</v>
      </c>
      <c r="EQ70" s="12">
        <v>3</v>
      </c>
      <c r="ER70" s="12">
        <v>19</v>
      </c>
      <c r="ES70" s="12">
        <v>4</v>
      </c>
      <c r="ET70" s="12">
        <v>0</v>
      </c>
      <c r="EU70" s="12">
        <v>96</v>
      </c>
      <c r="EV70" s="12">
        <v>6</v>
      </c>
      <c r="EW70" s="12">
        <v>76</v>
      </c>
      <c r="EX70" s="12">
        <v>82</v>
      </c>
      <c r="EY70" s="12">
        <v>6</v>
      </c>
      <c r="EZ70" s="12">
        <v>11</v>
      </c>
      <c r="FA70" s="12">
        <v>10</v>
      </c>
      <c r="FB70" s="12">
        <v>2</v>
      </c>
      <c r="FC70" s="12">
        <v>4</v>
      </c>
      <c r="FD70" s="12">
        <v>0</v>
      </c>
      <c r="FE70" s="12">
        <v>0</v>
      </c>
      <c r="FF70" s="12">
        <v>0</v>
      </c>
      <c r="FG70" s="12">
        <v>0</v>
      </c>
      <c r="FH70" s="12">
        <v>3</v>
      </c>
      <c r="FI70" s="12">
        <v>1</v>
      </c>
      <c r="FJ70" s="12">
        <v>0</v>
      </c>
      <c r="FK70" s="12">
        <v>0</v>
      </c>
      <c r="FL70" s="12">
        <v>2</v>
      </c>
      <c r="FM70" s="12">
        <v>0</v>
      </c>
      <c r="FN70" s="12">
        <v>1</v>
      </c>
      <c r="FO70" s="12">
        <v>1</v>
      </c>
      <c r="FP70" s="12">
        <v>0</v>
      </c>
      <c r="FQ70" s="12">
        <v>0</v>
      </c>
      <c r="FR70" s="12">
        <v>7</v>
      </c>
      <c r="FS70" s="12">
        <v>0</v>
      </c>
      <c r="FT70" s="12">
        <v>2</v>
      </c>
      <c r="FU70" s="12">
        <v>0</v>
      </c>
      <c r="FV70" s="12">
        <v>0</v>
      </c>
      <c r="FW70" s="12">
        <v>0</v>
      </c>
      <c r="FX70" s="12">
        <v>19</v>
      </c>
      <c r="FY70" s="12">
        <v>0</v>
      </c>
      <c r="FZ70" s="12">
        <v>1</v>
      </c>
      <c r="GA70" s="12">
        <v>0</v>
      </c>
      <c r="GB70" s="12">
        <v>1</v>
      </c>
      <c r="GC70" s="12">
        <v>1</v>
      </c>
      <c r="GD70" s="12">
        <v>1</v>
      </c>
      <c r="GE70" s="12">
        <v>3</v>
      </c>
      <c r="GF70" s="12">
        <v>9</v>
      </c>
      <c r="GG70" s="12">
        <v>12</v>
      </c>
      <c r="GH70" s="12">
        <v>0</v>
      </c>
      <c r="GI70" s="12">
        <v>0</v>
      </c>
      <c r="GJ70" s="12">
        <v>0</v>
      </c>
      <c r="GK70" s="12">
        <v>0</v>
      </c>
      <c r="GL70" s="12">
        <v>3</v>
      </c>
      <c r="GM70" s="12">
        <v>4</v>
      </c>
      <c r="GN70" s="12">
        <v>12</v>
      </c>
      <c r="GO70" s="12">
        <v>19</v>
      </c>
      <c r="GP70" s="12">
        <v>4</v>
      </c>
      <c r="GQ70" s="12">
        <v>8</v>
      </c>
      <c r="GR70" s="12">
        <v>0</v>
      </c>
      <c r="GS70" s="12">
        <v>0</v>
      </c>
      <c r="GT70" s="12">
        <v>12</v>
      </c>
      <c r="GU70" s="12">
        <v>26</v>
      </c>
      <c r="GV70" s="12">
        <v>0</v>
      </c>
      <c r="GW70" s="12">
        <v>0</v>
      </c>
      <c r="GY70" s="16"/>
    </row>
    <row r="71" spans="2:207" ht="15" customHeight="1" x14ac:dyDescent="0.2">
      <c r="B71" s="12">
        <v>4</v>
      </c>
      <c r="C71" s="12" t="s">
        <v>285</v>
      </c>
      <c r="D71" s="12" t="s">
        <v>264</v>
      </c>
      <c r="E71" s="14" t="s">
        <v>287</v>
      </c>
      <c r="F71" s="14" t="s">
        <v>266</v>
      </c>
      <c r="G71" s="15">
        <v>45219</v>
      </c>
      <c r="H71" s="15" t="s">
        <v>268</v>
      </c>
      <c r="I71" s="12" t="s">
        <v>269</v>
      </c>
      <c r="J71" s="12" t="s">
        <v>270</v>
      </c>
      <c r="K71" s="12">
        <v>200</v>
      </c>
      <c r="L71" s="12">
        <v>85</v>
      </c>
      <c r="M71" s="12">
        <v>19</v>
      </c>
      <c r="N71" s="12">
        <v>31</v>
      </c>
      <c r="O71" s="16">
        <v>0.61290322580645162</v>
      </c>
      <c r="P71" s="12">
        <v>12</v>
      </c>
      <c r="Q71" s="12">
        <v>26</v>
      </c>
      <c r="R71" s="16">
        <v>0.46153846153846156</v>
      </c>
      <c r="S71" s="12">
        <v>31</v>
      </c>
      <c r="T71" s="12">
        <v>57</v>
      </c>
      <c r="U71" s="16">
        <v>0.54385964912280704</v>
      </c>
      <c r="V71" s="12">
        <v>11</v>
      </c>
      <c r="W71" s="12">
        <v>16</v>
      </c>
      <c r="X71" s="16">
        <v>0.6875</v>
      </c>
      <c r="Y71" s="12">
        <v>6</v>
      </c>
      <c r="Z71" s="12">
        <v>29</v>
      </c>
      <c r="AA71" s="12">
        <v>35</v>
      </c>
      <c r="AB71" s="12">
        <v>23</v>
      </c>
      <c r="AC71" s="12">
        <v>19</v>
      </c>
      <c r="AD71" s="12">
        <v>3</v>
      </c>
      <c r="AE71" s="12">
        <v>4</v>
      </c>
      <c r="AF71" s="12">
        <v>0</v>
      </c>
      <c r="AG71" s="12">
        <v>25</v>
      </c>
      <c r="AH71" s="12">
        <v>21</v>
      </c>
      <c r="AI71" s="17">
        <v>96</v>
      </c>
      <c r="AJ71" s="12">
        <v>6</v>
      </c>
      <c r="AK71" s="12">
        <v>76</v>
      </c>
      <c r="AL71" s="12">
        <v>82</v>
      </c>
      <c r="AM71" s="19">
        <v>1.0365853658536586</v>
      </c>
      <c r="AN71" s="19">
        <v>0.87777777777777777</v>
      </c>
      <c r="AO71" s="18">
        <v>111.8421052631579</v>
      </c>
      <c r="AP71" s="18">
        <v>102.59740259740259</v>
      </c>
      <c r="AQ71" s="18">
        <v>9.2447026657553124</v>
      </c>
      <c r="AR71" s="53">
        <v>0.64912280701754388</v>
      </c>
      <c r="AS71" s="53">
        <v>0.67460317460317465</v>
      </c>
      <c r="AT71" s="16">
        <v>4.878048780487805E-2</v>
      </c>
      <c r="AU71" s="19">
        <v>1.5</v>
      </c>
      <c r="AV71" s="16">
        <v>0.23170731707317074</v>
      </c>
      <c r="AW71" s="19">
        <v>1.263157894736842</v>
      </c>
      <c r="AX71" s="16">
        <v>9.7560975609756101E-2</v>
      </c>
      <c r="AY71" s="19">
        <v>1</v>
      </c>
      <c r="AZ71" s="16">
        <v>0</v>
      </c>
      <c r="BA71" s="19" t="s">
        <v>269</v>
      </c>
      <c r="BB71" s="16">
        <v>0.31707317073170732</v>
      </c>
      <c r="BC71" s="21">
        <v>1.3846153846153846</v>
      </c>
      <c r="BD71" s="16">
        <v>7.3170731707317069E-2</v>
      </c>
      <c r="BE71" s="16">
        <v>0.23170731707317074</v>
      </c>
      <c r="BF71" s="16">
        <v>0.6216216216216216</v>
      </c>
      <c r="BG71" s="16">
        <v>0.57894736842105265</v>
      </c>
      <c r="BH71" s="16">
        <v>0.83333333333333337</v>
      </c>
      <c r="BI71" s="16">
        <v>0.33333333333333331</v>
      </c>
      <c r="BJ71" s="16">
        <v>0.28048780487804881</v>
      </c>
      <c r="BK71" s="21">
        <v>1.2105263157894737</v>
      </c>
      <c r="BL71" s="16">
        <v>0.21428571428571427</v>
      </c>
      <c r="BM71" s="16">
        <v>0.33333333333333331</v>
      </c>
      <c r="BN71" s="16">
        <v>0.13333333333333333</v>
      </c>
      <c r="BO71" s="16">
        <v>0.5</v>
      </c>
      <c r="BP71" s="16">
        <v>0.69047619047619047</v>
      </c>
      <c r="BQ71" s="16">
        <v>0.52941176470588236</v>
      </c>
      <c r="BR71" s="16">
        <v>0.73076923076923073</v>
      </c>
      <c r="BS71" s="16">
        <v>0.5</v>
      </c>
      <c r="BT71" s="16">
        <v>0.5</v>
      </c>
      <c r="BU71" s="16">
        <v>3.896103896103896E-2</v>
      </c>
      <c r="BV71" s="16">
        <v>5.8823529411764705E-2</v>
      </c>
      <c r="BW71" s="54">
        <v>6</v>
      </c>
      <c r="BX71" s="54">
        <v>0.44</v>
      </c>
      <c r="BY71" s="54">
        <v>0.42857142857142855</v>
      </c>
      <c r="BZ71" s="12">
        <v>11</v>
      </c>
      <c r="CA71" s="12">
        <v>10</v>
      </c>
      <c r="CB71" s="12">
        <v>2</v>
      </c>
      <c r="CC71" s="12">
        <v>4</v>
      </c>
      <c r="CD71" s="12">
        <v>0</v>
      </c>
      <c r="CE71" s="12">
        <v>0</v>
      </c>
      <c r="CF71" s="12">
        <v>0</v>
      </c>
      <c r="CG71" s="12">
        <v>0</v>
      </c>
      <c r="CH71" s="12">
        <v>3</v>
      </c>
      <c r="CI71" s="12">
        <v>1</v>
      </c>
      <c r="CJ71" s="12">
        <v>0</v>
      </c>
      <c r="CK71" s="12">
        <v>0</v>
      </c>
      <c r="CL71" s="12">
        <v>2</v>
      </c>
      <c r="CM71" s="12">
        <v>0</v>
      </c>
      <c r="CN71" s="12">
        <v>1</v>
      </c>
      <c r="CO71" s="12">
        <v>1</v>
      </c>
      <c r="CP71" s="12">
        <v>0</v>
      </c>
      <c r="CQ71" s="12">
        <v>0</v>
      </c>
      <c r="CR71" s="12">
        <v>7</v>
      </c>
      <c r="CS71" s="12">
        <v>0</v>
      </c>
      <c r="CT71" s="12">
        <v>2</v>
      </c>
      <c r="CU71" s="12">
        <v>0</v>
      </c>
      <c r="CV71" s="12">
        <v>0</v>
      </c>
      <c r="CW71" s="12">
        <v>0</v>
      </c>
      <c r="CX71" s="12">
        <v>19</v>
      </c>
      <c r="CY71" s="12">
        <v>0</v>
      </c>
      <c r="CZ71" s="12">
        <v>1</v>
      </c>
      <c r="DA71" s="12">
        <v>0</v>
      </c>
      <c r="DB71" s="12">
        <v>1</v>
      </c>
      <c r="DC71" s="12">
        <v>1</v>
      </c>
      <c r="DD71" s="12">
        <v>1</v>
      </c>
      <c r="DE71" s="12">
        <v>3</v>
      </c>
      <c r="DF71" s="12">
        <v>9</v>
      </c>
      <c r="DG71" s="12">
        <v>12</v>
      </c>
      <c r="DH71" s="12">
        <v>0</v>
      </c>
      <c r="DI71" s="12">
        <v>0</v>
      </c>
      <c r="DJ71" s="12">
        <v>0</v>
      </c>
      <c r="DK71" s="12">
        <v>0</v>
      </c>
      <c r="DL71" s="12">
        <v>3</v>
      </c>
      <c r="DM71" s="12">
        <v>4</v>
      </c>
      <c r="DN71" s="12">
        <v>12</v>
      </c>
      <c r="DO71" s="12">
        <v>19</v>
      </c>
      <c r="DP71" s="12">
        <v>4</v>
      </c>
      <c r="DQ71" s="12">
        <v>8</v>
      </c>
      <c r="DR71" s="12">
        <v>0</v>
      </c>
      <c r="DS71" s="12">
        <v>0</v>
      </c>
      <c r="DT71" s="12">
        <v>12</v>
      </c>
      <c r="DU71" s="12">
        <v>26</v>
      </c>
      <c r="DV71" s="12">
        <v>0</v>
      </c>
      <c r="DW71" s="12">
        <v>0</v>
      </c>
      <c r="DX71" s="12">
        <v>79</v>
      </c>
      <c r="DY71" s="12">
        <v>20</v>
      </c>
      <c r="DZ71" s="12">
        <v>35</v>
      </c>
      <c r="EA71" s="16">
        <v>0.5714285714285714</v>
      </c>
      <c r="EB71" s="12">
        <v>8</v>
      </c>
      <c r="EC71" s="12">
        <v>33</v>
      </c>
      <c r="ED71" s="16">
        <v>0.24242424242424243</v>
      </c>
      <c r="EE71" s="12">
        <v>28</v>
      </c>
      <c r="EF71" s="12">
        <v>68</v>
      </c>
      <c r="EG71" s="16">
        <v>0.41176470588235292</v>
      </c>
      <c r="EH71" s="12">
        <v>15</v>
      </c>
      <c r="EI71" s="12">
        <v>21</v>
      </c>
      <c r="EJ71" s="16">
        <v>0.7142857142857143</v>
      </c>
      <c r="EK71" s="12">
        <v>13</v>
      </c>
      <c r="EL71" s="12">
        <v>22</v>
      </c>
      <c r="EM71" s="12">
        <v>35</v>
      </c>
      <c r="EN71" s="12">
        <v>17</v>
      </c>
      <c r="EO71" s="12">
        <v>21</v>
      </c>
      <c r="EP71" s="12">
        <v>25</v>
      </c>
      <c r="EQ71" s="12">
        <v>11</v>
      </c>
      <c r="ER71" s="12">
        <v>12</v>
      </c>
      <c r="ES71" s="12">
        <v>0</v>
      </c>
      <c r="ET71" s="12">
        <v>4</v>
      </c>
      <c r="EU71" s="12">
        <v>84</v>
      </c>
      <c r="EV71" s="12">
        <v>-6</v>
      </c>
      <c r="EW71" s="12">
        <v>77</v>
      </c>
      <c r="EX71" s="12">
        <v>90</v>
      </c>
      <c r="EY71" s="12">
        <v>7</v>
      </c>
      <c r="EZ71" s="12">
        <v>9</v>
      </c>
      <c r="FA71" s="12">
        <v>7</v>
      </c>
      <c r="FB71" s="12">
        <v>1</v>
      </c>
      <c r="FC71" s="12">
        <v>2</v>
      </c>
      <c r="FD71" s="12">
        <v>0</v>
      </c>
      <c r="FE71" s="12">
        <v>0</v>
      </c>
      <c r="FF71" s="12">
        <v>3</v>
      </c>
      <c r="FG71" s="12">
        <v>2</v>
      </c>
      <c r="FH71" s="12">
        <v>3</v>
      </c>
      <c r="FI71" s="12">
        <v>0</v>
      </c>
      <c r="FJ71" s="12">
        <v>0</v>
      </c>
      <c r="FK71" s="12">
        <v>0</v>
      </c>
      <c r="FL71" s="12">
        <v>6</v>
      </c>
      <c r="FM71" s="12">
        <v>1</v>
      </c>
      <c r="FN71" s="12">
        <v>1</v>
      </c>
      <c r="FO71" s="12">
        <v>0</v>
      </c>
      <c r="FP71" s="12">
        <v>1</v>
      </c>
      <c r="FQ71" s="12">
        <v>0</v>
      </c>
      <c r="FR71" s="12">
        <v>6</v>
      </c>
      <c r="FS71" s="12">
        <v>0</v>
      </c>
      <c r="FT71" s="12">
        <v>1</v>
      </c>
      <c r="FU71" s="12">
        <v>0</v>
      </c>
      <c r="FV71" s="12">
        <v>0</v>
      </c>
      <c r="FW71" s="12">
        <v>0</v>
      </c>
      <c r="FX71" s="12">
        <v>12</v>
      </c>
      <c r="FY71" s="12">
        <v>1</v>
      </c>
      <c r="FZ71" s="12">
        <v>2</v>
      </c>
      <c r="GA71" s="12">
        <v>0</v>
      </c>
      <c r="GB71" s="12">
        <v>0</v>
      </c>
      <c r="GC71" s="12">
        <v>0</v>
      </c>
      <c r="GD71" s="12">
        <v>1</v>
      </c>
      <c r="GE71" s="12">
        <v>1</v>
      </c>
      <c r="GF71" s="12">
        <v>14</v>
      </c>
      <c r="GG71" s="12">
        <v>20</v>
      </c>
      <c r="GH71" s="12">
        <v>1</v>
      </c>
      <c r="GI71" s="12">
        <v>0</v>
      </c>
      <c r="GJ71" s="12">
        <v>0</v>
      </c>
      <c r="GK71" s="12">
        <v>0</v>
      </c>
      <c r="GL71" s="12">
        <v>4</v>
      </c>
      <c r="GM71" s="12">
        <v>4</v>
      </c>
      <c r="GN71" s="12">
        <v>15</v>
      </c>
      <c r="GO71" s="12">
        <v>25</v>
      </c>
      <c r="GP71" s="12">
        <v>1</v>
      </c>
      <c r="GQ71" s="12">
        <v>6</v>
      </c>
      <c r="GR71" s="12">
        <v>2</v>
      </c>
      <c r="GS71" s="12">
        <v>2</v>
      </c>
      <c r="GT71" s="12">
        <v>6</v>
      </c>
      <c r="GU71" s="12">
        <v>31</v>
      </c>
      <c r="GV71" s="12">
        <v>0</v>
      </c>
      <c r="GW71" s="12">
        <v>0</v>
      </c>
      <c r="GY71" s="16"/>
    </row>
    <row r="72" spans="2:207" ht="15" customHeight="1" x14ac:dyDescent="0.2">
      <c r="B72" s="12">
        <v>4</v>
      </c>
      <c r="C72" s="12" t="s">
        <v>278</v>
      </c>
      <c r="D72" s="12" t="s">
        <v>282</v>
      </c>
      <c r="E72" s="14" t="s">
        <v>280</v>
      </c>
      <c r="F72" s="14" t="s">
        <v>284</v>
      </c>
      <c r="G72" s="15">
        <v>45219</v>
      </c>
      <c r="H72" s="15" t="s">
        <v>268</v>
      </c>
      <c r="I72" s="12" t="s">
        <v>269</v>
      </c>
      <c r="J72" s="12" t="s">
        <v>270</v>
      </c>
      <c r="K72" s="12">
        <v>200</v>
      </c>
      <c r="L72" s="12">
        <v>98</v>
      </c>
      <c r="M72" s="12">
        <v>21</v>
      </c>
      <c r="N72" s="12">
        <v>40</v>
      </c>
      <c r="O72" s="16">
        <v>0.52500000000000002</v>
      </c>
      <c r="P72" s="12">
        <v>13</v>
      </c>
      <c r="Q72" s="12">
        <v>27</v>
      </c>
      <c r="R72" s="16">
        <v>0.48148148148148145</v>
      </c>
      <c r="S72" s="12">
        <v>34</v>
      </c>
      <c r="T72" s="12">
        <v>67</v>
      </c>
      <c r="U72" s="16">
        <v>0.5074626865671642</v>
      </c>
      <c r="V72" s="12">
        <v>17</v>
      </c>
      <c r="W72" s="12">
        <v>21</v>
      </c>
      <c r="X72" s="16">
        <v>0.80952380952380953</v>
      </c>
      <c r="Y72" s="12">
        <v>11</v>
      </c>
      <c r="Z72" s="12">
        <v>31</v>
      </c>
      <c r="AA72" s="12">
        <v>42</v>
      </c>
      <c r="AB72" s="12">
        <v>22</v>
      </c>
      <c r="AC72" s="12">
        <v>5</v>
      </c>
      <c r="AD72" s="12">
        <v>7</v>
      </c>
      <c r="AE72" s="12">
        <v>3</v>
      </c>
      <c r="AF72" s="12">
        <v>1</v>
      </c>
      <c r="AG72" s="12">
        <v>18</v>
      </c>
      <c r="AH72" s="12">
        <v>22</v>
      </c>
      <c r="AI72" s="17">
        <v>133</v>
      </c>
      <c r="AJ72" s="12">
        <v>39</v>
      </c>
      <c r="AK72" s="12">
        <v>71</v>
      </c>
      <c r="AL72" s="12">
        <v>82</v>
      </c>
      <c r="AM72" s="19">
        <v>1.1951219512195121</v>
      </c>
      <c r="AN72" s="19">
        <v>0.73750000000000004</v>
      </c>
      <c r="AO72" s="18">
        <v>138.02816901408451</v>
      </c>
      <c r="AP72" s="18">
        <v>86.764705882352942</v>
      </c>
      <c r="AQ72" s="18">
        <v>51.263463131731569</v>
      </c>
      <c r="AR72" s="53">
        <v>0.60447761194029848</v>
      </c>
      <c r="AS72" s="53">
        <v>0.63636363636363635</v>
      </c>
      <c r="AT72" s="16">
        <v>7.3170731707317069E-2</v>
      </c>
      <c r="AU72" s="19">
        <v>2</v>
      </c>
      <c r="AV72" s="16">
        <v>0.29268292682926828</v>
      </c>
      <c r="AW72" s="19">
        <v>0.91666666666666663</v>
      </c>
      <c r="AX72" s="16">
        <v>0.12195121951219512</v>
      </c>
      <c r="AY72" s="19">
        <v>0.8</v>
      </c>
      <c r="AZ72" s="16">
        <v>0.10975609756097561</v>
      </c>
      <c r="BA72" s="19">
        <v>1.3333333333333333</v>
      </c>
      <c r="BB72" s="16">
        <v>0.21951219512195122</v>
      </c>
      <c r="BC72" s="21">
        <v>1.5</v>
      </c>
      <c r="BD72" s="16">
        <v>0.12195121951219512</v>
      </c>
      <c r="BE72" s="16">
        <v>6.097560975609756E-2</v>
      </c>
      <c r="BF72" s="16">
        <v>0.51162790697674421</v>
      </c>
      <c r="BG72" s="16">
        <v>0.42857142857142855</v>
      </c>
      <c r="BH72" s="16">
        <v>0.69230769230769229</v>
      </c>
      <c r="BI72" s="16">
        <v>0.44444444444444442</v>
      </c>
      <c r="BJ72" s="16">
        <v>0.26829268292682928</v>
      </c>
      <c r="BK72" s="21">
        <v>4.4000000000000004</v>
      </c>
      <c r="BL72" s="16">
        <v>0.30555555555555558</v>
      </c>
      <c r="BM72" s="16">
        <v>0.42105263157894735</v>
      </c>
      <c r="BN72" s="16">
        <v>0.21428571428571427</v>
      </c>
      <c r="BO72" s="16">
        <v>0</v>
      </c>
      <c r="BP72" s="16">
        <v>0.72093023255813948</v>
      </c>
      <c r="BQ72" s="16">
        <v>0.77272727272727271</v>
      </c>
      <c r="BR72" s="16">
        <v>0.65217391304347827</v>
      </c>
      <c r="BS72" s="16">
        <v>0.33333333333333331</v>
      </c>
      <c r="BT72" s="16">
        <v>0.53164556962025311</v>
      </c>
      <c r="BU72" s="16">
        <v>0.10294117647058823</v>
      </c>
      <c r="BV72" s="16">
        <v>4.8387096774193547E-2</v>
      </c>
      <c r="BW72" s="54">
        <v>7</v>
      </c>
      <c r="BX72" s="54">
        <v>0.44444444444444442</v>
      </c>
      <c r="BY72" s="54">
        <v>0.5</v>
      </c>
      <c r="BZ72" s="12">
        <v>9</v>
      </c>
      <c r="CA72" s="12">
        <v>9</v>
      </c>
      <c r="CB72" s="12">
        <v>4</v>
      </c>
      <c r="CC72" s="12">
        <v>8</v>
      </c>
      <c r="CD72" s="12">
        <v>0</v>
      </c>
      <c r="CE72" s="12">
        <v>0</v>
      </c>
      <c r="CF72" s="12">
        <v>6</v>
      </c>
      <c r="CG72" s="12">
        <v>0</v>
      </c>
      <c r="CH72" s="12">
        <v>2</v>
      </c>
      <c r="CI72" s="12">
        <v>0</v>
      </c>
      <c r="CJ72" s="12">
        <v>0</v>
      </c>
      <c r="CK72" s="12">
        <v>0</v>
      </c>
      <c r="CL72" s="12">
        <v>3</v>
      </c>
      <c r="CM72" s="12">
        <v>0</v>
      </c>
      <c r="CN72" s="12">
        <v>0</v>
      </c>
      <c r="CO72" s="12">
        <v>0</v>
      </c>
      <c r="CP72" s="12">
        <v>2</v>
      </c>
      <c r="CQ72" s="12">
        <v>1</v>
      </c>
      <c r="CR72" s="12">
        <v>9</v>
      </c>
      <c r="CS72" s="12">
        <v>0</v>
      </c>
      <c r="CT72" s="12">
        <v>5</v>
      </c>
      <c r="CU72" s="12">
        <v>0</v>
      </c>
      <c r="CV72" s="12">
        <v>2</v>
      </c>
      <c r="CW72" s="12">
        <v>0</v>
      </c>
      <c r="CX72" s="12">
        <v>12</v>
      </c>
      <c r="CY72" s="12">
        <v>1</v>
      </c>
      <c r="CZ72" s="12">
        <v>1</v>
      </c>
      <c r="DA72" s="12">
        <v>0</v>
      </c>
      <c r="DB72" s="12">
        <v>0</v>
      </c>
      <c r="DC72" s="12">
        <v>0</v>
      </c>
      <c r="DD72" s="12">
        <v>0</v>
      </c>
      <c r="DE72" s="12">
        <v>1</v>
      </c>
      <c r="DF72" s="12">
        <v>17</v>
      </c>
      <c r="DG72" s="12">
        <v>20</v>
      </c>
      <c r="DH72" s="12">
        <v>1</v>
      </c>
      <c r="DI72" s="12">
        <v>0</v>
      </c>
      <c r="DJ72" s="12">
        <v>0</v>
      </c>
      <c r="DK72" s="12">
        <v>0</v>
      </c>
      <c r="DL72" s="12">
        <v>6</v>
      </c>
      <c r="DM72" s="12">
        <v>6</v>
      </c>
      <c r="DN72" s="12">
        <v>11</v>
      </c>
      <c r="DO72" s="12">
        <v>24</v>
      </c>
      <c r="DP72" s="12">
        <v>4</v>
      </c>
      <c r="DQ72" s="12">
        <v>10</v>
      </c>
      <c r="DR72" s="12">
        <v>4</v>
      </c>
      <c r="DS72" s="12">
        <v>9</v>
      </c>
      <c r="DT72" s="12">
        <v>9</v>
      </c>
      <c r="DU72" s="12">
        <v>18</v>
      </c>
      <c r="DV72" s="12">
        <v>0</v>
      </c>
      <c r="DW72" s="12">
        <v>0</v>
      </c>
      <c r="DX72" s="12">
        <v>59</v>
      </c>
      <c r="DY72" s="12">
        <v>14</v>
      </c>
      <c r="DZ72" s="12">
        <v>34</v>
      </c>
      <c r="EA72" s="16">
        <v>0.41176470588235292</v>
      </c>
      <c r="EB72" s="12">
        <v>7</v>
      </c>
      <c r="EC72" s="12">
        <v>28</v>
      </c>
      <c r="ED72" s="16">
        <v>0.25</v>
      </c>
      <c r="EE72" s="12">
        <v>21</v>
      </c>
      <c r="EF72" s="12">
        <v>62</v>
      </c>
      <c r="EG72" s="16">
        <v>0.33870967741935482</v>
      </c>
      <c r="EH72" s="12">
        <v>10</v>
      </c>
      <c r="EI72" s="12">
        <v>14</v>
      </c>
      <c r="EJ72" s="16">
        <v>0.7142857142857143</v>
      </c>
      <c r="EK72" s="12">
        <v>12</v>
      </c>
      <c r="EL72" s="12">
        <v>25</v>
      </c>
      <c r="EM72" s="12">
        <v>37</v>
      </c>
      <c r="EN72" s="12">
        <v>12</v>
      </c>
      <c r="EO72" s="12">
        <v>22</v>
      </c>
      <c r="EP72" s="12">
        <v>18</v>
      </c>
      <c r="EQ72" s="12">
        <v>5</v>
      </c>
      <c r="ER72" s="12">
        <v>12</v>
      </c>
      <c r="ES72" s="12">
        <v>1</v>
      </c>
      <c r="ET72" s="12">
        <v>3</v>
      </c>
      <c r="EU72" s="12">
        <v>50</v>
      </c>
      <c r="EV72" s="12">
        <v>-39</v>
      </c>
      <c r="EW72" s="12">
        <v>68</v>
      </c>
      <c r="EX72" s="12">
        <v>80</v>
      </c>
      <c r="EY72" s="12">
        <v>4</v>
      </c>
      <c r="EZ72" s="12">
        <v>5</v>
      </c>
      <c r="FA72" s="12">
        <v>5</v>
      </c>
      <c r="FB72" s="12">
        <v>1</v>
      </c>
      <c r="FC72" s="12">
        <v>2</v>
      </c>
      <c r="FD72" s="12">
        <v>0</v>
      </c>
      <c r="FE72" s="12">
        <v>0</v>
      </c>
      <c r="FF72" s="12">
        <v>3</v>
      </c>
      <c r="FG72" s="12">
        <v>1</v>
      </c>
      <c r="FH72" s="12">
        <v>1</v>
      </c>
      <c r="FI72" s="12">
        <v>0</v>
      </c>
      <c r="FJ72" s="12">
        <v>1</v>
      </c>
      <c r="FK72" s="12">
        <v>1</v>
      </c>
      <c r="FL72" s="12">
        <v>5</v>
      </c>
      <c r="FM72" s="12">
        <v>1</v>
      </c>
      <c r="FN72" s="12">
        <v>2</v>
      </c>
      <c r="FO72" s="12">
        <v>0</v>
      </c>
      <c r="FP72" s="12">
        <v>0</v>
      </c>
      <c r="FQ72" s="12">
        <v>0</v>
      </c>
      <c r="FR72" s="12">
        <v>7</v>
      </c>
      <c r="FS72" s="12">
        <v>0</v>
      </c>
      <c r="FT72" s="12">
        <v>4</v>
      </c>
      <c r="FU72" s="12">
        <v>0</v>
      </c>
      <c r="FV72" s="12">
        <v>5</v>
      </c>
      <c r="FW72" s="12">
        <v>0</v>
      </c>
      <c r="FX72" s="12">
        <v>6</v>
      </c>
      <c r="FY72" s="12">
        <v>0</v>
      </c>
      <c r="FZ72" s="12">
        <v>3</v>
      </c>
      <c r="GA72" s="12">
        <v>0</v>
      </c>
      <c r="GB72" s="12">
        <v>0</v>
      </c>
      <c r="GC72" s="12">
        <v>0</v>
      </c>
      <c r="GD72" s="12">
        <v>0</v>
      </c>
      <c r="GE72" s="12">
        <v>2</v>
      </c>
      <c r="GF72" s="12">
        <v>10</v>
      </c>
      <c r="GG72" s="12">
        <v>12</v>
      </c>
      <c r="GH72" s="12">
        <v>0</v>
      </c>
      <c r="GI72" s="12">
        <v>0</v>
      </c>
      <c r="GJ72" s="12">
        <v>0</v>
      </c>
      <c r="GK72" s="12">
        <v>0</v>
      </c>
      <c r="GL72" s="12">
        <v>3</v>
      </c>
      <c r="GM72" s="12">
        <v>5</v>
      </c>
      <c r="GN72" s="12">
        <v>7</v>
      </c>
      <c r="GO72" s="12">
        <v>19</v>
      </c>
      <c r="GP72" s="12">
        <v>4</v>
      </c>
      <c r="GQ72" s="12">
        <v>10</v>
      </c>
      <c r="GR72" s="12">
        <v>2</v>
      </c>
      <c r="GS72" s="12">
        <v>5</v>
      </c>
      <c r="GT72" s="12">
        <v>5</v>
      </c>
      <c r="GU72" s="12">
        <v>23</v>
      </c>
      <c r="GV72" s="12">
        <v>0</v>
      </c>
      <c r="GW72" s="12">
        <v>0</v>
      </c>
      <c r="GY72" s="16"/>
    </row>
    <row r="73" spans="2:207" ht="15" customHeight="1" x14ac:dyDescent="0.2">
      <c r="B73" s="12">
        <v>4</v>
      </c>
      <c r="C73" s="12" t="s">
        <v>282</v>
      </c>
      <c r="D73" s="12" t="s">
        <v>278</v>
      </c>
      <c r="E73" s="14" t="s">
        <v>284</v>
      </c>
      <c r="F73" s="14" t="s">
        <v>280</v>
      </c>
      <c r="G73" s="15">
        <v>45219</v>
      </c>
      <c r="H73" s="15" t="s">
        <v>271</v>
      </c>
      <c r="I73" s="12" t="s">
        <v>269</v>
      </c>
      <c r="J73" s="12" t="s">
        <v>272</v>
      </c>
      <c r="K73" s="12">
        <v>200</v>
      </c>
      <c r="L73" s="12">
        <v>59</v>
      </c>
      <c r="M73" s="12">
        <v>14</v>
      </c>
      <c r="N73" s="12">
        <v>34</v>
      </c>
      <c r="O73" s="16">
        <v>0.41176470588235292</v>
      </c>
      <c r="P73" s="12">
        <v>7</v>
      </c>
      <c r="Q73" s="12">
        <v>28</v>
      </c>
      <c r="R73" s="16">
        <v>0.25</v>
      </c>
      <c r="S73" s="12">
        <v>21</v>
      </c>
      <c r="T73" s="12">
        <v>62</v>
      </c>
      <c r="U73" s="16">
        <v>0.33870967741935482</v>
      </c>
      <c r="V73" s="12">
        <v>10</v>
      </c>
      <c r="W73" s="12">
        <v>14</v>
      </c>
      <c r="X73" s="16">
        <v>0.7142857142857143</v>
      </c>
      <c r="Y73" s="12">
        <v>12</v>
      </c>
      <c r="Z73" s="12">
        <v>25</v>
      </c>
      <c r="AA73" s="12">
        <v>37</v>
      </c>
      <c r="AB73" s="12">
        <v>12</v>
      </c>
      <c r="AC73" s="12">
        <v>12</v>
      </c>
      <c r="AD73" s="12">
        <v>5</v>
      </c>
      <c r="AE73" s="12">
        <v>1</v>
      </c>
      <c r="AF73" s="12">
        <v>3</v>
      </c>
      <c r="AG73" s="12">
        <v>22</v>
      </c>
      <c r="AH73" s="12">
        <v>18</v>
      </c>
      <c r="AI73" s="17">
        <v>50</v>
      </c>
      <c r="AJ73" s="12">
        <v>-39</v>
      </c>
      <c r="AK73" s="12">
        <v>68</v>
      </c>
      <c r="AL73" s="12">
        <v>80</v>
      </c>
      <c r="AM73" s="19">
        <v>0.73750000000000004</v>
      </c>
      <c r="AN73" s="19">
        <v>1.1951219512195121</v>
      </c>
      <c r="AO73" s="18">
        <v>86.764705882352942</v>
      </c>
      <c r="AP73" s="18">
        <v>138.02816901408451</v>
      </c>
      <c r="AQ73" s="18">
        <v>-51.263463131731569</v>
      </c>
      <c r="AR73" s="53">
        <v>0.39516129032258063</v>
      </c>
      <c r="AS73" s="53">
        <v>0.43382352941176472</v>
      </c>
      <c r="AT73" s="16">
        <v>6.25E-2</v>
      </c>
      <c r="AU73" s="19">
        <v>1.2</v>
      </c>
      <c r="AV73" s="16">
        <v>0.23749999999999999</v>
      </c>
      <c r="AW73" s="19">
        <v>0.73684210526315785</v>
      </c>
      <c r="AX73" s="16">
        <v>0.125</v>
      </c>
      <c r="AY73" s="19">
        <v>0.8</v>
      </c>
      <c r="AZ73" s="16">
        <v>6.25E-2</v>
      </c>
      <c r="BA73" s="19">
        <v>1.2</v>
      </c>
      <c r="BB73" s="16">
        <v>0.28749999999999998</v>
      </c>
      <c r="BC73" s="21">
        <v>0.65217391304347827</v>
      </c>
      <c r="BD73" s="16">
        <v>7.4999999999999997E-2</v>
      </c>
      <c r="BE73" s="16">
        <v>0.15</v>
      </c>
      <c r="BF73" s="16">
        <v>0.40740740740740738</v>
      </c>
      <c r="BG73" s="16">
        <v>0.35714285714285715</v>
      </c>
      <c r="BH73" s="16">
        <v>0.7142857142857143</v>
      </c>
      <c r="BI73" s="16">
        <v>0.16666666666666666</v>
      </c>
      <c r="BJ73" s="16">
        <v>0.15</v>
      </c>
      <c r="BK73" s="21">
        <v>1</v>
      </c>
      <c r="BL73" s="16">
        <v>0.27906976744186046</v>
      </c>
      <c r="BM73" s="16">
        <v>0.22727272727272727</v>
      </c>
      <c r="BN73" s="16">
        <v>0.34782608695652173</v>
      </c>
      <c r="BO73" s="16">
        <v>0.66666666666666663</v>
      </c>
      <c r="BP73" s="16">
        <v>0.69444444444444442</v>
      </c>
      <c r="BQ73" s="16">
        <v>0.57894736842105265</v>
      </c>
      <c r="BR73" s="16">
        <v>0.7857142857142857</v>
      </c>
      <c r="BS73" s="16">
        <v>1</v>
      </c>
      <c r="BT73" s="16">
        <v>0.46835443037974683</v>
      </c>
      <c r="BU73" s="16">
        <v>7.0422535211267609E-2</v>
      </c>
      <c r="BV73" s="16">
        <v>1.4925373134328358E-2</v>
      </c>
      <c r="BW73" s="54">
        <v>4</v>
      </c>
      <c r="BX73" s="54">
        <v>0.5</v>
      </c>
      <c r="BY73" s="54">
        <v>0.44444444444444442</v>
      </c>
      <c r="BZ73" s="12">
        <v>5</v>
      </c>
      <c r="CA73" s="12">
        <v>5</v>
      </c>
      <c r="CB73" s="12">
        <v>1</v>
      </c>
      <c r="CC73" s="12">
        <v>2</v>
      </c>
      <c r="CD73" s="12">
        <v>0</v>
      </c>
      <c r="CE73" s="12">
        <v>0</v>
      </c>
      <c r="CF73" s="12">
        <v>3</v>
      </c>
      <c r="CG73" s="12">
        <v>1</v>
      </c>
      <c r="CH73" s="12">
        <v>1</v>
      </c>
      <c r="CI73" s="12">
        <v>0</v>
      </c>
      <c r="CJ73" s="12">
        <v>1</v>
      </c>
      <c r="CK73" s="12">
        <v>1</v>
      </c>
      <c r="CL73" s="12">
        <v>5</v>
      </c>
      <c r="CM73" s="12">
        <v>1</v>
      </c>
      <c r="CN73" s="12">
        <v>2</v>
      </c>
      <c r="CO73" s="12">
        <v>0</v>
      </c>
      <c r="CP73" s="12">
        <v>0</v>
      </c>
      <c r="CQ73" s="12">
        <v>0</v>
      </c>
      <c r="CR73" s="12">
        <v>7</v>
      </c>
      <c r="CS73" s="12">
        <v>0</v>
      </c>
      <c r="CT73" s="12">
        <v>4</v>
      </c>
      <c r="CU73" s="12">
        <v>0</v>
      </c>
      <c r="CV73" s="12">
        <v>5</v>
      </c>
      <c r="CW73" s="12">
        <v>0</v>
      </c>
      <c r="CX73" s="12">
        <v>6</v>
      </c>
      <c r="CY73" s="12">
        <v>0</v>
      </c>
      <c r="CZ73" s="12">
        <v>3</v>
      </c>
      <c r="DA73" s="12">
        <v>0</v>
      </c>
      <c r="DB73" s="12">
        <v>0</v>
      </c>
      <c r="DC73" s="12">
        <v>0</v>
      </c>
      <c r="DD73" s="12">
        <v>0</v>
      </c>
      <c r="DE73" s="12">
        <v>2</v>
      </c>
      <c r="DF73" s="12">
        <v>10</v>
      </c>
      <c r="DG73" s="12">
        <v>12</v>
      </c>
      <c r="DH73" s="12">
        <v>0</v>
      </c>
      <c r="DI73" s="12">
        <v>0</v>
      </c>
      <c r="DJ73" s="12">
        <v>0</v>
      </c>
      <c r="DK73" s="12">
        <v>0</v>
      </c>
      <c r="DL73" s="12">
        <v>3</v>
      </c>
      <c r="DM73" s="12">
        <v>5</v>
      </c>
      <c r="DN73" s="12">
        <v>7</v>
      </c>
      <c r="DO73" s="12">
        <v>19</v>
      </c>
      <c r="DP73" s="12">
        <v>4</v>
      </c>
      <c r="DQ73" s="12">
        <v>10</v>
      </c>
      <c r="DR73" s="12">
        <v>2</v>
      </c>
      <c r="DS73" s="12">
        <v>5</v>
      </c>
      <c r="DT73" s="12">
        <v>5</v>
      </c>
      <c r="DU73" s="12">
        <v>23</v>
      </c>
      <c r="DV73" s="12">
        <v>0</v>
      </c>
      <c r="DW73" s="12">
        <v>0</v>
      </c>
      <c r="DX73" s="12">
        <v>98</v>
      </c>
      <c r="DY73" s="12">
        <v>21</v>
      </c>
      <c r="DZ73" s="12">
        <v>40</v>
      </c>
      <c r="EA73" s="16">
        <v>0.52500000000000002</v>
      </c>
      <c r="EB73" s="12">
        <v>13</v>
      </c>
      <c r="EC73" s="12">
        <v>27</v>
      </c>
      <c r="ED73" s="16">
        <v>0.48148148148148145</v>
      </c>
      <c r="EE73" s="12">
        <v>34</v>
      </c>
      <c r="EF73" s="12">
        <v>67</v>
      </c>
      <c r="EG73" s="16">
        <v>0.5074626865671642</v>
      </c>
      <c r="EH73" s="12">
        <v>17</v>
      </c>
      <c r="EI73" s="12">
        <v>21</v>
      </c>
      <c r="EJ73" s="16">
        <v>0.80952380952380953</v>
      </c>
      <c r="EK73" s="12">
        <v>11</v>
      </c>
      <c r="EL73" s="12">
        <v>31</v>
      </c>
      <c r="EM73" s="12">
        <v>42</v>
      </c>
      <c r="EN73" s="12">
        <v>22</v>
      </c>
      <c r="EO73" s="12">
        <v>18</v>
      </c>
      <c r="EP73" s="12">
        <v>22</v>
      </c>
      <c r="EQ73" s="12">
        <v>7</v>
      </c>
      <c r="ER73" s="12">
        <v>5</v>
      </c>
      <c r="ES73" s="12">
        <v>3</v>
      </c>
      <c r="ET73" s="12">
        <v>1</v>
      </c>
      <c r="EU73" s="12">
        <v>133</v>
      </c>
      <c r="EV73" s="12">
        <v>39</v>
      </c>
      <c r="EW73" s="12">
        <v>71</v>
      </c>
      <c r="EX73" s="12">
        <v>82</v>
      </c>
      <c r="EY73" s="12">
        <v>7</v>
      </c>
      <c r="EZ73" s="12">
        <v>9</v>
      </c>
      <c r="FA73" s="12">
        <v>9</v>
      </c>
      <c r="FB73" s="12">
        <v>4</v>
      </c>
      <c r="FC73" s="12">
        <v>8</v>
      </c>
      <c r="FD73" s="12">
        <v>0</v>
      </c>
      <c r="FE73" s="12">
        <v>0</v>
      </c>
      <c r="FF73" s="12">
        <v>6</v>
      </c>
      <c r="FG73" s="12">
        <v>0</v>
      </c>
      <c r="FH73" s="12">
        <v>2</v>
      </c>
      <c r="FI73" s="12">
        <v>0</v>
      </c>
      <c r="FJ73" s="12">
        <v>0</v>
      </c>
      <c r="FK73" s="12">
        <v>0</v>
      </c>
      <c r="FL73" s="12">
        <v>3</v>
      </c>
      <c r="FM73" s="12">
        <v>0</v>
      </c>
      <c r="FN73" s="12">
        <v>0</v>
      </c>
      <c r="FO73" s="12">
        <v>0</v>
      </c>
      <c r="FP73" s="12">
        <v>2</v>
      </c>
      <c r="FQ73" s="12">
        <v>1</v>
      </c>
      <c r="FR73" s="12">
        <v>9</v>
      </c>
      <c r="FS73" s="12">
        <v>0</v>
      </c>
      <c r="FT73" s="12">
        <v>5</v>
      </c>
      <c r="FU73" s="12">
        <v>0</v>
      </c>
      <c r="FV73" s="12">
        <v>2</v>
      </c>
      <c r="FW73" s="12">
        <v>0</v>
      </c>
      <c r="FX73" s="12">
        <v>12</v>
      </c>
      <c r="FY73" s="12">
        <v>1</v>
      </c>
      <c r="FZ73" s="12">
        <v>1</v>
      </c>
      <c r="GA73" s="12">
        <v>0</v>
      </c>
      <c r="GB73" s="12">
        <v>0</v>
      </c>
      <c r="GC73" s="12">
        <v>0</v>
      </c>
      <c r="GD73" s="12">
        <v>0</v>
      </c>
      <c r="GE73" s="12">
        <v>1</v>
      </c>
      <c r="GF73" s="12">
        <v>17</v>
      </c>
      <c r="GG73" s="12">
        <v>20</v>
      </c>
      <c r="GH73" s="12">
        <v>1</v>
      </c>
      <c r="GI73" s="12">
        <v>0</v>
      </c>
      <c r="GJ73" s="12">
        <v>0</v>
      </c>
      <c r="GK73" s="12">
        <v>0</v>
      </c>
      <c r="GL73" s="12">
        <v>6</v>
      </c>
      <c r="GM73" s="12">
        <v>6</v>
      </c>
      <c r="GN73" s="12">
        <v>11</v>
      </c>
      <c r="GO73" s="12">
        <v>24</v>
      </c>
      <c r="GP73" s="12">
        <v>4</v>
      </c>
      <c r="GQ73" s="12">
        <v>10</v>
      </c>
      <c r="GR73" s="12">
        <v>4</v>
      </c>
      <c r="GS73" s="12">
        <v>9</v>
      </c>
      <c r="GT73" s="12">
        <v>9</v>
      </c>
      <c r="GU73" s="12">
        <v>18</v>
      </c>
      <c r="GV73" s="12">
        <v>0</v>
      </c>
      <c r="GW73" s="12">
        <v>0</v>
      </c>
      <c r="GY73" s="16"/>
    </row>
    <row r="74" spans="2:207" ht="15" customHeight="1" x14ac:dyDescent="0.2">
      <c r="B74" s="12">
        <v>5</v>
      </c>
      <c r="C74" s="12" t="s">
        <v>264</v>
      </c>
      <c r="D74" s="12" t="s">
        <v>274</v>
      </c>
      <c r="E74" s="14" t="s">
        <v>266</v>
      </c>
      <c r="F74" s="14" t="s">
        <v>276</v>
      </c>
      <c r="G74" s="15">
        <v>45225</v>
      </c>
      <c r="H74" s="15" t="s">
        <v>271</v>
      </c>
      <c r="I74" s="12" t="s">
        <v>269</v>
      </c>
      <c r="J74" s="12" t="s">
        <v>272</v>
      </c>
      <c r="K74" s="12">
        <v>200</v>
      </c>
      <c r="L74" s="12">
        <v>86</v>
      </c>
      <c r="M74" s="12">
        <v>16</v>
      </c>
      <c r="N74" s="12">
        <v>25</v>
      </c>
      <c r="O74" s="16">
        <v>0.64</v>
      </c>
      <c r="P74" s="12">
        <v>13</v>
      </c>
      <c r="Q74" s="12">
        <v>31</v>
      </c>
      <c r="R74" s="16">
        <v>0.41935483870967744</v>
      </c>
      <c r="S74" s="12">
        <v>29</v>
      </c>
      <c r="T74" s="12">
        <v>56</v>
      </c>
      <c r="U74" s="16">
        <v>0.5178571428571429</v>
      </c>
      <c r="V74" s="12">
        <v>15</v>
      </c>
      <c r="W74" s="12">
        <v>23</v>
      </c>
      <c r="X74" s="16">
        <v>0.65217391304347827</v>
      </c>
      <c r="Y74" s="12">
        <v>8</v>
      </c>
      <c r="Z74" s="12">
        <v>20</v>
      </c>
      <c r="AA74" s="12">
        <v>28</v>
      </c>
      <c r="AB74" s="12">
        <v>22</v>
      </c>
      <c r="AC74" s="12">
        <v>15</v>
      </c>
      <c r="AD74" s="12">
        <v>9</v>
      </c>
      <c r="AE74" s="12">
        <v>4</v>
      </c>
      <c r="AF74" s="12">
        <v>2</v>
      </c>
      <c r="AG74" s="12">
        <v>21</v>
      </c>
      <c r="AH74" s="12">
        <v>18</v>
      </c>
      <c r="AI74" s="17">
        <v>94</v>
      </c>
      <c r="AJ74" s="12">
        <v>-2</v>
      </c>
      <c r="AK74" s="12">
        <v>74</v>
      </c>
      <c r="AL74" s="12">
        <v>82</v>
      </c>
      <c r="AM74" s="19">
        <v>1.0487804878048781</v>
      </c>
      <c r="AN74" s="19">
        <v>1.0602409638554218</v>
      </c>
      <c r="AO74" s="18">
        <v>116.21621621621621</v>
      </c>
      <c r="AP74" s="18">
        <v>118.91891891891892</v>
      </c>
      <c r="AQ74" s="18">
        <v>-2.7027027027027088</v>
      </c>
      <c r="AR74" s="53">
        <v>0.6339285714285714</v>
      </c>
      <c r="AS74" s="53">
        <v>0.64179104477611937</v>
      </c>
      <c r="AT74" s="16">
        <v>0.12195121951219512</v>
      </c>
      <c r="AU74" s="19">
        <v>1.6</v>
      </c>
      <c r="AV74" s="16">
        <v>0.12195121951219512</v>
      </c>
      <c r="AW74" s="19">
        <v>1.2</v>
      </c>
      <c r="AX74" s="16">
        <v>6.097560975609756E-2</v>
      </c>
      <c r="AY74" s="19">
        <v>0.8</v>
      </c>
      <c r="AZ74" s="16">
        <v>7.3170731707317069E-2</v>
      </c>
      <c r="BA74" s="19">
        <v>2</v>
      </c>
      <c r="BB74" s="16">
        <v>0.3048780487804878</v>
      </c>
      <c r="BC74" s="21">
        <v>1.08</v>
      </c>
      <c r="BD74" s="16">
        <v>0.13414634146341464</v>
      </c>
      <c r="BE74" s="16">
        <v>0.18292682926829268</v>
      </c>
      <c r="BF74" s="16">
        <v>0.5641025641025641</v>
      </c>
      <c r="BG74" s="16">
        <v>0.5625</v>
      </c>
      <c r="BH74" s="16">
        <v>0.69230769230769229</v>
      </c>
      <c r="BI74" s="16">
        <v>0.4</v>
      </c>
      <c r="BJ74" s="16">
        <v>0.26829268292682928</v>
      </c>
      <c r="BK74" s="21">
        <v>1.4666666666666666</v>
      </c>
      <c r="BL74" s="16">
        <v>0.25806451612903225</v>
      </c>
      <c r="BM74" s="16">
        <v>0.1111111111111111</v>
      </c>
      <c r="BN74" s="16">
        <v>0.31818181818181818</v>
      </c>
      <c r="BO74" s="16">
        <v>0.2</v>
      </c>
      <c r="BP74" s="16">
        <v>0.68965517241379315</v>
      </c>
      <c r="BQ74" s="16">
        <v>0.61111111111111116</v>
      </c>
      <c r="BR74" s="16">
        <v>0.5714285714285714</v>
      </c>
      <c r="BS74" s="16">
        <v>1</v>
      </c>
      <c r="BT74" s="16">
        <v>0.46666666666666667</v>
      </c>
      <c r="BU74" s="16">
        <v>0.12162162162162163</v>
      </c>
      <c r="BV74" s="16">
        <v>6.4516129032258063E-2</v>
      </c>
      <c r="BW74" s="54">
        <v>3</v>
      </c>
      <c r="BX74" s="54">
        <v>0.42857142857142855</v>
      </c>
      <c r="BY74" s="54">
        <v>0.61111111111111116</v>
      </c>
      <c r="BZ74" s="12">
        <v>9</v>
      </c>
      <c r="CA74" s="12">
        <v>9</v>
      </c>
      <c r="CB74" s="12">
        <v>4</v>
      </c>
      <c r="CC74" s="12">
        <v>6</v>
      </c>
      <c r="CD74" s="12">
        <v>0</v>
      </c>
      <c r="CE74" s="12">
        <v>0</v>
      </c>
      <c r="CF74" s="12">
        <v>1</v>
      </c>
      <c r="CG74" s="12">
        <v>0</v>
      </c>
      <c r="CH74" s="12">
        <v>0</v>
      </c>
      <c r="CI74" s="12">
        <v>0</v>
      </c>
      <c r="CJ74" s="12">
        <v>1</v>
      </c>
      <c r="CK74" s="12">
        <v>1</v>
      </c>
      <c r="CL74" s="12">
        <v>5</v>
      </c>
      <c r="CM74" s="12">
        <v>0</v>
      </c>
      <c r="CN74" s="12">
        <v>1</v>
      </c>
      <c r="CO74" s="12">
        <v>0</v>
      </c>
      <c r="CP74" s="12">
        <v>0</v>
      </c>
      <c r="CQ74" s="12">
        <v>0</v>
      </c>
      <c r="CR74" s="12">
        <v>5</v>
      </c>
      <c r="CS74" s="12">
        <v>0</v>
      </c>
      <c r="CT74" s="12">
        <v>6</v>
      </c>
      <c r="CU74" s="12">
        <v>0</v>
      </c>
      <c r="CV74" s="12">
        <v>0</v>
      </c>
      <c r="CW74" s="12">
        <v>0</v>
      </c>
      <c r="CX74" s="12">
        <v>7</v>
      </c>
      <c r="CY74" s="12">
        <v>1</v>
      </c>
      <c r="CZ74" s="12">
        <v>2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14</v>
      </c>
      <c r="DG74" s="12">
        <v>20</v>
      </c>
      <c r="DH74" s="12">
        <v>1</v>
      </c>
      <c r="DI74" s="12">
        <v>1</v>
      </c>
      <c r="DJ74" s="12">
        <v>3</v>
      </c>
      <c r="DK74" s="12">
        <v>0</v>
      </c>
      <c r="DL74" s="12">
        <v>8</v>
      </c>
      <c r="DM74" s="12">
        <v>10</v>
      </c>
      <c r="DN74" s="12">
        <v>6</v>
      </c>
      <c r="DO74" s="12">
        <v>10</v>
      </c>
      <c r="DP74" s="12">
        <v>2</v>
      </c>
      <c r="DQ74" s="12">
        <v>5</v>
      </c>
      <c r="DR74" s="12">
        <v>4</v>
      </c>
      <c r="DS74" s="12">
        <v>6</v>
      </c>
      <c r="DT74" s="12">
        <v>9</v>
      </c>
      <c r="DU74" s="12">
        <v>25</v>
      </c>
      <c r="DV74" s="12">
        <v>0</v>
      </c>
      <c r="DW74" s="12">
        <v>0</v>
      </c>
      <c r="DX74" s="12">
        <v>88</v>
      </c>
      <c r="DY74" s="12">
        <v>25</v>
      </c>
      <c r="DZ74" s="12">
        <v>42</v>
      </c>
      <c r="EA74" s="16">
        <v>0.59523809523809523</v>
      </c>
      <c r="EB74" s="12">
        <v>9</v>
      </c>
      <c r="EC74" s="12">
        <v>20</v>
      </c>
      <c r="ED74" s="16">
        <v>0.45</v>
      </c>
      <c r="EE74" s="12">
        <v>34</v>
      </c>
      <c r="EF74" s="12">
        <v>62</v>
      </c>
      <c r="EG74" s="16">
        <v>0.54838709677419351</v>
      </c>
      <c r="EH74" s="12">
        <v>11</v>
      </c>
      <c r="EI74" s="12">
        <v>16</v>
      </c>
      <c r="EJ74" s="16">
        <v>0.6875</v>
      </c>
      <c r="EK74" s="12">
        <v>9</v>
      </c>
      <c r="EL74" s="12">
        <v>23</v>
      </c>
      <c r="EM74" s="12">
        <v>32</v>
      </c>
      <c r="EN74" s="12">
        <v>17</v>
      </c>
      <c r="EO74" s="12">
        <v>18</v>
      </c>
      <c r="EP74" s="12">
        <v>21</v>
      </c>
      <c r="EQ74" s="12">
        <v>8</v>
      </c>
      <c r="ER74" s="12">
        <v>14</v>
      </c>
      <c r="ES74" s="12">
        <v>2</v>
      </c>
      <c r="ET74" s="12">
        <v>4</v>
      </c>
      <c r="EU74" s="12">
        <v>99</v>
      </c>
      <c r="EV74" s="12">
        <v>2</v>
      </c>
      <c r="EW74" s="12">
        <v>74</v>
      </c>
      <c r="EX74" s="12">
        <v>83</v>
      </c>
      <c r="EY74" s="12">
        <v>5</v>
      </c>
      <c r="EZ74" s="12">
        <v>11</v>
      </c>
      <c r="FA74" s="12">
        <v>5</v>
      </c>
      <c r="FB74" s="12">
        <v>1</v>
      </c>
      <c r="FC74" s="12">
        <v>2</v>
      </c>
      <c r="FD74" s="12">
        <v>1</v>
      </c>
      <c r="FE74" s="12">
        <v>1</v>
      </c>
      <c r="FF74" s="12">
        <v>4</v>
      </c>
      <c r="FG74" s="12">
        <v>1</v>
      </c>
      <c r="FH74" s="12">
        <v>0</v>
      </c>
      <c r="FI74" s="12">
        <v>0</v>
      </c>
      <c r="FJ74" s="12">
        <v>1</v>
      </c>
      <c r="FK74" s="12">
        <v>1</v>
      </c>
      <c r="FL74" s="12">
        <v>3</v>
      </c>
      <c r="FM74" s="12">
        <v>1</v>
      </c>
      <c r="FN74" s="12">
        <v>0</v>
      </c>
      <c r="FO74" s="12">
        <v>0</v>
      </c>
      <c r="FP74" s="12">
        <v>2</v>
      </c>
      <c r="FQ74" s="12">
        <v>0</v>
      </c>
      <c r="FR74" s="12">
        <v>3</v>
      </c>
      <c r="FS74" s="12">
        <v>0</v>
      </c>
      <c r="FT74" s="12">
        <v>3</v>
      </c>
      <c r="FU74" s="12">
        <v>0</v>
      </c>
      <c r="FV74" s="12">
        <v>1</v>
      </c>
      <c r="FW74" s="12">
        <v>1</v>
      </c>
      <c r="FX74" s="12">
        <v>11</v>
      </c>
      <c r="FY74" s="12">
        <v>2</v>
      </c>
      <c r="FZ74" s="12">
        <v>3</v>
      </c>
      <c r="GA74" s="12">
        <v>1</v>
      </c>
      <c r="GB74" s="12">
        <v>0</v>
      </c>
      <c r="GC74" s="12">
        <v>0</v>
      </c>
      <c r="GD74" s="12">
        <v>1</v>
      </c>
      <c r="GE74" s="12">
        <v>2</v>
      </c>
      <c r="GF74" s="12">
        <v>10</v>
      </c>
      <c r="GG74" s="12">
        <v>14</v>
      </c>
      <c r="GH74" s="12">
        <v>0</v>
      </c>
      <c r="GI74" s="12">
        <v>0</v>
      </c>
      <c r="GJ74" s="12">
        <v>0</v>
      </c>
      <c r="GK74" s="12">
        <v>0</v>
      </c>
      <c r="GL74" s="12">
        <v>15</v>
      </c>
      <c r="GM74" s="12">
        <v>17</v>
      </c>
      <c r="GN74" s="12">
        <v>6</v>
      </c>
      <c r="GO74" s="12">
        <v>15</v>
      </c>
      <c r="GP74" s="12">
        <v>4</v>
      </c>
      <c r="GQ74" s="12">
        <v>10</v>
      </c>
      <c r="GR74" s="12">
        <v>2</v>
      </c>
      <c r="GS74" s="12">
        <v>3</v>
      </c>
      <c r="GT74" s="12">
        <v>7</v>
      </c>
      <c r="GU74" s="12">
        <v>17</v>
      </c>
      <c r="GV74" s="12">
        <v>0</v>
      </c>
      <c r="GW74" s="12">
        <v>0</v>
      </c>
      <c r="GY74" s="16"/>
    </row>
    <row r="75" spans="2:207" ht="15" customHeight="1" x14ac:dyDescent="0.2">
      <c r="B75" s="12">
        <v>5</v>
      </c>
      <c r="C75" s="12" t="s">
        <v>274</v>
      </c>
      <c r="D75" s="12" t="s">
        <v>264</v>
      </c>
      <c r="E75" s="14" t="s">
        <v>276</v>
      </c>
      <c r="F75" s="14" t="s">
        <v>266</v>
      </c>
      <c r="G75" s="15">
        <v>45225</v>
      </c>
      <c r="H75" s="15" t="s">
        <v>268</v>
      </c>
      <c r="I75" s="12" t="s">
        <v>269</v>
      </c>
      <c r="J75" s="12" t="s">
        <v>270</v>
      </c>
      <c r="K75" s="12">
        <v>200</v>
      </c>
      <c r="L75" s="12">
        <v>88</v>
      </c>
      <c r="M75" s="12">
        <v>25</v>
      </c>
      <c r="N75" s="12">
        <v>42</v>
      </c>
      <c r="O75" s="16">
        <v>0.59523809523809523</v>
      </c>
      <c r="P75" s="12">
        <v>9</v>
      </c>
      <c r="Q75" s="12">
        <v>20</v>
      </c>
      <c r="R75" s="16">
        <v>0.45</v>
      </c>
      <c r="S75" s="12">
        <v>34</v>
      </c>
      <c r="T75" s="12">
        <v>62</v>
      </c>
      <c r="U75" s="16">
        <v>0.54838709677419351</v>
      </c>
      <c r="V75" s="12">
        <v>11</v>
      </c>
      <c r="W75" s="12">
        <v>16</v>
      </c>
      <c r="X75" s="16">
        <v>0.6875</v>
      </c>
      <c r="Y75" s="12">
        <v>9</v>
      </c>
      <c r="Z75" s="12">
        <v>23</v>
      </c>
      <c r="AA75" s="12">
        <v>32</v>
      </c>
      <c r="AB75" s="12">
        <v>17</v>
      </c>
      <c r="AC75" s="12">
        <v>14</v>
      </c>
      <c r="AD75" s="12">
        <v>8</v>
      </c>
      <c r="AE75" s="12">
        <v>2</v>
      </c>
      <c r="AF75" s="12">
        <v>4</v>
      </c>
      <c r="AG75" s="12">
        <v>18</v>
      </c>
      <c r="AH75" s="12">
        <v>21</v>
      </c>
      <c r="AI75" s="17">
        <v>99</v>
      </c>
      <c r="AJ75" s="12">
        <v>2</v>
      </c>
      <c r="AK75" s="12">
        <v>74</v>
      </c>
      <c r="AL75" s="12">
        <v>83</v>
      </c>
      <c r="AM75" s="19">
        <v>1.0602409638554218</v>
      </c>
      <c r="AN75" s="19">
        <v>1.0487804878048781</v>
      </c>
      <c r="AO75" s="18">
        <v>118.91891891891892</v>
      </c>
      <c r="AP75" s="18">
        <v>116.21621621621621</v>
      </c>
      <c r="AQ75" s="18">
        <v>2.7027027027027088</v>
      </c>
      <c r="AR75" s="53">
        <v>0.62096774193548387</v>
      </c>
      <c r="AS75" s="53">
        <v>0.6376811594202898</v>
      </c>
      <c r="AT75" s="16">
        <v>0.20481927710843373</v>
      </c>
      <c r="AU75" s="19">
        <v>1.7647058823529411</v>
      </c>
      <c r="AV75" s="16">
        <v>0.18072289156626506</v>
      </c>
      <c r="AW75" s="19">
        <v>0.8</v>
      </c>
      <c r="AX75" s="16">
        <v>0.12048192771084337</v>
      </c>
      <c r="AY75" s="19">
        <v>0.8</v>
      </c>
      <c r="AZ75" s="16">
        <v>3.614457831325301E-2</v>
      </c>
      <c r="BA75" s="19">
        <v>2</v>
      </c>
      <c r="BB75" s="16">
        <v>0.20481927710843373</v>
      </c>
      <c r="BC75" s="21">
        <v>1.2352941176470589</v>
      </c>
      <c r="BD75" s="16">
        <v>8.4337349397590355E-2</v>
      </c>
      <c r="BE75" s="16">
        <v>0.16867469879518071</v>
      </c>
      <c r="BF75" s="16">
        <v>0.41463414634146339</v>
      </c>
      <c r="BG75" s="16">
        <v>0.44</v>
      </c>
      <c r="BH75" s="16">
        <v>0.55555555555555558</v>
      </c>
      <c r="BI75" s="16">
        <v>0.14285714285714285</v>
      </c>
      <c r="BJ75" s="16">
        <v>0.20481927710843373</v>
      </c>
      <c r="BK75" s="21">
        <v>1.2142857142857142</v>
      </c>
      <c r="BL75" s="16">
        <v>0.31034482758620691</v>
      </c>
      <c r="BM75" s="16">
        <v>0.3888888888888889</v>
      </c>
      <c r="BN75" s="16">
        <v>0.42857142857142855</v>
      </c>
      <c r="BO75" s="16">
        <v>0</v>
      </c>
      <c r="BP75" s="16">
        <v>0.74193548387096775</v>
      </c>
      <c r="BQ75" s="16">
        <v>0.88888888888888884</v>
      </c>
      <c r="BR75" s="16">
        <v>0.68181818181818177</v>
      </c>
      <c r="BS75" s="16">
        <v>0.8</v>
      </c>
      <c r="BT75" s="16">
        <v>0.53333333333333333</v>
      </c>
      <c r="BU75" s="16">
        <v>0.10810810810810811</v>
      </c>
      <c r="BV75" s="16">
        <v>3.5714285714285712E-2</v>
      </c>
      <c r="BW75" s="54">
        <v>5</v>
      </c>
      <c r="BX75" s="54">
        <v>0.61111111111111116</v>
      </c>
      <c r="BY75" s="54">
        <v>0.42857142857142855</v>
      </c>
      <c r="BZ75" s="12">
        <v>11</v>
      </c>
      <c r="CA75" s="12">
        <v>5</v>
      </c>
      <c r="CB75" s="12">
        <v>1</v>
      </c>
      <c r="CC75" s="12">
        <v>2</v>
      </c>
      <c r="CD75" s="12">
        <v>1</v>
      </c>
      <c r="CE75" s="12">
        <v>1</v>
      </c>
      <c r="CF75" s="12">
        <v>4</v>
      </c>
      <c r="CG75" s="12">
        <v>1</v>
      </c>
      <c r="CH75" s="12">
        <v>0</v>
      </c>
      <c r="CI75" s="12">
        <v>0</v>
      </c>
      <c r="CJ75" s="12">
        <v>1</v>
      </c>
      <c r="CK75" s="12">
        <v>1</v>
      </c>
      <c r="CL75" s="12">
        <v>3</v>
      </c>
      <c r="CM75" s="12">
        <v>1</v>
      </c>
      <c r="CN75" s="12">
        <v>0</v>
      </c>
      <c r="CO75" s="12">
        <v>0</v>
      </c>
      <c r="CP75" s="12">
        <v>2</v>
      </c>
      <c r="CQ75" s="12">
        <v>0</v>
      </c>
      <c r="CR75" s="12">
        <v>3</v>
      </c>
      <c r="CS75" s="12">
        <v>0</v>
      </c>
      <c r="CT75" s="12">
        <v>3</v>
      </c>
      <c r="CU75" s="12">
        <v>0</v>
      </c>
      <c r="CV75" s="12">
        <v>1</v>
      </c>
      <c r="CW75" s="12">
        <v>1</v>
      </c>
      <c r="CX75" s="12">
        <v>11</v>
      </c>
      <c r="CY75" s="12">
        <v>2</v>
      </c>
      <c r="CZ75" s="12">
        <v>3</v>
      </c>
      <c r="DA75" s="12">
        <v>1</v>
      </c>
      <c r="DB75" s="12">
        <v>0</v>
      </c>
      <c r="DC75" s="12">
        <v>0</v>
      </c>
      <c r="DD75" s="12">
        <v>1</v>
      </c>
      <c r="DE75" s="12">
        <v>2</v>
      </c>
      <c r="DF75" s="12">
        <v>10</v>
      </c>
      <c r="DG75" s="12">
        <v>14</v>
      </c>
      <c r="DH75" s="12">
        <v>0</v>
      </c>
      <c r="DI75" s="12">
        <v>0</v>
      </c>
      <c r="DJ75" s="12">
        <v>0</v>
      </c>
      <c r="DK75" s="12">
        <v>0</v>
      </c>
      <c r="DL75" s="12">
        <v>15</v>
      </c>
      <c r="DM75" s="12">
        <v>17</v>
      </c>
      <c r="DN75" s="12">
        <v>6</v>
      </c>
      <c r="DO75" s="12">
        <v>15</v>
      </c>
      <c r="DP75" s="12">
        <v>4</v>
      </c>
      <c r="DQ75" s="12">
        <v>10</v>
      </c>
      <c r="DR75" s="12">
        <v>2</v>
      </c>
      <c r="DS75" s="12">
        <v>3</v>
      </c>
      <c r="DT75" s="12">
        <v>7</v>
      </c>
      <c r="DU75" s="12">
        <v>17</v>
      </c>
      <c r="DV75" s="12">
        <v>0</v>
      </c>
      <c r="DW75" s="12">
        <v>0</v>
      </c>
      <c r="DX75" s="12">
        <v>86</v>
      </c>
      <c r="DY75" s="12">
        <v>16</v>
      </c>
      <c r="DZ75" s="12">
        <v>25</v>
      </c>
      <c r="EA75" s="16">
        <v>0.64</v>
      </c>
      <c r="EB75" s="12">
        <v>13</v>
      </c>
      <c r="EC75" s="12">
        <v>31</v>
      </c>
      <c r="ED75" s="16">
        <v>0.41935483870967744</v>
      </c>
      <c r="EE75" s="12">
        <v>29</v>
      </c>
      <c r="EF75" s="12">
        <v>56</v>
      </c>
      <c r="EG75" s="16">
        <v>0.5178571428571429</v>
      </c>
      <c r="EH75" s="12">
        <v>15</v>
      </c>
      <c r="EI75" s="12">
        <v>23</v>
      </c>
      <c r="EJ75" s="16">
        <v>0.65217391304347827</v>
      </c>
      <c r="EK75" s="12">
        <v>8</v>
      </c>
      <c r="EL75" s="12">
        <v>20</v>
      </c>
      <c r="EM75" s="12">
        <v>28</v>
      </c>
      <c r="EN75" s="12">
        <v>22</v>
      </c>
      <c r="EO75" s="12">
        <v>21</v>
      </c>
      <c r="EP75" s="12">
        <v>18</v>
      </c>
      <c r="EQ75" s="12">
        <v>9</v>
      </c>
      <c r="ER75" s="12">
        <v>15</v>
      </c>
      <c r="ES75" s="12">
        <v>4</v>
      </c>
      <c r="ET75" s="12">
        <v>2</v>
      </c>
      <c r="EU75" s="12">
        <v>94</v>
      </c>
      <c r="EV75" s="12">
        <v>-2</v>
      </c>
      <c r="EW75" s="12">
        <v>74</v>
      </c>
      <c r="EX75" s="12">
        <v>82</v>
      </c>
      <c r="EY75" s="12">
        <v>3</v>
      </c>
      <c r="EZ75" s="12">
        <v>9</v>
      </c>
      <c r="FA75" s="12">
        <v>9</v>
      </c>
      <c r="FB75" s="12">
        <v>4</v>
      </c>
      <c r="FC75" s="12">
        <v>6</v>
      </c>
      <c r="FD75" s="12">
        <v>0</v>
      </c>
      <c r="FE75" s="12">
        <v>0</v>
      </c>
      <c r="FF75" s="12">
        <v>1</v>
      </c>
      <c r="FG75" s="12">
        <v>0</v>
      </c>
      <c r="FH75" s="12">
        <v>0</v>
      </c>
      <c r="FI75" s="12">
        <v>0</v>
      </c>
      <c r="FJ75" s="12">
        <v>1</v>
      </c>
      <c r="FK75" s="12">
        <v>1</v>
      </c>
      <c r="FL75" s="12">
        <v>5</v>
      </c>
      <c r="FM75" s="12">
        <v>0</v>
      </c>
      <c r="FN75" s="12">
        <v>1</v>
      </c>
      <c r="FO75" s="12">
        <v>0</v>
      </c>
      <c r="FP75" s="12">
        <v>0</v>
      </c>
      <c r="FQ75" s="12">
        <v>0</v>
      </c>
      <c r="FR75" s="12">
        <v>5</v>
      </c>
      <c r="FS75" s="12">
        <v>0</v>
      </c>
      <c r="FT75" s="12">
        <v>6</v>
      </c>
      <c r="FU75" s="12">
        <v>0</v>
      </c>
      <c r="FV75" s="12">
        <v>0</v>
      </c>
      <c r="FW75" s="12">
        <v>0</v>
      </c>
      <c r="FX75" s="12">
        <v>7</v>
      </c>
      <c r="FY75" s="12">
        <v>1</v>
      </c>
      <c r="FZ75" s="12">
        <v>2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14</v>
      </c>
      <c r="GG75" s="12">
        <v>20</v>
      </c>
      <c r="GH75" s="12">
        <v>1</v>
      </c>
      <c r="GI75" s="12">
        <v>1</v>
      </c>
      <c r="GJ75" s="12">
        <v>3</v>
      </c>
      <c r="GK75" s="12">
        <v>0</v>
      </c>
      <c r="GL75" s="12">
        <v>8</v>
      </c>
      <c r="GM75" s="12">
        <v>10</v>
      </c>
      <c r="GN75" s="12">
        <v>6</v>
      </c>
      <c r="GO75" s="12">
        <v>10</v>
      </c>
      <c r="GP75" s="12">
        <v>2</v>
      </c>
      <c r="GQ75" s="12">
        <v>5</v>
      </c>
      <c r="GR75" s="12">
        <v>4</v>
      </c>
      <c r="GS75" s="12">
        <v>6</v>
      </c>
      <c r="GT75" s="12">
        <v>9</v>
      </c>
      <c r="GU75" s="12">
        <v>25</v>
      </c>
      <c r="GV75" s="12">
        <v>0</v>
      </c>
      <c r="GW75" s="12">
        <v>0</v>
      </c>
      <c r="GY75" s="16"/>
    </row>
    <row r="76" spans="2:207" ht="15" customHeight="1" x14ac:dyDescent="0.2">
      <c r="B76" s="12">
        <v>5</v>
      </c>
      <c r="C76" s="12" t="s">
        <v>281</v>
      </c>
      <c r="D76" s="12" t="s">
        <v>289</v>
      </c>
      <c r="E76" s="14" t="s">
        <v>283</v>
      </c>
      <c r="F76" s="14" t="s">
        <v>291</v>
      </c>
      <c r="G76" s="15">
        <v>45225</v>
      </c>
      <c r="H76" s="15" t="s">
        <v>268</v>
      </c>
      <c r="I76" s="12" t="s">
        <v>269</v>
      </c>
      <c r="J76" s="12" t="s">
        <v>270</v>
      </c>
      <c r="K76" s="12">
        <v>200</v>
      </c>
      <c r="L76" s="12">
        <v>85</v>
      </c>
      <c r="M76" s="12">
        <v>15</v>
      </c>
      <c r="N76" s="12">
        <v>27</v>
      </c>
      <c r="O76" s="16">
        <v>0.55555555555555558</v>
      </c>
      <c r="P76" s="12">
        <v>12</v>
      </c>
      <c r="Q76" s="12">
        <v>30</v>
      </c>
      <c r="R76" s="16">
        <v>0.4</v>
      </c>
      <c r="S76" s="12">
        <v>27</v>
      </c>
      <c r="T76" s="12">
        <v>57</v>
      </c>
      <c r="U76" s="16">
        <v>0.47368421052631576</v>
      </c>
      <c r="V76" s="12">
        <v>19</v>
      </c>
      <c r="W76" s="12">
        <v>21</v>
      </c>
      <c r="X76" s="16">
        <v>0.90476190476190477</v>
      </c>
      <c r="Y76" s="12">
        <v>11</v>
      </c>
      <c r="Z76" s="12">
        <v>23</v>
      </c>
      <c r="AA76" s="12">
        <v>34</v>
      </c>
      <c r="AB76" s="12">
        <v>18</v>
      </c>
      <c r="AC76" s="12">
        <v>11</v>
      </c>
      <c r="AD76" s="12">
        <v>7</v>
      </c>
      <c r="AE76" s="12">
        <v>3</v>
      </c>
      <c r="AF76" s="12">
        <v>1</v>
      </c>
      <c r="AG76" s="12">
        <v>17</v>
      </c>
      <c r="AH76" s="12">
        <v>20</v>
      </c>
      <c r="AI76" s="17">
        <v>106</v>
      </c>
      <c r="AJ76" s="12">
        <v>3</v>
      </c>
      <c r="AK76" s="12">
        <v>67</v>
      </c>
      <c r="AL76" s="12">
        <v>78</v>
      </c>
      <c r="AM76" s="19">
        <v>1.0897435897435896</v>
      </c>
      <c r="AN76" s="19">
        <v>1.0249999999999999</v>
      </c>
      <c r="AO76" s="18">
        <v>126.86567164179105</v>
      </c>
      <c r="AP76" s="18">
        <v>118.84057971014492</v>
      </c>
      <c r="AQ76" s="18">
        <v>8.0250919316461307</v>
      </c>
      <c r="AR76" s="53">
        <v>0.57894736842105265</v>
      </c>
      <c r="AS76" s="53">
        <v>0.63432835820895528</v>
      </c>
      <c r="AT76" s="16">
        <v>0.11538461538461539</v>
      </c>
      <c r="AU76" s="19">
        <v>1.7777777777777777</v>
      </c>
      <c r="AV76" s="16">
        <v>0.11538461538461539</v>
      </c>
      <c r="AW76" s="19">
        <v>1.1111111111111112</v>
      </c>
      <c r="AX76" s="16">
        <v>0.11538461538461539</v>
      </c>
      <c r="AY76" s="19">
        <v>0.44444444444444442</v>
      </c>
      <c r="AZ76" s="16">
        <v>6.4102564102564097E-2</v>
      </c>
      <c r="BA76" s="19">
        <v>1.8</v>
      </c>
      <c r="BB76" s="16">
        <v>0.32051282051282054</v>
      </c>
      <c r="BC76" s="21">
        <v>1.08</v>
      </c>
      <c r="BD76" s="16">
        <v>0.12820512820512819</v>
      </c>
      <c r="BE76" s="16">
        <v>0.14102564102564102</v>
      </c>
      <c r="BF76" s="16">
        <v>0.48648648648648651</v>
      </c>
      <c r="BG76" s="16">
        <v>0.46666666666666667</v>
      </c>
      <c r="BH76" s="16">
        <v>0.83333333333333337</v>
      </c>
      <c r="BI76" s="16">
        <v>0.1</v>
      </c>
      <c r="BJ76" s="16">
        <v>0.23076923076923078</v>
      </c>
      <c r="BK76" s="21">
        <v>1.6363636363636365</v>
      </c>
      <c r="BL76" s="16">
        <v>0.35483870967741937</v>
      </c>
      <c r="BM76" s="16">
        <v>0.23076923076923078</v>
      </c>
      <c r="BN76" s="16">
        <v>0.47368421052631576</v>
      </c>
      <c r="BO76" s="16">
        <v>0</v>
      </c>
      <c r="BP76" s="16">
        <v>0.67647058823529416</v>
      </c>
      <c r="BQ76" s="16">
        <v>0.6875</v>
      </c>
      <c r="BR76" s="16">
        <v>0.58823529411764708</v>
      </c>
      <c r="BS76" s="16">
        <v>1</v>
      </c>
      <c r="BT76" s="16">
        <v>0.52307692307692311</v>
      </c>
      <c r="BU76" s="16">
        <v>0.10144927536231885</v>
      </c>
      <c r="BV76" s="16">
        <v>4.8387096774193547E-2</v>
      </c>
      <c r="BW76" s="54">
        <v>5</v>
      </c>
      <c r="BX76" s="54">
        <v>0.47058823529411764</v>
      </c>
      <c r="BY76" s="54">
        <v>0.55000000000000004</v>
      </c>
      <c r="BZ76" s="12">
        <v>7</v>
      </c>
      <c r="CA76" s="12">
        <v>10</v>
      </c>
      <c r="CB76" s="12">
        <v>1</v>
      </c>
      <c r="CC76" s="12">
        <v>2</v>
      </c>
      <c r="CD76" s="12">
        <v>1</v>
      </c>
      <c r="CE76" s="12">
        <v>0</v>
      </c>
      <c r="CF76" s="12">
        <v>0</v>
      </c>
      <c r="CG76" s="12">
        <v>0</v>
      </c>
      <c r="CH76" s="12">
        <v>2</v>
      </c>
      <c r="CI76" s="12">
        <v>0</v>
      </c>
      <c r="CJ76" s="12">
        <v>0</v>
      </c>
      <c r="CK76" s="12">
        <v>0</v>
      </c>
      <c r="CL76" s="12">
        <v>8</v>
      </c>
      <c r="CM76" s="12">
        <v>1</v>
      </c>
      <c r="CN76" s="12">
        <v>0</v>
      </c>
      <c r="CO76" s="12">
        <v>0</v>
      </c>
      <c r="CP76" s="12">
        <v>0</v>
      </c>
      <c r="CQ76" s="12">
        <v>0</v>
      </c>
      <c r="CR76" s="12">
        <v>3</v>
      </c>
      <c r="CS76" s="12">
        <v>0</v>
      </c>
      <c r="CT76" s="12">
        <v>7</v>
      </c>
      <c r="CU76" s="12">
        <v>1</v>
      </c>
      <c r="CV76" s="12">
        <v>1</v>
      </c>
      <c r="CW76" s="12">
        <v>0</v>
      </c>
      <c r="CX76" s="12">
        <v>8</v>
      </c>
      <c r="CY76" s="12">
        <v>1</v>
      </c>
      <c r="CZ76" s="12">
        <v>3</v>
      </c>
      <c r="DA76" s="12">
        <v>0</v>
      </c>
      <c r="DB76" s="12">
        <v>0</v>
      </c>
      <c r="DC76" s="12">
        <v>0</v>
      </c>
      <c r="DD76" s="12">
        <v>1</v>
      </c>
      <c r="DE76" s="12">
        <v>1</v>
      </c>
      <c r="DF76" s="12">
        <v>18</v>
      </c>
      <c r="DG76" s="12">
        <v>20</v>
      </c>
      <c r="DH76" s="12">
        <v>0</v>
      </c>
      <c r="DI76" s="12">
        <v>0</v>
      </c>
      <c r="DJ76" s="12">
        <v>0</v>
      </c>
      <c r="DK76" s="12">
        <v>0</v>
      </c>
      <c r="DL76" s="12">
        <v>8</v>
      </c>
      <c r="DM76" s="12">
        <v>9</v>
      </c>
      <c r="DN76" s="12">
        <v>5</v>
      </c>
      <c r="DO76" s="12">
        <v>9</v>
      </c>
      <c r="DP76" s="12">
        <v>2</v>
      </c>
      <c r="DQ76" s="12">
        <v>9</v>
      </c>
      <c r="DR76" s="12">
        <v>3</v>
      </c>
      <c r="DS76" s="12">
        <v>5</v>
      </c>
      <c r="DT76" s="12">
        <v>9</v>
      </c>
      <c r="DU76" s="12">
        <v>25</v>
      </c>
      <c r="DV76" s="12">
        <v>0</v>
      </c>
      <c r="DW76" s="12">
        <v>0</v>
      </c>
      <c r="DX76" s="12">
        <v>82</v>
      </c>
      <c r="DY76" s="12">
        <v>18</v>
      </c>
      <c r="DZ76" s="12">
        <v>33</v>
      </c>
      <c r="EA76" s="16">
        <v>0.54545454545454541</v>
      </c>
      <c r="EB76" s="12">
        <v>12</v>
      </c>
      <c r="EC76" s="12">
        <v>29</v>
      </c>
      <c r="ED76" s="16">
        <v>0.41379310344827586</v>
      </c>
      <c r="EE76" s="12">
        <v>30</v>
      </c>
      <c r="EF76" s="12">
        <v>62</v>
      </c>
      <c r="EG76" s="16">
        <v>0.4838709677419355</v>
      </c>
      <c r="EH76" s="12">
        <v>10</v>
      </c>
      <c r="EI76" s="12">
        <v>15</v>
      </c>
      <c r="EJ76" s="16">
        <v>0.66666666666666663</v>
      </c>
      <c r="EK76" s="12">
        <v>11</v>
      </c>
      <c r="EL76" s="12">
        <v>20</v>
      </c>
      <c r="EM76" s="12">
        <v>31</v>
      </c>
      <c r="EN76" s="12">
        <v>17</v>
      </c>
      <c r="EO76" s="12">
        <v>20</v>
      </c>
      <c r="EP76" s="12">
        <v>17</v>
      </c>
      <c r="EQ76" s="12">
        <v>4</v>
      </c>
      <c r="ER76" s="12">
        <v>12</v>
      </c>
      <c r="ES76" s="12">
        <v>1</v>
      </c>
      <c r="ET76" s="12">
        <v>3</v>
      </c>
      <c r="EU76" s="12">
        <v>80</v>
      </c>
      <c r="EV76" s="12">
        <v>-3</v>
      </c>
      <c r="EW76" s="12">
        <v>69</v>
      </c>
      <c r="EX76" s="12">
        <v>80</v>
      </c>
      <c r="EY76" s="12">
        <v>3</v>
      </c>
      <c r="EZ76" s="12">
        <v>4</v>
      </c>
      <c r="FA76" s="12">
        <v>11</v>
      </c>
      <c r="FB76" s="12">
        <v>2</v>
      </c>
      <c r="FC76" s="12">
        <v>4</v>
      </c>
      <c r="FD76" s="12">
        <v>2</v>
      </c>
      <c r="FE76" s="12">
        <v>0</v>
      </c>
      <c r="FF76" s="12">
        <v>3</v>
      </c>
      <c r="FG76" s="12">
        <v>0</v>
      </c>
      <c r="FH76" s="12">
        <v>0</v>
      </c>
      <c r="FI76" s="12">
        <v>0</v>
      </c>
      <c r="FJ76" s="12">
        <v>1</v>
      </c>
      <c r="FK76" s="12">
        <v>0</v>
      </c>
      <c r="FL76" s="12">
        <v>5</v>
      </c>
      <c r="FM76" s="12">
        <v>1</v>
      </c>
      <c r="FN76" s="12">
        <v>0</v>
      </c>
      <c r="FO76" s="12">
        <v>0</v>
      </c>
      <c r="FP76" s="12">
        <v>0</v>
      </c>
      <c r="FQ76" s="12">
        <v>0</v>
      </c>
      <c r="FR76" s="12">
        <v>4</v>
      </c>
      <c r="FS76" s="12">
        <v>1</v>
      </c>
      <c r="FT76" s="12">
        <v>5</v>
      </c>
      <c r="FU76" s="12">
        <v>0</v>
      </c>
      <c r="FV76" s="12">
        <v>2</v>
      </c>
      <c r="FW76" s="12">
        <v>0</v>
      </c>
      <c r="FX76" s="12">
        <v>8</v>
      </c>
      <c r="FY76" s="12">
        <v>0</v>
      </c>
      <c r="FZ76" s="12">
        <v>1</v>
      </c>
      <c r="GA76" s="12">
        <v>0</v>
      </c>
      <c r="GB76" s="12">
        <v>0</v>
      </c>
      <c r="GC76" s="12">
        <v>0</v>
      </c>
      <c r="GD76" s="12">
        <v>1</v>
      </c>
      <c r="GE76" s="12">
        <v>2</v>
      </c>
      <c r="GF76" s="12">
        <v>6</v>
      </c>
      <c r="GG76" s="12">
        <v>10</v>
      </c>
      <c r="GH76" s="12">
        <v>2</v>
      </c>
      <c r="GI76" s="12">
        <v>3</v>
      </c>
      <c r="GJ76" s="12">
        <v>3</v>
      </c>
      <c r="GK76" s="12">
        <v>0</v>
      </c>
      <c r="GL76" s="12">
        <v>6</v>
      </c>
      <c r="GM76" s="12">
        <v>8</v>
      </c>
      <c r="GN76" s="12">
        <v>10</v>
      </c>
      <c r="GO76" s="12">
        <v>16</v>
      </c>
      <c r="GP76" s="12">
        <v>2</v>
      </c>
      <c r="GQ76" s="12">
        <v>9</v>
      </c>
      <c r="GR76" s="12">
        <v>3</v>
      </c>
      <c r="GS76" s="12">
        <v>5</v>
      </c>
      <c r="GT76" s="12">
        <v>9</v>
      </c>
      <c r="GU76" s="12">
        <v>24</v>
      </c>
      <c r="GV76" s="12">
        <v>0</v>
      </c>
      <c r="GW76" s="12">
        <v>0</v>
      </c>
      <c r="GY76" s="16"/>
    </row>
    <row r="77" spans="2:207" ht="15" customHeight="1" x14ac:dyDescent="0.2">
      <c r="B77" s="12">
        <v>5</v>
      </c>
      <c r="C77" s="12" t="s">
        <v>289</v>
      </c>
      <c r="D77" s="12" t="s">
        <v>281</v>
      </c>
      <c r="E77" s="14" t="s">
        <v>291</v>
      </c>
      <c r="F77" s="14" t="s">
        <v>283</v>
      </c>
      <c r="G77" s="15">
        <v>45225</v>
      </c>
      <c r="H77" s="15" t="s">
        <v>271</v>
      </c>
      <c r="I77" s="12" t="s">
        <v>269</v>
      </c>
      <c r="J77" s="12" t="s">
        <v>272</v>
      </c>
      <c r="K77" s="12">
        <v>200</v>
      </c>
      <c r="L77" s="12">
        <v>82</v>
      </c>
      <c r="M77" s="12">
        <v>18</v>
      </c>
      <c r="N77" s="12">
        <v>33</v>
      </c>
      <c r="O77" s="16">
        <v>0.54545454545454541</v>
      </c>
      <c r="P77" s="12">
        <v>12</v>
      </c>
      <c r="Q77" s="12">
        <v>29</v>
      </c>
      <c r="R77" s="16">
        <v>0.41379310344827586</v>
      </c>
      <c r="S77" s="12">
        <v>30</v>
      </c>
      <c r="T77" s="12">
        <v>62</v>
      </c>
      <c r="U77" s="16">
        <v>0.4838709677419355</v>
      </c>
      <c r="V77" s="12">
        <v>10</v>
      </c>
      <c r="W77" s="12">
        <v>15</v>
      </c>
      <c r="X77" s="16">
        <v>0.66666666666666663</v>
      </c>
      <c r="Y77" s="12">
        <v>11</v>
      </c>
      <c r="Z77" s="12">
        <v>20</v>
      </c>
      <c r="AA77" s="12">
        <v>31</v>
      </c>
      <c r="AB77" s="12">
        <v>17</v>
      </c>
      <c r="AC77" s="12">
        <v>12</v>
      </c>
      <c r="AD77" s="12">
        <v>4</v>
      </c>
      <c r="AE77" s="12">
        <v>1</v>
      </c>
      <c r="AF77" s="12">
        <v>3</v>
      </c>
      <c r="AG77" s="12">
        <v>20</v>
      </c>
      <c r="AH77" s="12">
        <v>17</v>
      </c>
      <c r="AI77" s="17">
        <v>80</v>
      </c>
      <c r="AJ77" s="12">
        <v>-3</v>
      </c>
      <c r="AK77" s="12">
        <v>69</v>
      </c>
      <c r="AL77" s="12">
        <v>80</v>
      </c>
      <c r="AM77" s="19">
        <v>1.0249999999999999</v>
      </c>
      <c r="AN77" s="19">
        <v>1.0897435897435896</v>
      </c>
      <c r="AO77" s="18">
        <v>118.84057971014492</v>
      </c>
      <c r="AP77" s="18">
        <v>126.86567164179105</v>
      </c>
      <c r="AQ77" s="18">
        <v>-8.0250919316461307</v>
      </c>
      <c r="AR77" s="53">
        <v>0.58064516129032262</v>
      </c>
      <c r="AS77" s="53">
        <v>0.6029411764705882</v>
      </c>
      <c r="AT77" s="16">
        <v>0.1</v>
      </c>
      <c r="AU77" s="19">
        <v>1.5</v>
      </c>
      <c r="AV77" s="16">
        <v>0.2</v>
      </c>
      <c r="AW77" s="19">
        <v>1.25</v>
      </c>
      <c r="AX77" s="16">
        <v>0.1125</v>
      </c>
      <c r="AY77" s="19">
        <v>0.44444444444444442</v>
      </c>
      <c r="AZ77" s="16">
        <v>6.25E-2</v>
      </c>
      <c r="BA77" s="19">
        <v>1.8</v>
      </c>
      <c r="BB77" s="16">
        <v>0.3</v>
      </c>
      <c r="BC77" s="21">
        <v>1.125</v>
      </c>
      <c r="BD77" s="16">
        <v>7.4999999999999997E-2</v>
      </c>
      <c r="BE77" s="16">
        <v>0.15</v>
      </c>
      <c r="BF77" s="16">
        <v>0.5</v>
      </c>
      <c r="BG77" s="16">
        <v>0.22222222222222221</v>
      </c>
      <c r="BH77" s="16">
        <v>0.91666666666666663</v>
      </c>
      <c r="BI77" s="16">
        <v>0.5</v>
      </c>
      <c r="BJ77" s="16">
        <v>0.21249999999999999</v>
      </c>
      <c r="BK77" s="21">
        <v>1.4166666666666667</v>
      </c>
      <c r="BL77" s="16">
        <v>0.3235294117647059</v>
      </c>
      <c r="BM77" s="16">
        <v>0.3125</v>
      </c>
      <c r="BN77" s="16">
        <v>0.41176470588235292</v>
      </c>
      <c r="BO77" s="16">
        <v>0</v>
      </c>
      <c r="BP77" s="16">
        <v>0.64516129032258063</v>
      </c>
      <c r="BQ77" s="16">
        <v>0.76923076923076927</v>
      </c>
      <c r="BR77" s="16">
        <v>0.52631578947368418</v>
      </c>
      <c r="BS77" s="16">
        <v>1</v>
      </c>
      <c r="BT77" s="16">
        <v>0.47692307692307695</v>
      </c>
      <c r="BU77" s="16">
        <v>5.9701492537313432E-2</v>
      </c>
      <c r="BV77" s="16">
        <v>1.7543859649122806E-2</v>
      </c>
      <c r="BW77" s="54">
        <v>3</v>
      </c>
      <c r="BX77" s="54">
        <v>0.55000000000000004</v>
      </c>
      <c r="BY77" s="54">
        <v>0.47058823529411764</v>
      </c>
      <c r="BZ77" s="12">
        <v>4</v>
      </c>
      <c r="CA77" s="12">
        <v>11</v>
      </c>
      <c r="CB77" s="12">
        <v>2</v>
      </c>
      <c r="CC77" s="12">
        <v>4</v>
      </c>
      <c r="CD77" s="12">
        <v>2</v>
      </c>
      <c r="CE77" s="12">
        <v>0</v>
      </c>
      <c r="CF77" s="12">
        <v>3</v>
      </c>
      <c r="CG77" s="12">
        <v>0</v>
      </c>
      <c r="CH77" s="12">
        <v>0</v>
      </c>
      <c r="CI77" s="12">
        <v>0</v>
      </c>
      <c r="CJ77" s="12">
        <v>1</v>
      </c>
      <c r="CK77" s="12">
        <v>0</v>
      </c>
      <c r="CL77" s="12">
        <v>5</v>
      </c>
      <c r="CM77" s="12">
        <v>1</v>
      </c>
      <c r="CN77" s="12">
        <v>0</v>
      </c>
      <c r="CO77" s="12">
        <v>0</v>
      </c>
      <c r="CP77" s="12">
        <v>0</v>
      </c>
      <c r="CQ77" s="12">
        <v>0</v>
      </c>
      <c r="CR77" s="12">
        <v>4</v>
      </c>
      <c r="CS77" s="12">
        <v>1</v>
      </c>
      <c r="CT77" s="12">
        <v>5</v>
      </c>
      <c r="CU77" s="12">
        <v>0</v>
      </c>
      <c r="CV77" s="12">
        <v>2</v>
      </c>
      <c r="CW77" s="12">
        <v>0</v>
      </c>
      <c r="CX77" s="12">
        <v>8</v>
      </c>
      <c r="CY77" s="12">
        <v>0</v>
      </c>
      <c r="CZ77" s="12">
        <v>1</v>
      </c>
      <c r="DA77" s="12">
        <v>0</v>
      </c>
      <c r="DB77" s="12">
        <v>0</v>
      </c>
      <c r="DC77" s="12">
        <v>0</v>
      </c>
      <c r="DD77" s="12">
        <v>1</v>
      </c>
      <c r="DE77" s="12">
        <v>2</v>
      </c>
      <c r="DF77" s="12">
        <v>6</v>
      </c>
      <c r="DG77" s="12">
        <v>10</v>
      </c>
      <c r="DH77" s="12">
        <v>2</v>
      </c>
      <c r="DI77" s="12">
        <v>3</v>
      </c>
      <c r="DJ77" s="12">
        <v>3</v>
      </c>
      <c r="DK77" s="12">
        <v>0</v>
      </c>
      <c r="DL77" s="12">
        <v>6</v>
      </c>
      <c r="DM77" s="12">
        <v>8</v>
      </c>
      <c r="DN77" s="12">
        <v>10</v>
      </c>
      <c r="DO77" s="12">
        <v>16</v>
      </c>
      <c r="DP77" s="12">
        <v>2</v>
      </c>
      <c r="DQ77" s="12">
        <v>9</v>
      </c>
      <c r="DR77" s="12">
        <v>3</v>
      </c>
      <c r="DS77" s="12">
        <v>5</v>
      </c>
      <c r="DT77" s="12">
        <v>9</v>
      </c>
      <c r="DU77" s="12">
        <v>24</v>
      </c>
      <c r="DV77" s="12">
        <v>0</v>
      </c>
      <c r="DW77" s="12">
        <v>0</v>
      </c>
      <c r="DX77" s="12">
        <v>85</v>
      </c>
      <c r="DY77" s="12">
        <v>15</v>
      </c>
      <c r="DZ77" s="12">
        <v>27</v>
      </c>
      <c r="EA77" s="16">
        <v>0.55555555555555558</v>
      </c>
      <c r="EB77" s="12">
        <v>12</v>
      </c>
      <c r="EC77" s="12">
        <v>30</v>
      </c>
      <c r="ED77" s="16">
        <v>0.4</v>
      </c>
      <c r="EE77" s="12">
        <v>27</v>
      </c>
      <c r="EF77" s="12">
        <v>57</v>
      </c>
      <c r="EG77" s="16">
        <v>0.47368421052631576</v>
      </c>
      <c r="EH77" s="12">
        <v>19</v>
      </c>
      <c r="EI77" s="12">
        <v>21</v>
      </c>
      <c r="EJ77" s="16">
        <v>0.90476190476190477</v>
      </c>
      <c r="EK77" s="12">
        <v>11</v>
      </c>
      <c r="EL77" s="12">
        <v>23</v>
      </c>
      <c r="EM77" s="12">
        <v>34</v>
      </c>
      <c r="EN77" s="12">
        <v>18</v>
      </c>
      <c r="EO77" s="12">
        <v>17</v>
      </c>
      <c r="EP77" s="12">
        <v>20</v>
      </c>
      <c r="EQ77" s="12">
        <v>7</v>
      </c>
      <c r="ER77" s="12">
        <v>11</v>
      </c>
      <c r="ES77" s="12">
        <v>3</v>
      </c>
      <c r="ET77" s="12">
        <v>1</v>
      </c>
      <c r="EU77" s="12">
        <v>106</v>
      </c>
      <c r="EV77" s="12">
        <v>3</v>
      </c>
      <c r="EW77" s="12">
        <v>67</v>
      </c>
      <c r="EX77" s="12">
        <v>78</v>
      </c>
      <c r="EY77" s="12">
        <v>5</v>
      </c>
      <c r="EZ77" s="12">
        <v>7</v>
      </c>
      <c r="FA77" s="12">
        <v>10</v>
      </c>
      <c r="FB77" s="12">
        <v>1</v>
      </c>
      <c r="FC77" s="12">
        <v>2</v>
      </c>
      <c r="FD77" s="12">
        <v>1</v>
      </c>
      <c r="FE77" s="12">
        <v>0</v>
      </c>
      <c r="FF77" s="12">
        <v>0</v>
      </c>
      <c r="FG77" s="12">
        <v>0</v>
      </c>
      <c r="FH77" s="12">
        <v>2</v>
      </c>
      <c r="FI77" s="12">
        <v>0</v>
      </c>
      <c r="FJ77" s="12">
        <v>0</v>
      </c>
      <c r="FK77" s="12">
        <v>0</v>
      </c>
      <c r="FL77" s="12">
        <v>8</v>
      </c>
      <c r="FM77" s="12">
        <v>1</v>
      </c>
      <c r="FN77" s="12">
        <v>0</v>
      </c>
      <c r="FO77" s="12">
        <v>0</v>
      </c>
      <c r="FP77" s="12">
        <v>0</v>
      </c>
      <c r="FQ77" s="12">
        <v>0</v>
      </c>
      <c r="FR77" s="12">
        <v>3</v>
      </c>
      <c r="FS77" s="12">
        <v>0</v>
      </c>
      <c r="FT77" s="12">
        <v>7</v>
      </c>
      <c r="FU77" s="12">
        <v>1</v>
      </c>
      <c r="FV77" s="12">
        <v>1</v>
      </c>
      <c r="FW77" s="12">
        <v>0</v>
      </c>
      <c r="FX77" s="12">
        <v>8</v>
      </c>
      <c r="FY77" s="12">
        <v>1</v>
      </c>
      <c r="FZ77" s="12">
        <v>3</v>
      </c>
      <c r="GA77" s="12">
        <v>0</v>
      </c>
      <c r="GB77" s="12">
        <v>0</v>
      </c>
      <c r="GC77" s="12">
        <v>0</v>
      </c>
      <c r="GD77" s="12">
        <v>1</v>
      </c>
      <c r="GE77" s="12">
        <v>1</v>
      </c>
      <c r="GF77" s="12">
        <v>18</v>
      </c>
      <c r="GG77" s="12">
        <v>20</v>
      </c>
      <c r="GH77" s="12">
        <v>0</v>
      </c>
      <c r="GI77" s="12">
        <v>0</v>
      </c>
      <c r="GJ77" s="12">
        <v>0</v>
      </c>
      <c r="GK77" s="12">
        <v>0</v>
      </c>
      <c r="GL77" s="12">
        <v>8</v>
      </c>
      <c r="GM77" s="12">
        <v>9</v>
      </c>
      <c r="GN77" s="12">
        <v>5</v>
      </c>
      <c r="GO77" s="12">
        <v>9</v>
      </c>
      <c r="GP77" s="12">
        <v>2</v>
      </c>
      <c r="GQ77" s="12">
        <v>9</v>
      </c>
      <c r="GR77" s="12">
        <v>3</v>
      </c>
      <c r="GS77" s="12">
        <v>5</v>
      </c>
      <c r="GT77" s="12">
        <v>9</v>
      </c>
      <c r="GU77" s="12">
        <v>25</v>
      </c>
      <c r="GV77" s="12">
        <v>0</v>
      </c>
      <c r="GW77" s="12">
        <v>0</v>
      </c>
      <c r="GY77" s="16"/>
    </row>
    <row r="78" spans="2:207" ht="15" customHeight="1" x14ac:dyDescent="0.2">
      <c r="B78" s="12">
        <v>5</v>
      </c>
      <c r="C78" s="12" t="s">
        <v>278</v>
      </c>
      <c r="D78" s="12" t="s">
        <v>298</v>
      </c>
      <c r="E78" s="14" t="s">
        <v>280</v>
      </c>
      <c r="F78" s="14" t="s">
        <v>300</v>
      </c>
      <c r="G78" s="15">
        <v>45225</v>
      </c>
      <c r="H78" s="15" t="s">
        <v>271</v>
      </c>
      <c r="I78" s="12" t="s">
        <v>269</v>
      </c>
      <c r="J78" s="12" t="s">
        <v>272</v>
      </c>
      <c r="K78" s="12">
        <v>200</v>
      </c>
      <c r="L78" s="12">
        <v>64</v>
      </c>
      <c r="M78" s="12">
        <v>20</v>
      </c>
      <c r="N78" s="12">
        <v>45</v>
      </c>
      <c r="O78" s="16">
        <v>0.44444444444444442</v>
      </c>
      <c r="P78" s="12">
        <v>5</v>
      </c>
      <c r="Q78" s="12">
        <v>20</v>
      </c>
      <c r="R78" s="16">
        <v>0.25</v>
      </c>
      <c r="S78" s="12">
        <v>25</v>
      </c>
      <c r="T78" s="12">
        <v>65</v>
      </c>
      <c r="U78" s="16">
        <v>0.38461538461538464</v>
      </c>
      <c r="V78" s="12">
        <v>9</v>
      </c>
      <c r="W78" s="12">
        <v>16</v>
      </c>
      <c r="X78" s="16">
        <v>0.5625</v>
      </c>
      <c r="Y78" s="12">
        <v>14</v>
      </c>
      <c r="Z78" s="12">
        <v>29</v>
      </c>
      <c r="AA78" s="12">
        <v>43</v>
      </c>
      <c r="AB78" s="12">
        <v>12</v>
      </c>
      <c r="AC78" s="12">
        <v>14</v>
      </c>
      <c r="AD78" s="12">
        <v>8</v>
      </c>
      <c r="AE78" s="12">
        <v>2</v>
      </c>
      <c r="AF78" s="12">
        <v>1</v>
      </c>
      <c r="AG78" s="12">
        <v>22</v>
      </c>
      <c r="AH78" s="12">
        <v>24</v>
      </c>
      <c r="AI78" s="17">
        <v>69</v>
      </c>
      <c r="AJ78" s="12">
        <v>-1</v>
      </c>
      <c r="AK78" s="12">
        <v>71</v>
      </c>
      <c r="AL78" s="12">
        <v>85</v>
      </c>
      <c r="AM78" s="19">
        <v>0.75294117647058822</v>
      </c>
      <c r="AN78" s="19">
        <v>0.7142857142857143</v>
      </c>
      <c r="AO78" s="18">
        <v>90.140845070422543</v>
      </c>
      <c r="AP78" s="18">
        <v>90.277777777777786</v>
      </c>
      <c r="AQ78" s="18">
        <v>-0.13693270735524266</v>
      </c>
      <c r="AR78" s="53">
        <v>0.42307692307692307</v>
      </c>
      <c r="AS78" s="53">
        <v>0.45070422535211269</v>
      </c>
      <c r="AT78" s="16">
        <v>8.2352941176470587E-2</v>
      </c>
      <c r="AU78" s="19">
        <v>1.4285714285714286</v>
      </c>
      <c r="AV78" s="16">
        <v>0.4</v>
      </c>
      <c r="AW78" s="19">
        <v>0.82352941176470584</v>
      </c>
      <c r="AX78" s="16">
        <v>4.7058823529411764E-2</v>
      </c>
      <c r="AY78" s="19">
        <v>0.5</v>
      </c>
      <c r="AZ78" s="16">
        <v>0</v>
      </c>
      <c r="BA78" s="19" t="s">
        <v>269</v>
      </c>
      <c r="BB78" s="16">
        <v>0.23529411764705882</v>
      </c>
      <c r="BC78" s="21">
        <v>0.75</v>
      </c>
      <c r="BD78" s="16">
        <v>7.0588235294117646E-2</v>
      </c>
      <c r="BE78" s="16">
        <v>0.16470588235294117</v>
      </c>
      <c r="BF78" s="16">
        <v>0.4</v>
      </c>
      <c r="BG78" s="16">
        <v>0.4</v>
      </c>
      <c r="BH78" s="16">
        <v>0.8</v>
      </c>
      <c r="BI78" s="16">
        <v>0</v>
      </c>
      <c r="BJ78" s="16">
        <v>0.14117647058823529</v>
      </c>
      <c r="BK78" s="21">
        <v>0.8571428571428571</v>
      </c>
      <c r="BL78" s="16">
        <v>0.32558139534883723</v>
      </c>
      <c r="BM78" s="16">
        <v>0.30769230769230771</v>
      </c>
      <c r="BN78" s="16">
        <v>0.35294117647058826</v>
      </c>
      <c r="BO78" s="16">
        <v>0</v>
      </c>
      <c r="BP78" s="16">
        <v>0.60416666666666663</v>
      </c>
      <c r="BQ78" s="16">
        <v>0.38461538461538464</v>
      </c>
      <c r="BR78" s="16">
        <v>0.7142857142857143</v>
      </c>
      <c r="BS78" s="16">
        <v>0.8571428571428571</v>
      </c>
      <c r="BT78" s="16">
        <v>0.47252747252747251</v>
      </c>
      <c r="BU78" s="16">
        <v>0.1111111111111111</v>
      </c>
      <c r="BV78" s="16">
        <v>3.0303030303030304E-2</v>
      </c>
      <c r="BW78" s="54">
        <v>7</v>
      </c>
      <c r="BX78" s="54">
        <v>0.54545454545454541</v>
      </c>
      <c r="BY78" s="54">
        <v>0.375</v>
      </c>
      <c r="BZ78" s="12">
        <v>8</v>
      </c>
      <c r="CA78" s="12">
        <v>4</v>
      </c>
      <c r="CB78" s="12">
        <v>0</v>
      </c>
      <c r="CC78" s="12">
        <v>0</v>
      </c>
      <c r="CD78" s="12">
        <v>0</v>
      </c>
      <c r="CE78" s="12">
        <v>0</v>
      </c>
      <c r="CF78" s="12">
        <v>5</v>
      </c>
      <c r="CG78" s="12">
        <v>0</v>
      </c>
      <c r="CH78" s="12">
        <v>3</v>
      </c>
      <c r="CI78" s="12">
        <v>0</v>
      </c>
      <c r="CJ78" s="12">
        <v>0</v>
      </c>
      <c r="CK78" s="12">
        <v>0</v>
      </c>
      <c r="CL78" s="12">
        <v>5</v>
      </c>
      <c r="CM78" s="12">
        <v>1</v>
      </c>
      <c r="CN78" s="12">
        <v>0</v>
      </c>
      <c r="CO78" s="12">
        <v>0</v>
      </c>
      <c r="CP78" s="12">
        <v>0</v>
      </c>
      <c r="CQ78" s="12">
        <v>0</v>
      </c>
      <c r="CR78" s="12">
        <v>9</v>
      </c>
      <c r="CS78" s="12">
        <v>0</v>
      </c>
      <c r="CT78" s="12">
        <v>1</v>
      </c>
      <c r="CU78" s="12">
        <v>0</v>
      </c>
      <c r="CV78" s="12">
        <v>0</v>
      </c>
      <c r="CW78" s="12">
        <v>0</v>
      </c>
      <c r="CX78" s="12">
        <v>14</v>
      </c>
      <c r="CY78" s="12">
        <v>1</v>
      </c>
      <c r="CZ78" s="12">
        <v>5</v>
      </c>
      <c r="DA78" s="12">
        <v>1</v>
      </c>
      <c r="DB78" s="12">
        <v>0</v>
      </c>
      <c r="DC78" s="12">
        <v>0</v>
      </c>
      <c r="DD78" s="12">
        <v>2</v>
      </c>
      <c r="DE78" s="12">
        <v>3</v>
      </c>
      <c r="DF78" s="12">
        <v>6</v>
      </c>
      <c r="DG78" s="12">
        <v>10</v>
      </c>
      <c r="DH78" s="12">
        <v>1</v>
      </c>
      <c r="DI78" s="12">
        <v>1</v>
      </c>
      <c r="DJ78" s="12">
        <v>3</v>
      </c>
      <c r="DK78" s="12">
        <v>0</v>
      </c>
      <c r="DL78" s="12">
        <v>5</v>
      </c>
      <c r="DM78" s="12">
        <v>7</v>
      </c>
      <c r="DN78" s="12">
        <v>14</v>
      </c>
      <c r="DO78" s="12">
        <v>34</v>
      </c>
      <c r="DP78" s="12">
        <v>1</v>
      </c>
      <c r="DQ78" s="12">
        <v>4</v>
      </c>
      <c r="DR78" s="12">
        <v>0</v>
      </c>
      <c r="DS78" s="12">
        <v>0</v>
      </c>
      <c r="DT78" s="12">
        <v>5</v>
      </c>
      <c r="DU78" s="12">
        <v>20</v>
      </c>
      <c r="DV78" s="12">
        <v>0</v>
      </c>
      <c r="DW78" s="12">
        <v>0</v>
      </c>
      <c r="DX78" s="12">
        <v>65</v>
      </c>
      <c r="DY78" s="12">
        <v>22</v>
      </c>
      <c r="DZ78" s="12">
        <v>44</v>
      </c>
      <c r="EA78" s="16">
        <v>0.5</v>
      </c>
      <c r="EB78" s="12">
        <v>2</v>
      </c>
      <c r="EC78" s="12">
        <v>22</v>
      </c>
      <c r="ED78" s="16">
        <v>9.0909090909090912E-2</v>
      </c>
      <c r="EE78" s="12">
        <v>24</v>
      </c>
      <c r="EF78" s="12">
        <v>66</v>
      </c>
      <c r="EG78" s="16">
        <v>0.36363636363636365</v>
      </c>
      <c r="EH78" s="12">
        <v>15</v>
      </c>
      <c r="EI78" s="12">
        <v>24</v>
      </c>
      <c r="EJ78" s="16">
        <v>0.625</v>
      </c>
      <c r="EK78" s="12">
        <v>19</v>
      </c>
      <c r="EL78" s="12">
        <v>29</v>
      </c>
      <c r="EM78" s="12">
        <v>48</v>
      </c>
      <c r="EN78" s="12">
        <v>17</v>
      </c>
      <c r="EO78" s="12">
        <v>25</v>
      </c>
      <c r="EP78" s="12">
        <v>21</v>
      </c>
      <c r="EQ78" s="12">
        <v>5</v>
      </c>
      <c r="ER78" s="12">
        <v>15</v>
      </c>
      <c r="ES78" s="12">
        <v>1</v>
      </c>
      <c r="ET78" s="12">
        <v>2</v>
      </c>
      <c r="EU78" s="12">
        <v>64</v>
      </c>
      <c r="EV78" s="12">
        <v>1</v>
      </c>
      <c r="EW78" s="12">
        <v>72</v>
      </c>
      <c r="EX78" s="12">
        <v>91</v>
      </c>
      <c r="EY78" s="12">
        <v>8</v>
      </c>
      <c r="EZ78" s="12">
        <v>13</v>
      </c>
      <c r="FA78" s="12">
        <v>2</v>
      </c>
      <c r="FB78" s="12">
        <v>2</v>
      </c>
      <c r="FC78" s="12">
        <v>2</v>
      </c>
      <c r="FD78" s="12">
        <v>1</v>
      </c>
      <c r="FE78" s="12">
        <v>1</v>
      </c>
      <c r="FF78" s="12">
        <v>10</v>
      </c>
      <c r="FG78" s="12">
        <v>2</v>
      </c>
      <c r="FH78" s="12">
        <v>1</v>
      </c>
      <c r="FI78" s="12">
        <v>1</v>
      </c>
      <c r="FJ78" s="12">
        <v>0</v>
      </c>
      <c r="FK78" s="12">
        <v>0</v>
      </c>
      <c r="FL78" s="12">
        <v>6</v>
      </c>
      <c r="FM78" s="12">
        <v>0</v>
      </c>
      <c r="FN78" s="12">
        <v>1</v>
      </c>
      <c r="FO78" s="12">
        <v>0</v>
      </c>
      <c r="FP78" s="12">
        <v>2</v>
      </c>
      <c r="FQ78" s="12">
        <v>0</v>
      </c>
      <c r="FR78" s="12">
        <v>15</v>
      </c>
      <c r="FS78" s="12">
        <v>1</v>
      </c>
      <c r="FT78" s="12">
        <v>0</v>
      </c>
      <c r="FU78" s="12">
        <v>0</v>
      </c>
      <c r="FV78" s="12">
        <v>0</v>
      </c>
      <c r="FW78" s="12">
        <v>0</v>
      </c>
      <c r="FX78" s="12">
        <v>10</v>
      </c>
      <c r="FY78" s="12">
        <v>1</v>
      </c>
      <c r="FZ78" s="12">
        <v>2</v>
      </c>
      <c r="GA78" s="12">
        <v>0</v>
      </c>
      <c r="GB78" s="12">
        <v>1</v>
      </c>
      <c r="GC78" s="12">
        <v>1</v>
      </c>
      <c r="GD78" s="12">
        <v>1</v>
      </c>
      <c r="GE78" s="12">
        <v>2</v>
      </c>
      <c r="GF78" s="12">
        <v>11</v>
      </c>
      <c r="GG78" s="12">
        <v>18</v>
      </c>
      <c r="GH78" s="12">
        <v>1</v>
      </c>
      <c r="GI78" s="12">
        <v>2</v>
      </c>
      <c r="GJ78" s="12">
        <v>3</v>
      </c>
      <c r="GK78" s="12">
        <v>0</v>
      </c>
      <c r="GL78" s="12">
        <v>12</v>
      </c>
      <c r="GM78" s="12">
        <v>13</v>
      </c>
      <c r="GN78" s="12">
        <v>9</v>
      </c>
      <c r="GO78" s="12">
        <v>28</v>
      </c>
      <c r="GP78" s="12">
        <v>1</v>
      </c>
      <c r="GQ78" s="12">
        <v>3</v>
      </c>
      <c r="GR78" s="12">
        <v>0</v>
      </c>
      <c r="GS78" s="12">
        <v>0</v>
      </c>
      <c r="GT78" s="12">
        <v>2</v>
      </c>
      <c r="GU78" s="12">
        <v>22</v>
      </c>
      <c r="GV78" s="12">
        <v>0</v>
      </c>
      <c r="GW78" s="12">
        <v>0</v>
      </c>
      <c r="GY78" s="16"/>
    </row>
    <row r="79" spans="2:207" ht="15" customHeight="1" x14ac:dyDescent="0.2">
      <c r="B79" s="12">
        <v>5</v>
      </c>
      <c r="C79" s="12" t="s">
        <v>298</v>
      </c>
      <c r="D79" s="12" t="s">
        <v>278</v>
      </c>
      <c r="E79" s="14" t="s">
        <v>300</v>
      </c>
      <c r="F79" s="14" t="s">
        <v>280</v>
      </c>
      <c r="G79" s="15">
        <v>45225</v>
      </c>
      <c r="H79" s="15" t="s">
        <v>268</v>
      </c>
      <c r="I79" s="12" t="s">
        <v>269</v>
      </c>
      <c r="J79" s="12" t="s">
        <v>270</v>
      </c>
      <c r="K79" s="12">
        <v>200</v>
      </c>
      <c r="L79" s="12">
        <v>65</v>
      </c>
      <c r="M79" s="12">
        <v>22</v>
      </c>
      <c r="N79" s="12">
        <v>44</v>
      </c>
      <c r="O79" s="16">
        <v>0.5</v>
      </c>
      <c r="P79" s="12">
        <v>2</v>
      </c>
      <c r="Q79" s="12">
        <v>22</v>
      </c>
      <c r="R79" s="16">
        <v>9.0909090909090912E-2</v>
      </c>
      <c r="S79" s="12">
        <v>24</v>
      </c>
      <c r="T79" s="12">
        <v>66</v>
      </c>
      <c r="U79" s="16">
        <v>0.36363636363636365</v>
      </c>
      <c r="V79" s="12">
        <v>15</v>
      </c>
      <c r="W79" s="12">
        <v>24</v>
      </c>
      <c r="X79" s="16">
        <v>0.625</v>
      </c>
      <c r="Y79" s="12">
        <v>19</v>
      </c>
      <c r="Z79" s="12">
        <v>29</v>
      </c>
      <c r="AA79" s="12">
        <v>48</v>
      </c>
      <c r="AB79" s="12">
        <v>17</v>
      </c>
      <c r="AC79" s="12">
        <v>15</v>
      </c>
      <c r="AD79" s="12">
        <v>5</v>
      </c>
      <c r="AE79" s="12">
        <v>1</v>
      </c>
      <c r="AF79" s="12">
        <v>2</v>
      </c>
      <c r="AG79" s="12">
        <v>25</v>
      </c>
      <c r="AH79" s="12">
        <v>21</v>
      </c>
      <c r="AI79" s="17">
        <v>64</v>
      </c>
      <c r="AJ79" s="12">
        <v>1</v>
      </c>
      <c r="AK79" s="12">
        <v>72</v>
      </c>
      <c r="AL79" s="12">
        <v>91</v>
      </c>
      <c r="AM79" s="19">
        <v>0.7142857142857143</v>
      </c>
      <c r="AN79" s="19">
        <v>0.75294117647058822</v>
      </c>
      <c r="AO79" s="18">
        <v>90.277777777777786</v>
      </c>
      <c r="AP79" s="18">
        <v>90.140845070422543</v>
      </c>
      <c r="AQ79" s="18">
        <v>0.13693270735524266</v>
      </c>
      <c r="AR79" s="53">
        <v>0.37878787878787878</v>
      </c>
      <c r="AS79" s="53">
        <v>0.42763157894736842</v>
      </c>
      <c r="AT79" s="16">
        <v>0.14285714285714285</v>
      </c>
      <c r="AU79" s="19">
        <v>1.8461538461538463</v>
      </c>
      <c r="AV79" s="16">
        <v>0.30769230769230771</v>
      </c>
      <c r="AW79" s="19">
        <v>0.6428571428571429</v>
      </c>
      <c r="AX79" s="16">
        <v>3.2967032967032968E-2</v>
      </c>
      <c r="AY79" s="19">
        <v>0.66666666666666663</v>
      </c>
      <c r="AZ79" s="16">
        <v>0</v>
      </c>
      <c r="BA79" s="19" t="s">
        <v>269</v>
      </c>
      <c r="BB79" s="16">
        <v>0.24175824175824176</v>
      </c>
      <c r="BC79" s="21">
        <v>0.27272727272727271</v>
      </c>
      <c r="BD79" s="16">
        <v>0.10989010989010989</v>
      </c>
      <c r="BE79" s="16">
        <v>0.16483516483516483</v>
      </c>
      <c r="BF79" s="16">
        <v>0.51515151515151514</v>
      </c>
      <c r="BG79" s="16">
        <v>0.59090909090909094</v>
      </c>
      <c r="BH79" s="16">
        <v>1</v>
      </c>
      <c r="BI79" s="16">
        <v>0.22222222222222221</v>
      </c>
      <c r="BJ79" s="16">
        <v>0.18681318681318682</v>
      </c>
      <c r="BK79" s="21">
        <v>1.1333333333333333</v>
      </c>
      <c r="BL79" s="16">
        <v>0.39583333333333331</v>
      </c>
      <c r="BM79" s="16">
        <v>0.61538461538461542</v>
      </c>
      <c r="BN79" s="16">
        <v>0.2857142857142857</v>
      </c>
      <c r="BO79" s="16">
        <v>0.14285714285714285</v>
      </c>
      <c r="BP79" s="16">
        <v>0.67441860465116277</v>
      </c>
      <c r="BQ79" s="16">
        <v>0.69230769230769229</v>
      </c>
      <c r="BR79" s="16">
        <v>0.6470588235294118</v>
      </c>
      <c r="BS79" s="16">
        <v>1</v>
      </c>
      <c r="BT79" s="16">
        <v>0.52747252747252749</v>
      </c>
      <c r="BU79" s="16">
        <v>7.0422535211267609E-2</v>
      </c>
      <c r="BV79" s="16">
        <v>1.5384615384615385E-2</v>
      </c>
      <c r="BW79" s="54">
        <v>8</v>
      </c>
      <c r="BX79" s="54">
        <v>0.36</v>
      </c>
      <c r="BY79" s="54">
        <v>0.5714285714285714</v>
      </c>
      <c r="BZ79" s="12">
        <v>13</v>
      </c>
      <c r="CA79" s="12">
        <v>2</v>
      </c>
      <c r="CB79" s="12">
        <v>2</v>
      </c>
      <c r="CC79" s="12">
        <v>2</v>
      </c>
      <c r="CD79" s="12">
        <v>1</v>
      </c>
      <c r="CE79" s="12">
        <v>1</v>
      </c>
      <c r="CF79" s="12">
        <v>10</v>
      </c>
      <c r="CG79" s="12">
        <v>2</v>
      </c>
      <c r="CH79" s="12">
        <v>1</v>
      </c>
      <c r="CI79" s="12">
        <v>1</v>
      </c>
      <c r="CJ79" s="12">
        <v>0</v>
      </c>
      <c r="CK79" s="12">
        <v>0</v>
      </c>
      <c r="CL79" s="12">
        <v>6</v>
      </c>
      <c r="CM79" s="12">
        <v>0</v>
      </c>
      <c r="CN79" s="12">
        <v>1</v>
      </c>
      <c r="CO79" s="12">
        <v>0</v>
      </c>
      <c r="CP79" s="12">
        <v>2</v>
      </c>
      <c r="CQ79" s="12">
        <v>0</v>
      </c>
      <c r="CR79" s="12">
        <v>15</v>
      </c>
      <c r="CS79" s="12">
        <v>1</v>
      </c>
      <c r="CT79" s="12">
        <v>0</v>
      </c>
      <c r="CU79" s="12">
        <v>0</v>
      </c>
      <c r="CV79" s="12">
        <v>0</v>
      </c>
      <c r="CW79" s="12">
        <v>0</v>
      </c>
      <c r="CX79" s="12">
        <v>10</v>
      </c>
      <c r="CY79" s="12">
        <v>1</v>
      </c>
      <c r="CZ79" s="12">
        <v>2</v>
      </c>
      <c r="DA79" s="12">
        <v>0</v>
      </c>
      <c r="DB79" s="12">
        <v>1</v>
      </c>
      <c r="DC79" s="12">
        <v>1</v>
      </c>
      <c r="DD79" s="12">
        <v>1</v>
      </c>
      <c r="DE79" s="12">
        <v>2</v>
      </c>
      <c r="DF79" s="12">
        <v>11</v>
      </c>
      <c r="DG79" s="12">
        <v>18</v>
      </c>
      <c r="DH79" s="12">
        <v>1</v>
      </c>
      <c r="DI79" s="12">
        <v>2</v>
      </c>
      <c r="DJ79" s="12">
        <v>3</v>
      </c>
      <c r="DK79" s="12">
        <v>0</v>
      </c>
      <c r="DL79" s="12">
        <v>12</v>
      </c>
      <c r="DM79" s="12">
        <v>13</v>
      </c>
      <c r="DN79" s="12">
        <v>9</v>
      </c>
      <c r="DO79" s="12">
        <v>28</v>
      </c>
      <c r="DP79" s="12">
        <v>1</v>
      </c>
      <c r="DQ79" s="12">
        <v>3</v>
      </c>
      <c r="DR79" s="12">
        <v>0</v>
      </c>
      <c r="DS79" s="12">
        <v>0</v>
      </c>
      <c r="DT79" s="12">
        <v>2</v>
      </c>
      <c r="DU79" s="12">
        <v>22</v>
      </c>
      <c r="DV79" s="12">
        <v>0</v>
      </c>
      <c r="DW79" s="12">
        <v>0</v>
      </c>
      <c r="DX79" s="12">
        <v>64</v>
      </c>
      <c r="DY79" s="12">
        <v>20</v>
      </c>
      <c r="DZ79" s="12">
        <v>45</v>
      </c>
      <c r="EA79" s="16">
        <v>0.44444444444444442</v>
      </c>
      <c r="EB79" s="12">
        <v>5</v>
      </c>
      <c r="EC79" s="12">
        <v>20</v>
      </c>
      <c r="ED79" s="16">
        <v>0.25</v>
      </c>
      <c r="EE79" s="12">
        <v>25</v>
      </c>
      <c r="EF79" s="12">
        <v>65</v>
      </c>
      <c r="EG79" s="16">
        <v>0.38461538461538464</v>
      </c>
      <c r="EH79" s="12">
        <v>9</v>
      </c>
      <c r="EI79" s="12">
        <v>16</v>
      </c>
      <c r="EJ79" s="16">
        <v>0.5625</v>
      </c>
      <c r="EK79" s="12">
        <v>14</v>
      </c>
      <c r="EL79" s="12">
        <v>29</v>
      </c>
      <c r="EM79" s="12">
        <v>43</v>
      </c>
      <c r="EN79" s="12">
        <v>12</v>
      </c>
      <c r="EO79" s="12">
        <v>23</v>
      </c>
      <c r="EP79" s="12">
        <v>24</v>
      </c>
      <c r="EQ79" s="12">
        <v>8</v>
      </c>
      <c r="ER79" s="12">
        <v>14</v>
      </c>
      <c r="ES79" s="12">
        <v>2</v>
      </c>
      <c r="ET79" s="12">
        <v>1</v>
      </c>
      <c r="EU79" s="12">
        <v>68</v>
      </c>
      <c r="EV79" s="12">
        <v>-1</v>
      </c>
      <c r="EW79" s="12">
        <v>71</v>
      </c>
      <c r="EX79" s="12">
        <v>85</v>
      </c>
      <c r="EY79" s="12">
        <v>7</v>
      </c>
      <c r="EZ79" s="12">
        <v>8</v>
      </c>
      <c r="FA79" s="12">
        <v>4</v>
      </c>
      <c r="FB79" s="12">
        <v>0</v>
      </c>
      <c r="FC79" s="12">
        <v>0</v>
      </c>
      <c r="FD79" s="12">
        <v>0</v>
      </c>
      <c r="FE79" s="12">
        <v>0</v>
      </c>
      <c r="FF79" s="12">
        <v>5</v>
      </c>
      <c r="FG79" s="12">
        <v>0</v>
      </c>
      <c r="FH79" s="12">
        <v>3</v>
      </c>
      <c r="FI79" s="12">
        <v>0</v>
      </c>
      <c r="FJ79" s="12">
        <v>0</v>
      </c>
      <c r="FK79" s="12">
        <v>0</v>
      </c>
      <c r="FL79" s="12">
        <v>5</v>
      </c>
      <c r="FM79" s="12">
        <v>1</v>
      </c>
      <c r="FN79" s="12">
        <v>0</v>
      </c>
      <c r="FO79" s="12">
        <v>0</v>
      </c>
      <c r="FP79" s="12">
        <v>0</v>
      </c>
      <c r="FQ79" s="12">
        <v>0</v>
      </c>
      <c r="FR79" s="12">
        <v>9</v>
      </c>
      <c r="FS79" s="12">
        <v>0</v>
      </c>
      <c r="FT79" s="12">
        <v>1</v>
      </c>
      <c r="FU79" s="12">
        <v>0</v>
      </c>
      <c r="FV79" s="12">
        <v>0</v>
      </c>
      <c r="FW79" s="12">
        <v>0</v>
      </c>
      <c r="FX79" s="12">
        <v>14</v>
      </c>
      <c r="FY79" s="12">
        <v>1</v>
      </c>
      <c r="FZ79" s="12">
        <v>5</v>
      </c>
      <c r="GA79" s="12">
        <v>1</v>
      </c>
      <c r="GB79" s="12">
        <v>0</v>
      </c>
      <c r="GC79" s="12">
        <v>0</v>
      </c>
      <c r="GD79" s="12">
        <v>2</v>
      </c>
      <c r="GE79" s="12">
        <v>3</v>
      </c>
      <c r="GF79" s="12">
        <v>6</v>
      </c>
      <c r="GG79" s="12">
        <v>10</v>
      </c>
      <c r="GH79" s="12">
        <v>1</v>
      </c>
      <c r="GI79" s="12">
        <v>1</v>
      </c>
      <c r="GJ79" s="12">
        <v>3</v>
      </c>
      <c r="GK79" s="12">
        <v>0</v>
      </c>
      <c r="GL79" s="12">
        <v>5</v>
      </c>
      <c r="GM79" s="12">
        <v>7</v>
      </c>
      <c r="GN79" s="12">
        <v>14</v>
      </c>
      <c r="GO79" s="12">
        <v>34</v>
      </c>
      <c r="GP79" s="12">
        <v>1</v>
      </c>
      <c r="GQ79" s="12">
        <v>4</v>
      </c>
      <c r="GR79" s="12">
        <v>0</v>
      </c>
      <c r="GS79" s="12">
        <v>0</v>
      </c>
      <c r="GT79" s="12">
        <v>5</v>
      </c>
      <c r="GU79" s="12">
        <v>20</v>
      </c>
      <c r="GV79" s="12">
        <v>0</v>
      </c>
      <c r="GW79" s="12">
        <v>0</v>
      </c>
      <c r="GY79" s="16"/>
    </row>
    <row r="80" spans="2:207" ht="15" customHeight="1" x14ac:dyDescent="0.2">
      <c r="B80" s="12">
        <v>5</v>
      </c>
      <c r="C80" s="12" t="s">
        <v>301</v>
      </c>
      <c r="D80" s="12" t="s">
        <v>273</v>
      </c>
      <c r="E80" s="14" t="s">
        <v>302</v>
      </c>
      <c r="F80" s="14" t="s">
        <v>275</v>
      </c>
      <c r="G80" s="15">
        <v>45225</v>
      </c>
      <c r="H80" s="15" t="s">
        <v>268</v>
      </c>
      <c r="I80" s="12" t="s">
        <v>269</v>
      </c>
      <c r="J80" s="12" t="s">
        <v>270</v>
      </c>
      <c r="K80" s="12">
        <v>200</v>
      </c>
      <c r="L80" s="12">
        <v>107</v>
      </c>
      <c r="M80" s="12">
        <v>31</v>
      </c>
      <c r="N80" s="12">
        <v>49</v>
      </c>
      <c r="O80" s="16">
        <v>0.63265306122448983</v>
      </c>
      <c r="P80" s="12">
        <v>12</v>
      </c>
      <c r="Q80" s="12">
        <v>22</v>
      </c>
      <c r="R80" s="16">
        <v>0.54545454545454541</v>
      </c>
      <c r="S80" s="12">
        <v>43</v>
      </c>
      <c r="T80" s="12">
        <v>71</v>
      </c>
      <c r="U80" s="16">
        <v>0.60563380281690138</v>
      </c>
      <c r="V80" s="12">
        <v>9</v>
      </c>
      <c r="W80" s="12">
        <v>13</v>
      </c>
      <c r="X80" s="16">
        <v>0.69230769230769229</v>
      </c>
      <c r="Y80" s="12">
        <v>14</v>
      </c>
      <c r="Z80" s="12">
        <v>21</v>
      </c>
      <c r="AA80" s="12">
        <v>35</v>
      </c>
      <c r="AB80" s="12">
        <v>23</v>
      </c>
      <c r="AC80" s="12">
        <v>9</v>
      </c>
      <c r="AD80" s="12">
        <v>8</v>
      </c>
      <c r="AE80" s="12">
        <v>1</v>
      </c>
      <c r="AF80" s="12">
        <v>1</v>
      </c>
      <c r="AG80" s="12">
        <v>19</v>
      </c>
      <c r="AH80" s="12">
        <v>19</v>
      </c>
      <c r="AI80" s="17">
        <v>132</v>
      </c>
      <c r="AJ80" s="12">
        <v>28</v>
      </c>
      <c r="AK80" s="12">
        <v>70</v>
      </c>
      <c r="AL80" s="12">
        <v>85</v>
      </c>
      <c r="AM80" s="19">
        <v>1.2588235294117647</v>
      </c>
      <c r="AN80" s="19">
        <v>0.87777777777777777</v>
      </c>
      <c r="AO80" s="18">
        <v>152.85714285714283</v>
      </c>
      <c r="AP80" s="18">
        <v>116.1764705882353</v>
      </c>
      <c r="AQ80" s="18">
        <v>36.680672268907529</v>
      </c>
      <c r="AR80" s="53">
        <v>0.6901408450704225</v>
      </c>
      <c r="AS80" s="53">
        <v>0.70394736842105265</v>
      </c>
      <c r="AT80" s="16">
        <v>9.4117647058823528E-2</v>
      </c>
      <c r="AU80" s="19">
        <v>1.75</v>
      </c>
      <c r="AV80" s="16">
        <v>0.28235294117647058</v>
      </c>
      <c r="AW80" s="19">
        <v>1.5</v>
      </c>
      <c r="AX80" s="16">
        <v>0.2</v>
      </c>
      <c r="AY80" s="19">
        <v>0.70588235294117652</v>
      </c>
      <c r="AZ80" s="16">
        <v>0</v>
      </c>
      <c r="BA80" s="19" t="s">
        <v>269</v>
      </c>
      <c r="BB80" s="16">
        <v>0.25882352941176473</v>
      </c>
      <c r="BC80" s="21">
        <v>1.6363636363636365</v>
      </c>
      <c r="BD80" s="16">
        <v>5.8823529411764705E-2</v>
      </c>
      <c r="BE80" s="16">
        <v>0.10714285714285714</v>
      </c>
      <c r="BF80" s="16">
        <v>0.47916666666666669</v>
      </c>
      <c r="BG80" s="16">
        <v>0.45161290322580644</v>
      </c>
      <c r="BH80" s="16">
        <v>0.75</v>
      </c>
      <c r="BI80" s="16">
        <v>0</v>
      </c>
      <c r="BJ80" s="16">
        <v>0.27380952380952384</v>
      </c>
      <c r="BK80" s="21">
        <v>2.5555555555555554</v>
      </c>
      <c r="BL80" s="16">
        <v>0.51851851851851849</v>
      </c>
      <c r="BM80" s="16">
        <v>0.47368421052631576</v>
      </c>
      <c r="BN80" s="16">
        <v>0.72727272727272729</v>
      </c>
      <c r="BO80" s="16">
        <v>0</v>
      </c>
      <c r="BP80" s="16">
        <v>0.48837209302325579</v>
      </c>
      <c r="BQ80" s="16">
        <v>0.56000000000000005</v>
      </c>
      <c r="BR80" s="16">
        <v>0.34782608695652173</v>
      </c>
      <c r="BS80" s="16">
        <v>0.66666666666666663</v>
      </c>
      <c r="BT80" s="16">
        <v>0.5</v>
      </c>
      <c r="BU80" s="16">
        <v>0.11764705882352941</v>
      </c>
      <c r="BV80" s="16">
        <v>1.4492753623188406E-2</v>
      </c>
      <c r="BW80" s="54">
        <v>4</v>
      </c>
      <c r="BX80" s="54">
        <v>0.57894736842105265</v>
      </c>
      <c r="BY80" s="54">
        <v>0.36842105263157893</v>
      </c>
      <c r="BZ80" s="12">
        <v>14</v>
      </c>
      <c r="CA80" s="12">
        <v>9</v>
      </c>
      <c r="CB80" s="12">
        <v>0</v>
      </c>
      <c r="CC80" s="12">
        <v>0</v>
      </c>
      <c r="CD80" s="12">
        <v>1</v>
      </c>
      <c r="CE80" s="12">
        <v>0</v>
      </c>
      <c r="CF80" s="12">
        <v>4</v>
      </c>
      <c r="CG80" s="12">
        <v>0</v>
      </c>
      <c r="CH80" s="12">
        <v>3</v>
      </c>
      <c r="CI80" s="12">
        <v>1</v>
      </c>
      <c r="CJ80" s="12">
        <v>0</v>
      </c>
      <c r="CK80" s="12">
        <v>0</v>
      </c>
      <c r="CL80" s="12">
        <v>6</v>
      </c>
      <c r="CM80" s="12">
        <v>2</v>
      </c>
      <c r="CN80" s="12">
        <v>0</v>
      </c>
      <c r="CO80" s="12">
        <v>0</v>
      </c>
      <c r="CP80" s="12">
        <v>0</v>
      </c>
      <c r="CQ80" s="12">
        <v>0</v>
      </c>
      <c r="CR80" s="12">
        <v>7</v>
      </c>
      <c r="CS80" s="12">
        <v>1</v>
      </c>
      <c r="CT80" s="12">
        <v>5</v>
      </c>
      <c r="CU80" s="12">
        <v>1</v>
      </c>
      <c r="CV80" s="12">
        <v>0</v>
      </c>
      <c r="CW80" s="12">
        <v>0</v>
      </c>
      <c r="CX80" s="12">
        <v>7</v>
      </c>
      <c r="CY80" s="12">
        <v>1</v>
      </c>
      <c r="CZ80" s="12">
        <v>2</v>
      </c>
      <c r="DA80" s="12">
        <v>0</v>
      </c>
      <c r="DB80" s="12">
        <v>0</v>
      </c>
      <c r="DC80" s="12">
        <v>1</v>
      </c>
      <c r="DD80" s="12">
        <v>2</v>
      </c>
      <c r="DE80" s="12">
        <v>2</v>
      </c>
      <c r="DF80" s="12">
        <v>7</v>
      </c>
      <c r="DG80" s="12">
        <v>10</v>
      </c>
      <c r="DH80" s="12">
        <v>0</v>
      </c>
      <c r="DI80" s="12">
        <v>0</v>
      </c>
      <c r="DJ80" s="12">
        <v>0</v>
      </c>
      <c r="DK80" s="12">
        <v>0</v>
      </c>
      <c r="DL80" s="12">
        <v>7</v>
      </c>
      <c r="DM80" s="12">
        <v>8</v>
      </c>
      <c r="DN80" s="12">
        <v>18</v>
      </c>
      <c r="DO80" s="12">
        <v>24</v>
      </c>
      <c r="DP80" s="12">
        <v>6</v>
      </c>
      <c r="DQ80" s="12">
        <v>17</v>
      </c>
      <c r="DR80" s="12">
        <v>0</v>
      </c>
      <c r="DS80" s="12">
        <v>0</v>
      </c>
      <c r="DT80" s="12">
        <v>12</v>
      </c>
      <c r="DU80" s="12">
        <v>22</v>
      </c>
      <c r="DV80" s="12">
        <v>0</v>
      </c>
      <c r="DW80" s="12">
        <v>0</v>
      </c>
      <c r="DX80" s="12">
        <v>79</v>
      </c>
      <c r="DY80" s="12">
        <v>22</v>
      </c>
      <c r="DZ80" s="12">
        <v>43</v>
      </c>
      <c r="EA80" s="16">
        <v>0.51162790697674421</v>
      </c>
      <c r="EB80" s="12">
        <v>7</v>
      </c>
      <c r="EC80" s="12">
        <v>26</v>
      </c>
      <c r="ED80" s="16">
        <v>0.26923076923076922</v>
      </c>
      <c r="EE80" s="12">
        <v>29</v>
      </c>
      <c r="EF80" s="12">
        <v>69</v>
      </c>
      <c r="EG80" s="16">
        <v>0.42028985507246375</v>
      </c>
      <c r="EH80" s="12">
        <v>14</v>
      </c>
      <c r="EI80" s="12">
        <v>19</v>
      </c>
      <c r="EJ80" s="16">
        <v>0.73684210526315785</v>
      </c>
      <c r="EK80" s="12">
        <v>22</v>
      </c>
      <c r="EL80" s="12">
        <v>13</v>
      </c>
      <c r="EM80" s="12">
        <v>35</v>
      </c>
      <c r="EN80" s="12">
        <v>18</v>
      </c>
      <c r="EO80" s="12">
        <v>20</v>
      </c>
      <c r="EP80" s="12">
        <v>19</v>
      </c>
      <c r="EQ80" s="12">
        <v>4</v>
      </c>
      <c r="ER80" s="12">
        <v>13</v>
      </c>
      <c r="ES80" s="12">
        <v>1</v>
      </c>
      <c r="ET80" s="12">
        <v>1</v>
      </c>
      <c r="EU80" s="12">
        <v>77</v>
      </c>
      <c r="EV80" s="12">
        <v>-28</v>
      </c>
      <c r="EW80" s="12">
        <v>68</v>
      </c>
      <c r="EX80" s="12">
        <v>90</v>
      </c>
      <c r="EY80" s="12">
        <v>1</v>
      </c>
      <c r="EZ80" s="12">
        <v>12</v>
      </c>
      <c r="FA80" s="12">
        <v>5</v>
      </c>
      <c r="FB80" s="12">
        <v>1</v>
      </c>
      <c r="FC80" s="12">
        <v>0</v>
      </c>
      <c r="FD80" s="12">
        <v>0</v>
      </c>
      <c r="FE80" s="12">
        <v>0</v>
      </c>
      <c r="FF80" s="12">
        <v>4</v>
      </c>
      <c r="FG80" s="12">
        <v>1</v>
      </c>
      <c r="FH80" s="12">
        <v>5</v>
      </c>
      <c r="FI80" s="12">
        <v>1</v>
      </c>
      <c r="FJ80" s="12">
        <v>0</v>
      </c>
      <c r="FK80" s="12">
        <v>0</v>
      </c>
      <c r="FL80" s="12">
        <v>12</v>
      </c>
      <c r="FM80" s="12">
        <v>3</v>
      </c>
      <c r="FN80" s="12">
        <v>1</v>
      </c>
      <c r="FO80" s="12">
        <v>0</v>
      </c>
      <c r="FP80" s="12">
        <v>0</v>
      </c>
      <c r="FQ80" s="12">
        <v>0</v>
      </c>
      <c r="FR80" s="12">
        <v>2</v>
      </c>
      <c r="FS80" s="12">
        <v>0</v>
      </c>
      <c r="FT80" s="12">
        <v>7</v>
      </c>
      <c r="FU80" s="12">
        <v>1</v>
      </c>
      <c r="FV80" s="12">
        <v>0</v>
      </c>
      <c r="FW80" s="12">
        <v>0</v>
      </c>
      <c r="FX80" s="12">
        <v>3</v>
      </c>
      <c r="FY80" s="12">
        <v>0</v>
      </c>
      <c r="FZ80" s="12">
        <v>1</v>
      </c>
      <c r="GA80" s="12">
        <v>0</v>
      </c>
      <c r="GB80" s="12">
        <v>0</v>
      </c>
      <c r="GC80" s="12">
        <v>0</v>
      </c>
      <c r="GD80" s="12">
        <v>2</v>
      </c>
      <c r="GE80" s="12">
        <v>3</v>
      </c>
      <c r="GF80" s="12">
        <v>12</v>
      </c>
      <c r="GG80" s="12">
        <v>16</v>
      </c>
      <c r="GH80" s="12">
        <v>0</v>
      </c>
      <c r="GI80" s="12">
        <v>0</v>
      </c>
      <c r="GJ80" s="12">
        <v>0</v>
      </c>
      <c r="GK80" s="12">
        <v>0</v>
      </c>
      <c r="GL80" s="12">
        <v>0</v>
      </c>
      <c r="GM80" s="12">
        <v>0</v>
      </c>
      <c r="GN80" s="12">
        <v>19</v>
      </c>
      <c r="GO80" s="12">
        <v>30</v>
      </c>
      <c r="GP80" s="12">
        <v>3</v>
      </c>
      <c r="GQ80" s="12">
        <v>13</v>
      </c>
      <c r="GR80" s="12">
        <v>0</v>
      </c>
      <c r="GS80" s="12">
        <v>0</v>
      </c>
      <c r="GT80" s="12">
        <v>7</v>
      </c>
      <c r="GU80" s="12">
        <v>26</v>
      </c>
      <c r="GV80" s="12">
        <v>0</v>
      </c>
      <c r="GW80" s="12">
        <v>0</v>
      </c>
      <c r="GY80" s="16"/>
    </row>
    <row r="81" spans="2:207" ht="15" customHeight="1" x14ac:dyDescent="0.2">
      <c r="B81" s="12">
        <v>5</v>
      </c>
      <c r="C81" s="12" t="s">
        <v>273</v>
      </c>
      <c r="D81" s="12" t="s">
        <v>301</v>
      </c>
      <c r="E81" s="14" t="s">
        <v>275</v>
      </c>
      <c r="F81" s="14" t="s">
        <v>302</v>
      </c>
      <c r="G81" s="15">
        <v>45225</v>
      </c>
      <c r="H81" s="15" t="s">
        <v>271</v>
      </c>
      <c r="I81" s="12" t="s">
        <v>269</v>
      </c>
      <c r="J81" s="12" t="s">
        <v>272</v>
      </c>
      <c r="K81" s="12">
        <v>200</v>
      </c>
      <c r="L81" s="12">
        <v>79</v>
      </c>
      <c r="M81" s="12">
        <v>22</v>
      </c>
      <c r="N81" s="12">
        <v>43</v>
      </c>
      <c r="O81" s="16">
        <v>0.51162790697674421</v>
      </c>
      <c r="P81" s="12">
        <v>7</v>
      </c>
      <c r="Q81" s="12">
        <v>26</v>
      </c>
      <c r="R81" s="16">
        <v>0.26923076923076922</v>
      </c>
      <c r="S81" s="12">
        <v>29</v>
      </c>
      <c r="T81" s="12">
        <v>69</v>
      </c>
      <c r="U81" s="16">
        <v>0.42028985507246375</v>
      </c>
      <c r="V81" s="12">
        <v>14</v>
      </c>
      <c r="W81" s="12">
        <v>19</v>
      </c>
      <c r="X81" s="16">
        <v>0.73684210526315785</v>
      </c>
      <c r="Y81" s="12">
        <v>22</v>
      </c>
      <c r="Z81" s="12">
        <v>13</v>
      </c>
      <c r="AA81" s="12">
        <v>35</v>
      </c>
      <c r="AB81" s="12">
        <v>18</v>
      </c>
      <c r="AC81" s="12">
        <v>13</v>
      </c>
      <c r="AD81" s="12">
        <v>4</v>
      </c>
      <c r="AE81" s="12">
        <v>1</v>
      </c>
      <c r="AF81" s="12">
        <v>1</v>
      </c>
      <c r="AG81" s="12">
        <v>19</v>
      </c>
      <c r="AH81" s="12">
        <v>19</v>
      </c>
      <c r="AI81" s="17">
        <v>78</v>
      </c>
      <c r="AJ81" s="12">
        <v>-28</v>
      </c>
      <c r="AK81" s="12">
        <v>68</v>
      </c>
      <c r="AL81" s="12">
        <v>90</v>
      </c>
      <c r="AM81" s="19">
        <v>0.87777777777777777</v>
      </c>
      <c r="AN81" s="19">
        <v>1.2588235294117647</v>
      </c>
      <c r="AO81" s="18">
        <v>116.1764705882353</v>
      </c>
      <c r="AP81" s="18">
        <v>152.85714285714283</v>
      </c>
      <c r="AQ81" s="18">
        <v>-36.680672268907529</v>
      </c>
      <c r="AR81" s="53">
        <v>0.47101449275362317</v>
      </c>
      <c r="AS81" s="53">
        <v>0.51298701298701299</v>
      </c>
      <c r="AT81" s="16">
        <v>0</v>
      </c>
      <c r="AU81" s="19" t="s">
        <v>269</v>
      </c>
      <c r="AV81" s="16">
        <v>0.33333333333333331</v>
      </c>
      <c r="AW81" s="19">
        <v>1.2666666666666666</v>
      </c>
      <c r="AX81" s="16">
        <v>0.14444444444444443</v>
      </c>
      <c r="AY81" s="19">
        <v>0.46153846153846156</v>
      </c>
      <c r="AZ81" s="16">
        <v>0</v>
      </c>
      <c r="BA81" s="19" t="s">
        <v>269</v>
      </c>
      <c r="BB81" s="16">
        <v>0.28888888888888886</v>
      </c>
      <c r="BC81" s="21">
        <v>0.80769230769230771</v>
      </c>
      <c r="BD81" s="16">
        <v>8.8888888888888892E-2</v>
      </c>
      <c r="BE81" s="16">
        <v>0.14444444444444443</v>
      </c>
      <c r="BF81" s="16">
        <v>0.48648648648648651</v>
      </c>
      <c r="BG81" s="16">
        <v>0.54545454545454541</v>
      </c>
      <c r="BH81" s="16">
        <v>0.7142857142857143</v>
      </c>
      <c r="BI81" s="16">
        <v>0.125</v>
      </c>
      <c r="BJ81" s="16">
        <v>0.2</v>
      </c>
      <c r="BK81" s="21">
        <v>1.3846153846153846</v>
      </c>
      <c r="BL81" s="16">
        <v>0.51162790697674421</v>
      </c>
      <c r="BM81" s="16">
        <v>0.44</v>
      </c>
      <c r="BN81" s="16">
        <v>0.65217391304347827</v>
      </c>
      <c r="BO81" s="16">
        <v>0.33333333333333331</v>
      </c>
      <c r="BP81" s="16">
        <v>0.48148148148148145</v>
      </c>
      <c r="BQ81" s="16">
        <v>0.52631578947368418</v>
      </c>
      <c r="BR81" s="16">
        <v>0.27272727272727271</v>
      </c>
      <c r="BS81" s="16">
        <v>1</v>
      </c>
      <c r="BT81" s="16">
        <v>0.5</v>
      </c>
      <c r="BU81" s="16">
        <v>5.7142857142857141E-2</v>
      </c>
      <c r="BV81" s="16">
        <v>1.4084507042253521E-2</v>
      </c>
      <c r="BW81" s="54">
        <v>1</v>
      </c>
      <c r="BX81" s="54">
        <v>0.36842105263157893</v>
      </c>
      <c r="BY81" s="54">
        <v>0.57894736842105265</v>
      </c>
      <c r="BZ81" s="12">
        <v>12</v>
      </c>
      <c r="CA81" s="12">
        <v>5</v>
      </c>
      <c r="CB81" s="12">
        <v>1</v>
      </c>
      <c r="CC81" s="12">
        <v>0</v>
      </c>
      <c r="CD81" s="12">
        <v>0</v>
      </c>
      <c r="CE81" s="12">
        <v>0</v>
      </c>
      <c r="CF81" s="12">
        <v>4</v>
      </c>
      <c r="CG81" s="12">
        <v>1</v>
      </c>
      <c r="CH81" s="12">
        <v>5</v>
      </c>
      <c r="CI81" s="12">
        <v>1</v>
      </c>
      <c r="CJ81" s="12">
        <v>0</v>
      </c>
      <c r="CK81" s="12">
        <v>0</v>
      </c>
      <c r="CL81" s="12">
        <v>12</v>
      </c>
      <c r="CM81" s="12">
        <v>3</v>
      </c>
      <c r="CN81" s="12">
        <v>1</v>
      </c>
      <c r="CO81" s="12">
        <v>0</v>
      </c>
      <c r="CP81" s="12">
        <v>0</v>
      </c>
      <c r="CQ81" s="12">
        <v>0</v>
      </c>
      <c r="CR81" s="12">
        <v>2</v>
      </c>
      <c r="CS81" s="12">
        <v>0</v>
      </c>
      <c r="CT81" s="12">
        <v>7</v>
      </c>
      <c r="CU81" s="12">
        <v>1</v>
      </c>
      <c r="CV81" s="12">
        <v>0</v>
      </c>
      <c r="CW81" s="12">
        <v>0</v>
      </c>
      <c r="CX81" s="12">
        <v>3</v>
      </c>
      <c r="CY81" s="12">
        <v>0</v>
      </c>
      <c r="CZ81" s="12">
        <v>1</v>
      </c>
      <c r="DA81" s="12">
        <v>0</v>
      </c>
      <c r="DB81" s="12">
        <v>0</v>
      </c>
      <c r="DC81" s="12">
        <v>0</v>
      </c>
      <c r="DD81" s="12">
        <v>2</v>
      </c>
      <c r="DE81" s="12">
        <v>3</v>
      </c>
      <c r="DF81" s="12">
        <v>12</v>
      </c>
      <c r="DG81" s="12">
        <v>16</v>
      </c>
      <c r="DH81" s="12">
        <v>0</v>
      </c>
      <c r="DI81" s="12">
        <v>0</v>
      </c>
      <c r="DJ81" s="12">
        <v>0</v>
      </c>
      <c r="DK81" s="12">
        <v>0</v>
      </c>
      <c r="DL81" s="12">
        <v>0</v>
      </c>
      <c r="DM81" s="12">
        <v>0</v>
      </c>
      <c r="DN81" s="12">
        <v>19</v>
      </c>
      <c r="DO81" s="12">
        <v>30</v>
      </c>
      <c r="DP81" s="12">
        <v>3</v>
      </c>
      <c r="DQ81" s="12">
        <v>13</v>
      </c>
      <c r="DR81" s="12">
        <v>0</v>
      </c>
      <c r="DS81" s="12">
        <v>0</v>
      </c>
      <c r="DT81" s="12">
        <v>7</v>
      </c>
      <c r="DU81" s="12">
        <v>26</v>
      </c>
      <c r="DV81" s="12">
        <v>0</v>
      </c>
      <c r="DW81" s="12">
        <v>0</v>
      </c>
      <c r="DX81" s="12">
        <v>107</v>
      </c>
      <c r="DY81" s="12">
        <v>31</v>
      </c>
      <c r="DZ81" s="12">
        <v>49</v>
      </c>
      <c r="EA81" s="16">
        <v>0.63265306122448983</v>
      </c>
      <c r="EB81" s="12">
        <v>12</v>
      </c>
      <c r="EC81" s="12">
        <v>22</v>
      </c>
      <c r="ED81" s="16">
        <v>0.54545454545454541</v>
      </c>
      <c r="EE81" s="12">
        <v>43</v>
      </c>
      <c r="EF81" s="12">
        <v>71</v>
      </c>
      <c r="EG81" s="16">
        <v>0.60563380281690138</v>
      </c>
      <c r="EH81" s="12">
        <v>9</v>
      </c>
      <c r="EI81" s="12">
        <v>13</v>
      </c>
      <c r="EJ81" s="16">
        <v>0.69230769230769229</v>
      </c>
      <c r="EK81" s="12">
        <v>14</v>
      </c>
      <c r="EL81" s="12">
        <v>21</v>
      </c>
      <c r="EM81" s="12">
        <v>35</v>
      </c>
      <c r="EN81" s="12">
        <v>23</v>
      </c>
      <c r="EO81" s="12">
        <v>19</v>
      </c>
      <c r="EP81" s="12">
        <v>19</v>
      </c>
      <c r="EQ81" s="12">
        <v>8</v>
      </c>
      <c r="ER81" s="12">
        <v>9</v>
      </c>
      <c r="ES81" s="12">
        <v>1</v>
      </c>
      <c r="ET81" s="12">
        <v>1</v>
      </c>
      <c r="EU81" s="12">
        <v>132</v>
      </c>
      <c r="EV81" s="12">
        <v>28</v>
      </c>
      <c r="EW81" s="12">
        <v>70</v>
      </c>
      <c r="EX81" s="12">
        <v>85</v>
      </c>
      <c r="EY81" s="12">
        <v>4</v>
      </c>
      <c r="EZ81" s="12">
        <v>14</v>
      </c>
      <c r="FA81" s="12">
        <v>9</v>
      </c>
      <c r="FB81" s="12">
        <v>0</v>
      </c>
      <c r="FC81" s="12">
        <v>0</v>
      </c>
      <c r="FD81" s="12">
        <v>1</v>
      </c>
      <c r="FE81" s="12">
        <v>0</v>
      </c>
      <c r="FF81" s="12">
        <v>4</v>
      </c>
      <c r="FG81" s="12">
        <v>0</v>
      </c>
      <c r="FH81" s="12">
        <v>3</v>
      </c>
      <c r="FI81" s="12">
        <v>1</v>
      </c>
      <c r="FJ81" s="12">
        <v>0</v>
      </c>
      <c r="FK81" s="12">
        <v>0</v>
      </c>
      <c r="FL81" s="12">
        <v>6</v>
      </c>
      <c r="FM81" s="12">
        <v>2</v>
      </c>
      <c r="FN81" s="12">
        <v>0</v>
      </c>
      <c r="FO81" s="12">
        <v>0</v>
      </c>
      <c r="FP81" s="12">
        <v>0</v>
      </c>
      <c r="FQ81" s="12">
        <v>0</v>
      </c>
      <c r="FR81" s="12">
        <v>7</v>
      </c>
      <c r="FS81" s="12">
        <v>1</v>
      </c>
      <c r="FT81" s="12">
        <v>5</v>
      </c>
      <c r="FU81" s="12">
        <v>1</v>
      </c>
      <c r="FV81" s="12">
        <v>0</v>
      </c>
      <c r="FW81" s="12">
        <v>0</v>
      </c>
      <c r="FX81" s="12">
        <v>7</v>
      </c>
      <c r="FY81" s="12">
        <v>1</v>
      </c>
      <c r="FZ81" s="12">
        <v>2</v>
      </c>
      <c r="GA81" s="12">
        <v>0</v>
      </c>
      <c r="GB81" s="12">
        <v>0</v>
      </c>
      <c r="GC81" s="12">
        <v>1</v>
      </c>
      <c r="GD81" s="12">
        <v>2</v>
      </c>
      <c r="GE81" s="12">
        <v>2</v>
      </c>
      <c r="GF81" s="12">
        <v>7</v>
      </c>
      <c r="GG81" s="12">
        <v>10</v>
      </c>
      <c r="GH81" s="12">
        <v>0</v>
      </c>
      <c r="GI81" s="12">
        <v>0</v>
      </c>
      <c r="GJ81" s="12">
        <v>0</v>
      </c>
      <c r="GK81" s="12">
        <v>0</v>
      </c>
      <c r="GL81" s="12">
        <v>7</v>
      </c>
      <c r="GM81" s="12">
        <v>8</v>
      </c>
      <c r="GN81" s="12">
        <v>18</v>
      </c>
      <c r="GO81" s="12">
        <v>24</v>
      </c>
      <c r="GP81" s="12">
        <v>6</v>
      </c>
      <c r="GQ81" s="12">
        <v>17</v>
      </c>
      <c r="GR81" s="12">
        <v>0</v>
      </c>
      <c r="GS81" s="12">
        <v>0</v>
      </c>
      <c r="GT81" s="12">
        <v>12</v>
      </c>
      <c r="GU81" s="12">
        <v>22</v>
      </c>
      <c r="GV81" s="12">
        <v>0</v>
      </c>
      <c r="GW81" s="12">
        <v>0</v>
      </c>
      <c r="GY81" s="16"/>
    </row>
    <row r="82" spans="2:207" ht="15" customHeight="1" x14ac:dyDescent="0.2">
      <c r="B82" s="12">
        <v>5</v>
      </c>
      <c r="C82" s="12" t="s">
        <v>277</v>
      </c>
      <c r="D82" s="12" t="s">
        <v>293</v>
      </c>
      <c r="E82" s="14" t="s">
        <v>279</v>
      </c>
      <c r="F82" s="14" t="s">
        <v>295</v>
      </c>
      <c r="G82" s="15">
        <v>45225</v>
      </c>
      <c r="H82" s="15" t="s">
        <v>271</v>
      </c>
      <c r="I82" s="12" t="s">
        <v>269</v>
      </c>
      <c r="J82" s="12" t="s">
        <v>272</v>
      </c>
      <c r="K82" s="12">
        <v>200</v>
      </c>
      <c r="L82" s="12">
        <v>57</v>
      </c>
      <c r="M82" s="12">
        <v>15</v>
      </c>
      <c r="N82" s="12">
        <v>33</v>
      </c>
      <c r="O82" s="16">
        <v>0.45454545454545453</v>
      </c>
      <c r="P82" s="12">
        <v>8</v>
      </c>
      <c r="Q82" s="12">
        <v>31</v>
      </c>
      <c r="R82" s="16">
        <v>0.25806451612903225</v>
      </c>
      <c r="S82" s="12">
        <v>23</v>
      </c>
      <c r="T82" s="12">
        <v>64</v>
      </c>
      <c r="U82" s="16">
        <v>0.359375</v>
      </c>
      <c r="V82" s="12">
        <v>3</v>
      </c>
      <c r="W82" s="12">
        <v>4</v>
      </c>
      <c r="X82" s="16">
        <v>0.75</v>
      </c>
      <c r="Y82" s="12">
        <v>12</v>
      </c>
      <c r="Z82" s="12">
        <v>23</v>
      </c>
      <c r="AA82" s="12">
        <v>35</v>
      </c>
      <c r="AB82" s="12">
        <v>14</v>
      </c>
      <c r="AC82" s="12">
        <v>10</v>
      </c>
      <c r="AD82" s="12">
        <v>5</v>
      </c>
      <c r="AE82" s="12">
        <v>3</v>
      </c>
      <c r="AF82" s="12">
        <v>1</v>
      </c>
      <c r="AG82" s="12">
        <v>17</v>
      </c>
      <c r="AH82" s="12">
        <v>15</v>
      </c>
      <c r="AI82" s="17">
        <v>59</v>
      </c>
      <c r="AJ82" s="12">
        <v>-18</v>
      </c>
      <c r="AK82" s="12">
        <v>64</v>
      </c>
      <c r="AL82" s="12">
        <v>76</v>
      </c>
      <c r="AM82" s="19">
        <v>0.75</v>
      </c>
      <c r="AN82" s="19">
        <v>1</v>
      </c>
      <c r="AO82" s="18">
        <v>89.0625</v>
      </c>
      <c r="AP82" s="18">
        <v>113.63636363636364</v>
      </c>
      <c r="AQ82" s="18">
        <v>-24.57386363636364</v>
      </c>
      <c r="AR82" s="53">
        <v>0.421875</v>
      </c>
      <c r="AS82" s="53">
        <v>0.43181818181818182</v>
      </c>
      <c r="AT82" s="16">
        <v>9.2105263157894732E-2</v>
      </c>
      <c r="AU82" s="19">
        <v>1.7142857142857142</v>
      </c>
      <c r="AV82" s="16">
        <v>0.21052631578947367</v>
      </c>
      <c r="AW82" s="19">
        <v>0.75</v>
      </c>
      <c r="AX82" s="16">
        <v>0.13157894736842105</v>
      </c>
      <c r="AY82" s="19">
        <v>0.6</v>
      </c>
      <c r="AZ82" s="16">
        <v>9.2105263157894732E-2</v>
      </c>
      <c r="BA82" s="19">
        <v>0.8571428571428571</v>
      </c>
      <c r="BB82" s="16">
        <v>0.31578947368421051</v>
      </c>
      <c r="BC82" s="21">
        <v>0.75</v>
      </c>
      <c r="BD82" s="16">
        <v>2.6315789473684209E-2</v>
      </c>
      <c r="BE82" s="16">
        <v>0.13157894736842105</v>
      </c>
      <c r="BF82" s="16">
        <v>0.56000000000000005</v>
      </c>
      <c r="BG82" s="16">
        <v>0.46666666666666667</v>
      </c>
      <c r="BH82" s="16">
        <v>0.875</v>
      </c>
      <c r="BI82" s="16">
        <v>0</v>
      </c>
      <c r="BJ82" s="16">
        <v>0.18421052631578946</v>
      </c>
      <c r="BK82" s="21">
        <v>1.4</v>
      </c>
      <c r="BL82" s="16">
        <v>0.2857142857142857</v>
      </c>
      <c r="BM82" s="16">
        <v>0.31578947368421051</v>
      </c>
      <c r="BN82" s="16">
        <v>0.25</v>
      </c>
      <c r="BO82" s="16">
        <v>0</v>
      </c>
      <c r="BP82" s="16">
        <v>0.71875</v>
      </c>
      <c r="BQ82" s="16">
        <v>0.83333333333333337</v>
      </c>
      <c r="BR82" s="16">
        <v>0.57894736842105265</v>
      </c>
      <c r="BS82" s="16">
        <v>1</v>
      </c>
      <c r="BT82" s="16">
        <v>0.47297297297297297</v>
      </c>
      <c r="BU82" s="16">
        <v>7.575757575757576E-2</v>
      </c>
      <c r="BV82" s="16">
        <v>0.05</v>
      </c>
      <c r="BW82" s="54">
        <v>3</v>
      </c>
      <c r="BX82" s="54">
        <v>0.29411764705882354</v>
      </c>
      <c r="BY82" s="54">
        <v>0.13333333333333333</v>
      </c>
      <c r="BZ82" s="12">
        <v>7</v>
      </c>
      <c r="CA82" s="12">
        <v>7</v>
      </c>
      <c r="CB82" s="12">
        <v>0</v>
      </c>
      <c r="CC82" s="12">
        <v>0</v>
      </c>
      <c r="CD82" s="12">
        <v>0</v>
      </c>
      <c r="CE82" s="12">
        <v>0</v>
      </c>
      <c r="CF82" s="12">
        <v>3</v>
      </c>
      <c r="CG82" s="12">
        <v>0</v>
      </c>
      <c r="CH82" s="12">
        <v>3</v>
      </c>
      <c r="CI82" s="12">
        <v>0</v>
      </c>
      <c r="CJ82" s="12">
        <v>1</v>
      </c>
      <c r="CK82" s="12">
        <v>0</v>
      </c>
      <c r="CL82" s="12">
        <v>5</v>
      </c>
      <c r="CM82" s="12">
        <v>0</v>
      </c>
      <c r="CN82" s="12">
        <v>0</v>
      </c>
      <c r="CO82" s="12">
        <v>0</v>
      </c>
      <c r="CP82" s="12">
        <v>2</v>
      </c>
      <c r="CQ82" s="12">
        <v>0</v>
      </c>
      <c r="CR82" s="12">
        <v>7</v>
      </c>
      <c r="CS82" s="12">
        <v>0</v>
      </c>
      <c r="CT82" s="12">
        <v>1</v>
      </c>
      <c r="CU82" s="12">
        <v>0</v>
      </c>
      <c r="CV82" s="12">
        <v>2</v>
      </c>
      <c r="CW82" s="12">
        <v>1</v>
      </c>
      <c r="CX82" s="12">
        <v>8</v>
      </c>
      <c r="CY82" s="12">
        <v>0</v>
      </c>
      <c r="CZ82" s="12">
        <v>3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3</v>
      </c>
      <c r="DG82" s="12">
        <v>4</v>
      </c>
      <c r="DH82" s="12">
        <v>0</v>
      </c>
      <c r="DI82" s="12">
        <v>0</v>
      </c>
      <c r="DJ82" s="12">
        <v>0</v>
      </c>
      <c r="DK82" s="12">
        <v>0</v>
      </c>
      <c r="DL82" s="12">
        <v>6</v>
      </c>
      <c r="DM82" s="12">
        <v>7</v>
      </c>
      <c r="DN82" s="12">
        <v>6</v>
      </c>
      <c r="DO82" s="12">
        <v>16</v>
      </c>
      <c r="DP82" s="12">
        <v>3</v>
      </c>
      <c r="DQ82" s="12">
        <v>10</v>
      </c>
      <c r="DR82" s="12">
        <v>2</v>
      </c>
      <c r="DS82" s="12">
        <v>7</v>
      </c>
      <c r="DT82" s="12">
        <v>6</v>
      </c>
      <c r="DU82" s="12">
        <v>24</v>
      </c>
      <c r="DV82" s="12">
        <v>0</v>
      </c>
      <c r="DW82" s="12">
        <v>0</v>
      </c>
      <c r="DX82" s="12">
        <v>75</v>
      </c>
      <c r="DY82" s="12">
        <v>22</v>
      </c>
      <c r="DZ82" s="12">
        <v>34</v>
      </c>
      <c r="EA82" s="16">
        <v>0.6470588235294118</v>
      </c>
      <c r="EB82" s="12">
        <v>8</v>
      </c>
      <c r="EC82" s="12">
        <v>26</v>
      </c>
      <c r="ED82" s="16">
        <v>0.30769230769230771</v>
      </c>
      <c r="EE82" s="12">
        <v>30</v>
      </c>
      <c r="EF82" s="12">
        <v>60</v>
      </c>
      <c r="EG82" s="16">
        <v>0.5</v>
      </c>
      <c r="EH82" s="12">
        <v>7</v>
      </c>
      <c r="EI82" s="12">
        <v>10</v>
      </c>
      <c r="EJ82" s="16">
        <v>0.7</v>
      </c>
      <c r="EK82" s="12">
        <v>9</v>
      </c>
      <c r="EL82" s="12">
        <v>30</v>
      </c>
      <c r="EM82" s="12">
        <v>39</v>
      </c>
      <c r="EN82" s="12">
        <v>21</v>
      </c>
      <c r="EO82" s="12">
        <v>15</v>
      </c>
      <c r="EP82" s="12">
        <v>17</v>
      </c>
      <c r="EQ82" s="12">
        <v>7</v>
      </c>
      <c r="ER82" s="12">
        <v>10</v>
      </c>
      <c r="ES82" s="12">
        <v>1</v>
      </c>
      <c r="ET82" s="12">
        <v>3</v>
      </c>
      <c r="EU82" s="12">
        <v>99</v>
      </c>
      <c r="EV82" s="12">
        <v>18</v>
      </c>
      <c r="EW82" s="12">
        <v>66</v>
      </c>
      <c r="EX82" s="12">
        <v>75</v>
      </c>
      <c r="EY82" s="12">
        <v>7</v>
      </c>
      <c r="EZ82" s="12">
        <v>12</v>
      </c>
      <c r="FA82" s="12">
        <v>7</v>
      </c>
      <c r="FB82" s="12">
        <v>2</v>
      </c>
      <c r="FC82" s="12">
        <v>2</v>
      </c>
      <c r="FD82" s="12">
        <v>0</v>
      </c>
      <c r="FE82" s="12">
        <v>0</v>
      </c>
      <c r="FF82" s="12">
        <v>1</v>
      </c>
      <c r="FG82" s="12">
        <v>0</v>
      </c>
      <c r="FH82" s="12">
        <v>1</v>
      </c>
      <c r="FI82" s="12">
        <v>0</v>
      </c>
      <c r="FJ82" s="12">
        <v>3</v>
      </c>
      <c r="FK82" s="12">
        <v>0</v>
      </c>
      <c r="FL82" s="12">
        <v>4</v>
      </c>
      <c r="FM82" s="12">
        <v>1</v>
      </c>
      <c r="FN82" s="12">
        <v>0</v>
      </c>
      <c r="FO82" s="12">
        <v>0</v>
      </c>
      <c r="FP82" s="12">
        <v>1</v>
      </c>
      <c r="FQ82" s="12">
        <v>0</v>
      </c>
      <c r="FR82" s="12">
        <v>7</v>
      </c>
      <c r="FS82" s="12">
        <v>1</v>
      </c>
      <c r="FT82" s="12">
        <v>4</v>
      </c>
      <c r="FU82" s="12">
        <v>0</v>
      </c>
      <c r="FV82" s="12">
        <v>4</v>
      </c>
      <c r="FW82" s="12">
        <v>0</v>
      </c>
      <c r="FX82" s="12">
        <v>13</v>
      </c>
      <c r="FY82" s="12">
        <v>1</v>
      </c>
      <c r="FZ82" s="12">
        <v>1</v>
      </c>
      <c r="GA82" s="12">
        <v>0</v>
      </c>
      <c r="GB82" s="12">
        <v>0</v>
      </c>
      <c r="GC82" s="12">
        <v>0</v>
      </c>
      <c r="GD82" s="12">
        <v>0</v>
      </c>
      <c r="GE82" s="12">
        <v>0</v>
      </c>
      <c r="GF82" s="12">
        <v>7</v>
      </c>
      <c r="GG82" s="12">
        <v>10</v>
      </c>
      <c r="GH82" s="12">
        <v>0</v>
      </c>
      <c r="GI82" s="12">
        <v>0</v>
      </c>
      <c r="GJ82" s="12">
        <v>0</v>
      </c>
      <c r="GK82" s="12">
        <v>0</v>
      </c>
      <c r="GL82" s="12">
        <v>15</v>
      </c>
      <c r="GM82" s="12">
        <v>17</v>
      </c>
      <c r="GN82" s="12">
        <v>7</v>
      </c>
      <c r="GO82" s="12">
        <v>15</v>
      </c>
      <c r="GP82" s="12">
        <v>0</v>
      </c>
      <c r="GQ82" s="12">
        <v>2</v>
      </c>
      <c r="GR82" s="12">
        <v>2</v>
      </c>
      <c r="GS82" s="12">
        <v>7</v>
      </c>
      <c r="GT82" s="12">
        <v>6</v>
      </c>
      <c r="GU82" s="12">
        <v>19</v>
      </c>
      <c r="GV82" s="12">
        <v>0</v>
      </c>
      <c r="GW82" s="12">
        <v>0</v>
      </c>
      <c r="GY82" s="16"/>
    </row>
    <row r="83" spans="2:207" ht="15" customHeight="1" x14ac:dyDescent="0.2">
      <c r="B83" s="12">
        <v>5</v>
      </c>
      <c r="C83" s="12" t="s">
        <v>293</v>
      </c>
      <c r="D83" s="12" t="s">
        <v>277</v>
      </c>
      <c r="E83" s="14" t="s">
        <v>295</v>
      </c>
      <c r="F83" s="14" t="s">
        <v>279</v>
      </c>
      <c r="G83" s="15">
        <v>45225</v>
      </c>
      <c r="H83" s="15" t="s">
        <v>268</v>
      </c>
      <c r="I83" s="12" t="s">
        <v>269</v>
      </c>
      <c r="J83" s="12" t="s">
        <v>270</v>
      </c>
      <c r="K83" s="12">
        <v>200</v>
      </c>
      <c r="L83" s="12">
        <v>75</v>
      </c>
      <c r="M83" s="12">
        <v>22</v>
      </c>
      <c r="N83" s="12">
        <v>34</v>
      </c>
      <c r="O83" s="16">
        <v>0.6470588235294118</v>
      </c>
      <c r="P83" s="12">
        <v>8</v>
      </c>
      <c r="Q83" s="12">
        <v>26</v>
      </c>
      <c r="R83" s="16">
        <v>0.30769230769230771</v>
      </c>
      <c r="S83" s="12">
        <v>30</v>
      </c>
      <c r="T83" s="12">
        <v>60</v>
      </c>
      <c r="U83" s="16">
        <v>0.5</v>
      </c>
      <c r="V83" s="12">
        <v>7</v>
      </c>
      <c r="W83" s="12">
        <v>10</v>
      </c>
      <c r="X83" s="16">
        <v>0.7</v>
      </c>
      <c r="Y83" s="12">
        <v>9</v>
      </c>
      <c r="Z83" s="12">
        <v>30</v>
      </c>
      <c r="AA83" s="12">
        <v>39</v>
      </c>
      <c r="AB83" s="12">
        <v>21</v>
      </c>
      <c r="AC83" s="12">
        <v>10</v>
      </c>
      <c r="AD83" s="12">
        <v>7</v>
      </c>
      <c r="AE83" s="12">
        <v>1</v>
      </c>
      <c r="AF83" s="12">
        <v>3</v>
      </c>
      <c r="AG83" s="12">
        <v>15</v>
      </c>
      <c r="AH83" s="12">
        <v>17</v>
      </c>
      <c r="AI83" s="17">
        <v>99</v>
      </c>
      <c r="AJ83" s="12">
        <v>18</v>
      </c>
      <c r="AK83" s="12">
        <v>66</v>
      </c>
      <c r="AL83" s="12">
        <v>75</v>
      </c>
      <c r="AM83" s="19">
        <v>1</v>
      </c>
      <c r="AN83" s="19">
        <v>0.75</v>
      </c>
      <c r="AO83" s="18">
        <v>113.63636363636364</v>
      </c>
      <c r="AP83" s="18">
        <v>89.0625</v>
      </c>
      <c r="AQ83" s="18">
        <v>24.57386363636364</v>
      </c>
      <c r="AR83" s="53">
        <v>0.56666666666666665</v>
      </c>
      <c r="AS83" s="53">
        <v>0.57692307692307687</v>
      </c>
      <c r="AT83" s="16">
        <v>0.22666666666666666</v>
      </c>
      <c r="AU83" s="19">
        <v>1.7647058823529411</v>
      </c>
      <c r="AV83" s="16">
        <v>0.2</v>
      </c>
      <c r="AW83" s="19">
        <v>0.93333333333333335</v>
      </c>
      <c r="AX83" s="16">
        <v>2.6666666666666668E-2</v>
      </c>
      <c r="AY83" s="19">
        <v>0</v>
      </c>
      <c r="AZ83" s="16">
        <v>9.3333333333333338E-2</v>
      </c>
      <c r="BA83" s="19">
        <v>0.8571428571428571</v>
      </c>
      <c r="BB83" s="16">
        <v>0.25333333333333335</v>
      </c>
      <c r="BC83" s="21">
        <v>0.94736842105263153</v>
      </c>
      <c r="BD83" s="16">
        <v>6.6666666666666666E-2</v>
      </c>
      <c r="BE83" s="16">
        <v>0.13333333333333333</v>
      </c>
      <c r="BF83" s="16">
        <v>0.6</v>
      </c>
      <c r="BG83" s="16">
        <v>0.54545454545454541</v>
      </c>
      <c r="BH83" s="16">
        <v>0.875</v>
      </c>
      <c r="BI83" s="16">
        <v>0.4</v>
      </c>
      <c r="BJ83" s="16">
        <v>0.28000000000000003</v>
      </c>
      <c r="BK83" s="21">
        <v>2.1</v>
      </c>
      <c r="BL83" s="16">
        <v>0.28125</v>
      </c>
      <c r="BM83" s="16">
        <v>0.16666666666666666</v>
      </c>
      <c r="BN83" s="16">
        <v>0.42105263157894735</v>
      </c>
      <c r="BO83" s="16">
        <v>0</v>
      </c>
      <c r="BP83" s="16">
        <v>0.7142857142857143</v>
      </c>
      <c r="BQ83" s="16">
        <v>0.68421052631578949</v>
      </c>
      <c r="BR83" s="16">
        <v>0.75</v>
      </c>
      <c r="BS83" s="16">
        <v>1</v>
      </c>
      <c r="BT83" s="16">
        <v>0.52702702702702697</v>
      </c>
      <c r="BU83" s="16">
        <v>0.109375</v>
      </c>
      <c r="BV83" s="16">
        <v>1.5625E-2</v>
      </c>
      <c r="BW83" s="54">
        <v>7</v>
      </c>
      <c r="BX83" s="54">
        <v>0.13333333333333333</v>
      </c>
      <c r="BY83" s="54">
        <v>0.29411764705882354</v>
      </c>
      <c r="BZ83" s="12">
        <v>12</v>
      </c>
      <c r="CA83" s="12">
        <v>7</v>
      </c>
      <c r="CB83" s="12">
        <v>2</v>
      </c>
      <c r="CC83" s="12">
        <v>2</v>
      </c>
      <c r="CD83" s="12">
        <v>0</v>
      </c>
      <c r="CE83" s="12">
        <v>0</v>
      </c>
      <c r="CF83" s="12">
        <v>1</v>
      </c>
      <c r="CG83" s="12">
        <v>0</v>
      </c>
      <c r="CH83" s="12">
        <v>1</v>
      </c>
      <c r="CI83" s="12">
        <v>0</v>
      </c>
      <c r="CJ83" s="12">
        <v>3</v>
      </c>
      <c r="CK83" s="12">
        <v>0</v>
      </c>
      <c r="CL83" s="12">
        <v>4</v>
      </c>
      <c r="CM83" s="12">
        <v>1</v>
      </c>
      <c r="CN83" s="12">
        <v>0</v>
      </c>
      <c r="CO83" s="12">
        <v>0</v>
      </c>
      <c r="CP83" s="12">
        <v>1</v>
      </c>
      <c r="CQ83" s="12">
        <v>0</v>
      </c>
      <c r="CR83" s="12">
        <v>7</v>
      </c>
      <c r="CS83" s="12">
        <v>1</v>
      </c>
      <c r="CT83" s="12">
        <v>4</v>
      </c>
      <c r="CU83" s="12">
        <v>0</v>
      </c>
      <c r="CV83" s="12">
        <v>4</v>
      </c>
      <c r="CW83" s="12">
        <v>0</v>
      </c>
      <c r="CX83" s="12">
        <v>13</v>
      </c>
      <c r="CY83" s="12">
        <v>1</v>
      </c>
      <c r="CZ83" s="12">
        <v>1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7</v>
      </c>
      <c r="DG83" s="12">
        <v>10</v>
      </c>
      <c r="DH83" s="12">
        <v>0</v>
      </c>
      <c r="DI83" s="12">
        <v>0</v>
      </c>
      <c r="DJ83" s="12">
        <v>0</v>
      </c>
      <c r="DK83" s="12">
        <v>0</v>
      </c>
      <c r="DL83" s="12">
        <v>15</v>
      </c>
      <c r="DM83" s="12">
        <v>17</v>
      </c>
      <c r="DN83" s="12">
        <v>7</v>
      </c>
      <c r="DO83" s="12">
        <v>15</v>
      </c>
      <c r="DP83" s="12">
        <v>0</v>
      </c>
      <c r="DQ83" s="12">
        <v>2</v>
      </c>
      <c r="DR83" s="12">
        <v>2</v>
      </c>
      <c r="DS83" s="12">
        <v>7</v>
      </c>
      <c r="DT83" s="12">
        <v>6</v>
      </c>
      <c r="DU83" s="12">
        <v>19</v>
      </c>
      <c r="DV83" s="12">
        <v>0</v>
      </c>
      <c r="DW83" s="12">
        <v>0</v>
      </c>
      <c r="DX83" s="12">
        <v>57</v>
      </c>
      <c r="DY83" s="12">
        <v>15</v>
      </c>
      <c r="DZ83" s="12">
        <v>33</v>
      </c>
      <c r="EA83" s="16">
        <v>0.45454545454545453</v>
      </c>
      <c r="EB83" s="12">
        <v>8</v>
      </c>
      <c r="EC83" s="12">
        <v>31</v>
      </c>
      <c r="ED83" s="16">
        <v>0.25806451612903225</v>
      </c>
      <c r="EE83" s="12">
        <v>23</v>
      </c>
      <c r="EF83" s="12">
        <v>64</v>
      </c>
      <c r="EG83" s="16">
        <v>0.359375</v>
      </c>
      <c r="EH83" s="12">
        <v>3</v>
      </c>
      <c r="EI83" s="12">
        <v>4</v>
      </c>
      <c r="EJ83" s="16">
        <v>0.75</v>
      </c>
      <c r="EK83" s="12">
        <v>12</v>
      </c>
      <c r="EL83" s="12">
        <v>23</v>
      </c>
      <c r="EM83" s="12">
        <v>35</v>
      </c>
      <c r="EN83" s="12">
        <v>14</v>
      </c>
      <c r="EO83" s="12">
        <v>17</v>
      </c>
      <c r="EP83" s="12">
        <v>15</v>
      </c>
      <c r="EQ83" s="12">
        <v>5</v>
      </c>
      <c r="ER83" s="12">
        <v>10</v>
      </c>
      <c r="ES83" s="12">
        <v>3</v>
      </c>
      <c r="ET83" s="12">
        <v>1</v>
      </c>
      <c r="EU83" s="12">
        <v>59</v>
      </c>
      <c r="EV83" s="12">
        <v>-18</v>
      </c>
      <c r="EW83" s="12">
        <v>64</v>
      </c>
      <c r="EX83" s="12">
        <v>76</v>
      </c>
      <c r="EY83" s="12">
        <v>3</v>
      </c>
      <c r="EZ83" s="12">
        <v>7</v>
      </c>
      <c r="FA83" s="12">
        <v>7</v>
      </c>
      <c r="FB83" s="12">
        <v>0</v>
      </c>
      <c r="FC83" s="12">
        <v>0</v>
      </c>
      <c r="FD83" s="12">
        <v>0</v>
      </c>
      <c r="FE83" s="12">
        <v>0</v>
      </c>
      <c r="FF83" s="12">
        <v>3</v>
      </c>
      <c r="FG83" s="12">
        <v>0</v>
      </c>
      <c r="FH83" s="12">
        <v>3</v>
      </c>
      <c r="FI83" s="12">
        <v>0</v>
      </c>
      <c r="FJ83" s="12">
        <v>1</v>
      </c>
      <c r="FK83" s="12">
        <v>0</v>
      </c>
      <c r="FL83" s="12">
        <v>5</v>
      </c>
      <c r="FM83" s="12">
        <v>0</v>
      </c>
      <c r="FN83" s="12">
        <v>0</v>
      </c>
      <c r="FO83" s="12">
        <v>0</v>
      </c>
      <c r="FP83" s="12">
        <v>2</v>
      </c>
      <c r="FQ83" s="12">
        <v>0</v>
      </c>
      <c r="FR83" s="12">
        <v>7</v>
      </c>
      <c r="FS83" s="12">
        <v>0</v>
      </c>
      <c r="FT83" s="12">
        <v>1</v>
      </c>
      <c r="FU83" s="12">
        <v>0</v>
      </c>
      <c r="FV83" s="12">
        <v>2</v>
      </c>
      <c r="FW83" s="12">
        <v>1</v>
      </c>
      <c r="FX83" s="12">
        <v>8</v>
      </c>
      <c r="FY83" s="12">
        <v>0</v>
      </c>
      <c r="FZ83" s="12">
        <v>3</v>
      </c>
      <c r="GA83" s="12">
        <v>0</v>
      </c>
      <c r="GB83" s="12">
        <v>0</v>
      </c>
      <c r="GC83" s="12">
        <v>0</v>
      </c>
      <c r="GD83" s="12">
        <v>0</v>
      </c>
      <c r="GE83" s="12">
        <v>0</v>
      </c>
      <c r="GF83" s="12">
        <v>3</v>
      </c>
      <c r="GG83" s="12">
        <v>4</v>
      </c>
      <c r="GH83" s="12">
        <v>0</v>
      </c>
      <c r="GI83" s="12">
        <v>0</v>
      </c>
      <c r="GJ83" s="12">
        <v>0</v>
      </c>
      <c r="GK83" s="12">
        <v>0</v>
      </c>
      <c r="GL83" s="12">
        <v>6</v>
      </c>
      <c r="GM83" s="12">
        <v>7</v>
      </c>
      <c r="GN83" s="12">
        <v>6</v>
      </c>
      <c r="GO83" s="12">
        <v>16</v>
      </c>
      <c r="GP83" s="12">
        <v>3</v>
      </c>
      <c r="GQ83" s="12">
        <v>10</v>
      </c>
      <c r="GR83" s="12">
        <v>2</v>
      </c>
      <c r="GS83" s="12">
        <v>7</v>
      </c>
      <c r="GT83" s="12">
        <v>6</v>
      </c>
      <c r="GU83" s="12">
        <v>24</v>
      </c>
      <c r="GV83" s="12">
        <v>0</v>
      </c>
      <c r="GW83" s="12">
        <v>0</v>
      </c>
      <c r="GY83" s="16"/>
    </row>
    <row r="84" spans="2:207" ht="15" customHeight="1" x14ac:dyDescent="0.2">
      <c r="B84" s="12">
        <v>5</v>
      </c>
      <c r="C84" s="12" t="s">
        <v>93</v>
      </c>
      <c r="D84" s="12" t="s">
        <v>286</v>
      </c>
      <c r="E84" s="14" t="s">
        <v>303</v>
      </c>
      <c r="F84" s="14" t="s">
        <v>288</v>
      </c>
      <c r="G84" s="15">
        <v>45226</v>
      </c>
      <c r="H84" s="15" t="s">
        <v>271</v>
      </c>
      <c r="I84" s="12" t="s">
        <v>269</v>
      </c>
      <c r="J84" s="12" t="s">
        <v>270</v>
      </c>
      <c r="K84" s="12">
        <v>200</v>
      </c>
      <c r="L84" s="12">
        <v>87</v>
      </c>
      <c r="M84" s="12">
        <v>24</v>
      </c>
      <c r="N84" s="12">
        <v>41</v>
      </c>
      <c r="O84" s="16">
        <v>0.58536585365853655</v>
      </c>
      <c r="P84" s="12">
        <v>8</v>
      </c>
      <c r="Q84" s="12">
        <v>19</v>
      </c>
      <c r="R84" s="16">
        <v>0.42105263157894735</v>
      </c>
      <c r="S84" s="12">
        <v>32</v>
      </c>
      <c r="T84" s="12">
        <v>60</v>
      </c>
      <c r="U84" s="16">
        <v>0.53333333333333333</v>
      </c>
      <c r="V84" s="12">
        <v>15</v>
      </c>
      <c r="W84" s="12">
        <v>16</v>
      </c>
      <c r="X84" s="16">
        <v>0.9375</v>
      </c>
      <c r="Y84" s="12">
        <v>4</v>
      </c>
      <c r="Z84" s="12">
        <v>27</v>
      </c>
      <c r="AA84" s="12">
        <v>31</v>
      </c>
      <c r="AB84" s="12">
        <v>15</v>
      </c>
      <c r="AC84" s="12">
        <v>13</v>
      </c>
      <c r="AD84" s="12">
        <v>5</v>
      </c>
      <c r="AE84" s="12">
        <v>2</v>
      </c>
      <c r="AF84" s="12">
        <v>1</v>
      </c>
      <c r="AG84" s="12">
        <v>19</v>
      </c>
      <c r="AH84" s="12">
        <v>16</v>
      </c>
      <c r="AI84" s="17">
        <v>94</v>
      </c>
      <c r="AJ84" s="12">
        <v>15</v>
      </c>
      <c r="AK84" s="12">
        <v>74</v>
      </c>
      <c r="AL84" s="12">
        <v>79</v>
      </c>
      <c r="AM84" s="19">
        <v>1.1012658227848102</v>
      </c>
      <c r="AN84" s="19">
        <v>0.92307692307692313</v>
      </c>
      <c r="AO84" s="18">
        <v>117.56756756756756</v>
      </c>
      <c r="AP84" s="18">
        <v>100</v>
      </c>
      <c r="AQ84" s="18">
        <v>17.567567567567565</v>
      </c>
      <c r="AR84" s="53">
        <v>0.6</v>
      </c>
      <c r="AS84" s="53">
        <v>0.65909090909090906</v>
      </c>
      <c r="AT84" s="16">
        <v>0.15189873417721519</v>
      </c>
      <c r="AU84" s="19">
        <v>1.8333333333333333</v>
      </c>
      <c r="AV84" s="16">
        <v>0.16455696202531644</v>
      </c>
      <c r="AW84" s="19">
        <v>0.92307692307692313</v>
      </c>
      <c r="AX84" s="16">
        <v>0.20253164556962025</v>
      </c>
      <c r="AY84" s="19">
        <v>0.875</v>
      </c>
      <c r="AZ84" s="16">
        <v>6.3291139240506333E-2</v>
      </c>
      <c r="BA84" s="19">
        <v>1.2</v>
      </c>
      <c r="BB84" s="16">
        <v>0.17721518987341772</v>
      </c>
      <c r="BC84" s="21">
        <v>1.2857142857142858</v>
      </c>
      <c r="BD84" s="16">
        <v>7.5949367088607597E-2</v>
      </c>
      <c r="BE84" s="16">
        <v>0.16666666666666666</v>
      </c>
      <c r="BF84" s="16">
        <v>0.39473684210526316</v>
      </c>
      <c r="BG84" s="16">
        <v>0.29166666666666669</v>
      </c>
      <c r="BH84" s="16">
        <v>0.5</v>
      </c>
      <c r="BI84" s="16">
        <v>0.66666666666666663</v>
      </c>
      <c r="BJ84" s="16">
        <v>0.19230769230769232</v>
      </c>
      <c r="BK84" s="21">
        <v>1.1538461538461537</v>
      </c>
      <c r="BL84" s="16">
        <v>0.16</v>
      </c>
      <c r="BM84" s="16">
        <v>0.17647058823529413</v>
      </c>
      <c r="BN84" s="16">
        <v>0.23076923076923078</v>
      </c>
      <c r="BO84" s="16" t="s">
        <v>269</v>
      </c>
      <c r="BP84" s="16">
        <v>0.81818181818181823</v>
      </c>
      <c r="BQ84" s="16">
        <v>1</v>
      </c>
      <c r="BR84" s="16">
        <v>0.69565217391304346</v>
      </c>
      <c r="BS84" s="16">
        <v>0</v>
      </c>
      <c r="BT84" s="16">
        <v>0.53448275862068961</v>
      </c>
      <c r="BU84" s="16">
        <v>6.9444444444444448E-2</v>
      </c>
      <c r="BV84" s="16">
        <v>3.3898305084745763E-2</v>
      </c>
      <c r="BW84" s="54">
        <v>5</v>
      </c>
      <c r="BX84" s="54">
        <v>0.42105263157894735</v>
      </c>
      <c r="BY84" s="54">
        <v>0.5</v>
      </c>
      <c r="BZ84" s="12">
        <v>7</v>
      </c>
      <c r="CA84" s="12">
        <v>4</v>
      </c>
      <c r="CB84" s="12">
        <v>4</v>
      </c>
      <c r="CC84" s="12">
        <v>9</v>
      </c>
      <c r="CD84" s="12">
        <v>0</v>
      </c>
      <c r="CE84" s="12">
        <v>0</v>
      </c>
      <c r="CF84" s="12">
        <v>1</v>
      </c>
      <c r="CG84" s="12">
        <v>1</v>
      </c>
      <c r="CH84" s="12">
        <v>1</v>
      </c>
      <c r="CI84" s="12">
        <v>0</v>
      </c>
      <c r="CJ84" s="12">
        <v>0</v>
      </c>
      <c r="CK84" s="12">
        <v>0</v>
      </c>
      <c r="CL84" s="12">
        <v>2</v>
      </c>
      <c r="CM84" s="12">
        <v>1</v>
      </c>
      <c r="CN84" s="12">
        <v>0</v>
      </c>
      <c r="CO84" s="12">
        <v>0</v>
      </c>
      <c r="CP84" s="12">
        <v>1</v>
      </c>
      <c r="CQ84" s="12">
        <v>0</v>
      </c>
      <c r="CR84" s="12">
        <v>6</v>
      </c>
      <c r="CS84" s="12">
        <v>0</v>
      </c>
      <c r="CT84" s="12">
        <v>4</v>
      </c>
      <c r="CU84" s="12">
        <v>1</v>
      </c>
      <c r="CV84" s="12">
        <v>1</v>
      </c>
      <c r="CW84" s="12">
        <v>0</v>
      </c>
      <c r="CX84" s="12">
        <v>15</v>
      </c>
      <c r="CY84" s="12">
        <v>0</v>
      </c>
      <c r="CZ84" s="12">
        <v>0</v>
      </c>
      <c r="DA84" s="12">
        <v>0</v>
      </c>
      <c r="DB84" s="12">
        <v>1</v>
      </c>
      <c r="DC84" s="12">
        <v>1</v>
      </c>
      <c r="DD84" s="12">
        <v>2</v>
      </c>
      <c r="DE84" s="12">
        <v>2</v>
      </c>
      <c r="DF84" s="12">
        <v>9</v>
      </c>
      <c r="DG84" s="12">
        <v>10</v>
      </c>
      <c r="DH84" s="12">
        <v>0</v>
      </c>
      <c r="DI84" s="12">
        <v>3</v>
      </c>
      <c r="DJ84" s="12">
        <v>3</v>
      </c>
      <c r="DK84" s="12">
        <v>0</v>
      </c>
      <c r="DL84" s="12">
        <v>11</v>
      </c>
      <c r="DM84" s="12">
        <v>12</v>
      </c>
      <c r="DN84" s="12">
        <v>6</v>
      </c>
      <c r="DO84" s="12">
        <v>13</v>
      </c>
      <c r="DP84" s="12">
        <v>7</v>
      </c>
      <c r="DQ84" s="12">
        <v>16</v>
      </c>
      <c r="DR84" s="12">
        <v>2</v>
      </c>
      <c r="DS84" s="12">
        <v>5</v>
      </c>
      <c r="DT84" s="12">
        <v>6</v>
      </c>
      <c r="DU84" s="12">
        <v>14</v>
      </c>
      <c r="DV84" s="12">
        <v>0</v>
      </c>
      <c r="DW84" s="12">
        <v>0</v>
      </c>
      <c r="DX84" s="12">
        <v>72</v>
      </c>
      <c r="DY84" s="12">
        <v>20</v>
      </c>
      <c r="DZ84" s="12">
        <v>31</v>
      </c>
      <c r="EA84" s="16">
        <v>0.64516129032258063</v>
      </c>
      <c r="EB84" s="12">
        <v>7</v>
      </c>
      <c r="EC84" s="12">
        <v>28</v>
      </c>
      <c r="ED84" s="16">
        <v>0.25</v>
      </c>
      <c r="EE84" s="12">
        <v>27</v>
      </c>
      <c r="EF84" s="12">
        <v>59</v>
      </c>
      <c r="EG84" s="16">
        <v>0.4576271186440678</v>
      </c>
      <c r="EH84" s="12">
        <v>11</v>
      </c>
      <c r="EI84" s="12">
        <v>13</v>
      </c>
      <c r="EJ84" s="16">
        <v>0.84615384615384615</v>
      </c>
      <c r="EK84" s="12">
        <v>6</v>
      </c>
      <c r="EL84" s="12">
        <v>21</v>
      </c>
      <c r="EM84" s="12">
        <v>27</v>
      </c>
      <c r="EN84" s="12">
        <v>15</v>
      </c>
      <c r="EO84" s="12">
        <v>17</v>
      </c>
      <c r="EP84" s="12">
        <v>19</v>
      </c>
      <c r="EQ84" s="12">
        <v>7</v>
      </c>
      <c r="ER84" s="12">
        <v>14</v>
      </c>
      <c r="ES84" s="12">
        <v>1</v>
      </c>
      <c r="ET84" s="12">
        <v>2</v>
      </c>
      <c r="EU84" s="12">
        <v>74</v>
      </c>
      <c r="EV84" s="12">
        <v>-15</v>
      </c>
      <c r="EW84" s="12">
        <v>72</v>
      </c>
      <c r="EX84" s="12">
        <v>78</v>
      </c>
      <c r="EY84" s="12">
        <v>4</v>
      </c>
      <c r="EZ84" s="12">
        <v>9</v>
      </c>
      <c r="FA84" s="12">
        <v>4</v>
      </c>
      <c r="FB84" s="12">
        <v>2</v>
      </c>
      <c r="FC84" s="12">
        <v>4</v>
      </c>
      <c r="FD84" s="12">
        <v>0</v>
      </c>
      <c r="FE84" s="12">
        <v>0</v>
      </c>
      <c r="FF84" s="12">
        <v>0</v>
      </c>
      <c r="FG84" s="12">
        <v>0</v>
      </c>
      <c r="FH84" s="12">
        <v>0</v>
      </c>
      <c r="FI84" s="12">
        <v>0</v>
      </c>
      <c r="FJ84" s="12">
        <v>0</v>
      </c>
      <c r="FK84" s="12">
        <v>0</v>
      </c>
      <c r="FL84" s="12">
        <v>5</v>
      </c>
      <c r="FM84" s="12">
        <v>2</v>
      </c>
      <c r="FN84" s="12">
        <v>1</v>
      </c>
      <c r="FO84" s="12">
        <v>1</v>
      </c>
      <c r="FP84" s="12">
        <v>1</v>
      </c>
      <c r="FQ84" s="12">
        <v>0</v>
      </c>
      <c r="FR84" s="12">
        <v>6</v>
      </c>
      <c r="FS84" s="12">
        <v>1</v>
      </c>
      <c r="FT84" s="12">
        <v>6</v>
      </c>
      <c r="FU84" s="12">
        <v>0</v>
      </c>
      <c r="FV84" s="12">
        <v>3</v>
      </c>
      <c r="FW84" s="12">
        <v>1</v>
      </c>
      <c r="FX84" s="12">
        <v>5</v>
      </c>
      <c r="FY84" s="12">
        <v>1</v>
      </c>
      <c r="FZ84" s="12">
        <v>0</v>
      </c>
      <c r="GA84" s="12">
        <v>0</v>
      </c>
      <c r="GB84" s="12">
        <v>0</v>
      </c>
      <c r="GC84" s="12">
        <v>0</v>
      </c>
      <c r="GD84" s="12">
        <v>2</v>
      </c>
      <c r="GE84" s="12">
        <v>3</v>
      </c>
      <c r="GF84" s="12">
        <v>9</v>
      </c>
      <c r="GG84" s="12">
        <v>10</v>
      </c>
      <c r="GH84" s="12">
        <v>0</v>
      </c>
      <c r="GI84" s="12">
        <v>0</v>
      </c>
      <c r="GJ84" s="12">
        <v>0</v>
      </c>
      <c r="GK84" s="12">
        <v>0</v>
      </c>
      <c r="GL84" s="12">
        <v>9</v>
      </c>
      <c r="GM84" s="12">
        <v>10</v>
      </c>
      <c r="GN84" s="12">
        <v>9</v>
      </c>
      <c r="GO84" s="12">
        <v>15</v>
      </c>
      <c r="GP84" s="12">
        <v>2</v>
      </c>
      <c r="GQ84" s="12">
        <v>6</v>
      </c>
      <c r="GR84" s="12">
        <v>0</v>
      </c>
      <c r="GS84" s="12">
        <v>1</v>
      </c>
      <c r="GT84" s="12">
        <v>7</v>
      </c>
      <c r="GU84" s="12">
        <v>27</v>
      </c>
      <c r="GV84" s="12">
        <v>0</v>
      </c>
      <c r="GW84" s="12">
        <v>0</v>
      </c>
      <c r="GY84" s="16"/>
    </row>
    <row r="85" spans="2:207" ht="15" customHeight="1" x14ac:dyDescent="0.2">
      <c r="B85" s="12">
        <v>5</v>
      </c>
      <c r="C85" s="12" t="s">
        <v>286</v>
      </c>
      <c r="D85" s="12" t="s">
        <v>93</v>
      </c>
      <c r="E85" s="14" t="s">
        <v>288</v>
      </c>
      <c r="F85" s="14" t="s">
        <v>303</v>
      </c>
      <c r="G85" s="15">
        <v>45226</v>
      </c>
      <c r="H85" s="15" t="s">
        <v>268</v>
      </c>
      <c r="I85" s="12" t="s">
        <v>269</v>
      </c>
      <c r="J85" s="12" t="s">
        <v>272</v>
      </c>
      <c r="K85" s="12">
        <v>200</v>
      </c>
      <c r="L85" s="12">
        <v>72</v>
      </c>
      <c r="M85" s="12">
        <v>20</v>
      </c>
      <c r="N85" s="12">
        <v>31</v>
      </c>
      <c r="O85" s="16">
        <v>0.64516129032258063</v>
      </c>
      <c r="P85" s="12">
        <v>7</v>
      </c>
      <c r="Q85" s="12">
        <v>28</v>
      </c>
      <c r="R85" s="16">
        <v>0.25</v>
      </c>
      <c r="S85" s="12">
        <v>27</v>
      </c>
      <c r="T85" s="12">
        <v>59</v>
      </c>
      <c r="U85" s="16">
        <v>0.4576271186440678</v>
      </c>
      <c r="V85" s="12">
        <v>11</v>
      </c>
      <c r="W85" s="12">
        <v>13</v>
      </c>
      <c r="X85" s="16">
        <v>0.84615384615384615</v>
      </c>
      <c r="Y85" s="12">
        <v>6</v>
      </c>
      <c r="Z85" s="12">
        <v>21</v>
      </c>
      <c r="AA85" s="12">
        <v>27</v>
      </c>
      <c r="AB85" s="12">
        <v>15</v>
      </c>
      <c r="AC85" s="12">
        <v>14</v>
      </c>
      <c r="AD85" s="12">
        <v>7</v>
      </c>
      <c r="AE85" s="12">
        <v>1</v>
      </c>
      <c r="AF85" s="12">
        <v>2</v>
      </c>
      <c r="AG85" s="12">
        <v>17</v>
      </c>
      <c r="AH85" s="12">
        <v>19</v>
      </c>
      <c r="AI85" s="17">
        <v>74</v>
      </c>
      <c r="AJ85" s="12">
        <v>-15</v>
      </c>
      <c r="AK85" s="12">
        <v>72</v>
      </c>
      <c r="AL85" s="12">
        <v>78</v>
      </c>
      <c r="AM85" s="19">
        <v>0.92307692307692313</v>
      </c>
      <c r="AN85" s="19">
        <v>1.1012658227848102</v>
      </c>
      <c r="AO85" s="18">
        <v>100</v>
      </c>
      <c r="AP85" s="18">
        <v>117.56756756756756</v>
      </c>
      <c r="AQ85" s="18">
        <v>-17.567567567567565</v>
      </c>
      <c r="AR85" s="53">
        <v>0.51694915254237284</v>
      </c>
      <c r="AS85" s="53">
        <v>0.5625</v>
      </c>
      <c r="AT85" s="16">
        <v>0.12820512820512819</v>
      </c>
      <c r="AU85" s="19">
        <v>1.8</v>
      </c>
      <c r="AV85" s="16">
        <v>0.19230769230769232</v>
      </c>
      <c r="AW85" s="19">
        <v>1.2</v>
      </c>
      <c r="AX85" s="16">
        <v>7.6923076923076927E-2</v>
      </c>
      <c r="AY85" s="19">
        <v>0.66666666666666663</v>
      </c>
      <c r="AZ85" s="16">
        <v>1.282051282051282E-2</v>
      </c>
      <c r="BA85" s="19">
        <v>0</v>
      </c>
      <c r="BB85" s="16">
        <v>0.34615384615384615</v>
      </c>
      <c r="BC85" s="21">
        <v>0.77777777777777779</v>
      </c>
      <c r="BD85" s="16">
        <v>6.4102564102564097E-2</v>
      </c>
      <c r="BE85" s="16">
        <v>0.17948717948717949</v>
      </c>
      <c r="BF85" s="16">
        <v>0.46875</v>
      </c>
      <c r="BG85" s="16">
        <v>0.45</v>
      </c>
      <c r="BH85" s="16">
        <v>0.5714285714285714</v>
      </c>
      <c r="BI85" s="16">
        <v>0.4</v>
      </c>
      <c r="BJ85" s="16">
        <v>0.19230769230769232</v>
      </c>
      <c r="BK85" s="21">
        <v>1.0714285714285714</v>
      </c>
      <c r="BL85" s="16">
        <v>0.18181818181818182</v>
      </c>
      <c r="BM85" s="16">
        <v>0</v>
      </c>
      <c r="BN85" s="16">
        <v>0.30434782608695654</v>
      </c>
      <c r="BO85" s="16">
        <v>1</v>
      </c>
      <c r="BP85" s="16">
        <v>0.84</v>
      </c>
      <c r="BQ85" s="16">
        <v>0.82352941176470584</v>
      </c>
      <c r="BR85" s="16">
        <v>0.76923076923076927</v>
      </c>
      <c r="BS85" s="16" t="s">
        <v>269</v>
      </c>
      <c r="BT85" s="16">
        <v>0.46551724137931033</v>
      </c>
      <c r="BU85" s="16">
        <v>9.45945945945946E-2</v>
      </c>
      <c r="BV85" s="16">
        <v>1.6666666666666666E-2</v>
      </c>
      <c r="BW85" s="54">
        <v>4</v>
      </c>
      <c r="BX85" s="54">
        <v>0.47058823529411764</v>
      </c>
      <c r="BY85" s="54">
        <v>0.42105263157894735</v>
      </c>
      <c r="BZ85" s="12">
        <v>9</v>
      </c>
      <c r="CA85" s="12">
        <v>4</v>
      </c>
      <c r="CB85" s="12">
        <v>2</v>
      </c>
      <c r="CC85" s="12">
        <v>4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2">
        <v>5</v>
      </c>
      <c r="CM85" s="12">
        <v>2</v>
      </c>
      <c r="CN85" s="12">
        <v>1</v>
      </c>
      <c r="CO85" s="12">
        <v>1</v>
      </c>
      <c r="CP85" s="12">
        <v>1</v>
      </c>
      <c r="CQ85" s="12">
        <v>0</v>
      </c>
      <c r="CR85" s="12">
        <v>6</v>
      </c>
      <c r="CS85" s="12">
        <v>1</v>
      </c>
      <c r="CT85" s="12">
        <v>6</v>
      </c>
      <c r="CU85" s="12">
        <v>0</v>
      </c>
      <c r="CV85" s="12">
        <v>3</v>
      </c>
      <c r="CW85" s="12">
        <v>1</v>
      </c>
      <c r="CX85" s="12">
        <v>5</v>
      </c>
      <c r="CY85" s="12">
        <v>1</v>
      </c>
      <c r="CZ85" s="12">
        <v>0</v>
      </c>
      <c r="DA85" s="12">
        <v>0</v>
      </c>
      <c r="DB85" s="12">
        <v>0</v>
      </c>
      <c r="DC85" s="12">
        <v>0</v>
      </c>
      <c r="DD85" s="12">
        <v>2</v>
      </c>
      <c r="DE85" s="12">
        <v>3</v>
      </c>
      <c r="DF85" s="12">
        <v>9</v>
      </c>
      <c r="DG85" s="12">
        <v>10</v>
      </c>
      <c r="DH85" s="12">
        <v>0</v>
      </c>
      <c r="DI85" s="12">
        <v>0</v>
      </c>
      <c r="DJ85" s="12">
        <v>0</v>
      </c>
      <c r="DK85" s="12">
        <v>0</v>
      </c>
      <c r="DL85" s="12">
        <v>9</v>
      </c>
      <c r="DM85" s="12">
        <v>10</v>
      </c>
      <c r="DN85" s="12">
        <v>9</v>
      </c>
      <c r="DO85" s="12">
        <v>15</v>
      </c>
      <c r="DP85" s="12">
        <v>2</v>
      </c>
      <c r="DQ85" s="12">
        <v>6</v>
      </c>
      <c r="DR85" s="12">
        <v>0</v>
      </c>
      <c r="DS85" s="12">
        <v>1</v>
      </c>
      <c r="DT85" s="12">
        <v>7</v>
      </c>
      <c r="DU85" s="12">
        <v>27</v>
      </c>
      <c r="DV85" s="12">
        <v>0</v>
      </c>
      <c r="DW85" s="12">
        <v>0</v>
      </c>
      <c r="DX85" s="12">
        <v>87</v>
      </c>
      <c r="DY85" s="12">
        <v>24</v>
      </c>
      <c r="DZ85" s="12">
        <v>41</v>
      </c>
      <c r="EA85" s="16">
        <v>0.58536585365853655</v>
      </c>
      <c r="EB85" s="12">
        <v>8</v>
      </c>
      <c r="EC85" s="12">
        <v>19</v>
      </c>
      <c r="ED85" s="16">
        <v>0.42105263157894735</v>
      </c>
      <c r="EE85" s="12">
        <v>32</v>
      </c>
      <c r="EF85" s="12">
        <v>60</v>
      </c>
      <c r="EG85" s="16">
        <v>0.53333333333333333</v>
      </c>
      <c r="EH85" s="12">
        <v>15</v>
      </c>
      <c r="EI85" s="12">
        <v>16</v>
      </c>
      <c r="EJ85" s="16">
        <v>0.9375</v>
      </c>
      <c r="EK85" s="12">
        <v>4</v>
      </c>
      <c r="EL85" s="12">
        <v>27</v>
      </c>
      <c r="EM85" s="12">
        <v>31</v>
      </c>
      <c r="EN85" s="12">
        <v>15</v>
      </c>
      <c r="EO85" s="12">
        <v>19</v>
      </c>
      <c r="EP85" s="12">
        <v>16</v>
      </c>
      <c r="EQ85" s="12">
        <v>5</v>
      </c>
      <c r="ER85" s="12">
        <v>13</v>
      </c>
      <c r="ES85" s="12">
        <v>2</v>
      </c>
      <c r="ET85" s="12">
        <v>1</v>
      </c>
      <c r="EU85" s="12">
        <v>94</v>
      </c>
      <c r="EV85" s="12">
        <v>15</v>
      </c>
      <c r="EW85" s="12">
        <v>74</v>
      </c>
      <c r="EX85" s="12">
        <v>79</v>
      </c>
      <c r="EY85" s="12">
        <v>5</v>
      </c>
      <c r="EZ85" s="12">
        <v>7</v>
      </c>
      <c r="FA85" s="12">
        <v>4</v>
      </c>
      <c r="FB85" s="12">
        <v>4</v>
      </c>
      <c r="FC85" s="12">
        <v>9</v>
      </c>
      <c r="FD85" s="12">
        <v>0</v>
      </c>
      <c r="FE85" s="12">
        <v>0</v>
      </c>
      <c r="FF85" s="12">
        <v>1</v>
      </c>
      <c r="FG85" s="12">
        <v>1</v>
      </c>
      <c r="FH85" s="12">
        <v>1</v>
      </c>
      <c r="FI85" s="12">
        <v>0</v>
      </c>
      <c r="FJ85" s="12">
        <v>0</v>
      </c>
      <c r="FK85" s="12">
        <v>0</v>
      </c>
      <c r="FL85" s="12">
        <v>2</v>
      </c>
      <c r="FM85" s="12">
        <v>1</v>
      </c>
      <c r="FN85" s="12">
        <v>0</v>
      </c>
      <c r="FO85" s="12">
        <v>0</v>
      </c>
      <c r="FP85" s="12">
        <v>1</v>
      </c>
      <c r="FQ85" s="12">
        <v>0</v>
      </c>
      <c r="FR85" s="12">
        <v>6</v>
      </c>
      <c r="FS85" s="12">
        <v>0</v>
      </c>
      <c r="FT85" s="12">
        <v>4</v>
      </c>
      <c r="FU85" s="12">
        <v>1</v>
      </c>
      <c r="FV85" s="12">
        <v>1</v>
      </c>
      <c r="FW85" s="12">
        <v>0</v>
      </c>
      <c r="FX85" s="12">
        <v>15</v>
      </c>
      <c r="FY85" s="12">
        <v>0</v>
      </c>
      <c r="FZ85" s="12">
        <v>0</v>
      </c>
      <c r="GA85" s="12">
        <v>0</v>
      </c>
      <c r="GB85" s="12">
        <v>1</v>
      </c>
      <c r="GC85" s="12">
        <v>1</v>
      </c>
      <c r="GD85" s="12">
        <v>2</v>
      </c>
      <c r="GE85" s="12">
        <v>2</v>
      </c>
      <c r="GF85" s="12">
        <v>9</v>
      </c>
      <c r="GG85" s="12">
        <v>10</v>
      </c>
      <c r="GH85" s="12">
        <v>0</v>
      </c>
      <c r="GI85" s="12">
        <v>3</v>
      </c>
      <c r="GJ85" s="12">
        <v>3</v>
      </c>
      <c r="GK85" s="12">
        <v>0</v>
      </c>
      <c r="GL85" s="12">
        <v>11</v>
      </c>
      <c r="GM85" s="12">
        <v>12</v>
      </c>
      <c r="GN85" s="12">
        <v>6</v>
      </c>
      <c r="GO85" s="12">
        <v>13</v>
      </c>
      <c r="GP85" s="12">
        <v>7</v>
      </c>
      <c r="GQ85" s="12">
        <v>16</v>
      </c>
      <c r="GR85" s="12">
        <v>2</v>
      </c>
      <c r="GS85" s="12">
        <v>5</v>
      </c>
      <c r="GT85" s="12">
        <v>6</v>
      </c>
      <c r="GU85" s="12">
        <v>14</v>
      </c>
      <c r="GV85" s="12">
        <v>0</v>
      </c>
      <c r="GW85" s="12">
        <v>0</v>
      </c>
      <c r="GY85" s="16"/>
    </row>
    <row r="86" spans="2:207" ht="15" customHeight="1" x14ac:dyDescent="0.2">
      <c r="B86" s="12">
        <v>5</v>
      </c>
      <c r="C86" s="12" t="s">
        <v>265</v>
      </c>
      <c r="D86" s="12" t="s">
        <v>285</v>
      </c>
      <c r="E86" s="14" t="s">
        <v>267</v>
      </c>
      <c r="F86" s="14" t="s">
        <v>287</v>
      </c>
      <c r="G86" s="15">
        <v>45226</v>
      </c>
      <c r="H86" s="15" t="s">
        <v>268</v>
      </c>
      <c r="I86" s="12" t="s">
        <v>269</v>
      </c>
      <c r="J86" s="12" t="s">
        <v>272</v>
      </c>
      <c r="K86" s="12">
        <v>200</v>
      </c>
      <c r="L86" s="12">
        <v>84</v>
      </c>
      <c r="M86" s="12">
        <v>22</v>
      </c>
      <c r="N86" s="12">
        <v>43</v>
      </c>
      <c r="O86" s="16">
        <v>0.51162790697674421</v>
      </c>
      <c r="P86" s="12">
        <v>9</v>
      </c>
      <c r="Q86" s="12">
        <v>15</v>
      </c>
      <c r="R86" s="16">
        <v>0.6</v>
      </c>
      <c r="S86" s="12">
        <v>31</v>
      </c>
      <c r="T86" s="12">
        <v>58</v>
      </c>
      <c r="U86" s="16">
        <v>0.53448275862068961</v>
      </c>
      <c r="V86" s="12">
        <v>13</v>
      </c>
      <c r="W86" s="12">
        <v>16</v>
      </c>
      <c r="X86" s="16">
        <v>0.8125</v>
      </c>
      <c r="Y86" s="12">
        <v>8</v>
      </c>
      <c r="Z86" s="12">
        <v>19</v>
      </c>
      <c r="AA86" s="12">
        <v>27</v>
      </c>
      <c r="AB86" s="12">
        <v>21</v>
      </c>
      <c r="AC86" s="12">
        <v>15</v>
      </c>
      <c r="AD86" s="12">
        <v>6</v>
      </c>
      <c r="AE86" s="12">
        <v>1</v>
      </c>
      <c r="AF86" s="12">
        <v>6</v>
      </c>
      <c r="AG86" s="12">
        <v>14</v>
      </c>
      <c r="AH86" s="12">
        <v>21</v>
      </c>
      <c r="AI86" s="17">
        <v>95</v>
      </c>
      <c r="AJ86" s="12">
        <v>-3</v>
      </c>
      <c r="AK86" s="12">
        <v>72</v>
      </c>
      <c r="AL86" s="12">
        <v>80</v>
      </c>
      <c r="AM86" s="19">
        <v>1.05</v>
      </c>
      <c r="AN86" s="19">
        <v>1.1153846153846154</v>
      </c>
      <c r="AO86" s="18">
        <v>116.66666666666667</v>
      </c>
      <c r="AP86" s="18">
        <v>122.53521126760563</v>
      </c>
      <c r="AQ86" s="18">
        <v>-5.8685446009389608</v>
      </c>
      <c r="AR86" s="53">
        <v>0.61206896551724133</v>
      </c>
      <c r="AS86" s="53">
        <v>0.64615384615384619</v>
      </c>
      <c r="AT86" s="16">
        <v>0.2</v>
      </c>
      <c r="AU86" s="19">
        <v>1.125</v>
      </c>
      <c r="AV86" s="16">
        <v>0.25</v>
      </c>
      <c r="AW86" s="19">
        <v>1.1000000000000001</v>
      </c>
      <c r="AX86" s="16">
        <v>8.7499999999999994E-2</v>
      </c>
      <c r="AY86" s="19">
        <v>0.5714285714285714</v>
      </c>
      <c r="AZ86" s="16">
        <v>3.7499999999999999E-2</v>
      </c>
      <c r="BA86" s="19">
        <v>2</v>
      </c>
      <c r="BB86" s="16">
        <v>0.15</v>
      </c>
      <c r="BC86" s="21">
        <v>1.75</v>
      </c>
      <c r="BD86" s="16">
        <v>8.7499999999999994E-2</v>
      </c>
      <c r="BE86" s="16">
        <v>0.1875</v>
      </c>
      <c r="BF86" s="16">
        <v>0.55263157894736847</v>
      </c>
      <c r="BG86" s="16">
        <v>0.5</v>
      </c>
      <c r="BH86" s="16">
        <v>1</v>
      </c>
      <c r="BI86" s="16">
        <v>0.14285714285714285</v>
      </c>
      <c r="BJ86" s="16">
        <v>0.26250000000000001</v>
      </c>
      <c r="BK86" s="21">
        <v>1.4</v>
      </c>
      <c r="BL86" s="16">
        <v>0.2857142857142857</v>
      </c>
      <c r="BM86" s="16">
        <v>0.34782608695652173</v>
      </c>
      <c r="BN86" s="16">
        <v>0.2</v>
      </c>
      <c r="BO86" s="16">
        <v>0</v>
      </c>
      <c r="BP86" s="16">
        <v>0.73076923076923073</v>
      </c>
      <c r="BQ86" s="16">
        <v>0.8</v>
      </c>
      <c r="BR86" s="16">
        <v>0.66666666666666663</v>
      </c>
      <c r="BS86" s="16" t="s">
        <v>269</v>
      </c>
      <c r="BT86" s="16">
        <v>0.5</v>
      </c>
      <c r="BU86" s="16">
        <v>8.4507042253521125E-2</v>
      </c>
      <c r="BV86" s="16">
        <v>1.6666666666666666E-2</v>
      </c>
      <c r="BW86" s="54">
        <v>5</v>
      </c>
      <c r="BX86" s="54">
        <v>0.42857142857142855</v>
      </c>
      <c r="BY86" s="54">
        <v>0.38095238095238093</v>
      </c>
      <c r="BZ86" s="12">
        <v>11</v>
      </c>
      <c r="CA86" s="12">
        <v>9</v>
      </c>
      <c r="CB86" s="12">
        <v>1</v>
      </c>
      <c r="CC86" s="12">
        <v>0</v>
      </c>
      <c r="CD86" s="12">
        <v>2</v>
      </c>
      <c r="CE86" s="12">
        <v>0</v>
      </c>
      <c r="CF86" s="12">
        <v>4</v>
      </c>
      <c r="CG86" s="12">
        <v>1</v>
      </c>
      <c r="CH86" s="12">
        <v>1</v>
      </c>
      <c r="CI86" s="12">
        <v>0</v>
      </c>
      <c r="CJ86" s="12">
        <v>0</v>
      </c>
      <c r="CK86" s="12">
        <v>0</v>
      </c>
      <c r="CL86" s="12">
        <v>1</v>
      </c>
      <c r="CM86" s="12">
        <v>0</v>
      </c>
      <c r="CN86" s="12">
        <v>0</v>
      </c>
      <c r="CO86" s="12">
        <v>0</v>
      </c>
      <c r="CP86" s="12">
        <v>1</v>
      </c>
      <c r="CQ86" s="12">
        <v>0</v>
      </c>
      <c r="CR86" s="12">
        <v>7</v>
      </c>
      <c r="CS86" s="12">
        <v>1</v>
      </c>
      <c r="CT86" s="12">
        <v>3</v>
      </c>
      <c r="CU86" s="12">
        <v>0</v>
      </c>
      <c r="CV86" s="12">
        <v>1</v>
      </c>
      <c r="CW86" s="12">
        <v>1</v>
      </c>
      <c r="CX86" s="12">
        <v>7</v>
      </c>
      <c r="CY86" s="12">
        <v>1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1</v>
      </c>
      <c r="DF86" s="12">
        <v>10</v>
      </c>
      <c r="DG86" s="12">
        <v>12</v>
      </c>
      <c r="DH86" s="12">
        <v>0</v>
      </c>
      <c r="DI86" s="12">
        <v>3</v>
      </c>
      <c r="DJ86" s="12">
        <v>3</v>
      </c>
      <c r="DK86" s="12">
        <v>0</v>
      </c>
      <c r="DL86" s="12">
        <v>9</v>
      </c>
      <c r="DM86" s="12">
        <v>16</v>
      </c>
      <c r="DN86" s="12">
        <v>11</v>
      </c>
      <c r="DO86" s="12">
        <v>20</v>
      </c>
      <c r="DP86" s="12">
        <v>2</v>
      </c>
      <c r="DQ86" s="12">
        <v>7</v>
      </c>
      <c r="DR86" s="12">
        <v>2</v>
      </c>
      <c r="DS86" s="12">
        <v>3</v>
      </c>
      <c r="DT86" s="12">
        <v>7</v>
      </c>
      <c r="DU86" s="12">
        <v>12</v>
      </c>
      <c r="DV86" s="12">
        <v>0</v>
      </c>
      <c r="DW86" s="12">
        <v>0</v>
      </c>
      <c r="DX86" s="12">
        <v>87</v>
      </c>
      <c r="DY86" s="12">
        <v>22</v>
      </c>
      <c r="DZ86" s="12">
        <v>36</v>
      </c>
      <c r="EA86" s="16">
        <v>0.61111111111111116</v>
      </c>
      <c r="EB86" s="12">
        <v>11</v>
      </c>
      <c r="EC86" s="12">
        <v>24</v>
      </c>
      <c r="ED86" s="16">
        <v>0.45833333333333331</v>
      </c>
      <c r="EE86" s="12">
        <v>33</v>
      </c>
      <c r="EF86" s="12">
        <v>60</v>
      </c>
      <c r="EG86" s="16">
        <v>0.55000000000000004</v>
      </c>
      <c r="EH86" s="12">
        <v>10</v>
      </c>
      <c r="EI86" s="12">
        <v>10</v>
      </c>
      <c r="EJ86" s="16">
        <v>1</v>
      </c>
      <c r="EK86" s="12">
        <v>7</v>
      </c>
      <c r="EL86" s="12">
        <v>20</v>
      </c>
      <c r="EM86" s="12">
        <v>27</v>
      </c>
      <c r="EN86" s="12">
        <v>22</v>
      </c>
      <c r="EO86" s="12">
        <v>21</v>
      </c>
      <c r="EP86" s="12">
        <v>14</v>
      </c>
      <c r="EQ86" s="12">
        <v>8</v>
      </c>
      <c r="ER86" s="12">
        <v>14</v>
      </c>
      <c r="ES86" s="12">
        <v>6</v>
      </c>
      <c r="ET86" s="12">
        <v>1</v>
      </c>
      <c r="EU86" s="12">
        <v>101</v>
      </c>
      <c r="EV86" s="12">
        <v>3</v>
      </c>
      <c r="EW86" s="12">
        <v>71</v>
      </c>
      <c r="EX86" s="12">
        <v>78</v>
      </c>
      <c r="EY86" s="12">
        <v>3</v>
      </c>
      <c r="EZ86" s="12">
        <v>10</v>
      </c>
      <c r="FA86" s="12">
        <v>9</v>
      </c>
      <c r="FB86" s="12">
        <v>3</v>
      </c>
      <c r="FC86" s="12">
        <v>6</v>
      </c>
      <c r="FD86" s="12">
        <v>0</v>
      </c>
      <c r="FE86" s="12">
        <v>0</v>
      </c>
      <c r="FF86" s="12">
        <v>1</v>
      </c>
      <c r="FG86" s="12">
        <v>0</v>
      </c>
      <c r="FH86" s="12">
        <v>2</v>
      </c>
      <c r="FI86" s="12">
        <v>0</v>
      </c>
      <c r="FJ86" s="12">
        <v>0</v>
      </c>
      <c r="FK86" s="12">
        <v>0</v>
      </c>
      <c r="FL86" s="12">
        <v>4</v>
      </c>
      <c r="FM86" s="12">
        <v>1</v>
      </c>
      <c r="FN86" s="12">
        <v>0</v>
      </c>
      <c r="FO86" s="12">
        <v>0</v>
      </c>
      <c r="FP86" s="12">
        <v>4</v>
      </c>
      <c r="FQ86" s="12">
        <v>1</v>
      </c>
      <c r="FR86" s="12">
        <v>5</v>
      </c>
      <c r="FS86" s="12">
        <v>1</v>
      </c>
      <c r="FT86" s="12">
        <v>4</v>
      </c>
      <c r="FU86" s="12">
        <v>0</v>
      </c>
      <c r="FV86" s="12">
        <v>1</v>
      </c>
      <c r="FW86" s="12">
        <v>0</v>
      </c>
      <c r="FX86" s="12">
        <v>3</v>
      </c>
      <c r="FY86" s="12">
        <v>0</v>
      </c>
      <c r="FZ86" s="12">
        <v>3</v>
      </c>
      <c r="GA86" s="12">
        <v>0</v>
      </c>
      <c r="GB86" s="12">
        <v>0</v>
      </c>
      <c r="GC86" s="12">
        <v>0</v>
      </c>
      <c r="GD86" s="12">
        <v>2</v>
      </c>
      <c r="GE86" s="12">
        <v>2</v>
      </c>
      <c r="GF86" s="12">
        <v>8</v>
      </c>
      <c r="GG86" s="12">
        <v>8</v>
      </c>
      <c r="GH86" s="12">
        <v>0</v>
      </c>
      <c r="GI86" s="12">
        <v>0</v>
      </c>
      <c r="GJ86" s="12">
        <v>0</v>
      </c>
      <c r="GK86" s="12">
        <v>0</v>
      </c>
      <c r="GL86" s="12">
        <v>14</v>
      </c>
      <c r="GM86" s="12">
        <v>15</v>
      </c>
      <c r="GN86" s="12">
        <v>2</v>
      </c>
      <c r="GO86" s="12">
        <v>10</v>
      </c>
      <c r="GP86" s="12">
        <v>6</v>
      </c>
      <c r="GQ86" s="12">
        <v>11</v>
      </c>
      <c r="GR86" s="12">
        <v>1</v>
      </c>
      <c r="GS86" s="12">
        <v>2</v>
      </c>
      <c r="GT86" s="12">
        <v>10</v>
      </c>
      <c r="GU86" s="12">
        <v>21</v>
      </c>
      <c r="GV86" s="12">
        <v>0</v>
      </c>
      <c r="GW86" s="12">
        <v>1</v>
      </c>
      <c r="GY86" s="16"/>
    </row>
    <row r="87" spans="2:207" ht="15" customHeight="1" x14ac:dyDescent="0.2">
      <c r="B87" s="12">
        <v>5</v>
      </c>
      <c r="C87" s="12" t="s">
        <v>285</v>
      </c>
      <c r="D87" s="12" t="s">
        <v>265</v>
      </c>
      <c r="E87" s="14" t="s">
        <v>287</v>
      </c>
      <c r="F87" s="14" t="s">
        <v>267</v>
      </c>
      <c r="G87" s="15">
        <v>45226</v>
      </c>
      <c r="H87" s="15" t="s">
        <v>271</v>
      </c>
      <c r="I87" s="12" t="s">
        <v>269</v>
      </c>
      <c r="J87" s="12" t="s">
        <v>270</v>
      </c>
      <c r="K87" s="12">
        <v>200</v>
      </c>
      <c r="L87" s="12">
        <v>87</v>
      </c>
      <c r="M87" s="12">
        <v>22</v>
      </c>
      <c r="N87" s="12">
        <v>36</v>
      </c>
      <c r="O87" s="16">
        <v>0.61111111111111116</v>
      </c>
      <c r="P87" s="12">
        <v>11</v>
      </c>
      <c r="Q87" s="12">
        <v>24</v>
      </c>
      <c r="R87" s="16">
        <v>0.45833333333333331</v>
      </c>
      <c r="S87" s="12">
        <v>33</v>
      </c>
      <c r="T87" s="12">
        <v>60</v>
      </c>
      <c r="U87" s="16">
        <v>0.55000000000000004</v>
      </c>
      <c r="V87" s="12">
        <v>10</v>
      </c>
      <c r="W87" s="12">
        <v>10</v>
      </c>
      <c r="X87" s="16">
        <v>1</v>
      </c>
      <c r="Y87" s="12">
        <v>7</v>
      </c>
      <c r="Z87" s="12">
        <v>20</v>
      </c>
      <c r="AA87" s="12">
        <v>27</v>
      </c>
      <c r="AB87" s="12">
        <v>22</v>
      </c>
      <c r="AC87" s="12">
        <v>14</v>
      </c>
      <c r="AD87" s="12">
        <v>8</v>
      </c>
      <c r="AE87" s="12">
        <v>6</v>
      </c>
      <c r="AF87" s="12">
        <v>1</v>
      </c>
      <c r="AG87" s="12">
        <v>21</v>
      </c>
      <c r="AH87" s="12">
        <v>14</v>
      </c>
      <c r="AI87" s="17">
        <v>101</v>
      </c>
      <c r="AJ87" s="12">
        <v>3</v>
      </c>
      <c r="AK87" s="12">
        <v>71</v>
      </c>
      <c r="AL87" s="12">
        <v>78</v>
      </c>
      <c r="AM87" s="19">
        <v>1.1153846153846154</v>
      </c>
      <c r="AN87" s="19">
        <v>1.05</v>
      </c>
      <c r="AO87" s="18">
        <v>122.53521126760563</v>
      </c>
      <c r="AP87" s="18">
        <v>116.66666666666667</v>
      </c>
      <c r="AQ87" s="18">
        <v>5.8685446009389608</v>
      </c>
      <c r="AR87" s="53">
        <v>0.64166666666666672</v>
      </c>
      <c r="AS87" s="53">
        <v>0.6796875</v>
      </c>
      <c r="AT87" s="16">
        <v>0.19230769230769232</v>
      </c>
      <c r="AU87" s="19">
        <v>1.8666666666666667</v>
      </c>
      <c r="AV87" s="16">
        <v>0.12820512820512819</v>
      </c>
      <c r="AW87" s="19">
        <v>0.4</v>
      </c>
      <c r="AX87" s="16">
        <v>0.14102564102564102</v>
      </c>
      <c r="AY87" s="19">
        <v>1.0909090909090908</v>
      </c>
      <c r="AZ87" s="16">
        <v>2.564102564102564E-2</v>
      </c>
      <c r="BA87" s="19">
        <v>1.5</v>
      </c>
      <c r="BB87" s="16">
        <v>0.26923076923076922</v>
      </c>
      <c r="BC87" s="21">
        <v>1.4285714285714286</v>
      </c>
      <c r="BD87" s="16">
        <v>5.128205128205128E-2</v>
      </c>
      <c r="BE87" s="16">
        <v>0.17948717948717949</v>
      </c>
      <c r="BF87" s="16">
        <v>0.59459459459459463</v>
      </c>
      <c r="BG87" s="16">
        <v>0.45454545454545453</v>
      </c>
      <c r="BH87" s="16">
        <v>0.81818181818181823</v>
      </c>
      <c r="BI87" s="16">
        <v>0.75</v>
      </c>
      <c r="BJ87" s="16">
        <v>0.28205128205128205</v>
      </c>
      <c r="BK87" s="21">
        <v>1.5714285714285714</v>
      </c>
      <c r="BL87" s="16">
        <v>0.26923076923076922</v>
      </c>
      <c r="BM87" s="16">
        <v>0.2</v>
      </c>
      <c r="BN87" s="16">
        <v>0.33333333333333331</v>
      </c>
      <c r="BO87" s="16" t="s">
        <v>269</v>
      </c>
      <c r="BP87" s="16">
        <v>0.7142857142857143</v>
      </c>
      <c r="BQ87" s="16">
        <v>0.65217391304347827</v>
      </c>
      <c r="BR87" s="16">
        <v>0.8</v>
      </c>
      <c r="BS87" s="16">
        <v>1</v>
      </c>
      <c r="BT87" s="16">
        <v>0.5</v>
      </c>
      <c r="BU87" s="16">
        <v>0.1111111111111111</v>
      </c>
      <c r="BV87" s="16">
        <v>0.10344827586206896</v>
      </c>
      <c r="BW87" s="54">
        <v>3</v>
      </c>
      <c r="BX87" s="54">
        <v>0.38095238095238093</v>
      </c>
      <c r="BY87" s="54">
        <v>0.42857142857142855</v>
      </c>
      <c r="BZ87" s="12">
        <v>10</v>
      </c>
      <c r="CA87" s="12">
        <v>9</v>
      </c>
      <c r="CB87" s="12">
        <v>3</v>
      </c>
      <c r="CC87" s="12">
        <v>6</v>
      </c>
      <c r="CD87" s="12">
        <v>0</v>
      </c>
      <c r="CE87" s="12">
        <v>0</v>
      </c>
      <c r="CF87" s="12">
        <v>1</v>
      </c>
      <c r="CG87" s="12">
        <v>0</v>
      </c>
      <c r="CH87" s="12">
        <v>2</v>
      </c>
      <c r="CI87" s="12">
        <v>0</v>
      </c>
      <c r="CJ87" s="12">
        <v>0</v>
      </c>
      <c r="CK87" s="12">
        <v>0</v>
      </c>
      <c r="CL87" s="12">
        <v>4</v>
      </c>
      <c r="CM87" s="12">
        <v>1</v>
      </c>
      <c r="CN87" s="12">
        <v>0</v>
      </c>
      <c r="CO87" s="12">
        <v>0</v>
      </c>
      <c r="CP87" s="12">
        <v>4</v>
      </c>
      <c r="CQ87" s="12">
        <v>1</v>
      </c>
      <c r="CR87" s="12">
        <v>5</v>
      </c>
      <c r="CS87" s="12">
        <v>1</v>
      </c>
      <c r="CT87" s="12">
        <v>4</v>
      </c>
      <c r="CU87" s="12">
        <v>0</v>
      </c>
      <c r="CV87" s="12">
        <v>1</v>
      </c>
      <c r="CW87" s="12">
        <v>0</v>
      </c>
      <c r="CX87" s="12">
        <v>3</v>
      </c>
      <c r="CY87" s="12">
        <v>0</v>
      </c>
      <c r="CZ87" s="12">
        <v>3</v>
      </c>
      <c r="DA87" s="12">
        <v>0</v>
      </c>
      <c r="DB87" s="12">
        <v>0</v>
      </c>
      <c r="DC87" s="12">
        <v>0</v>
      </c>
      <c r="DD87" s="12">
        <v>2</v>
      </c>
      <c r="DE87" s="12">
        <v>2</v>
      </c>
      <c r="DF87" s="12">
        <v>8</v>
      </c>
      <c r="DG87" s="12">
        <v>8</v>
      </c>
      <c r="DH87" s="12">
        <v>0</v>
      </c>
      <c r="DI87" s="12">
        <v>0</v>
      </c>
      <c r="DJ87" s="12">
        <v>0</v>
      </c>
      <c r="DK87" s="12">
        <v>0</v>
      </c>
      <c r="DL87" s="12">
        <v>14</v>
      </c>
      <c r="DM87" s="12">
        <v>15</v>
      </c>
      <c r="DN87" s="12">
        <v>2</v>
      </c>
      <c r="DO87" s="12">
        <v>10</v>
      </c>
      <c r="DP87" s="12">
        <v>6</v>
      </c>
      <c r="DQ87" s="12">
        <v>11</v>
      </c>
      <c r="DR87" s="12">
        <v>1</v>
      </c>
      <c r="DS87" s="12">
        <v>2</v>
      </c>
      <c r="DT87" s="12">
        <v>10</v>
      </c>
      <c r="DU87" s="12">
        <v>21</v>
      </c>
      <c r="DV87" s="12">
        <v>0</v>
      </c>
      <c r="DW87" s="12">
        <v>1</v>
      </c>
      <c r="DX87" s="12">
        <v>84</v>
      </c>
      <c r="DY87" s="12">
        <v>22</v>
      </c>
      <c r="DZ87" s="12">
        <v>43</v>
      </c>
      <c r="EA87" s="16">
        <v>0.51162790697674421</v>
      </c>
      <c r="EB87" s="12">
        <v>9</v>
      </c>
      <c r="EC87" s="12">
        <v>15</v>
      </c>
      <c r="ED87" s="16">
        <v>0.6</v>
      </c>
      <c r="EE87" s="12">
        <v>31</v>
      </c>
      <c r="EF87" s="12">
        <v>58</v>
      </c>
      <c r="EG87" s="16">
        <v>0.53448275862068961</v>
      </c>
      <c r="EH87" s="12">
        <v>13</v>
      </c>
      <c r="EI87" s="12">
        <v>16</v>
      </c>
      <c r="EJ87" s="16">
        <v>0.8125</v>
      </c>
      <c r="EK87" s="12">
        <v>8</v>
      </c>
      <c r="EL87" s="12">
        <v>19</v>
      </c>
      <c r="EM87" s="12">
        <v>27</v>
      </c>
      <c r="EN87" s="12">
        <v>21</v>
      </c>
      <c r="EO87" s="12">
        <v>14</v>
      </c>
      <c r="EP87" s="12">
        <v>21</v>
      </c>
      <c r="EQ87" s="12">
        <v>6</v>
      </c>
      <c r="ER87" s="12">
        <v>15</v>
      </c>
      <c r="ES87" s="12">
        <v>1</v>
      </c>
      <c r="ET87" s="12">
        <v>6</v>
      </c>
      <c r="EU87" s="12">
        <v>95</v>
      </c>
      <c r="EV87" s="12">
        <v>-3</v>
      </c>
      <c r="EW87" s="12">
        <v>72</v>
      </c>
      <c r="EX87" s="12">
        <v>80</v>
      </c>
      <c r="EY87" s="12">
        <v>5</v>
      </c>
      <c r="EZ87" s="12">
        <v>11</v>
      </c>
      <c r="FA87" s="12">
        <v>9</v>
      </c>
      <c r="FB87" s="12">
        <v>1</v>
      </c>
      <c r="FC87" s="12">
        <v>0</v>
      </c>
      <c r="FD87" s="12">
        <v>2</v>
      </c>
      <c r="FE87" s="12">
        <v>0</v>
      </c>
      <c r="FF87" s="12">
        <v>4</v>
      </c>
      <c r="FG87" s="12">
        <v>1</v>
      </c>
      <c r="FH87" s="12">
        <v>1</v>
      </c>
      <c r="FI87" s="12">
        <v>0</v>
      </c>
      <c r="FJ87" s="12">
        <v>0</v>
      </c>
      <c r="FK87" s="12">
        <v>0</v>
      </c>
      <c r="FL87" s="12">
        <v>1</v>
      </c>
      <c r="FM87" s="12">
        <v>0</v>
      </c>
      <c r="FN87" s="12">
        <v>0</v>
      </c>
      <c r="FO87" s="12">
        <v>0</v>
      </c>
      <c r="FP87" s="12">
        <v>1</v>
      </c>
      <c r="FQ87" s="12">
        <v>0</v>
      </c>
      <c r="FR87" s="12">
        <v>7</v>
      </c>
      <c r="FS87" s="12">
        <v>1</v>
      </c>
      <c r="FT87" s="12">
        <v>3</v>
      </c>
      <c r="FU87" s="12">
        <v>0</v>
      </c>
      <c r="FV87" s="12">
        <v>1</v>
      </c>
      <c r="FW87" s="12">
        <v>1</v>
      </c>
      <c r="FX87" s="12">
        <v>7</v>
      </c>
      <c r="FY87" s="12">
        <v>1</v>
      </c>
      <c r="FZ87" s="12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1</v>
      </c>
      <c r="GF87" s="12">
        <v>10</v>
      </c>
      <c r="GG87" s="12">
        <v>12</v>
      </c>
      <c r="GH87" s="12">
        <v>0</v>
      </c>
      <c r="GI87" s="12">
        <v>3</v>
      </c>
      <c r="GJ87" s="12">
        <v>3</v>
      </c>
      <c r="GK87" s="12">
        <v>0</v>
      </c>
      <c r="GL87" s="12">
        <v>9</v>
      </c>
      <c r="GM87" s="12">
        <v>16</v>
      </c>
      <c r="GN87" s="12">
        <v>11</v>
      </c>
      <c r="GO87" s="12">
        <v>20</v>
      </c>
      <c r="GP87" s="12">
        <v>2</v>
      </c>
      <c r="GQ87" s="12">
        <v>7</v>
      </c>
      <c r="GR87" s="12">
        <v>2</v>
      </c>
      <c r="GS87" s="12">
        <v>3</v>
      </c>
      <c r="GT87" s="12">
        <v>7</v>
      </c>
      <c r="GU87" s="12">
        <v>12</v>
      </c>
      <c r="GV87" s="12">
        <v>0</v>
      </c>
      <c r="GW87" s="12">
        <v>0</v>
      </c>
      <c r="GY87" s="16"/>
    </row>
    <row r="88" spans="2:207" ht="15" customHeight="1" x14ac:dyDescent="0.2">
      <c r="B88" s="12">
        <v>5</v>
      </c>
      <c r="C88" s="12" t="s">
        <v>297</v>
      </c>
      <c r="D88" s="12" t="s">
        <v>294</v>
      </c>
      <c r="E88" s="14" t="s">
        <v>299</v>
      </c>
      <c r="F88" s="14" t="s">
        <v>296</v>
      </c>
      <c r="G88" s="15">
        <v>45226</v>
      </c>
      <c r="H88" s="15" t="s">
        <v>271</v>
      </c>
      <c r="I88" s="12" t="s">
        <v>269</v>
      </c>
      <c r="J88" s="12" t="s">
        <v>272</v>
      </c>
      <c r="K88" s="12">
        <v>200</v>
      </c>
      <c r="L88" s="12">
        <v>81</v>
      </c>
      <c r="M88" s="12">
        <v>26</v>
      </c>
      <c r="N88" s="12">
        <v>44</v>
      </c>
      <c r="O88" s="16">
        <v>0.59090909090909094</v>
      </c>
      <c r="P88" s="12">
        <v>7</v>
      </c>
      <c r="Q88" s="12">
        <v>25</v>
      </c>
      <c r="R88" s="16">
        <v>0.28000000000000003</v>
      </c>
      <c r="S88" s="12">
        <v>33</v>
      </c>
      <c r="T88" s="12">
        <v>69</v>
      </c>
      <c r="U88" s="16">
        <v>0.47826086956521741</v>
      </c>
      <c r="V88" s="12">
        <v>8</v>
      </c>
      <c r="W88" s="12">
        <v>12</v>
      </c>
      <c r="X88" s="16">
        <v>0.66666666666666663</v>
      </c>
      <c r="Y88" s="12">
        <v>10</v>
      </c>
      <c r="Z88" s="12">
        <v>22</v>
      </c>
      <c r="AA88" s="12">
        <v>32</v>
      </c>
      <c r="AB88" s="12">
        <v>16</v>
      </c>
      <c r="AC88" s="12">
        <v>12</v>
      </c>
      <c r="AD88" s="12">
        <v>7</v>
      </c>
      <c r="AE88" s="12">
        <v>2</v>
      </c>
      <c r="AF88" s="12">
        <v>4</v>
      </c>
      <c r="AG88" s="12">
        <v>21</v>
      </c>
      <c r="AH88" s="12">
        <v>18</v>
      </c>
      <c r="AI88" s="17">
        <v>79</v>
      </c>
      <c r="AJ88" s="12">
        <v>-14</v>
      </c>
      <c r="AK88" s="12">
        <v>75</v>
      </c>
      <c r="AL88" s="12">
        <v>85</v>
      </c>
      <c r="AM88" s="19">
        <v>0.95294117647058818</v>
      </c>
      <c r="AN88" s="19">
        <v>1.0674157303370786</v>
      </c>
      <c r="AO88" s="18">
        <v>108</v>
      </c>
      <c r="AP88" s="18">
        <v>128.37837837837839</v>
      </c>
      <c r="AQ88" s="18">
        <v>-20.378378378378386</v>
      </c>
      <c r="AR88" s="53">
        <v>0.52898550724637683</v>
      </c>
      <c r="AS88" s="53">
        <v>0.5547945205479452</v>
      </c>
      <c r="AT88" s="16">
        <v>0.24705882352941178</v>
      </c>
      <c r="AU88" s="19">
        <v>1.5238095238095237</v>
      </c>
      <c r="AV88" s="16">
        <v>0.2</v>
      </c>
      <c r="AW88" s="19">
        <v>0.94117647058823528</v>
      </c>
      <c r="AX88" s="16">
        <v>7.0588235294117646E-2</v>
      </c>
      <c r="AY88" s="19">
        <v>0.66666666666666663</v>
      </c>
      <c r="AZ88" s="16">
        <v>8.2352941176470587E-2</v>
      </c>
      <c r="BA88" s="19">
        <v>0.42857142857142855</v>
      </c>
      <c r="BB88" s="16">
        <v>0.2</v>
      </c>
      <c r="BC88" s="21">
        <v>1.0588235294117647</v>
      </c>
      <c r="BD88" s="16">
        <v>4.7058823529411764E-2</v>
      </c>
      <c r="BE88" s="16">
        <v>0.14117647058823529</v>
      </c>
      <c r="BF88" s="16">
        <v>0.43243243243243246</v>
      </c>
      <c r="BG88" s="16">
        <v>0.5</v>
      </c>
      <c r="BH88" s="16">
        <v>0.2857142857142857</v>
      </c>
      <c r="BI88" s="16">
        <v>0.25</v>
      </c>
      <c r="BJ88" s="16">
        <v>0.18823529411764706</v>
      </c>
      <c r="BK88" s="21">
        <v>1.3333333333333333</v>
      </c>
      <c r="BL88" s="16">
        <v>0.27027027027027029</v>
      </c>
      <c r="BM88" s="16">
        <v>0.29166666666666669</v>
      </c>
      <c r="BN88" s="16">
        <v>0.27777777777777779</v>
      </c>
      <c r="BO88" s="16">
        <v>0</v>
      </c>
      <c r="BP88" s="16">
        <v>0.59459459459459463</v>
      </c>
      <c r="BQ88" s="16">
        <v>0.63157894736842102</v>
      </c>
      <c r="BR88" s="16">
        <v>0.52941176470588236</v>
      </c>
      <c r="BS88" s="16">
        <v>1</v>
      </c>
      <c r="BT88" s="16">
        <v>0.43243243243243246</v>
      </c>
      <c r="BU88" s="16">
        <v>9.45945945945946E-2</v>
      </c>
      <c r="BV88" s="16">
        <v>2.8985507246376812E-2</v>
      </c>
      <c r="BW88" s="54">
        <v>2</v>
      </c>
      <c r="BX88" s="54">
        <v>0.61904761904761907</v>
      </c>
      <c r="BY88" s="54">
        <v>0.33333333333333331</v>
      </c>
      <c r="BZ88" s="12">
        <v>13</v>
      </c>
      <c r="CA88" s="12">
        <v>2</v>
      </c>
      <c r="CB88" s="12">
        <v>1</v>
      </c>
      <c r="CC88" s="12">
        <v>3</v>
      </c>
      <c r="CD88" s="12">
        <v>1</v>
      </c>
      <c r="CE88" s="12">
        <v>1</v>
      </c>
      <c r="CF88" s="12">
        <v>2</v>
      </c>
      <c r="CG88" s="12">
        <v>1</v>
      </c>
      <c r="CH88" s="12">
        <v>2</v>
      </c>
      <c r="CI88" s="12">
        <v>0</v>
      </c>
      <c r="CJ88" s="12">
        <v>2</v>
      </c>
      <c r="CK88" s="12">
        <v>0</v>
      </c>
      <c r="CL88" s="12">
        <v>3</v>
      </c>
      <c r="CM88" s="12">
        <v>0</v>
      </c>
      <c r="CN88" s="12">
        <v>0</v>
      </c>
      <c r="CO88" s="12">
        <v>0</v>
      </c>
      <c r="CP88" s="12">
        <v>1</v>
      </c>
      <c r="CQ88" s="12">
        <v>1</v>
      </c>
      <c r="CR88" s="12">
        <v>7</v>
      </c>
      <c r="CS88" s="12">
        <v>0</v>
      </c>
      <c r="CT88" s="12">
        <v>3</v>
      </c>
      <c r="CU88" s="12">
        <v>0</v>
      </c>
      <c r="CV88" s="12">
        <v>1</v>
      </c>
      <c r="CW88" s="12">
        <v>0</v>
      </c>
      <c r="CX88" s="12">
        <v>7</v>
      </c>
      <c r="CY88" s="12">
        <v>1</v>
      </c>
      <c r="CZ88" s="12">
        <v>3</v>
      </c>
      <c r="DA88" s="12">
        <v>0</v>
      </c>
      <c r="DB88" s="12">
        <v>0</v>
      </c>
      <c r="DC88" s="12">
        <v>0</v>
      </c>
      <c r="DD88" s="12">
        <v>2</v>
      </c>
      <c r="DE88" s="12">
        <v>2</v>
      </c>
      <c r="DF88" s="12">
        <v>2</v>
      </c>
      <c r="DG88" s="12">
        <v>4</v>
      </c>
      <c r="DH88" s="12">
        <v>0</v>
      </c>
      <c r="DI88" s="12">
        <v>4</v>
      </c>
      <c r="DJ88" s="12">
        <v>6</v>
      </c>
      <c r="DK88" s="12">
        <v>0</v>
      </c>
      <c r="DL88" s="12">
        <v>16</v>
      </c>
      <c r="DM88" s="12">
        <v>21</v>
      </c>
      <c r="DN88" s="12">
        <v>8</v>
      </c>
      <c r="DO88" s="12">
        <v>17</v>
      </c>
      <c r="DP88" s="12">
        <v>2</v>
      </c>
      <c r="DQ88" s="12">
        <v>6</v>
      </c>
      <c r="DR88" s="12">
        <v>1</v>
      </c>
      <c r="DS88" s="12">
        <v>7</v>
      </c>
      <c r="DT88" s="12">
        <v>6</v>
      </c>
      <c r="DU88" s="12">
        <v>17</v>
      </c>
      <c r="DV88" s="12">
        <v>0</v>
      </c>
      <c r="DW88" s="12">
        <v>1</v>
      </c>
      <c r="DX88" s="12">
        <v>95</v>
      </c>
      <c r="DY88" s="12">
        <v>25</v>
      </c>
      <c r="DZ88" s="12">
        <v>43</v>
      </c>
      <c r="EA88" s="16">
        <v>0.58139534883720934</v>
      </c>
      <c r="EB88" s="12">
        <v>9</v>
      </c>
      <c r="EC88" s="12">
        <v>26</v>
      </c>
      <c r="ED88" s="16">
        <v>0.34615384615384615</v>
      </c>
      <c r="EE88" s="12">
        <v>34</v>
      </c>
      <c r="EF88" s="12">
        <v>69</v>
      </c>
      <c r="EG88" s="16">
        <v>0.49275362318840582</v>
      </c>
      <c r="EH88" s="12">
        <v>18</v>
      </c>
      <c r="EI88" s="12">
        <v>21</v>
      </c>
      <c r="EJ88" s="16">
        <v>0.8571428571428571</v>
      </c>
      <c r="EK88" s="12">
        <v>15</v>
      </c>
      <c r="EL88" s="12">
        <v>27</v>
      </c>
      <c r="EM88" s="12">
        <v>42</v>
      </c>
      <c r="EN88" s="12">
        <v>15</v>
      </c>
      <c r="EO88" s="12">
        <v>18</v>
      </c>
      <c r="EP88" s="12">
        <v>21</v>
      </c>
      <c r="EQ88" s="12">
        <v>5</v>
      </c>
      <c r="ER88" s="12">
        <v>13</v>
      </c>
      <c r="ES88" s="12">
        <v>4</v>
      </c>
      <c r="ET88" s="12">
        <v>2</v>
      </c>
      <c r="EU88" s="12">
        <v>111</v>
      </c>
      <c r="EV88" s="12">
        <v>14</v>
      </c>
      <c r="EW88" s="12">
        <v>74</v>
      </c>
      <c r="EX88" s="12">
        <v>89</v>
      </c>
      <c r="EY88" s="12">
        <v>3</v>
      </c>
      <c r="EZ88" s="12">
        <v>8</v>
      </c>
      <c r="FA88" s="12">
        <v>6</v>
      </c>
      <c r="FB88" s="12">
        <v>1</v>
      </c>
      <c r="FC88" s="12">
        <v>2</v>
      </c>
      <c r="FD88" s="12">
        <v>4</v>
      </c>
      <c r="FE88" s="12">
        <v>0</v>
      </c>
      <c r="FF88" s="12">
        <v>2</v>
      </c>
      <c r="FG88" s="12">
        <v>0</v>
      </c>
      <c r="FH88" s="12">
        <v>1</v>
      </c>
      <c r="FI88" s="12">
        <v>0</v>
      </c>
      <c r="FJ88" s="12">
        <v>1</v>
      </c>
      <c r="FK88" s="12">
        <v>0</v>
      </c>
      <c r="FL88" s="12">
        <v>7</v>
      </c>
      <c r="FM88" s="12">
        <v>0</v>
      </c>
      <c r="FN88" s="12">
        <v>0</v>
      </c>
      <c r="FO88" s="12">
        <v>0</v>
      </c>
      <c r="FP88" s="12">
        <v>4</v>
      </c>
      <c r="FQ88" s="12">
        <v>1</v>
      </c>
      <c r="FR88" s="12">
        <v>7</v>
      </c>
      <c r="FS88" s="12">
        <v>1</v>
      </c>
      <c r="FT88" s="12">
        <v>2</v>
      </c>
      <c r="FU88" s="12">
        <v>2</v>
      </c>
      <c r="FV88" s="12">
        <v>4</v>
      </c>
      <c r="FW88" s="12">
        <v>0</v>
      </c>
      <c r="FX88" s="12">
        <v>8</v>
      </c>
      <c r="FY88" s="12">
        <v>1</v>
      </c>
      <c r="FZ88" s="12">
        <v>1</v>
      </c>
      <c r="GA88" s="12">
        <v>0</v>
      </c>
      <c r="GB88" s="12">
        <v>1</v>
      </c>
      <c r="GC88" s="12">
        <v>1</v>
      </c>
      <c r="GD88" s="12">
        <v>3</v>
      </c>
      <c r="GE88" s="12">
        <v>6</v>
      </c>
      <c r="GF88" s="12">
        <v>14</v>
      </c>
      <c r="GG88" s="12">
        <v>14</v>
      </c>
      <c r="GH88" s="12">
        <v>0</v>
      </c>
      <c r="GI88" s="12">
        <v>0</v>
      </c>
      <c r="GJ88" s="12">
        <v>0</v>
      </c>
      <c r="GK88" s="12">
        <v>0</v>
      </c>
      <c r="GL88" s="12">
        <v>15</v>
      </c>
      <c r="GM88" s="12">
        <v>20</v>
      </c>
      <c r="GN88" s="12">
        <v>8</v>
      </c>
      <c r="GO88" s="12">
        <v>17</v>
      </c>
      <c r="GP88" s="12">
        <v>2</v>
      </c>
      <c r="GQ88" s="12">
        <v>6</v>
      </c>
      <c r="GR88" s="12">
        <v>0</v>
      </c>
      <c r="GS88" s="12">
        <v>2</v>
      </c>
      <c r="GT88" s="12">
        <v>9</v>
      </c>
      <c r="GU88" s="12">
        <v>23</v>
      </c>
      <c r="GV88" s="12">
        <v>0</v>
      </c>
      <c r="GW88" s="12">
        <v>1</v>
      </c>
      <c r="GY88" s="16"/>
    </row>
    <row r="89" spans="2:207" ht="15" customHeight="1" x14ac:dyDescent="0.2">
      <c r="B89" s="12">
        <v>5</v>
      </c>
      <c r="C89" s="12" t="s">
        <v>294</v>
      </c>
      <c r="D89" s="12" t="s">
        <v>297</v>
      </c>
      <c r="E89" s="14" t="s">
        <v>296</v>
      </c>
      <c r="F89" s="14" t="s">
        <v>299</v>
      </c>
      <c r="G89" s="15">
        <v>45226</v>
      </c>
      <c r="H89" s="15" t="s">
        <v>268</v>
      </c>
      <c r="I89" s="12" t="s">
        <v>269</v>
      </c>
      <c r="J89" s="12" t="s">
        <v>270</v>
      </c>
      <c r="K89" s="12">
        <v>200</v>
      </c>
      <c r="L89" s="12">
        <v>95</v>
      </c>
      <c r="M89" s="12">
        <v>25</v>
      </c>
      <c r="N89" s="12">
        <v>43</v>
      </c>
      <c r="O89" s="16">
        <v>0.58139534883720934</v>
      </c>
      <c r="P89" s="12">
        <v>9</v>
      </c>
      <c r="Q89" s="12">
        <v>26</v>
      </c>
      <c r="R89" s="16">
        <v>0.34615384615384615</v>
      </c>
      <c r="S89" s="12">
        <v>34</v>
      </c>
      <c r="T89" s="12">
        <v>69</v>
      </c>
      <c r="U89" s="16">
        <v>0.49275362318840582</v>
      </c>
      <c r="V89" s="12">
        <v>18</v>
      </c>
      <c r="W89" s="12">
        <v>21</v>
      </c>
      <c r="X89" s="16">
        <v>0.8571428571428571</v>
      </c>
      <c r="Y89" s="12">
        <v>15</v>
      </c>
      <c r="Z89" s="12">
        <v>27</v>
      </c>
      <c r="AA89" s="12">
        <v>42</v>
      </c>
      <c r="AB89" s="12">
        <v>15</v>
      </c>
      <c r="AC89" s="12">
        <v>13</v>
      </c>
      <c r="AD89" s="12">
        <v>5</v>
      </c>
      <c r="AE89" s="12">
        <v>4</v>
      </c>
      <c r="AF89" s="12">
        <v>2</v>
      </c>
      <c r="AG89" s="12">
        <v>18</v>
      </c>
      <c r="AH89" s="12">
        <v>21</v>
      </c>
      <c r="AI89" s="17">
        <v>111</v>
      </c>
      <c r="AJ89" s="12">
        <v>14</v>
      </c>
      <c r="AK89" s="12">
        <v>74</v>
      </c>
      <c r="AL89" s="12">
        <v>89</v>
      </c>
      <c r="AM89" s="19">
        <v>1.0674157303370786</v>
      </c>
      <c r="AN89" s="19">
        <v>0.95294117647058818</v>
      </c>
      <c r="AO89" s="18">
        <v>128.37837837837839</v>
      </c>
      <c r="AP89" s="18">
        <v>108</v>
      </c>
      <c r="AQ89" s="18">
        <v>20.378378378378386</v>
      </c>
      <c r="AR89" s="53">
        <v>0.55797101449275366</v>
      </c>
      <c r="AS89" s="53">
        <v>0.625</v>
      </c>
      <c r="AT89" s="16">
        <v>0.2247191011235955</v>
      </c>
      <c r="AU89" s="19">
        <v>1.5</v>
      </c>
      <c r="AV89" s="16">
        <v>0.19101123595505617</v>
      </c>
      <c r="AW89" s="19">
        <v>0.94117647058823528</v>
      </c>
      <c r="AX89" s="16">
        <v>6.741573033707865E-2</v>
      </c>
      <c r="AY89" s="19">
        <v>0.66666666666666663</v>
      </c>
      <c r="AZ89" s="16">
        <v>2.247191011235955E-2</v>
      </c>
      <c r="BA89" s="19">
        <v>0</v>
      </c>
      <c r="BB89" s="16">
        <v>0.25842696629213485</v>
      </c>
      <c r="BC89" s="21">
        <v>1.173913043478261</v>
      </c>
      <c r="BD89" s="16">
        <v>7.8651685393258425E-2</v>
      </c>
      <c r="BE89" s="16">
        <v>0.14606741573033707</v>
      </c>
      <c r="BF89" s="16">
        <v>0.36585365853658536</v>
      </c>
      <c r="BG89" s="16">
        <v>0.32</v>
      </c>
      <c r="BH89" s="16">
        <v>0.66666666666666663</v>
      </c>
      <c r="BI89" s="16">
        <v>0.14285714285714285</v>
      </c>
      <c r="BJ89" s="16">
        <v>0.16853932584269662</v>
      </c>
      <c r="BK89" s="21">
        <v>1.1538461538461537</v>
      </c>
      <c r="BL89" s="16">
        <v>0.40540540540540543</v>
      </c>
      <c r="BM89" s="16">
        <v>0.36842105263157893</v>
      </c>
      <c r="BN89" s="16">
        <v>0.47058823529411764</v>
      </c>
      <c r="BO89" s="16">
        <v>0</v>
      </c>
      <c r="BP89" s="16">
        <v>0.72972972972972971</v>
      </c>
      <c r="BQ89" s="16">
        <v>0.70833333333333337</v>
      </c>
      <c r="BR89" s="16">
        <v>0.72222222222222221</v>
      </c>
      <c r="BS89" s="16">
        <v>1</v>
      </c>
      <c r="BT89" s="16">
        <v>0.56756756756756754</v>
      </c>
      <c r="BU89" s="16">
        <v>6.6666666666666666E-2</v>
      </c>
      <c r="BV89" s="16">
        <v>5.7971014492753624E-2</v>
      </c>
      <c r="BW89" s="54">
        <v>3</v>
      </c>
      <c r="BX89" s="54">
        <v>0.33333333333333331</v>
      </c>
      <c r="BY89" s="54">
        <v>0.61904761904761907</v>
      </c>
      <c r="BZ89" s="12">
        <v>8</v>
      </c>
      <c r="CA89" s="12">
        <v>6</v>
      </c>
      <c r="CB89" s="12">
        <v>1</v>
      </c>
      <c r="CC89" s="12">
        <v>2</v>
      </c>
      <c r="CD89" s="12">
        <v>4</v>
      </c>
      <c r="CE89" s="12">
        <v>0</v>
      </c>
      <c r="CF89" s="12">
        <v>2</v>
      </c>
      <c r="CG89" s="12">
        <v>0</v>
      </c>
      <c r="CH89" s="12">
        <v>1</v>
      </c>
      <c r="CI89" s="12">
        <v>0</v>
      </c>
      <c r="CJ89" s="12">
        <v>1</v>
      </c>
      <c r="CK89" s="12">
        <v>0</v>
      </c>
      <c r="CL89" s="12">
        <v>7</v>
      </c>
      <c r="CM89" s="12">
        <v>0</v>
      </c>
      <c r="CN89" s="12">
        <v>0</v>
      </c>
      <c r="CO89" s="12">
        <v>0</v>
      </c>
      <c r="CP89" s="12">
        <v>4</v>
      </c>
      <c r="CQ89" s="12">
        <v>1</v>
      </c>
      <c r="CR89" s="12">
        <v>7</v>
      </c>
      <c r="CS89" s="12">
        <v>1</v>
      </c>
      <c r="CT89" s="12">
        <v>2</v>
      </c>
      <c r="CU89" s="12">
        <v>2</v>
      </c>
      <c r="CV89" s="12">
        <v>4</v>
      </c>
      <c r="CW89" s="12">
        <v>0</v>
      </c>
      <c r="CX89" s="12">
        <v>8</v>
      </c>
      <c r="CY89" s="12">
        <v>1</v>
      </c>
      <c r="CZ89" s="12">
        <v>1</v>
      </c>
      <c r="DA89" s="12">
        <v>0</v>
      </c>
      <c r="DB89" s="12">
        <v>1</v>
      </c>
      <c r="DC89" s="12">
        <v>1</v>
      </c>
      <c r="DD89" s="12">
        <v>3</v>
      </c>
      <c r="DE89" s="12">
        <v>6</v>
      </c>
      <c r="DF89" s="12">
        <v>14</v>
      </c>
      <c r="DG89" s="12">
        <v>14</v>
      </c>
      <c r="DH89" s="12">
        <v>0</v>
      </c>
      <c r="DI89" s="12">
        <v>0</v>
      </c>
      <c r="DJ89" s="12">
        <v>0</v>
      </c>
      <c r="DK89" s="12">
        <v>0</v>
      </c>
      <c r="DL89" s="12">
        <v>15</v>
      </c>
      <c r="DM89" s="12">
        <v>20</v>
      </c>
      <c r="DN89" s="12">
        <v>8</v>
      </c>
      <c r="DO89" s="12">
        <v>17</v>
      </c>
      <c r="DP89" s="12">
        <v>2</v>
      </c>
      <c r="DQ89" s="12">
        <v>6</v>
      </c>
      <c r="DR89" s="12">
        <v>0</v>
      </c>
      <c r="DS89" s="12">
        <v>2</v>
      </c>
      <c r="DT89" s="12">
        <v>9</v>
      </c>
      <c r="DU89" s="12">
        <v>23</v>
      </c>
      <c r="DV89" s="12">
        <v>0</v>
      </c>
      <c r="DW89" s="12">
        <v>1</v>
      </c>
      <c r="DX89" s="12">
        <v>81</v>
      </c>
      <c r="DY89" s="12">
        <v>26</v>
      </c>
      <c r="DZ89" s="12">
        <v>44</v>
      </c>
      <c r="EA89" s="16">
        <v>0.59090909090909094</v>
      </c>
      <c r="EB89" s="12">
        <v>7</v>
      </c>
      <c r="EC89" s="12">
        <v>25</v>
      </c>
      <c r="ED89" s="16">
        <v>0.28000000000000003</v>
      </c>
      <c r="EE89" s="12">
        <v>33</v>
      </c>
      <c r="EF89" s="12">
        <v>69</v>
      </c>
      <c r="EG89" s="16">
        <v>0.47826086956521741</v>
      </c>
      <c r="EH89" s="12">
        <v>8</v>
      </c>
      <c r="EI89" s="12">
        <v>12</v>
      </c>
      <c r="EJ89" s="16">
        <v>0.66666666666666663</v>
      </c>
      <c r="EK89" s="12">
        <v>10</v>
      </c>
      <c r="EL89" s="12">
        <v>22</v>
      </c>
      <c r="EM89" s="12">
        <v>32</v>
      </c>
      <c r="EN89" s="12">
        <v>16</v>
      </c>
      <c r="EO89" s="12">
        <v>22</v>
      </c>
      <c r="EP89" s="12">
        <v>18</v>
      </c>
      <c r="EQ89" s="12">
        <v>7</v>
      </c>
      <c r="ER89" s="12">
        <v>12</v>
      </c>
      <c r="ES89" s="12">
        <v>2</v>
      </c>
      <c r="ET89" s="12">
        <v>4</v>
      </c>
      <c r="EU89" s="12">
        <v>78</v>
      </c>
      <c r="EV89" s="12">
        <v>-14</v>
      </c>
      <c r="EW89" s="12">
        <v>75</v>
      </c>
      <c r="EX89" s="12">
        <v>85</v>
      </c>
      <c r="EY89" s="12">
        <v>2</v>
      </c>
      <c r="EZ89" s="12">
        <v>13</v>
      </c>
      <c r="FA89" s="12">
        <v>2</v>
      </c>
      <c r="FB89" s="12">
        <v>1</v>
      </c>
      <c r="FC89" s="12">
        <v>3</v>
      </c>
      <c r="FD89" s="12">
        <v>1</v>
      </c>
      <c r="FE89" s="12">
        <v>1</v>
      </c>
      <c r="FF89" s="12">
        <v>2</v>
      </c>
      <c r="FG89" s="12">
        <v>1</v>
      </c>
      <c r="FH89" s="12">
        <v>2</v>
      </c>
      <c r="FI89" s="12">
        <v>0</v>
      </c>
      <c r="FJ89" s="12">
        <v>2</v>
      </c>
      <c r="FK89" s="12">
        <v>0</v>
      </c>
      <c r="FL89" s="12">
        <v>3</v>
      </c>
      <c r="FM89" s="12">
        <v>0</v>
      </c>
      <c r="FN89" s="12">
        <v>0</v>
      </c>
      <c r="FO89" s="12">
        <v>0</v>
      </c>
      <c r="FP89" s="12">
        <v>1</v>
      </c>
      <c r="FQ89" s="12">
        <v>1</v>
      </c>
      <c r="FR89" s="12">
        <v>7</v>
      </c>
      <c r="FS89" s="12">
        <v>0</v>
      </c>
      <c r="FT89" s="12">
        <v>3</v>
      </c>
      <c r="FU89" s="12">
        <v>0</v>
      </c>
      <c r="FV89" s="12">
        <v>1</v>
      </c>
      <c r="FW89" s="12">
        <v>0</v>
      </c>
      <c r="FX89" s="12">
        <v>7</v>
      </c>
      <c r="FY89" s="12">
        <v>1</v>
      </c>
      <c r="FZ89" s="12">
        <v>3</v>
      </c>
      <c r="GA89" s="12">
        <v>0</v>
      </c>
      <c r="GB89" s="12">
        <v>0</v>
      </c>
      <c r="GC89" s="12">
        <v>0</v>
      </c>
      <c r="GD89" s="12">
        <v>2</v>
      </c>
      <c r="GE89" s="12">
        <v>2</v>
      </c>
      <c r="GF89" s="12">
        <v>2</v>
      </c>
      <c r="GG89" s="12">
        <v>4</v>
      </c>
      <c r="GH89" s="12">
        <v>0</v>
      </c>
      <c r="GI89" s="12">
        <v>4</v>
      </c>
      <c r="GJ89" s="12">
        <v>6</v>
      </c>
      <c r="GK89" s="12">
        <v>0</v>
      </c>
      <c r="GL89" s="12">
        <v>16</v>
      </c>
      <c r="GM89" s="12">
        <v>21</v>
      </c>
      <c r="GN89" s="12">
        <v>8</v>
      </c>
      <c r="GO89" s="12">
        <v>17</v>
      </c>
      <c r="GP89" s="12">
        <v>2</v>
      </c>
      <c r="GQ89" s="12">
        <v>6</v>
      </c>
      <c r="GR89" s="12">
        <v>1</v>
      </c>
      <c r="GS89" s="12">
        <v>7</v>
      </c>
      <c r="GT89" s="12">
        <v>6</v>
      </c>
      <c r="GU89" s="12">
        <v>17</v>
      </c>
      <c r="GV89" s="12">
        <v>0</v>
      </c>
      <c r="GW89" s="12">
        <v>1</v>
      </c>
      <c r="GY89" s="16"/>
    </row>
    <row r="90" spans="2:207" ht="15" customHeight="1" x14ac:dyDescent="0.2">
      <c r="B90" s="12">
        <v>5</v>
      </c>
      <c r="C90" s="12" t="s">
        <v>282</v>
      </c>
      <c r="D90" s="12" t="s">
        <v>290</v>
      </c>
      <c r="E90" s="14" t="s">
        <v>284</v>
      </c>
      <c r="F90" s="14" t="s">
        <v>292</v>
      </c>
      <c r="G90" s="15">
        <v>45226</v>
      </c>
      <c r="H90" s="15" t="s">
        <v>268</v>
      </c>
      <c r="I90" s="12" t="s">
        <v>269</v>
      </c>
      <c r="J90" s="12" t="s">
        <v>272</v>
      </c>
      <c r="K90" s="12">
        <v>200</v>
      </c>
      <c r="L90" s="12">
        <v>67</v>
      </c>
      <c r="M90" s="12">
        <v>20</v>
      </c>
      <c r="N90" s="12">
        <v>41</v>
      </c>
      <c r="O90" s="16">
        <v>0.48780487804878048</v>
      </c>
      <c r="P90" s="12">
        <v>6</v>
      </c>
      <c r="Q90" s="12">
        <v>29</v>
      </c>
      <c r="R90" s="16">
        <v>0.20689655172413793</v>
      </c>
      <c r="S90" s="12">
        <v>26</v>
      </c>
      <c r="T90" s="12">
        <v>70</v>
      </c>
      <c r="U90" s="16">
        <v>0.37142857142857144</v>
      </c>
      <c r="V90" s="12">
        <v>9</v>
      </c>
      <c r="W90" s="12">
        <v>12</v>
      </c>
      <c r="X90" s="16">
        <v>0.75</v>
      </c>
      <c r="Y90" s="12">
        <v>13</v>
      </c>
      <c r="Z90" s="12">
        <v>26</v>
      </c>
      <c r="AA90" s="12">
        <v>39</v>
      </c>
      <c r="AB90" s="12">
        <v>12</v>
      </c>
      <c r="AC90" s="12">
        <v>9</v>
      </c>
      <c r="AD90" s="12">
        <v>5</v>
      </c>
      <c r="AE90" s="12">
        <v>4</v>
      </c>
      <c r="AF90" s="12">
        <v>4</v>
      </c>
      <c r="AG90" s="12">
        <v>22</v>
      </c>
      <c r="AH90" s="12">
        <v>21</v>
      </c>
      <c r="AI90" s="17">
        <v>66</v>
      </c>
      <c r="AJ90" s="12">
        <v>-9</v>
      </c>
      <c r="AK90" s="12">
        <v>71</v>
      </c>
      <c r="AL90" s="12">
        <v>84</v>
      </c>
      <c r="AM90" s="19">
        <v>0.79761904761904767</v>
      </c>
      <c r="AN90" s="19">
        <v>0.86363636363636365</v>
      </c>
      <c r="AO90" s="18">
        <v>94.366197183098592</v>
      </c>
      <c r="AP90" s="18">
        <v>108.57142857142857</v>
      </c>
      <c r="AQ90" s="18">
        <v>-14.205231388329977</v>
      </c>
      <c r="AR90" s="53">
        <v>0.41428571428571431</v>
      </c>
      <c r="AS90" s="53">
        <v>0.44666666666666666</v>
      </c>
      <c r="AT90" s="16">
        <v>8.3333333333333329E-2</v>
      </c>
      <c r="AU90" s="19">
        <v>1.1428571428571428</v>
      </c>
      <c r="AV90" s="16">
        <v>0.23809523809523808</v>
      </c>
      <c r="AW90" s="19">
        <v>1</v>
      </c>
      <c r="AX90" s="16">
        <v>0.16666666666666666</v>
      </c>
      <c r="AY90" s="19">
        <v>0.8571428571428571</v>
      </c>
      <c r="AZ90" s="16">
        <v>4.7619047619047616E-2</v>
      </c>
      <c r="BA90" s="19">
        <v>0.75</v>
      </c>
      <c r="BB90" s="16">
        <v>0.29761904761904762</v>
      </c>
      <c r="BC90" s="21">
        <v>0.6</v>
      </c>
      <c r="BD90" s="16">
        <v>5.9523809523809521E-2</v>
      </c>
      <c r="BE90" s="16">
        <v>0.10714285714285714</v>
      </c>
      <c r="BF90" s="16">
        <v>0.38709677419354838</v>
      </c>
      <c r="BG90" s="16">
        <v>0.5</v>
      </c>
      <c r="BH90" s="16">
        <v>0.33333333333333331</v>
      </c>
      <c r="BI90" s="16">
        <v>0</v>
      </c>
      <c r="BJ90" s="16">
        <v>0.14285714285714285</v>
      </c>
      <c r="BK90" s="21">
        <v>1.3333333333333333</v>
      </c>
      <c r="BL90" s="16">
        <v>0.29545454545454547</v>
      </c>
      <c r="BM90" s="16">
        <v>0.4</v>
      </c>
      <c r="BN90" s="16">
        <v>0.20833333333333334</v>
      </c>
      <c r="BO90" s="16">
        <v>0</v>
      </c>
      <c r="BP90" s="16">
        <v>0.60465116279069764</v>
      </c>
      <c r="BQ90" s="16">
        <v>0.56000000000000005</v>
      </c>
      <c r="BR90" s="16">
        <v>0.61111111111111116</v>
      </c>
      <c r="BS90" s="16">
        <v>1</v>
      </c>
      <c r="BT90" s="16">
        <v>0.44827586206896552</v>
      </c>
      <c r="BU90" s="16">
        <v>7.1428571428571425E-2</v>
      </c>
      <c r="BV90" s="16">
        <v>5.6338028169014086E-2</v>
      </c>
      <c r="BW90" s="54">
        <v>4</v>
      </c>
      <c r="BX90" s="54">
        <v>0.45454545454545453</v>
      </c>
      <c r="BY90" s="54">
        <v>0.33333333333333331</v>
      </c>
      <c r="BZ90" s="12">
        <v>10</v>
      </c>
      <c r="CA90" s="12">
        <v>2</v>
      </c>
      <c r="CB90" s="12">
        <v>0</v>
      </c>
      <c r="CC90" s="12">
        <v>0</v>
      </c>
      <c r="CD90" s="12">
        <v>1</v>
      </c>
      <c r="CE90" s="12">
        <v>0</v>
      </c>
      <c r="CF90" s="12">
        <v>4</v>
      </c>
      <c r="CG90" s="12">
        <v>0</v>
      </c>
      <c r="CH90" s="12">
        <v>3</v>
      </c>
      <c r="CI90" s="12">
        <v>2</v>
      </c>
      <c r="CJ90" s="12">
        <v>0</v>
      </c>
      <c r="CK90" s="12">
        <v>0</v>
      </c>
      <c r="CL90" s="12">
        <v>5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10</v>
      </c>
      <c r="CS90" s="12">
        <v>1</v>
      </c>
      <c r="CT90" s="12">
        <v>3</v>
      </c>
      <c r="CU90" s="12">
        <v>0</v>
      </c>
      <c r="CV90" s="12">
        <v>2</v>
      </c>
      <c r="CW90" s="12">
        <v>0</v>
      </c>
      <c r="CX90" s="12">
        <v>9</v>
      </c>
      <c r="CY90" s="12">
        <v>0</v>
      </c>
      <c r="CZ90" s="12">
        <v>2</v>
      </c>
      <c r="DA90" s="12">
        <v>0</v>
      </c>
      <c r="DB90" s="12">
        <v>0</v>
      </c>
      <c r="DC90" s="12">
        <v>0</v>
      </c>
      <c r="DD90" s="12">
        <v>1</v>
      </c>
      <c r="DE90" s="12">
        <v>2</v>
      </c>
      <c r="DF90" s="12">
        <v>8</v>
      </c>
      <c r="DG90" s="12">
        <v>10</v>
      </c>
      <c r="DH90" s="12">
        <v>0</v>
      </c>
      <c r="DI90" s="12">
        <v>0</v>
      </c>
      <c r="DJ90" s="12">
        <v>0</v>
      </c>
      <c r="DK90" s="12">
        <v>0</v>
      </c>
      <c r="DL90" s="12">
        <v>4</v>
      </c>
      <c r="DM90" s="12">
        <v>7</v>
      </c>
      <c r="DN90" s="12">
        <v>10</v>
      </c>
      <c r="DO90" s="12">
        <v>20</v>
      </c>
      <c r="DP90" s="12">
        <v>6</v>
      </c>
      <c r="DQ90" s="12">
        <v>14</v>
      </c>
      <c r="DR90" s="12">
        <v>1</v>
      </c>
      <c r="DS90" s="12">
        <v>4</v>
      </c>
      <c r="DT90" s="12">
        <v>5</v>
      </c>
      <c r="DU90" s="12">
        <v>25</v>
      </c>
      <c r="DV90" s="12">
        <v>0</v>
      </c>
      <c r="DW90" s="12">
        <v>0</v>
      </c>
      <c r="DX90" s="12">
        <v>76</v>
      </c>
      <c r="DY90" s="12">
        <v>20</v>
      </c>
      <c r="DZ90" s="12">
        <v>44</v>
      </c>
      <c r="EA90" s="16">
        <v>0.45454545454545453</v>
      </c>
      <c r="EB90" s="12">
        <v>7</v>
      </c>
      <c r="EC90" s="12">
        <v>27</v>
      </c>
      <c r="ED90" s="16">
        <v>0.25925925925925924</v>
      </c>
      <c r="EE90" s="12">
        <v>27</v>
      </c>
      <c r="EF90" s="12">
        <v>71</v>
      </c>
      <c r="EG90" s="16">
        <v>0.38028169014084506</v>
      </c>
      <c r="EH90" s="12">
        <v>15</v>
      </c>
      <c r="EI90" s="12">
        <v>18</v>
      </c>
      <c r="EJ90" s="16">
        <v>0.83333333333333337</v>
      </c>
      <c r="EK90" s="12">
        <v>17</v>
      </c>
      <c r="EL90" s="12">
        <v>31</v>
      </c>
      <c r="EM90" s="12">
        <v>48</v>
      </c>
      <c r="EN90" s="12">
        <v>10</v>
      </c>
      <c r="EO90" s="12">
        <v>21</v>
      </c>
      <c r="EP90" s="12">
        <v>21</v>
      </c>
      <c r="EQ90" s="12">
        <v>5</v>
      </c>
      <c r="ER90" s="12">
        <v>11</v>
      </c>
      <c r="ES90" s="12">
        <v>4</v>
      </c>
      <c r="ET90" s="12">
        <v>4</v>
      </c>
      <c r="EU90" s="12">
        <v>81</v>
      </c>
      <c r="EV90" s="12">
        <v>9</v>
      </c>
      <c r="EW90" s="12">
        <v>70</v>
      </c>
      <c r="EX90" s="12">
        <v>88</v>
      </c>
      <c r="EY90" s="12">
        <v>6</v>
      </c>
      <c r="EZ90" s="12">
        <v>6</v>
      </c>
      <c r="FA90" s="12">
        <v>3</v>
      </c>
      <c r="FB90" s="12">
        <v>1</v>
      </c>
      <c r="FC90" s="12">
        <v>0</v>
      </c>
      <c r="FD90" s="12">
        <v>2</v>
      </c>
      <c r="FE90" s="12">
        <v>1</v>
      </c>
      <c r="FF90" s="12">
        <v>7</v>
      </c>
      <c r="FG90" s="12">
        <v>0</v>
      </c>
      <c r="FH90" s="12">
        <v>1</v>
      </c>
      <c r="FI90" s="12">
        <v>0</v>
      </c>
      <c r="FJ90" s="12">
        <v>1</v>
      </c>
      <c r="FK90" s="12">
        <v>0</v>
      </c>
      <c r="FL90" s="12">
        <v>6</v>
      </c>
      <c r="FM90" s="12">
        <v>0</v>
      </c>
      <c r="FN90" s="12">
        <v>0</v>
      </c>
      <c r="FO90" s="12">
        <v>0</v>
      </c>
      <c r="FP90" s="12">
        <v>2</v>
      </c>
      <c r="FQ90" s="12">
        <v>0</v>
      </c>
      <c r="FR90" s="12">
        <v>6</v>
      </c>
      <c r="FS90" s="12">
        <v>0</v>
      </c>
      <c r="FT90" s="12">
        <v>5</v>
      </c>
      <c r="FU90" s="12">
        <v>2</v>
      </c>
      <c r="FV90" s="12">
        <v>3</v>
      </c>
      <c r="FW90" s="12">
        <v>1</v>
      </c>
      <c r="FX90" s="12">
        <v>14</v>
      </c>
      <c r="FY90" s="12">
        <v>1</v>
      </c>
      <c r="FZ90" s="12">
        <v>1</v>
      </c>
      <c r="GA90" s="12">
        <v>0</v>
      </c>
      <c r="GB90" s="12">
        <v>0</v>
      </c>
      <c r="GC90" s="12">
        <v>1</v>
      </c>
      <c r="GD90" s="12">
        <v>3</v>
      </c>
      <c r="GE90" s="12">
        <v>4</v>
      </c>
      <c r="GF90" s="12">
        <v>9</v>
      </c>
      <c r="GG90" s="12">
        <v>10</v>
      </c>
      <c r="GH90" s="12">
        <v>0</v>
      </c>
      <c r="GI90" s="12">
        <v>3</v>
      </c>
      <c r="GJ90" s="12">
        <v>3</v>
      </c>
      <c r="GK90" s="12">
        <v>0</v>
      </c>
      <c r="GL90" s="12">
        <v>7</v>
      </c>
      <c r="GM90" s="12">
        <v>9</v>
      </c>
      <c r="GN90" s="12">
        <v>9</v>
      </c>
      <c r="GO90" s="12">
        <v>27</v>
      </c>
      <c r="GP90" s="12">
        <v>4</v>
      </c>
      <c r="GQ90" s="12">
        <v>8</v>
      </c>
      <c r="GR90" s="12">
        <v>1</v>
      </c>
      <c r="GS90" s="12">
        <v>4</v>
      </c>
      <c r="GT90" s="12">
        <v>6</v>
      </c>
      <c r="GU90" s="12">
        <v>22</v>
      </c>
      <c r="GV90" s="12">
        <v>0</v>
      </c>
      <c r="GW90" s="12">
        <v>1</v>
      </c>
      <c r="GY90" s="16"/>
    </row>
    <row r="91" spans="2:207" ht="15" customHeight="1" x14ac:dyDescent="0.2">
      <c r="B91" s="12">
        <v>5</v>
      </c>
      <c r="C91" s="12" t="s">
        <v>290</v>
      </c>
      <c r="D91" s="12" t="s">
        <v>282</v>
      </c>
      <c r="E91" s="14" t="s">
        <v>292</v>
      </c>
      <c r="F91" s="14" t="s">
        <v>284</v>
      </c>
      <c r="G91" s="15">
        <v>45226</v>
      </c>
      <c r="H91" s="15" t="s">
        <v>271</v>
      </c>
      <c r="I91" s="12" t="s">
        <v>269</v>
      </c>
      <c r="J91" s="12" t="s">
        <v>270</v>
      </c>
      <c r="K91" s="12">
        <v>200</v>
      </c>
      <c r="L91" s="12">
        <v>76</v>
      </c>
      <c r="M91" s="12">
        <v>20</v>
      </c>
      <c r="N91" s="12">
        <v>44</v>
      </c>
      <c r="O91" s="16">
        <v>0.45454545454545453</v>
      </c>
      <c r="P91" s="12">
        <v>7</v>
      </c>
      <c r="Q91" s="12">
        <v>27</v>
      </c>
      <c r="R91" s="16">
        <v>0.25925925925925924</v>
      </c>
      <c r="S91" s="12">
        <v>27</v>
      </c>
      <c r="T91" s="12">
        <v>71</v>
      </c>
      <c r="U91" s="16">
        <v>0.38028169014084506</v>
      </c>
      <c r="V91" s="12">
        <v>15</v>
      </c>
      <c r="W91" s="12">
        <v>18</v>
      </c>
      <c r="X91" s="16">
        <v>0.83333333333333337</v>
      </c>
      <c r="Y91" s="12">
        <v>17</v>
      </c>
      <c r="Z91" s="12">
        <v>31</v>
      </c>
      <c r="AA91" s="12">
        <v>48</v>
      </c>
      <c r="AB91" s="12">
        <v>10</v>
      </c>
      <c r="AC91" s="12">
        <v>11</v>
      </c>
      <c r="AD91" s="12">
        <v>5</v>
      </c>
      <c r="AE91" s="12">
        <v>4</v>
      </c>
      <c r="AF91" s="12">
        <v>4</v>
      </c>
      <c r="AG91" s="12">
        <v>21</v>
      </c>
      <c r="AH91" s="12">
        <v>21</v>
      </c>
      <c r="AI91" s="17">
        <v>81</v>
      </c>
      <c r="AJ91" s="12">
        <v>9</v>
      </c>
      <c r="AK91" s="12">
        <v>70</v>
      </c>
      <c r="AL91" s="12">
        <v>88</v>
      </c>
      <c r="AM91" s="19">
        <v>0.86363636363636365</v>
      </c>
      <c r="AN91" s="19">
        <v>0.79761904761904767</v>
      </c>
      <c r="AO91" s="18">
        <v>108.57142857142857</v>
      </c>
      <c r="AP91" s="18">
        <v>94.366197183098592</v>
      </c>
      <c r="AQ91" s="18">
        <v>14.205231388329977</v>
      </c>
      <c r="AR91" s="53">
        <v>0.42957746478873238</v>
      </c>
      <c r="AS91" s="53">
        <v>0.4935064935064935</v>
      </c>
      <c r="AT91" s="16">
        <v>0.10227272727272728</v>
      </c>
      <c r="AU91" s="19">
        <v>1.5555555555555556</v>
      </c>
      <c r="AV91" s="16">
        <v>0.30681818181818182</v>
      </c>
      <c r="AW91" s="19">
        <v>0.66666666666666663</v>
      </c>
      <c r="AX91" s="16">
        <v>9.0909090909090912E-2</v>
      </c>
      <c r="AY91" s="19">
        <v>1</v>
      </c>
      <c r="AZ91" s="16">
        <v>4.5454545454545456E-2</v>
      </c>
      <c r="BA91" s="19">
        <v>0.75</v>
      </c>
      <c r="BB91" s="16">
        <v>0.25</v>
      </c>
      <c r="BC91" s="21">
        <v>0.81818181818181823</v>
      </c>
      <c r="BD91" s="16">
        <v>6.8181818181818177E-2</v>
      </c>
      <c r="BE91" s="16">
        <v>0.12643678160919541</v>
      </c>
      <c r="BF91" s="16">
        <v>0.30303030303030304</v>
      </c>
      <c r="BG91" s="16">
        <v>0.3</v>
      </c>
      <c r="BH91" s="16">
        <v>0.42857142857142855</v>
      </c>
      <c r="BI91" s="16">
        <v>0.16666666666666666</v>
      </c>
      <c r="BJ91" s="16">
        <v>0.11494252873563218</v>
      </c>
      <c r="BK91" s="21">
        <v>0.90909090909090906</v>
      </c>
      <c r="BL91" s="16">
        <v>0.39534883720930231</v>
      </c>
      <c r="BM91" s="16">
        <v>0.44</v>
      </c>
      <c r="BN91" s="16">
        <v>0.3888888888888889</v>
      </c>
      <c r="BO91" s="16">
        <v>0</v>
      </c>
      <c r="BP91" s="16">
        <v>0.70454545454545459</v>
      </c>
      <c r="BQ91" s="16">
        <v>0.6</v>
      </c>
      <c r="BR91" s="16">
        <v>0.79166666666666663</v>
      </c>
      <c r="BS91" s="16">
        <v>1</v>
      </c>
      <c r="BT91" s="16">
        <v>0.55172413793103448</v>
      </c>
      <c r="BU91" s="16">
        <v>7.0422535211267609E-2</v>
      </c>
      <c r="BV91" s="16">
        <v>5.7142857142857141E-2</v>
      </c>
      <c r="BW91" s="54">
        <v>6</v>
      </c>
      <c r="BX91" s="54">
        <v>0.33333333333333331</v>
      </c>
      <c r="BY91" s="54">
        <v>0.47619047619047616</v>
      </c>
      <c r="BZ91" s="12">
        <v>6</v>
      </c>
      <c r="CA91" s="12">
        <v>3</v>
      </c>
      <c r="CB91" s="12">
        <v>1</v>
      </c>
      <c r="CC91" s="12">
        <v>0</v>
      </c>
      <c r="CD91" s="12">
        <v>2</v>
      </c>
      <c r="CE91" s="12">
        <v>1</v>
      </c>
      <c r="CF91" s="12">
        <v>7</v>
      </c>
      <c r="CG91" s="12">
        <v>0</v>
      </c>
      <c r="CH91" s="12">
        <v>1</v>
      </c>
      <c r="CI91" s="12">
        <v>0</v>
      </c>
      <c r="CJ91" s="12">
        <v>1</v>
      </c>
      <c r="CK91" s="12">
        <v>0</v>
      </c>
      <c r="CL91" s="12">
        <v>6</v>
      </c>
      <c r="CM91" s="12">
        <v>0</v>
      </c>
      <c r="CN91" s="12">
        <v>0</v>
      </c>
      <c r="CO91" s="12">
        <v>0</v>
      </c>
      <c r="CP91" s="12">
        <v>2</v>
      </c>
      <c r="CQ91" s="12">
        <v>0</v>
      </c>
      <c r="CR91" s="12">
        <v>6</v>
      </c>
      <c r="CS91" s="12">
        <v>0</v>
      </c>
      <c r="CT91" s="12">
        <v>5</v>
      </c>
      <c r="CU91" s="12">
        <v>2</v>
      </c>
      <c r="CV91" s="12">
        <v>3</v>
      </c>
      <c r="CW91" s="12">
        <v>1</v>
      </c>
      <c r="CX91" s="12">
        <v>14</v>
      </c>
      <c r="CY91" s="12">
        <v>1</v>
      </c>
      <c r="CZ91" s="12">
        <v>1</v>
      </c>
      <c r="DA91" s="12">
        <v>0</v>
      </c>
      <c r="DB91" s="12">
        <v>0</v>
      </c>
      <c r="DC91" s="12">
        <v>1</v>
      </c>
      <c r="DD91" s="12">
        <v>3</v>
      </c>
      <c r="DE91" s="12">
        <v>4</v>
      </c>
      <c r="DF91" s="12">
        <v>9</v>
      </c>
      <c r="DG91" s="12">
        <v>10</v>
      </c>
      <c r="DH91" s="12">
        <v>0</v>
      </c>
      <c r="DI91" s="12">
        <v>3</v>
      </c>
      <c r="DJ91" s="12">
        <v>3</v>
      </c>
      <c r="DK91" s="12">
        <v>0</v>
      </c>
      <c r="DL91" s="12">
        <v>7</v>
      </c>
      <c r="DM91" s="12">
        <v>9</v>
      </c>
      <c r="DN91" s="12">
        <v>9</v>
      </c>
      <c r="DO91" s="12">
        <v>27</v>
      </c>
      <c r="DP91" s="12">
        <v>4</v>
      </c>
      <c r="DQ91" s="12">
        <v>8</v>
      </c>
      <c r="DR91" s="12">
        <v>1</v>
      </c>
      <c r="DS91" s="12">
        <v>4</v>
      </c>
      <c r="DT91" s="12">
        <v>6</v>
      </c>
      <c r="DU91" s="12">
        <v>22</v>
      </c>
      <c r="DV91" s="12">
        <v>0</v>
      </c>
      <c r="DW91" s="12">
        <v>1</v>
      </c>
      <c r="DX91" s="12">
        <v>67</v>
      </c>
      <c r="DY91" s="12">
        <v>20</v>
      </c>
      <c r="DZ91" s="12">
        <v>41</v>
      </c>
      <c r="EA91" s="16">
        <v>0.48780487804878048</v>
      </c>
      <c r="EB91" s="12">
        <v>6</v>
      </c>
      <c r="EC91" s="12">
        <v>29</v>
      </c>
      <c r="ED91" s="16">
        <v>0.20689655172413793</v>
      </c>
      <c r="EE91" s="12">
        <v>26</v>
      </c>
      <c r="EF91" s="12">
        <v>70</v>
      </c>
      <c r="EG91" s="16">
        <v>0.37142857142857144</v>
      </c>
      <c r="EH91" s="12">
        <v>9</v>
      </c>
      <c r="EI91" s="12">
        <v>12</v>
      </c>
      <c r="EJ91" s="16">
        <v>0.75</v>
      </c>
      <c r="EK91" s="12">
        <v>13</v>
      </c>
      <c r="EL91" s="12">
        <v>26</v>
      </c>
      <c r="EM91" s="12">
        <v>39</v>
      </c>
      <c r="EN91" s="12">
        <v>12</v>
      </c>
      <c r="EO91" s="12">
        <v>22</v>
      </c>
      <c r="EP91" s="12">
        <v>21</v>
      </c>
      <c r="EQ91" s="12">
        <v>5</v>
      </c>
      <c r="ER91" s="12">
        <v>9</v>
      </c>
      <c r="ES91" s="12">
        <v>4</v>
      </c>
      <c r="ET91" s="12">
        <v>4</v>
      </c>
      <c r="EU91" s="12">
        <v>66</v>
      </c>
      <c r="EV91" s="12">
        <v>-9</v>
      </c>
      <c r="EW91" s="12">
        <v>71</v>
      </c>
      <c r="EX91" s="12">
        <v>84</v>
      </c>
      <c r="EY91" s="12">
        <v>4</v>
      </c>
      <c r="EZ91" s="12">
        <v>10</v>
      </c>
      <c r="FA91" s="12">
        <v>2</v>
      </c>
      <c r="FB91" s="12">
        <v>0</v>
      </c>
      <c r="FC91" s="12">
        <v>0</v>
      </c>
      <c r="FD91" s="12">
        <v>1</v>
      </c>
      <c r="FE91" s="12">
        <v>0</v>
      </c>
      <c r="FF91" s="12">
        <v>4</v>
      </c>
      <c r="FG91" s="12">
        <v>0</v>
      </c>
      <c r="FH91" s="12">
        <v>3</v>
      </c>
      <c r="FI91" s="12">
        <v>2</v>
      </c>
      <c r="FJ91" s="12">
        <v>0</v>
      </c>
      <c r="FK91" s="12">
        <v>0</v>
      </c>
      <c r="FL91" s="12">
        <v>5</v>
      </c>
      <c r="FM91" s="12">
        <v>0</v>
      </c>
      <c r="FN91" s="12">
        <v>0</v>
      </c>
      <c r="FO91" s="12">
        <v>0</v>
      </c>
      <c r="FP91" s="12">
        <v>0</v>
      </c>
      <c r="FQ91" s="12">
        <v>0</v>
      </c>
      <c r="FR91" s="12">
        <v>10</v>
      </c>
      <c r="FS91" s="12">
        <v>1</v>
      </c>
      <c r="FT91" s="12">
        <v>3</v>
      </c>
      <c r="FU91" s="12">
        <v>0</v>
      </c>
      <c r="FV91" s="12">
        <v>2</v>
      </c>
      <c r="FW91" s="12">
        <v>0</v>
      </c>
      <c r="FX91" s="12">
        <v>9</v>
      </c>
      <c r="FY91" s="12">
        <v>0</v>
      </c>
      <c r="FZ91" s="12">
        <v>2</v>
      </c>
      <c r="GA91" s="12">
        <v>0</v>
      </c>
      <c r="GB91" s="12">
        <v>0</v>
      </c>
      <c r="GC91" s="12">
        <v>0</v>
      </c>
      <c r="GD91" s="12">
        <v>1</v>
      </c>
      <c r="GE91" s="12">
        <v>2</v>
      </c>
      <c r="GF91" s="12">
        <v>8</v>
      </c>
      <c r="GG91" s="12">
        <v>10</v>
      </c>
      <c r="GH91" s="12">
        <v>0</v>
      </c>
      <c r="GI91" s="12">
        <v>0</v>
      </c>
      <c r="GJ91" s="12">
        <v>0</v>
      </c>
      <c r="GK91" s="12">
        <v>0</v>
      </c>
      <c r="GL91" s="12">
        <v>4</v>
      </c>
      <c r="GM91" s="12">
        <v>7</v>
      </c>
      <c r="GN91" s="12">
        <v>10</v>
      </c>
      <c r="GO91" s="12">
        <v>20</v>
      </c>
      <c r="GP91" s="12">
        <v>6</v>
      </c>
      <c r="GQ91" s="12">
        <v>14</v>
      </c>
      <c r="GR91" s="12">
        <v>1</v>
      </c>
      <c r="GS91" s="12">
        <v>4</v>
      </c>
      <c r="GT91" s="12">
        <v>5</v>
      </c>
      <c r="GU91" s="12">
        <v>25</v>
      </c>
      <c r="GV91" s="12">
        <v>0</v>
      </c>
      <c r="GW91" s="12">
        <v>0</v>
      </c>
      <c r="GY91" s="16"/>
    </row>
    <row r="92" spans="2:207" ht="15" customHeight="1" x14ac:dyDescent="0.2">
      <c r="B92" s="12">
        <v>2</v>
      </c>
      <c r="C92" s="12" t="s">
        <v>289</v>
      </c>
      <c r="D92" s="12" t="s">
        <v>273</v>
      </c>
      <c r="E92" s="14" t="s">
        <v>291</v>
      </c>
      <c r="F92" s="14" t="s">
        <v>275</v>
      </c>
      <c r="G92" s="15">
        <v>45230</v>
      </c>
      <c r="H92" s="15" t="s">
        <v>268</v>
      </c>
      <c r="I92" s="12" t="s">
        <v>269</v>
      </c>
      <c r="J92" s="12" t="s">
        <v>272</v>
      </c>
      <c r="K92" s="12">
        <v>200</v>
      </c>
      <c r="L92" s="12">
        <v>90</v>
      </c>
      <c r="M92" s="12">
        <v>22</v>
      </c>
      <c r="N92" s="12">
        <v>34</v>
      </c>
      <c r="O92" s="16">
        <v>0.6470588235294118</v>
      </c>
      <c r="P92" s="12">
        <v>12</v>
      </c>
      <c r="Q92" s="12">
        <v>30</v>
      </c>
      <c r="R92" s="16">
        <v>0.4</v>
      </c>
      <c r="S92" s="12">
        <v>34</v>
      </c>
      <c r="T92" s="12">
        <v>64</v>
      </c>
      <c r="U92" s="16">
        <v>0.53125</v>
      </c>
      <c r="V92" s="12">
        <v>10</v>
      </c>
      <c r="W92" s="12">
        <v>15</v>
      </c>
      <c r="X92" s="16">
        <v>0.66666666666666663</v>
      </c>
      <c r="Y92" s="12">
        <v>10</v>
      </c>
      <c r="Z92" s="12">
        <v>17</v>
      </c>
      <c r="AA92" s="12">
        <v>27</v>
      </c>
      <c r="AB92" s="12">
        <v>25</v>
      </c>
      <c r="AC92" s="12">
        <v>18</v>
      </c>
      <c r="AD92" s="12">
        <v>7</v>
      </c>
      <c r="AE92" s="12">
        <v>1</v>
      </c>
      <c r="AF92" s="12">
        <v>2</v>
      </c>
      <c r="AG92" s="12">
        <v>23</v>
      </c>
      <c r="AH92" s="12">
        <v>20</v>
      </c>
      <c r="AI92" s="17">
        <v>92</v>
      </c>
      <c r="AJ92" s="12">
        <v>-8</v>
      </c>
      <c r="AK92" s="12">
        <v>77</v>
      </c>
      <c r="AL92" s="12">
        <v>88</v>
      </c>
      <c r="AM92" s="19">
        <v>1.0227272727272727</v>
      </c>
      <c r="AN92" s="19">
        <v>1.0888888888888888</v>
      </c>
      <c r="AO92" s="18">
        <v>116.88311688311688</v>
      </c>
      <c r="AP92" s="18">
        <v>128.94736842105263</v>
      </c>
      <c r="AQ92" s="18">
        <v>-12.064251537935746</v>
      </c>
      <c r="AR92" s="53">
        <v>0.625</v>
      </c>
      <c r="AS92" s="53">
        <v>0.6428571428571429</v>
      </c>
      <c r="AT92" s="16">
        <v>0.28409090909090912</v>
      </c>
      <c r="AU92" s="19">
        <v>1.36</v>
      </c>
      <c r="AV92" s="16">
        <v>5.6818181818181816E-2</v>
      </c>
      <c r="AW92" s="19">
        <v>1.2</v>
      </c>
      <c r="AX92" s="16">
        <v>4.5454545454545456E-2</v>
      </c>
      <c r="AY92" s="19">
        <v>1</v>
      </c>
      <c r="AZ92" s="16">
        <v>1.1363636363636364E-2</v>
      </c>
      <c r="BA92" s="19">
        <v>0</v>
      </c>
      <c r="BB92" s="16">
        <v>0.32954545454545453</v>
      </c>
      <c r="BC92" s="21">
        <v>1.2413793103448276</v>
      </c>
      <c r="BD92" s="16">
        <v>6.8181818181818177E-2</v>
      </c>
      <c r="BE92" s="16">
        <v>0.20689655172413793</v>
      </c>
      <c r="BF92" s="16">
        <v>0.625</v>
      </c>
      <c r="BG92" s="16">
        <v>0.5</v>
      </c>
      <c r="BH92" s="16">
        <v>0.91666666666666663</v>
      </c>
      <c r="BI92" s="16">
        <v>0.5</v>
      </c>
      <c r="BJ92" s="16">
        <v>0.28735632183908044</v>
      </c>
      <c r="BK92" s="21">
        <v>1.3888888888888888</v>
      </c>
      <c r="BL92" s="16">
        <v>0.33333333333333331</v>
      </c>
      <c r="BM92" s="16">
        <v>0.27272727272727271</v>
      </c>
      <c r="BN92" s="16">
        <v>0.44444444444444442</v>
      </c>
      <c r="BO92" s="16">
        <v>0.5</v>
      </c>
      <c r="BP92" s="16">
        <v>0.54838709677419351</v>
      </c>
      <c r="BQ92" s="16">
        <v>0.25</v>
      </c>
      <c r="BR92" s="16">
        <v>0.6875</v>
      </c>
      <c r="BS92" s="16">
        <v>1</v>
      </c>
      <c r="BT92" s="16">
        <v>0.44262295081967212</v>
      </c>
      <c r="BU92" s="16">
        <v>9.2105263157894732E-2</v>
      </c>
      <c r="BV92" s="16">
        <v>1.5384615384615385E-2</v>
      </c>
      <c r="BW92" s="54">
        <v>2</v>
      </c>
      <c r="BX92" s="54">
        <v>0.65217391304347827</v>
      </c>
      <c r="BY92" s="54">
        <v>0.35</v>
      </c>
      <c r="BZ92" s="12">
        <v>11</v>
      </c>
      <c r="CA92" s="12">
        <v>11</v>
      </c>
      <c r="CB92" s="12">
        <v>3</v>
      </c>
      <c r="CC92" s="12">
        <v>6</v>
      </c>
      <c r="CD92" s="12">
        <v>2</v>
      </c>
      <c r="CE92" s="12">
        <v>0</v>
      </c>
      <c r="CF92" s="12">
        <v>1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6</v>
      </c>
      <c r="CM92" s="12">
        <v>2</v>
      </c>
      <c r="CN92" s="12">
        <v>1</v>
      </c>
      <c r="CO92" s="12">
        <v>0</v>
      </c>
      <c r="CP92" s="12">
        <v>2</v>
      </c>
      <c r="CQ92" s="12">
        <v>0</v>
      </c>
      <c r="CR92" s="12">
        <v>3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9</v>
      </c>
      <c r="CY92" s="12">
        <v>2</v>
      </c>
      <c r="CZ92" s="12">
        <v>3</v>
      </c>
      <c r="DA92" s="12">
        <v>0</v>
      </c>
      <c r="DB92" s="12">
        <v>1</v>
      </c>
      <c r="DC92" s="12">
        <v>2</v>
      </c>
      <c r="DD92" s="12">
        <v>0</v>
      </c>
      <c r="DE92" s="12">
        <v>1</v>
      </c>
      <c r="DF92" s="12">
        <v>9</v>
      </c>
      <c r="DG92" s="12">
        <v>12</v>
      </c>
      <c r="DH92" s="12">
        <v>0</v>
      </c>
      <c r="DI92" s="12">
        <v>0</v>
      </c>
      <c r="DJ92" s="12">
        <v>0</v>
      </c>
      <c r="DK92" s="12">
        <v>0</v>
      </c>
      <c r="DL92" s="12">
        <v>17</v>
      </c>
      <c r="DM92" s="12">
        <v>25</v>
      </c>
      <c r="DN92" s="12">
        <v>3</v>
      </c>
      <c r="DO92" s="12">
        <v>5</v>
      </c>
      <c r="DP92" s="12">
        <v>2</v>
      </c>
      <c r="DQ92" s="12">
        <v>4</v>
      </c>
      <c r="DR92" s="12">
        <v>0</v>
      </c>
      <c r="DS92" s="12">
        <v>1</v>
      </c>
      <c r="DT92" s="12">
        <v>12</v>
      </c>
      <c r="DU92" s="12">
        <v>29</v>
      </c>
      <c r="DV92" s="12">
        <v>0</v>
      </c>
      <c r="DW92" s="12">
        <v>0</v>
      </c>
      <c r="DX92" s="12">
        <v>98</v>
      </c>
      <c r="DY92" s="12">
        <v>30</v>
      </c>
      <c r="DZ92" s="12">
        <v>45</v>
      </c>
      <c r="EA92" s="16">
        <v>0.66666666666666663</v>
      </c>
      <c r="EB92" s="12">
        <v>6</v>
      </c>
      <c r="EC92" s="12">
        <v>20</v>
      </c>
      <c r="ED92" s="16">
        <v>0.3</v>
      </c>
      <c r="EE92" s="12">
        <v>36</v>
      </c>
      <c r="EF92" s="12">
        <v>65</v>
      </c>
      <c r="EG92" s="16">
        <v>0.55384615384615388</v>
      </c>
      <c r="EH92" s="12">
        <v>20</v>
      </c>
      <c r="EI92" s="12">
        <v>26</v>
      </c>
      <c r="EJ92" s="16">
        <v>0.76923076923076927</v>
      </c>
      <c r="EK92" s="12">
        <v>14</v>
      </c>
      <c r="EL92" s="12">
        <v>20</v>
      </c>
      <c r="EM92" s="12">
        <v>34</v>
      </c>
      <c r="EN92" s="12">
        <v>22</v>
      </c>
      <c r="EO92" s="12">
        <v>22</v>
      </c>
      <c r="EP92" s="12">
        <v>23</v>
      </c>
      <c r="EQ92" s="12">
        <v>10</v>
      </c>
      <c r="ER92" s="12">
        <v>14</v>
      </c>
      <c r="ES92" s="12">
        <v>2</v>
      </c>
      <c r="ET92" s="12">
        <v>1</v>
      </c>
      <c r="EU92" s="12">
        <v>117</v>
      </c>
      <c r="EV92" s="12">
        <v>8</v>
      </c>
      <c r="EW92" s="12">
        <v>76</v>
      </c>
      <c r="EX92" s="12">
        <v>90</v>
      </c>
      <c r="EY92" s="12">
        <v>5</v>
      </c>
      <c r="EZ92" s="12">
        <v>19</v>
      </c>
      <c r="FA92" s="12">
        <v>1</v>
      </c>
      <c r="FB92" s="12">
        <v>2</v>
      </c>
      <c r="FC92" s="12">
        <v>2</v>
      </c>
      <c r="FD92" s="12">
        <v>3</v>
      </c>
      <c r="FE92" s="12">
        <v>2</v>
      </c>
      <c r="FF92" s="12">
        <v>4</v>
      </c>
      <c r="FG92" s="12">
        <v>1</v>
      </c>
      <c r="FH92" s="12">
        <v>3</v>
      </c>
      <c r="FI92" s="12">
        <v>2</v>
      </c>
      <c r="FJ92" s="12">
        <v>0</v>
      </c>
      <c r="FK92" s="12">
        <v>0</v>
      </c>
      <c r="FL92" s="12">
        <v>4</v>
      </c>
      <c r="FM92" s="12">
        <v>1</v>
      </c>
      <c r="FN92" s="12">
        <v>0</v>
      </c>
      <c r="FO92" s="12">
        <v>0</v>
      </c>
      <c r="FP92" s="12">
        <v>6</v>
      </c>
      <c r="FQ92" s="12">
        <v>0</v>
      </c>
      <c r="FR92" s="12">
        <v>1</v>
      </c>
      <c r="FS92" s="12">
        <v>0</v>
      </c>
      <c r="FT92" s="12">
        <v>1</v>
      </c>
      <c r="FU92" s="12">
        <v>0</v>
      </c>
      <c r="FV92" s="12">
        <v>0</v>
      </c>
      <c r="FW92" s="12">
        <v>0</v>
      </c>
      <c r="FX92" s="12">
        <v>10</v>
      </c>
      <c r="FY92" s="12">
        <v>0</v>
      </c>
      <c r="FZ92" s="12">
        <v>1</v>
      </c>
      <c r="GA92" s="12">
        <v>0</v>
      </c>
      <c r="GB92" s="12">
        <v>0</v>
      </c>
      <c r="GC92" s="12">
        <v>0</v>
      </c>
      <c r="GD92" s="12">
        <v>4</v>
      </c>
      <c r="GE92" s="12">
        <v>4</v>
      </c>
      <c r="GF92" s="12">
        <v>16</v>
      </c>
      <c r="GG92" s="12">
        <v>22</v>
      </c>
      <c r="GH92" s="12">
        <v>1</v>
      </c>
      <c r="GI92" s="12">
        <v>0</v>
      </c>
      <c r="GJ92" s="12">
        <v>0</v>
      </c>
      <c r="GK92" s="12">
        <v>0</v>
      </c>
      <c r="GL92" s="12">
        <v>22</v>
      </c>
      <c r="GM92" s="12">
        <v>26</v>
      </c>
      <c r="GN92" s="12">
        <v>5</v>
      </c>
      <c r="GO92" s="12">
        <v>13</v>
      </c>
      <c r="GP92" s="12">
        <v>3</v>
      </c>
      <c r="GQ92" s="12">
        <v>6</v>
      </c>
      <c r="GR92" s="12">
        <v>0</v>
      </c>
      <c r="GS92" s="12">
        <v>0</v>
      </c>
      <c r="GT92" s="12">
        <v>6</v>
      </c>
      <c r="GU92" s="12">
        <v>19</v>
      </c>
      <c r="GV92" s="12">
        <v>0</v>
      </c>
      <c r="GW92" s="12">
        <v>0</v>
      </c>
      <c r="GY92" s="16"/>
    </row>
    <row r="93" spans="2:207" ht="15" customHeight="1" x14ac:dyDescent="0.2">
      <c r="B93" s="12">
        <v>2</v>
      </c>
      <c r="C93" s="12" t="s">
        <v>273</v>
      </c>
      <c r="D93" s="12" t="s">
        <v>289</v>
      </c>
      <c r="E93" s="14" t="s">
        <v>275</v>
      </c>
      <c r="F93" s="14" t="s">
        <v>291</v>
      </c>
      <c r="G93" s="15">
        <v>45230</v>
      </c>
      <c r="H93" s="15" t="s">
        <v>271</v>
      </c>
      <c r="I93" s="12" t="s">
        <v>269</v>
      </c>
      <c r="J93" s="12" t="s">
        <v>270</v>
      </c>
      <c r="K93" s="12">
        <v>200</v>
      </c>
      <c r="L93" s="12">
        <v>98</v>
      </c>
      <c r="M93" s="12">
        <v>30</v>
      </c>
      <c r="N93" s="12">
        <v>45</v>
      </c>
      <c r="O93" s="16">
        <v>0.66666666666666663</v>
      </c>
      <c r="P93" s="12">
        <v>6</v>
      </c>
      <c r="Q93" s="12">
        <v>20</v>
      </c>
      <c r="R93" s="16">
        <v>0.3</v>
      </c>
      <c r="S93" s="12">
        <v>36</v>
      </c>
      <c r="T93" s="12">
        <v>65</v>
      </c>
      <c r="U93" s="16">
        <v>0.55384615384615388</v>
      </c>
      <c r="V93" s="12">
        <v>20</v>
      </c>
      <c r="W93" s="12">
        <v>26</v>
      </c>
      <c r="X93" s="16">
        <v>0.76923076923076927</v>
      </c>
      <c r="Y93" s="12">
        <v>14</v>
      </c>
      <c r="Z93" s="12">
        <v>20</v>
      </c>
      <c r="AA93" s="12">
        <v>34</v>
      </c>
      <c r="AB93" s="12">
        <v>22</v>
      </c>
      <c r="AC93" s="12">
        <v>14</v>
      </c>
      <c r="AD93" s="12">
        <v>10</v>
      </c>
      <c r="AE93" s="12">
        <v>2</v>
      </c>
      <c r="AF93" s="12">
        <v>1</v>
      </c>
      <c r="AG93" s="12">
        <v>20</v>
      </c>
      <c r="AH93" s="12">
        <v>23</v>
      </c>
      <c r="AI93" s="17">
        <v>119</v>
      </c>
      <c r="AJ93" s="12">
        <v>8</v>
      </c>
      <c r="AK93" s="12">
        <v>76</v>
      </c>
      <c r="AL93" s="12">
        <v>90</v>
      </c>
      <c r="AM93" s="19">
        <v>1.0888888888888888</v>
      </c>
      <c r="AN93" s="19">
        <v>1.0227272727272727</v>
      </c>
      <c r="AO93" s="18">
        <v>128.94736842105263</v>
      </c>
      <c r="AP93" s="18">
        <v>116.88311688311688</v>
      </c>
      <c r="AQ93" s="18">
        <v>12.064251537935746</v>
      </c>
      <c r="AR93" s="53">
        <v>0.6</v>
      </c>
      <c r="AS93" s="53">
        <v>0.64473684210526316</v>
      </c>
      <c r="AT93" s="16">
        <v>0.28888888888888886</v>
      </c>
      <c r="AU93" s="19">
        <v>1.6923076923076923</v>
      </c>
      <c r="AV93" s="16">
        <v>0.14444444444444443</v>
      </c>
      <c r="AW93" s="19">
        <v>0.76923076923076927</v>
      </c>
      <c r="AX93" s="16">
        <v>6.6666666666666666E-2</v>
      </c>
      <c r="AY93" s="19">
        <v>1</v>
      </c>
      <c r="AZ93" s="16">
        <v>0</v>
      </c>
      <c r="BA93" s="19" t="s">
        <v>269</v>
      </c>
      <c r="BB93" s="16">
        <v>0.21111111111111111</v>
      </c>
      <c r="BC93" s="21">
        <v>0.94736842105263153</v>
      </c>
      <c r="BD93" s="16">
        <v>0.12222222222222222</v>
      </c>
      <c r="BE93" s="16">
        <v>0.15555555555555556</v>
      </c>
      <c r="BF93" s="16">
        <v>0.47826086956521741</v>
      </c>
      <c r="BG93" s="16">
        <v>0.6333333333333333</v>
      </c>
      <c r="BH93" s="16">
        <v>0.16666666666666666</v>
      </c>
      <c r="BI93" s="16">
        <v>0.2</v>
      </c>
      <c r="BJ93" s="16">
        <v>0.24444444444444444</v>
      </c>
      <c r="BK93" s="21">
        <v>1.5714285714285714</v>
      </c>
      <c r="BL93" s="16">
        <v>0.45161290322580644</v>
      </c>
      <c r="BM93" s="16">
        <v>0.75</v>
      </c>
      <c r="BN93" s="16">
        <v>0.3125</v>
      </c>
      <c r="BO93" s="16">
        <v>0</v>
      </c>
      <c r="BP93" s="16">
        <v>0.66666666666666663</v>
      </c>
      <c r="BQ93" s="16">
        <v>0.72727272727272729</v>
      </c>
      <c r="BR93" s="16">
        <v>0.55555555555555558</v>
      </c>
      <c r="BS93" s="16">
        <v>0.5</v>
      </c>
      <c r="BT93" s="16">
        <v>0.55737704918032782</v>
      </c>
      <c r="BU93" s="16">
        <v>0.12987012987012986</v>
      </c>
      <c r="BV93" s="16">
        <v>3.125E-2</v>
      </c>
      <c r="BW93" s="54">
        <v>5</v>
      </c>
      <c r="BX93" s="54">
        <v>0.35</v>
      </c>
      <c r="BY93" s="54">
        <v>0.65217391304347827</v>
      </c>
      <c r="BZ93" s="12">
        <v>19</v>
      </c>
      <c r="CA93" s="12">
        <v>1</v>
      </c>
      <c r="CB93" s="12">
        <v>2</v>
      </c>
      <c r="CC93" s="12">
        <v>2</v>
      </c>
      <c r="CD93" s="12">
        <v>3</v>
      </c>
      <c r="CE93" s="12">
        <v>2</v>
      </c>
      <c r="CF93" s="12">
        <v>4</v>
      </c>
      <c r="CG93" s="12">
        <v>1</v>
      </c>
      <c r="CH93" s="12">
        <v>3</v>
      </c>
      <c r="CI93" s="12">
        <v>2</v>
      </c>
      <c r="CJ93" s="12">
        <v>0</v>
      </c>
      <c r="CK93" s="12">
        <v>0</v>
      </c>
      <c r="CL93" s="12">
        <v>4</v>
      </c>
      <c r="CM93" s="12">
        <v>1</v>
      </c>
      <c r="CN93" s="12">
        <v>0</v>
      </c>
      <c r="CO93" s="12">
        <v>0</v>
      </c>
      <c r="CP93" s="12">
        <v>6</v>
      </c>
      <c r="CQ93" s="12">
        <v>0</v>
      </c>
      <c r="CR93" s="12">
        <v>1</v>
      </c>
      <c r="CS93" s="12">
        <v>0</v>
      </c>
      <c r="CT93" s="12">
        <v>1</v>
      </c>
      <c r="CU93" s="12">
        <v>0</v>
      </c>
      <c r="CV93" s="12">
        <v>0</v>
      </c>
      <c r="CW93" s="12">
        <v>0</v>
      </c>
      <c r="CX93" s="12">
        <v>10</v>
      </c>
      <c r="CY93" s="12">
        <v>0</v>
      </c>
      <c r="CZ93" s="12">
        <v>1</v>
      </c>
      <c r="DA93" s="12">
        <v>0</v>
      </c>
      <c r="DB93" s="12">
        <v>0</v>
      </c>
      <c r="DC93" s="12">
        <v>0</v>
      </c>
      <c r="DD93" s="12">
        <v>4</v>
      </c>
      <c r="DE93" s="12">
        <v>4</v>
      </c>
      <c r="DF93" s="12">
        <v>16</v>
      </c>
      <c r="DG93" s="12">
        <v>22</v>
      </c>
      <c r="DH93" s="12">
        <v>1</v>
      </c>
      <c r="DI93" s="12">
        <v>0</v>
      </c>
      <c r="DJ93" s="12">
        <v>0</v>
      </c>
      <c r="DK93" s="12">
        <v>0</v>
      </c>
      <c r="DL93" s="12">
        <v>22</v>
      </c>
      <c r="DM93" s="12">
        <v>26</v>
      </c>
      <c r="DN93" s="12">
        <v>5</v>
      </c>
      <c r="DO93" s="12">
        <v>13</v>
      </c>
      <c r="DP93" s="12">
        <v>3</v>
      </c>
      <c r="DQ93" s="12">
        <v>6</v>
      </c>
      <c r="DR93" s="12">
        <v>0</v>
      </c>
      <c r="DS93" s="12">
        <v>0</v>
      </c>
      <c r="DT93" s="12">
        <v>6</v>
      </c>
      <c r="DU93" s="12">
        <v>19</v>
      </c>
      <c r="DV93" s="12">
        <v>0</v>
      </c>
      <c r="DW93" s="12">
        <v>0</v>
      </c>
      <c r="DX93" s="12">
        <v>90</v>
      </c>
      <c r="DY93" s="12">
        <v>22</v>
      </c>
      <c r="DZ93" s="12">
        <v>34</v>
      </c>
      <c r="EA93" s="16">
        <v>0.6470588235294118</v>
      </c>
      <c r="EB93" s="12">
        <v>12</v>
      </c>
      <c r="EC93" s="12">
        <v>30</v>
      </c>
      <c r="ED93" s="16">
        <v>0.4</v>
      </c>
      <c r="EE93" s="12">
        <v>34</v>
      </c>
      <c r="EF93" s="12">
        <v>64</v>
      </c>
      <c r="EG93" s="16">
        <v>0.53125</v>
      </c>
      <c r="EH93" s="12">
        <v>10</v>
      </c>
      <c r="EI93" s="12">
        <v>15</v>
      </c>
      <c r="EJ93" s="16">
        <v>0.66666666666666663</v>
      </c>
      <c r="EK93" s="12">
        <v>10</v>
      </c>
      <c r="EL93" s="12">
        <v>17</v>
      </c>
      <c r="EM93" s="12">
        <v>27</v>
      </c>
      <c r="EN93" s="12">
        <v>25</v>
      </c>
      <c r="EO93" s="12">
        <v>23</v>
      </c>
      <c r="EP93" s="12">
        <v>20</v>
      </c>
      <c r="EQ93" s="12">
        <v>7</v>
      </c>
      <c r="ER93" s="12">
        <v>18</v>
      </c>
      <c r="ES93" s="12">
        <v>1</v>
      </c>
      <c r="ET93" s="12">
        <v>2</v>
      </c>
      <c r="EU93" s="12">
        <v>92</v>
      </c>
      <c r="EV93" s="12">
        <v>-8</v>
      </c>
      <c r="EW93" s="12">
        <v>77</v>
      </c>
      <c r="EX93" s="12">
        <v>88</v>
      </c>
      <c r="EY93" s="12">
        <v>2</v>
      </c>
      <c r="EZ93" s="12">
        <v>11</v>
      </c>
      <c r="FA93" s="12">
        <v>11</v>
      </c>
      <c r="FB93" s="12">
        <v>3</v>
      </c>
      <c r="FC93" s="12">
        <v>6</v>
      </c>
      <c r="FD93" s="12">
        <v>2</v>
      </c>
      <c r="FE93" s="12">
        <v>0</v>
      </c>
      <c r="FF93" s="12">
        <v>1</v>
      </c>
      <c r="FG93" s="12">
        <v>0</v>
      </c>
      <c r="FH93" s="12">
        <v>0</v>
      </c>
      <c r="FI93" s="12">
        <v>0</v>
      </c>
      <c r="FJ93" s="12">
        <v>0</v>
      </c>
      <c r="FK93" s="12">
        <v>0</v>
      </c>
      <c r="FL93" s="12">
        <v>6</v>
      </c>
      <c r="FM93" s="12">
        <v>2</v>
      </c>
      <c r="FN93" s="12">
        <v>1</v>
      </c>
      <c r="FO93" s="12">
        <v>0</v>
      </c>
      <c r="FP93" s="12">
        <v>2</v>
      </c>
      <c r="FQ93" s="12">
        <v>0</v>
      </c>
      <c r="FR93" s="12">
        <v>3</v>
      </c>
      <c r="FS93" s="12">
        <v>0</v>
      </c>
      <c r="FT93" s="12">
        <v>0</v>
      </c>
      <c r="FU93" s="12">
        <v>0</v>
      </c>
      <c r="FV93" s="12">
        <v>0</v>
      </c>
      <c r="FW93" s="12">
        <v>0</v>
      </c>
      <c r="FX93" s="12">
        <v>9</v>
      </c>
      <c r="FY93" s="12">
        <v>2</v>
      </c>
      <c r="FZ93" s="12">
        <v>3</v>
      </c>
      <c r="GA93" s="12">
        <v>0</v>
      </c>
      <c r="GB93" s="12">
        <v>1</v>
      </c>
      <c r="GC93" s="12">
        <v>2</v>
      </c>
      <c r="GD93" s="12">
        <v>0</v>
      </c>
      <c r="GE93" s="12">
        <v>1</v>
      </c>
      <c r="GF93" s="12">
        <v>9</v>
      </c>
      <c r="GG93" s="12">
        <v>12</v>
      </c>
      <c r="GH93" s="12">
        <v>0</v>
      </c>
      <c r="GI93" s="12">
        <v>0</v>
      </c>
      <c r="GJ93" s="12">
        <v>0</v>
      </c>
      <c r="GK93" s="12">
        <v>0</v>
      </c>
      <c r="GL93" s="12">
        <v>17</v>
      </c>
      <c r="GM93" s="12">
        <v>25</v>
      </c>
      <c r="GN93" s="12">
        <v>3</v>
      </c>
      <c r="GO93" s="12">
        <v>5</v>
      </c>
      <c r="GP93" s="12">
        <v>2</v>
      </c>
      <c r="GQ93" s="12">
        <v>4</v>
      </c>
      <c r="GR93" s="12">
        <v>0</v>
      </c>
      <c r="GS93" s="12">
        <v>1</v>
      </c>
      <c r="GT93" s="12">
        <v>12</v>
      </c>
      <c r="GU93" s="12">
        <v>29</v>
      </c>
      <c r="GV93" s="12">
        <v>0</v>
      </c>
      <c r="GW93" s="12">
        <v>0</v>
      </c>
      <c r="GY93" s="16"/>
    </row>
    <row r="94" spans="2:207" ht="15" customHeight="1" x14ac:dyDescent="0.2">
      <c r="B94" s="12">
        <v>6</v>
      </c>
      <c r="C94" s="12" t="s">
        <v>264</v>
      </c>
      <c r="D94" s="12" t="s">
        <v>282</v>
      </c>
      <c r="E94" s="14" t="s">
        <v>266</v>
      </c>
      <c r="F94" s="14" t="s">
        <v>284</v>
      </c>
      <c r="G94" s="15">
        <v>45232</v>
      </c>
      <c r="H94" s="15" t="s">
        <v>268</v>
      </c>
      <c r="I94" s="12" t="s">
        <v>269</v>
      </c>
      <c r="J94" s="12" t="s">
        <v>270</v>
      </c>
      <c r="K94" s="12">
        <v>200</v>
      </c>
      <c r="L94" s="12">
        <v>74</v>
      </c>
      <c r="M94" s="12">
        <v>19</v>
      </c>
      <c r="N94" s="12">
        <v>35</v>
      </c>
      <c r="O94" s="16">
        <v>0.54285714285714282</v>
      </c>
      <c r="P94" s="12">
        <v>7</v>
      </c>
      <c r="Q94" s="12">
        <v>29</v>
      </c>
      <c r="R94" s="16">
        <v>0.2413793103448276</v>
      </c>
      <c r="S94" s="12">
        <v>26</v>
      </c>
      <c r="T94" s="12">
        <v>64</v>
      </c>
      <c r="U94" s="16">
        <v>0.40625</v>
      </c>
      <c r="V94" s="12">
        <v>15</v>
      </c>
      <c r="W94" s="12">
        <v>21</v>
      </c>
      <c r="X94" s="16">
        <v>0.7142857142857143</v>
      </c>
      <c r="Y94" s="12">
        <v>12</v>
      </c>
      <c r="Z94" s="12">
        <v>25</v>
      </c>
      <c r="AA94" s="12">
        <v>37</v>
      </c>
      <c r="AB94" s="12">
        <v>17</v>
      </c>
      <c r="AC94" s="12">
        <v>11</v>
      </c>
      <c r="AD94" s="12">
        <v>11</v>
      </c>
      <c r="AE94" s="12">
        <v>2</v>
      </c>
      <c r="AF94" s="12">
        <v>1</v>
      </c>
      <c r="AG94" s="12">
        <v>17</v>
      </c>
      <c r="AH94" s="12">
        <v>20</v>
      </c>
      <c r="AI94" s="17">
        <v>88</v>
      </c>
      <c r="AJ94" s="12">
        <v>6</v>
      </c>
      <c r="AK94" s="12">
        <v>71</v>
      </c>
      <c r="AL94" s="12">
        <v>84</v>
      </c>
      <c r="AM94" s="19">
        <v>0.88095238095238093</v>
      </c>
      <c r="AN94" s="19">
        <v>0.80952380952380953</v>
      </c>
      <c r="AO94" s="18">
        <v>104.22535211267605</v>
      </c>
      <c r="AP94" s="18">
        <v>95.774647887323937</v>
      </c>
      <c r="AQ94" s="18">
        <v>8.4507042253521121</v>
      </c>
      <c r="AR94" s="53">
        <v>0.4609375</v>
      </c>
      <c r="AS94" s="53">
        <v>0.50684931506849318</v>
      </c>
      <c r="AT94" s="16">
        <v>0.14285714285714285</v>
      </c>
      <c r="AU94" s="19">
        <v>1</v>
      </c>
      <c r="AV94" s="16">
        <v>0.16666666666666666</v>
      </c>
      <c r="AW94" s="19">
        <v>1.2857142857142858</v>
      </c>
      <c r="AX94" s="16">
        <v>0.10714285714285714</v>
      </c>
      <c r="AY94" s="19">
        <v>0.88888888888888884</v>
      </c>
      <c r="AZ94" s="16">
        <v>5.9523809523809521E-2</v>
      </c>
      <c r="BA94" s="19">
        <v>0</v>
      </c>
      <c r="BB94" s="16">
        <v>0.2857142857142857</v>
      </c>
      <c r="BC94" s="21">
        <v>0.875</v>
      </c>
      <c r="BD94" s="16">
        <v>0.10714285714285714</v>
      </c>
      <c r="BE94" s="16">
        <v>0.13253012048192772</v>
      </c>
      <c r="BF94" s="16">
        <v>0.5</v>
      </c>
      <c r="BG94" s="16">
        <v>0.52631578947368418</v>
      </c>
      <c r="BH94" s="16">
        <v>0.7142857142857143</v>
      </c>
      <c r="BI94" s="16">
        <v>0.25</v>
      </c>
      <c r="BJ94" s="16">
        <v>0.20481927710843373</v>
      </c>
      <c r="BK94" s="21">
        <v>1.5454545454545454</v>
      </c>
      <c r="BL94" s="16">
        <v>0.30769230769230771</v>
      </c>
      <c r="BM94" s="16">
        <v>0.3125</v>
      </c>
      <c r="BN94" s="16">
        <v>0.25</v>
      </c>
      <c r="BO94" s="16">
        <v>0.33333333333333331</v>
      </c>
      <c r="BP94" s="16">
        <v>0.65789473684210531</v>
      </c>
      <c r="BQ94" s="16">
        <v>0.6875</v>
      </c>
      <c r="BR94" s="16">
        <v>0.625</v>
      </c>
      <c r="BS94" s="16" t="s">
        <v>269</v>
      </c>
      <c r="BT94" s="16">
        <v>0.48051948051948051</v>
      </c>
      <c r="BU94" s="16">
        <v>0.15492957746478872</v>
      </c>
      <c r="BV94" s="16">
        <v>3.1746031746031744E-2</v>
      </c>
      <c r="BW94" s="54">
        <v>7</v>
      </c>
      <c r="BX94" s="54">
        <v>0.29411764705882354</v>
      </c>
      <c r="BY94" s="54">
        <v>0.55000000000000004</v>
      </c>
      <c r="BZ94" s="12">
        <v>10</v>
      </c>
      <c r="CA94" s="12">
        <v>5</v>
      </c>
      <c r="CB94" s="12">
        <v>2</v>
      </c>
      <c r="CC94" s="12">
        <v>5</v>
      </c>
      <c r="CD94" s="12">
        <v>1</v>
      </c>
      <c r="CE94" s="12">
        <v>0</v>
      </c>
      <c r="CF94" s="12">
        <v>3</v>
      </c>
      <c r="CG94" s="12">
        <v>0</v>
      </c>
      <c r="CH94" s="12">
        <v>1</v>
      </c>
      <c r="CI94" s="12">
        <v>0</v>
      </c>
      <c r="CJ94" s="12">
        <v>1</v>
      </c>
      <c r="CK94" s="12">
        <v>0</v>
      </c>
      <c r="CL94" s="12">
        <v>5</v>
      </c>
      <c r="CM94" s="12">
        <v>0</v>
      </c>
      <c r="CN94" s="12">
        <v>1</v>
      </c>
      <c r="CO94" s="12">
        <v>0</v>
      </c>
      <c r="CP94" s="12">
        <v>1</v>
      </c>
      <c r="CQ94" s="12">
        <v>0</v>
      </c>
      <c r="CR94" s="12">
        <v>7</v>
      </c>
      <c r="CS94" s="12">
        <v>0</v>
      </c>
      <c r="CT94" s="12">
        <v>3</v>
      </c>
      <c r="CU94" s="12">
        <v>0</v>
      </c>
      <c r="CV94" s="12">
        <v>6</v>
      </c>
      <c r="CW94" s="12">
        <v>0</v>
      </c>
      <c r="CX94" s="12">
        <v>7</v>
      </c>
      <c r="CY94" s="12">
        <v>2</v>
      </c>
      <c r="CZ94" s="12">
        <v>0</v>
      </c>
      <c r="DA94" s="12">
        <v>0</v>
      </c>
      <c r="DB94" s="12">
        <v>0</v>
      </c>
      <c r="DC94" s="12">
        <v>0</v>
      </c>
      <c r="DD94" s="12">
        <v>2</v>
      </c>
      <c r="DE94" s="12">
        <v>2</v>
      </c>
      <c r="DF94" s="12">
        <v>10</v>
      </c>
      <c r="DG94" s="12">
        <v>16</v>
      </c>
      <c r="DH94" s="12">
        <v>1</v>
      </c>
      <c r="DI94" s="12">
        <v>3</v>
      </c>
      <c r="DJ94" s="12">
        <v>3</v>
      </c>
      <c r="DK94" s="12">
        <v>0</v>
      </c>
      <c r="DL94" s="12">
        <v>6</v>
      </c>
      <c r="DM94" s="12">
        <v>12</v>
      </c>
      <c r="DN94" s="12">
        <v>9</v>
      </c>
      <c r="DO94" s="12">
        <v>14</v>
      </c>
      <c r="DP94" s="12">
        <v>4</v>
      </c>
      <c r="DQ94" s="12">
        <v>9</v>
      </c>
      <c r="DR94" s="12">
        <v>0</v>
      </c>
      <c r="DS94" s="12">
        <v>5</v>
      </c>
      <c r="DT94" s="12">
        <v>7</v>
      </c>
      <c r="DU94" s="12">
        <v>24</v>
      </c>
      <c r="DV94" s="12">
        <v>0</v>
      </c>
      <c r="DW94" s="12">
        <v>0</v>
      </c>
      <c r="DX94" s="12">
        <v>68</v>
      </c>
      <c r="DY94" s="12">
        <v>14</v>
      </c>
      <c r="DZ94" s="12">
        <v>30</v>
      </c>
      <c r="EA94" s="16">
        <v>0.46666666666666667</v>
      </c>
      <c r="EB94" s="12">
        <v>11</v>
      </c>
      <c r="EC94" s="12">
        <v>33</v>
      </c>
      <c r="ED94" s="16">
        <v>0.33333333333333331</v>
      </c>
      <c r="EE94" s="12">
        <v>25</v>
      </c>
      <c r="EF94" s="12">
        <v>63</v>
      </c>
      <c r="EG94" s="16">
        <v>0.3968253968253968</v>
      </c>
      <c r="EH94" s="12">
        <v>7</v>
      </c>
      <c r="EI94" s="12">
        <v>9</v>
      </c>
      <c r="EJ94" s="16">
        <v>0.77777777777777779</v>
      </c>
      <c r="EK94" s="12">
        <v>13</v>
      </c>
      <c r="EL94" s="12">
        <v>27</v>
      </c>
      <c r="EM94" s="12">
        <v>40</v>
      </c>
      <c r="EN94" s="12">
        <v>20</v>
      </c>
      <c r="EO94" s="12">
        <v>20</v>
      </c>
      <c r="EP94" s="12">
        <v>17</v>
      </c>
      <c r="EQ94" s="12">
        <v>8</v>
      </c>
      <c r="ER94" s="12">
        <v>17</v>
      </c>
      <c r="ES94" s="12">
        <v>1</v>
      </c>
      <c r="ET94" s="12">
        <v>2</v>
      </c>
      <c r="EU94" s="12">
        <v>75</v>
      </c>
      <c r="EV94" s="12">
        <v>-6</v>
      </c>
      <c r="EW94" s="12">
        <v>71</v>
      </c>
      <c r="EX94" s="12">
        <v>84</v>
      </c>
      <c r="EY94" s="12">
        <v>5</v>
      </c>
      <c r="EZ94" s="12">
        <v>7</v>
      </c>
      <c r="FA94" s="12">
        <v>10</v>
      </c>
      <c r="FB94" s="12">
        <v>3</v>
      </c>
      <c r="FC94" s="12">
        <v>6</v>
      </c>
      <c r="FD94" s="12">
        <v>1</v>
      </c>
      <c r="FE94" s="12">
        <v>0</v>
      </c>
      <c r="FF94" s="12">
        <v>3</v>
      </c>
      <c r="FG94" s="12">
        <v>1</v>
      </c>
      <c r="FH94" s="12">
        <v>0</v>
      </c>
      <c r="FI94" s="12">
        <v>0</v>
      </c>
      <c r="FJ94" s="12">
        <v>0</v>
      </c>
      <c r="FK94" s="12">
        <v>0</v>
      </c>
      <c r="FL94" s="12">
        <v>9</v>
      </c>
      <c r="FM94" s="12">
        <v>0</v>
      </c>
      <c r="FN94" s="12">
        <v>0</v>
      </c>
      <c r="FO94" s="12">
        <v>0</v>
      </c>
      <c r="FP94" s="12">
        <v>4</v>
      </c>
      <c r="FQ94" s="12">
        <v>1</v>
      </c>
      <c r="FR94" s="12">
        <v>2</v>
      </c>
      <c r="FS94" s="12">
        <v>0</v>
      </c>
      <c r="FT94" s="12">
        <v>4</v>
      </c>
      <c r="FU94" s="12">
        <v>0</v>
      </c>
      <c r="FV94" s="12">
        <v>4</v>
      </c>
      <c r="FW94" s="12">
        <v>2</v>
      </c>
      <c r="FX94" s="12">
        <v>11</v>
      </c>
      <c r="FY94" s="12">
        <v>1</v>
      </c>
      <c r="FZ94" s="12">
        <v>2</v>
      </c>
      <c r="GA94" s="12">
        <v>0</v>
      </c>
      <c r="GB94" s="12">
        <v>0</v>
      </c>
      <c r="GC94" s="12">
        <v>0</v>
      </c>
      <c r="GD94" s="12">
        <v>1</v>
      </c>
      <c r="GE94" s="12">
        <v>1</v>
      </c>
      <c r="GF94" s="12">
        <v>6</v>
      </c>
      <c r="GG94" s="12">
        <v>8</v>
      </c>
      <c r="GH94" s="12">
        <v>0</v>
      </c>
      <c r="GI94" s="12">
        <v>0</v>
      </c>
      <c r="GJ94" s="12">
        <v>0</v>
      </c>
      <c r="GK94" s="12">
        <v>0</v>
      </c>
      <c r="GL94" s="12">
        <v>4</v>
      </c>
      <c r="GM94" s="12">
        <v>6</v>
      </c>
      <c r="GN94" s="12">
        <v>5</v>
      </c>
      <c r="GO94" s="12">
        <v>16</v>
      </c>
      <c r="GP94" s="12">
        <v>5</v>
      </c>
      <c r="GQ94" s="12">
        <v>8</v>
      </c>
      <c r="GR94" s="12">
        <v>3</v>
      </c>
      <c r="GS94" s="12">
        <v>9</v>
      </c>
      <c r="GT94" s="12">
        <v>8</v>
      </c>
      <c r="GU94" s="12">
        <v>24</v>
      </c>
      <c r="GV94" s="12">
        <v>0</v>
      </c>
      <c r="GW94" s="12">
        <v>0</v>
      </c>
      <c r="GY94" s="16"/>
    </row>
    <row r="95" spans="2:207" ht="15" customHeight="1" x14ac:dyDescent="0.2">
      <c r="B95" s="12">
        <v>6</v>
      </c>
      <c r="C95" s="12" t="s">
        <v>282</v>
      </c>
      <c r="D95" s="12" t="s">
        <v>264</v>
      </c>
      <c r="E95" s="14" t="s">
        <v>284</v>
      </c>
      <c r="F95" s="14" t="s">
        <v>266</v>
      </c>
      <c r="G95" s="15">
        <v>45232</v>
      </c>
      <c r="H95" s="15" t="s">
        <v>271</v>
      </c>
      <c r="I95" s="12" t="s">
        <v>269</v>
      </c>
      <c r="J95" s="12" t="s">
        <v>272</v>
      </c>
      <c r="K95" s="12">
        <v>200</v>
      </c>
      <c r="L95" s="12">
        <v>68</v>
      </c>
      <c r="M95" s="12">
        <v>14</v>
      </c>
      <c r="N95" s="12">
        <v>30</v>
      </c>
      <c r="O95" s="16">
        <v>0.46666666666666667</v>
      </c>
      <c r="P95" s="12">
        <v>11</v>
      </c>
      <c r="Q95" s="12">
        <v>33</v>
      </c>
      <c r="R95" s="16">
        <v>0.33333333333333331</v>
      </c>
      <c r="S95" s="12">
        <v>25</v>
      </c>
      <c r="T95" s="12">
        <v>63</v>
      </c>
      <c r="U95" s="16">
        <v>0.3968253968253968</v>
      </c>
      <c r="V95" s="12">
        <v>7</v>
      </c>
      <c r="W95" s="12">
        <v>9</v>
      </c>
      <c r="X95" s="16">
        <v>0.77777777777777779</v>
      </c>
      <c r="Y95" s="12">
        <v>13</v>
      </c>
      <c r="Z95" s="12">
        <v>27</v>
      </c>
      <c r="AA95" s="12">
        <v>40</v>
      </c>
      <c r="AB95" s="12">
        <v>20</v>
      </c>
      <c r="AC95" s="12">
        <v>17</v>
      </c>
      <c r="AD95" s="12">
        <v>8</v>
      </c>
      <c r="AE95" s="12">
        <v>1</v>
      </c>
      <c r="AF95" s="12">
        <v>2</v>
      </c>
      <c r="AG95" s="12">
        <v>20</v>
      </c>
      <c r="AH95" s="12">
        <v>17</v>
      </c>
      <c r="AI95" s="17">
        <v>75</v>
      </c>
      <c r="AJ95" s="12">
        <v>-6</v>
      </c>
      <c r="AK95" s="12">
        <v>71</v>
      </c>
      <c r="AL95" s="12">
        <v>84</v>
      </c>
      <c r="AM95" s="19">
        <v>0.80952380952380953</v>
      </c>
      <c r="AN95" s="19">
        <v>0.88095238095238093</v>
      </c>
      <c r="AO95" s="18">
        <v>95.774647887323937</v>
      </c>
      <c r="AP95" s="18">
        <v>104.22535211267605</v>
      </c>
      <c r="AQ95" s="18">
        <v>-8.4507042253521121</v>
      </c>
      <c r="AR95" s="53">
        <v>0.48412698412698413</v>
      </c>
      <c r="AS95" s="53">
        <v>0.5074626865671642</v>
      </c>
      <c r="AT95" s="16">
        <v>7.1428571428571425E-2</v>
      </c>
      <c r="AU95" s="19">
        <v>1.3333333333333333</v>
      </c>
      <c r="AV95" s="16">
        <v>0.19047619047619047</v>
      </c>
      <c r="AW95" s="19">
        <v>0.625</v>
      </c>
      <c r="AX95" s="16">
        <v>9.5238095238095233E-2</v>
      </c>
      <c r="AY95" s="19">
        <v>1.25</v>
      </c>
      <c r="AZ95" s="16">
        <v>0.10714285714285714</v>
      </c>
      <c r="BA95" s="19">
        <v>1</v>
      </c>
      <c r="BB95" s="16">
        <v>0.2857142857142857</v>
      </c>
      <c r="BC95" s="21">
        <v>1</v>
      </c>
      <c r="BD95" s="16">
        <v>4.7619047619047616E-2</v>
      </c>
      <c r="BE95" s="16">
        <v>0.20238095238095238</v>
      </c>
      <c r="BF95" s="16">
        <v>0.68965517241379315</v>
      </c>
      <c r="BG95" s="16">
        <v>0.5</v>
      </c>
      <c r="BH95" s="16">
        <v>0.90909090909090906</v>
      </c>
      <c r="BI95" s="16">
        <v>0.75</v>
      </c>
      <c r="BJ95" s="16">
        <v>0.23809523809523808</v>
      </c>
      <c r="BK95" s="21">
        <v>1.1764705882352942</v>
      </c>
      <c r="BL95" s="16">
        <v>0.34210526315789475</v>
      </c>
      <c r="BM95" s="16">
        <v>0.3125</v>
      </c>
      <c r="BN95" s="16">
        <v>0.375</v>
      </c>
      <c r="BO95" s="16" t="s">
        <v>269</v>
      </c>
      <c r="BP95" s="16">
        <v>0.69230769230769229</v>
      </c>
      <c r="BQ95" s="16">
        <v>0.6875</v>
      </c>
      <c r="BR95" s="16">
        <v>0.75</v>
      </c>
      <c r="BS95" s="16">
        <v>0.66666666666666663</v>
      </c>
      <c r="BT95" s="16">
        <v>0.51948051948051943</v>
      </c>
      <c r="BU95" s="16">
        <v>0.11267605633802817</v>
      </c>
      <c r="BV95" s="16">
        <v>1.5625E-2</v>
      </c>
      <c r="BW95" s="54">
        <v>5</v>
      </c>
      <c r="BX95" s="54">
        <v>0.55000000000000004</v>
      </c>
      <c r="BY95" s="54">
        <v>0.29411764705882354</v>
      </c>
      <c r="BZ95" s="12">
        <v>7</v>
      </c>
      <c r="CA95" s="12">
        <v>10</v>
      </c>
      <c r="CB95" s="12">
        <v>3</v>
      </c>
      <c r="CC95" s="12">
        <v>6</v>
      </c>
      <c r="CD95" s="12">
        <v>1</v>
      </c>
      <c r="CE95" s="12">
        <v>0</v>
      </c>
      <c r="CF95" s="12">
        <v>3</v>
      </c>
      <c r="CG95" s="12">
        <v>1</v>
      </c>
      <c r="CH95" s="12">
        <v>0</v>
      </c>
      <c r="CI95" s="12">
        <v>0</v>
      </c>
      <c r="CJ95" s="12">
        <v>0</v>
      </c>
      <c r="CK95" s="12">
        <v>0</v>
      </c>
      <c r="CL95" s="12">
        <v>9</v>
      </c>
      <c r="CM95" s="12">
        <v>0</v>
      </c>
      <c r="CN95" s="12">
        <v>0</v>
      </c>
      <c r="CO95" s="12">
        <v>0</v>
      </c>
      <c r="CP95" s="12">
        <v>4</v>
      </c>
      <c r="CQ95" s="12">
        <v>1</v>
      </c>
      <c r="CR95" s="12">
        <v>2</v>
      </c>
      <c r="CS95" s="12">
        <v>0</v>
      </c>
      <c r="CT95" s="12">
        <v>4</v>
      </c>
      <c r="CU95" s="12">
        <v>0</v>
      </c>
      <c r="CV95" s="12">
        <v>4</v>
      </c>
      <c r="CW95" s="12">
        <v>2</v>
      </c>
      <c r="CX95" s="12">
        <v>11</v>
      </c>
      <c r="CY95" s="12">
        <v>1</v>
      </c>
      <c r="CZ95" s="12">
        <v>2</v>
      </c>
      <c r="DA95" s="12">
        <v>0</v>
      </c>
      <c r="DB95" s="12">
        <v>0</v>
      </c>
      <c r="DC95" s="12">
        <v>0</v>
      </c>
      <c r="DD95" s="12">
        <v>1</v>
      </c>
      <c r="DE95" s="12">
        <v>1</v>
      </c>
      <c r="DF95" s="12">
        <v>6</v>
      </c>
      <c r="DG95" s="12">
        <v>8</v>
      </c>
      <c r="DH95" s="12">
        <v>0</v>
      </c>
      <c r="DI95" s="12">
        <v>0</v>
      </c>
      <c r="DJ95" s="12">
        <v>0</v>
      </c>
      <c r="DK95" s="12">
        <v>0</v>
      </c>
      <c r="DL95" s="12">
        <v>4</v>
      </c>
      <c r="DM95" s="12">
        <v>6</v>
      </c>
      <c r="DN95" s="12">
        <v>5</v>
      </c>
      <c r="DO95" s="12">
        <v>16</v>
      </c>
      <c r="DP95" s="12">
        <v>5</v>
      </c>
      <c r="DQ95" s="12">
        <v>8</v>
      </c>
      <c r="DR95" s="12">
        <v>3</v>
      </c>
      <c r="DS95" s="12">
        <v>9</v>
      </c>
      <c r="DT95" s="12">
        <v>8</v>
      </c>
      <c r="DU95" s="12">
        <v>24</v>
      </c>
      <c r="DV95" s="12">
        <v>0</v>
      </c>
      <c r="DW95" s="12">
        <v>0</v>
      </c>
      <c r="DX95" s="12">
        <v>74</v>
      </c>
      <c r="DY95" s="12">
        <v>19</v>
      </c>
      <c r="DZ95" s="12">
        <v>35</v>
      </c>
      <c r="EA95" s="16">
        <v>0.54285714285714282</v>
      </c>
      <c r="EB95" s="12">
        <v>7</v>
      </c>
      <c r="EC95" s="12">
        <v>29</v>
      </c>
      <c r="ED95" s="16">
        <v>0.2413793103448276</v>
      </c>
      <c r="EE95" s="12">
        <v>26</v>
      </c>
      <c r="EF95" s="12">
        <v>64</v>
      </c>
      <c r="EG95" s="16">
        <v>0.40625</v>
      </c>
      <c r="EH95" s="12">
        <v>15</v>
      </c>
      <c r="EI95" s="12">
        <v>21</v>
      </c>
      <c r="EJ95" s="16">
        <v>0.7142857142857143</v>
      </c>
      <c r="EK95" s="12">
        <v>12</v>
      </c>
      <c r="EL95" s="12">
        <v>25</v>
      </c>
      <c r="EM95" s="12">
        <v>37</v>
      </c>
      <c r="EN95" s="12">
        <v>17</v>
      </c>
      <c r="EO95" s="12">
        <v>17</v>
      </c>
      <c r="EP95" s="12">
        <v>20</v>
      </c>
      <c r="EQ95" s="12">
        <v>11</v>
      </c>
      <c r="ER95" s="12">
        <v>11</v>
      </c>
      <c r="ES95" s="12">
        <v>2</v>
      </c>
      <c r="ET95" s="12">
        <v>1</v>
      </c>
      <c r="EU95" s="12">
        <v>88</v>
      </c>
      <c r="EV95" s="12">
        <v>6</v>
      </c>
      <c r="EW95" s="12">
        <v>71</v>
      </c>
      <c r="EX95" s="12">
        <v>84</v>
      </c>
      <c r="EY95" s="12">
        <v>7</v>
      </c>
      <c r="EZ95" s="12">
        <v>10</v>
      </c>
      <c r="FA95" s="12">
        <v>5</v>
      </c>
      <c r="FB95" s="12">
        <v>2</v>
      </c>
      <c r="FC95" s="12">
        <v>5</v>
      </c>
      <c r="FD95" s="12">
        <v>1</v>
      </c>
      <c r="FE95" s="12">
        <v>0</v>
      </c>
      <c r="FF95" s="12">
        <v>3</v>
      </c>
      <c r="FG95" s="12">
        <v>0</v>
      </c>
      <c r="FH95" s="12">
        <v>1</v>
      </c>
      <c r="FI95" s="12">
        <v>0</v>
      </c>
      <c r="FJ95" s="12">
        <v>1</v>
      </c>
      <c r="FK95" s="12">
        <v>0</v>
      </c>
      <c r="FL95" s="12">
        <v>5</v>
      </c>
      <c r="FM95" s="12">
        <v>0</v>
      </c>
      <c r="FN95" s="12">
        <v>1</v>
      </c>
      <c r="FO95" s="12">
        <v>0</v>
      </c>
      <c r="FP95" s="12">
        <v>1</v>
      </c>
      <c r="FQ95" s="12">
        <v>0</v>
      </c>
      <c r="FR95" s="12">
        <v>7</v>
      </c>
      <c r="FS95" s="12">
        <v>0</v>
      </c>
      <c r="FT95" s="12">
        <v>3</v>
      </c>
      <c r="FU95" s="12">
        <v>0</v>
      </c>
      <c r="FV95" s="12">
        <v>6</v>
      </c>
      <c r="FW95" s="12">
        <v>0</v>
      </c>
      <c r="FX95" s="12">
        <v>7</v>
      </c>
      <c r="FY95" s="12">
        <v>2</v>
      </c>
      <c r="FZ95" s="12">
        <v>0</v>
      </c>
      <c r="GA95" s="12">
        <v>0</v>
      </c>
      <c r="GB95" s="12">
        <v>0</v>
      </c>
      <c r="GC95" s="12">
        <v>0</v>
      </c>
      <c r="GD95" s="12">
        <v>2</v>
      </c>
      <c r="GE95" s="12">
        <v>2</v>
      </c>
      <c r="GF95" s="12">
        <v>10</v>
      </c>
      <c r="GG95" s="12">
        <v>16</v>
      </c>
      <c r="GH95" s="12">
        <v>1</v>
      </c>
      <c r="GI95" s="12">
        <v>3</v>
      </c>
      <c r="GJ95" s="12">
        <v>3</v>
      </c>
      <c r="GK95" s="12">
        <v>0</v>
      </c>
      <c r="GL95" s="12">
        <v>6</v>
      </c>
      <c r="GM95" s="12">
        <v>12</v>
      </c>
      <c r="GN95" s="12">
        <v>9</v>
      </c>
      <c r="GO95" s="12">
        <v>14</v>
      </c>
      <c r="GP95" s="12">
        <v>4</v>
      </c>
      <c r="GQ95" s="12">
        <v>9</v>
      </c>
      <c r="GR95" s="12">
        <v>0</v>
      </c>
      <c r="GS95" s="12">
        <v>5</v>
      </c>
      <c r="GT95" s="12">
        <v>7</v>
      </c>
      <c r="GU95" s="12">
        <v>24</v>
      </c>
      <c r="GV95" s="12">
        <v>0</v>
      </c>
      <c r="GW95" s="12">
        <v>0</v>
      </c>
      <c r="GY95" s="16"/>
    </row>
    <row r="96" spans="2:207" ht="15" customHeight="1" x14ac:dyDescent="0.2">
      <c r="B96" s="12">
        <v>6</v>
      </c>
      <c r="C96" s="12" t="s">
        <v>290</v>
      </c>
      <c r="D96" s="12" t="s">
        <v>293</v>
      </c>
      <c r="E96" s="14" t="s">
        <v>292</v>
      </c>
      <c r="F96" s="14" t="s">
        <v>295</v>
      </c>
      <c r="G96" s="15">
        <v>45232</v>
      </c>
      <c r="H96" s="15" t="s">
        <v>268</v>
      </c>
      <c r="I96" s="12" t="s">
        <v>269</v>
      </c>
      <c r="J96" s="12" t="s">
        <v>270</v>
      </c>
      <c r="K96" s="12">
        <v>200</v>
      </c>
      <c r="L96" s="12">
        <v>79</v>
      </c>
      <c r="M96" s="12">
        <v>23</v>
      </c>
      <c r="N96" s="12">
        <v>33</v>
      </c>
      <c r="O96" s="16">
        <v>0.69696969696969702</v>
      </c>
      <c r="P96" s="12">
        <v>7</v>
      </c>
      <c r="Q96" s="12">
        <v>24</v>
      </c>
      <c r="R96" s="16">
        <v>0.29166666666666669</v>
      </c>
      <c r="S96" s="12">
        <v>30</v>
      </c>
      <c r="T96" s="12">
        <v>57</v>
      </c>
      <c r="U96" s="16">
        <v>0.52631578947368418</v>
      </c>
      <c r="V96" s="12">
        <v>12</v>
      </c>
      <c r="W96" s="12">
        <v>14</v>
      </c>
      <c r="X96" s="16">
        <v>0.8571428571428571</v>
      </c>
      <c r="Y96" s="12">
        <v>6</v>
      </c>
      <c r="Z96" s="12">
        <v>19</v>
      </c>
      <c r="AA96" s="12">
        <v>25</v>
      </c>
      <c r="AB96" s="12">
        <v>22</v>
      </c>
      <c r="AC96" s="12">
        <v>9</v>
      </c>
      <c r="AD96" s="12">
        <v>6</v>
      </c>
      <c r="AE96" s="12">
        <v>3</v>
      </c>
      <c r="AF96" s="12">
        <v>2</v>
      </c>
      <c r="AG96" s="12">
        <v>22</v>
      </c>
      <c r="AH96" s="12">
        <v>19</v>
      </c>
      <c r="AI96" s="17">
        <v>92</v>
      </c>
      <c r="AJ96" s="12">
        <v>2</v>
      </c>
      <c r="AK96" s="12">
        <v>65</v>
      </c>
      <c r="AL96" s="12">
        <v>71</v>
      </c>
      <c r="AM96" s="19">
        <v>1.1126760563380282</v>
      </c>
      <c r="AN96" s="19">
        <v>1.0405405405405406</v>
      </c>
      <c r="AO96" s="18">
        <v>121.53846153846153</v>
      </c>
      <c r="AP96" s="18">
        <v>114.92537313432835</v>
      </c>
      <c r="AQ96" s="18">
        <v>6.6130884041331797</v>
      </c>
      <c r="AR96" s="53">
        <v>0.58771929824561409</v>
      </c>
      <c r="AS96" s="53">
        <v>0.63709677419354838</v>
      </c>
      <c r="AT96" s="16">
        <v>0.19718309859154928</v>
      </c>
      <c r="AU96" s="19">
        <v>1.8571428571428572</v>
      </c>
      <c r="AV96" s="16">
        <v>0.21126760563380281</v>
      </c>
      <c r="AW96" s="19">
        <v>1.2</v>
      </c>
      <c r="AX96" s="16">
        <v>5.6338028169014086E-2</v>
      </c>
      <c r="AY96" s="19">
        <v>0.5</v>
      </c>
      <c r="AZ96" s="16">
        <v>9.8591549295774641E-2</v>
      </c>
      <c r="BA96" s="19">
        <v>0.8571428571428571</v>
      </c>
      <c r="BB96" s="16">
        <v>0.23943661971830985</v>
      </c>
      <c r="BC96" s="21">
        <v>0.88235294117647056</v>
      </c>
      <c r="BD96" s="16">
        <v>7.0422535211267609E-2</v>
      </c>
      <c r="BE96" s="16">
        <v>0.12676056338028169</v>
      </c>
      <c r="BF96" s="16">
        <v>0.62857142857142856</v>
      </c>
      <c r="BG96" s="16">
        <v>0.65217391304347827</v>
      </c>
      <c r="BH96" s="16">
        <v>1</v>
      </c>
      <c r="BI96" s="16">
        <v>0</v>
      </c>
      <c r="BJ96" s="16">
        <v>0.30985915492957744</v>
      </c>
      <c r="BK96" s="21">
        <v>2.4444444444444446</v>
      </c>
      <c r="BL96" s="16">
        <v>0.21428571428571427</v>
      </c>
      <c r="BM96" s="16">
        <v>0.18181818181818182</v>
      </c>
      <c r="BN96" s="16">
        <v>0.2</v>
      </c>
      <c r="BO96" s="16">
        <v>0</v>
      </c>
      <c r="BP96" s="16">
        <v>0.73076923076923073</v>
      </c>
      <c r="BQ96" s="16">
        <v>0.63636363636363635</v>
      </c>
      <c r="BR96" s="16">
        <v>0.9</v>
      </c>
      <c r="BS96" s="16">
        <v>1</v>
      </c>
      <c r="BT96" s="16">
        <v>0.46296296296296297</v>
      </c>
      <c r="BU96" s="16">
        <v>8.9552238805970144E-2</v>
      </c>
      <c r="BV96" s="16">
        <v>5.5555555555555552E-2</v>
      </c>
      <c r="BW96" s="54">
        <v>4</v>
      </c>
      <c r="BX96" s="54">
        <v>0.5</v>
      </c>
      <c r="BY96" s="54">
        <v>0.36842105263157893</v>
      </c>
      <c r="BZ96" s="12">
        <v>15</v>
      </c>
      <c r="CA96" s="12">
        <v>7</v>
      </c>
      <c r="CB96" s="12">
        <v>0</v>
      </c>
      <c r="CC96" s="12">
        <v>0</v>
      </c>
      <c r="CD96" s="12">
        <v>0</v>
      </c>
      <c r="CE96" s="12">
        <v>0</v>
      </c>
      <c r="CF96" s="12">
        <v>1</v>
      </c>
      <c r="CG96" s="12">
        <v>0</v>
      </c>
      <c r="CH96" s="12">
        <v>1</v>
      </c>
      <c r="CI96" s="12">
        <v>0</v>
      </c>
      <c r="CJ96" s="12">
        <v>1</v>
      </c>
      <c r="CK96" s="12">
        <v>0</v>
      </c>
      <c r="CL96" s="12">
        <v>3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7</v>
      </c>
      <c r="CS96" s="12">
        <v>0</v>
      </c>
      <c r="CT96" s="12">
        <v>0</v>
      </c>
      <c r="CU96" s="12">
        <v>0</v>
      </c>
      <c r="CV96" s="12">
        <v>1</v>
      </c>
      <c r="CW96" s="12">
        <v>0</v>
      </c>
      <c r="CX96" s="12">
        <v>8</v>
      </c>
      <c r="CY96" s="12">
        <v>0</v>
      </c>
      <c r="CZ96" s="12">
        <v>3</v>
      </c>
      <c r="DA96" s="12">
        <v>0</v>
      </c>
      <c r="DB96" s="12">
        <v>0</v>
      </c>
      <c r="DC96" s="12">
        <v>0</v>
      </c>
      <c r="DD96" s="12">
        <v>2</v>
      </c>
      <c r="DE96" s="12">
        <v>2</v>
      </c>
      <c r="DF96" s="12">
        <v>4</v>
      </c>
      <c r="DG96" s="12">
        <v>6</v>
      </c>
      <c r="DH96" s="12">
        <v>0</v>
      </c>
      <c r="DI96" s="12">
        <v>6</v>
      </c>
      <c r="DJ96" s="12">
        <v>6</v>
      </c>
      <c r="DK96" s="12">
        <v>0</v>
      </c>
      <c r="DL96" s="12">
        <v>13</v>
      </c>
      <c r="DM96" s="12">
        <v>14</v>
      </c>
      <c r="DN96" s="12">
        <v>9</v>
      </c>
      <c r="DO96" s="12">
        <v>15</v>
      </c>
      <c r="DP96" s="12">
        <v>1</v>
      </c>
      <c r="DQ96" s="12">
        <v>4</v>
      </c>
      <c r="DR96" s="12">
        <v>2</v>
      </c>
      <c r="DS96" s="12">
        <v>7</v>
      </c>
      <c r="DT96" s="12">
        <v>5</v>
      </c>
      <c r="DU96" s="12">
        <v>17</v>
      </c>
      <c r="DV96" s="12">
        <v>0</v>
      </c>
      <c r="DW96" s="12">
        <v>0</v>
      </c>
      <c r="DX96" s="12">
        <v>77</v>
      </c>
      <c r="DY96" s="12">
        <v>21</v>
      </c>
      <c r="DZ96" s="12">
        <v>35</v>
      </c>
      <c r="EA96" s="16">
        <v>0.6</v>
      </c>
      <c r="EB96" s="12">
        <v>7</v>
      </c>
      <c r="EC96" s="12">
        <v>19</v>
      </c>
      <c r="ED96" s="16">
        <v>0.36842105263157893</v>
      </c>
      <c r="EE96" s="12">
        <v>28</v>
      </c>
      <c r="EF96" s="12">
        <v>54</v>
      </c>
      <c r="EG96" s="16">
        <v>0.51851851851851849</v>
      </c>
      <c r="EH96" s="12">
        <v>14</v>
      </c>
      <c r="EI96" s="12">
        <v>20</v>
      </c>
      <c r="EJ96" s="16">
        <v>0.7</v>
      </c>
      <c r="EK96" s="12">
        <v>7</v>
      </c>
      <c r="EL96" s="12">
        <v>22</v>
      </c>
      <c r="EM96" s="12">
        <v>29</v>
      </c>
      <c r="EN96" s="12">
        <v>22</v>
      </c>
      <c r="EO96" s="12">
        <v>19</v>
      </c>
      <c r="EP96" s="12">
        <v>22</v>
      </c>
      <c r="EQ96" s="12">
        <v>2</v>
      </c>
      <c r="ER96" s="12">
        <v>11</v>
      </c>
      <c r="ES96" s="12">
        <v>2</v>
      </c>
      <c r="ET96" s="12">
        <v>3</v>
      </c>
      <c r="EU96" s="12">
        <v>89</v>
      </c>
      <c r="EV96" s="12">
        <v>-2</v>
      </c>
      <c r="EW96" s="12">
        <v>67</v>
      </c>
      <c r="EX96" s="12">
        <v>74</v>
      </c>
      <c r="EY96" s="12">
        <v>3</v>
      </c>
      <c r="EZ96" s="12">
        <v>13</v>
      </c>
      <c r="FA96" s="12">
        <v>7</v>
      </c>
      <c r="FB96" s="12">
        <v>2</v>
      </c>
      <c r="FC96" s="12">
        <v>2</v>
      </c>
      <c r="FD96" s="12">
        <v>0</v>
      </c>
      <c r="FE96" s="12">
        <v>0</v>
      </c>
      <c r="FF96" s="12">
        <v>3</v>
      </c>
      <c r="FG96" s="12">
        <v>0</v>
      </c>
      <c r="FH96" s="12">
        <v>1</v>
      </c>
      <c r="FI96" s="12">
        <v>0</v>
      </c>
      <c r="FJ96" s="12">
        <v>0</v>
      </c>
      <c r="FK96" s="12">
        <v>0</v>
      </c>
      <c r="FL96" s="12">
        <v>1</v>
      </c>
      <c r="FM96" s="12">
        <v>0</v>
      </c>
      <c r="FN96" s="12">
        <v>0</v>
      </c>
      <c r="FO96" s="12">
        <v>0</v>
      </c>
      <c r="FP96" s="12">
        <v>1</v>
      </c>
      <c r="FQ96" s="12">
        <v>0</v>
      </c>
      <c r="FR96" s="12">
        <v>5</v>
      </c>
      <c r="FS96" s="12">
        <v>1</v>
      </c>
      <c r="FT96" s="12">
        <v>2</v>
      </c>
      <c r="FU96" s="12">
        <v>0</v>
      </c>
      <c r="FV96" s="12">
        <v>4</v>
      </c>
      <c r="FW96" s="12">
        <v>1</v>
      </c>
      <c r="FX96" s="12">
        <v>9</v>
      </c>
      <c r="FY96" s="12">
        <v>2</v>
      </c>
      <c r="FZ96" s="12">
        <v>1</v>
      </c>
      <c r="GA96" s="12">
        <v>0</v>
      </c>
      <c r="GB96" s="12">
        <v>0</v>
      </c>
      <c r="GC96" s="12">
        <v>0</v>
      </c>
      <c r="GD96" s="12">
        <v>1</v>
      </c>
      <c r="GE96" s="12">
        <v>2</v>
      </c>
      <c r="GF96" s="12">
        <v>13</v>
      </c>
      <c r="GG96" s="12">
        <v>18</v>
      </c>
      <c r="GH96" s="12">
        <v>0</v>
      </c>
      <c r="GI96" s="12">
        <v>0</v>
      </c>
      <c r="GJ96" s="12">
        <v>0</v>
      </c>
      <c r="GK96" s="12">
        <v>0</v>
      </c>
      <c r="GL96" s="12">
        <v>13</v>
      </c>
      <c r="GM96" s="12">
        <v>13</v>
      </c>
      <c r="GN96" s="12">
        <v>7</v>
      </c>
      <c r="GO96" s="12">
        <v>19</v>
      </c>
      <c r="GP96" s="12">
        <v>1</v>
      </c>
      <c r="GQ96" s="12">
        <v>3</v>
      </c>
      <c r="GR96" s="12">
        <v>2</v>
      </c>
      <c r="GS96" s="12">
        <v>3</v>
      </c>
      <c r="GT96" s="12">
        <v>5</v>
      </c>
      <c r="GU96" s="12">
        <v>16</v>
      </c>
      <c r="GV96" s="12">
        <v>0</v>
      </c>
      <c r="GW96" s="12">
        <v>0</v>
      </c>
      <c r="GY96" s="16"/>
    </row>
    <row r="97" spans="2:207" ht="15" customHeight="1" x14ac:dyDescent="0.2">
      <c r="B97" s="12">
        <v>6</v>
      </c>
      <c r="C97" s="12" t="s">
        <v>293</v>
      </c>
      <c r="D97" s="12" t="s">
        <v>290</v>
      </c>
      <c r="E97" s="14" t="s">
        <v>295</v>
      </c>
      <c r="F97" s="14" t="s">
        <v>292</v>
      </c>
      <c r="G97" s="15">
        <v>45232</v>
      </c>
      <c r="H97" s="15" t="s">
        <v>271</v>
      </c>
      <c r="I97" s="12" t="s">
        <v>269</v>
      </c>
      <c r="J97" s="12" t="s">
        <v>272</v>
      </c>
      <c r="K97" s="12">
        <v>200</v>
      </c>
      <c r="L97" s="12">
        <v>77</v>
      </c>
      <c r="M97" s="12">
        <v>21</v>
      </c>
      <c r="N97" s="12">
        <v>35</v>
      </c>
      <c r="O97" s="16">
        <v>0.6</v>
      </c>
      <c r="P97" s="12">
        <v>7</v>
      </c>
      <c r="Q97" s="12">
        <v>19</v>
      </c>
      <c r="R97" s="16">
        <v>0.36842105263157893</v>
      </c>
      <c r="S97" s="12">
        <v>28</v>
      </c>
      <c r="T97" s="12">
        <v>54</v>
      </c>
      <c r="U97" s="16">
        <v>0.51851851851851849</v>
      </c>
      <c r="V97" s="12">
        <v>14</v>
      </c>
      <c r="W97" s="12">
        <v>20</v>
      </c>
      <c r="X97" s="16">
        <v>0.7</v>
      </c>
      <c r="Y97" s="12">
        <v>7</v>
      </c>
      <c r="Z97" s="12">
        <v>22</v>
      </c>
      <c r="AA97" s="12">
        <v>29</v>
      </c>
      <c r="AB97" s="12">
        <v>22</v>
      </c>
      <c r="AC97" s="12">
        <v>11</v>
      </c>
      <c r="AD97" s="12">
        <v>2</v>
      </c>
      <c r="AE97" s="12">
        <v>2</v>
      </c>
      <c r="AF97" s="12">
        <v>3</v>
      </c>
      <c r="AG97" s="12">
        <v>19</v>
      </c>
      <c r="AH97" s="12">
        <v>22</v>
      </c>
      <c r="AI97" s="17">
        <v>89</v>
      </c>
      <c r="AJ97" s="12">
        <v>-2</v>
      </c>
      <c r="AK97" s="12">
        <v>67</v>
      </c>
      <c r="AL97" s="12">
        <v>74</v>
      </c>
      <c r="AM97" s="19">
        <v>1.0405405405405406</v>
      </c>
      <c r="AN97" s="19">
        <v>1.1126760563380282</v>
      </c>
      <c r="AO97" s="18">
        <v>114.92537313432835</v>
      </c>
      <c r="AP97" s="18">
        <v>121.53846153846153</v>
      </c>
      <c r="AQ97" s="18">
        <v>-6.6130884041331797</v>
      </c>
      <c r="AR97" s="53">
        <v>0.58333333333333337</v>
      </c>
      <c r="AS97" s="53">
        <v>0.61111111111111116</v>
      </c>
      <c r="AT97" s="16">
        <v>0.17567567567567569</v>
      </c>
      <c r="AU97" s="19">
        <v>2</v>
      </c>
      <c r="AV97" s="16">
        <v>0.25675675675675674</v>
      </c>
      <c r="AW97" s="19">
        <v>0.73684210526315785</v>
      </c>
      <c r="AX97" s="16">
        <v>4.0540540540540543E-2</v>
      </c>
      <c r="AY97" s="19">
        <v>0.66666666666666663</v>
      </c>
      <c r="AZ97" s="16">
        <v>4.0540540540540543E-2</v>
      </c>
      <c r="BA97" s="19">
        <v>2</v>
      </c>
      <c r="BB97" s="16">
        <v>0.21621621621621623</v>
      </c>
      <c r="BC97" s="21">
        <v>0.9375</v>
      </c>
      <c r="BD97" s="16">
        <v>0.12162162162162163</v>
      </c>
      <c r="BE97" s="16">
        <v>0.14864864864864866</v>
      </c>
      <c r="BF97" s="16">
        <v>0.59459459459459463</v>
      </c>
      <c r="BG97" s="16">
        <v>0.61904761904761907</v>
      </c>
      <c r="BH97" s="16">
        <v>1</v>
      </c>
      <c r="BI97" s="16">
        <v>0.22222222222222221</v>
      </c>
      <c r="BJ97" s="16">
        <v>0.29729729729729731</v>
      </c>
      <c r="BK97" s="21">
        <v>2</v>
      </c>
      <c r="BL97" s="16">
        <v>0.26923076923076922</v>
      </c>
      <c r="BM97" s="16">
        <v>0.36363636363636365</v>
      </c>
      <c r="BN97" s="16">
        <v>0.1</v>
      </c>
      <c r="BO97" s="16">
        <v>0</v>
      </c>
      <c r="BP97" s="16">
        <v>0.7857142857142857</v>
      </c>
      <c r="BQ97" s="16">
        <v>0.81818181818181823</v>
      </c>
      <c r="BR97" s="16">
        <v>0.8</v>
      </c>
      <c r="BS97" s="16">
        <v>1</v>
      </c>
      <c r="BT97" s="16">
        <v>0.53703703703703709</v>
      </c>
      <c r="BU97" s="16">
        <v>3.0769230769230771E-2</v>
      </c>
      <c r="BV97" s="16">
        <v>3.5087719298245612E-2</v>
      </c>
      <c r="BW97" s="54">
        <v>3</v>
      </c>
      <c r="BX97" s="54">
        <v>0.36842105263157893</v>
      </c>
      <c r="BY97" s="54">
        <v>0.5</v>
      </c>
      <c r="BZ97" s="12">
        <v>13</v>
      </c>
      <c r="CA97" s="12">
        <v>7</v>
      </c>
      <c r="CB97" s="12">
        <v>2</v>
      </c>
      <c r="CC97" s="12">
        <v>2</v>
      </c>
      <c r="CD97" s="12">
        <v>0</v>
      </c>
      <c r="CE97" s="12">
        <v>0</v>
      </c>
      <c r="CF97" s="12">
        <v>3</v>
      </c>
      <c r="CG97" s="12">
        <v>0</v>
      </c>
      <c r="CH97" s="12">
        <v>1</v>
      </c>
      <c r="CI97" s="12">
        <v>0</v>
      </c>
      <c r="CJ97" s="12">
        <v>0</v>
      </c>
      <c r="CK97" s="12">
        <v>0</v>
      </c>
      <c r="CL97" s="12">
        <v>1</v>
      </c>
      <c r="CM97" s="12">
        <v>0</v>
      </c>
      <c r="CN97" s="12">
        <v>0</v>
      </c>
      <c r="CO97" s="12">
        <v>0</v>
      </c>
      <c r="CP97" s="12">
        <v>1</v>
      </c>
      <c r="CQ97" s="12">
        <v>0</v>
      </c>
      <c r="CR97" s="12">
        <v>5</v>
      </c>
      <c r="CS97" s="12">
        <v>1</v>
      </c>
      <c r="CT97" s="12">
        <v>2</v>
      </c>
      <c r="CU97" s="12">
        <v>0</v>
      </c>
      <c r="CV97" s="12">
        <v>4</v>
      </c>
      <c r="CW97" s="12">
        <v>1</v>
      </c>
      <c r="CX97" s="12">
        <v>9</v>
      </c>
      <c r="CY97" s="12">
        <v>2</v>
      </c>
      <c r="CZ97" s="12">
        <v>1</v>
      </c>
      <c r="DA97" s="12">
        <v>0</v>
      </c>
      <c r="DB97" s="12">
        <v>0</v>
      </c>
      <c r="DC97" s="12">
        <v>0</v>
      </c>
      <c r="DD97" s="12">
        <v>1</v>
      </c>
      <c r="DE97" s="12">
        <v>2</v>
      </c>
      <c r="DF97" s="12">
        <v>13</v>
      </c>
      <c r="DG97" s="12">
        <v>18</v>
      </c>
      <c r="DH97" s="12">
        <v>0</v>
      </c>
      <c r="DI97" s="12">
        <v>0</v>
      </c>
      <c r="DJ97" s="12">
        <v>0</v>
      </c>
      <c r="DK97" s="12">
        <v>0</v>
      </c>
      <c r="DL97" s="12">
        <v>13</v>
      </c>
      <c r="DM97" s="12">
        <v>13</v>
      </c>
      <c r="DN97" s="12">
        <v>7</v>
      </c>
      <c r="DO97" s="12">
        <v>19</v>
      </c>
      <c r="DP97" s="12">
        <v>1</v>
      </c>
      <c r="DQ97" s="12">
        <v>3</v>
      </c>
      <c r="DR97" s="12">
        <v>2</v>
      </c>
      <c r="DS97" s="12">
        <v>3</v>
      </c>
      <c r="DT97" s="12">
        <v>5</v>
      </c>
      <c r="DU97" s="12">
        <v>16</v>
      </c>
      <c r="DV97" s="12">
        <v>0</v>
      </c>
      <c r="DW97" s="12">
        <v>0</v>
      </c>
      <c r="DX97" s="12">
        <v>79</v>
      </c>
      <c r="DY97" s="12">
        <v>23</v>
      </c>
      <c r="DZ97" s="12">
        <v>33</v>
      </c>
      <c r="EA97" s="16">
        <v>0.69696969696969702</v>
      </c>
      <c r="EB97" s="12">
        <v>7</v>
      </c>
      <c r="EC97" s="12">
        <v>24</v>
      </c>
      <c r="ED97" s="16">
        <v>0.29166666666666669</v>
      </c>
      <c r="EE97" s="12">
        <v>30</v>
      </c>
      <c r="EF97" s="12">
        <v>57</v>
      </c>
      <c r="EG97" s="16">
        <v>0.52631578947368418</v>
      </c>
      <c r="EH97" s="12">
        <v>12</v>
      </c>
      <c r="EI97" s="12">
        <v>14</v>
      </c>
      <c r="EJ97" s="16">
        <v>0.8571428571428571</v>
      </c>
      <c r="EK97" s="12">
        <v>6</v>
      </c>
      <c r="EL97" s="12">
        <v>19</v>
      </c>
      <c r="EM97" s="12">
        <v>25</v>
      </c>
      <c r="EN97" s="12">
        <v>22</v>
      </c>
      <c r="EO97" s="12">
        <v>22</v>
      </c>
      <c r="EP97" s="12">
        <v>19</v>
      </c>
      <c r="EQ97" s="12">
        <v>6</v>
      </c>
      <c r="ER97" s="12">
        <v>9</v>
      </c>
      <c r="ES97" s="12">
        <v>3</v>
      </c>
      <c r="ET97" s="12">
        <v>2</v>
      </c>
      <c r="EU97" s="12">
        <v>92</v>
      </c>
      <c r="EV97" s="12">
        <v>2</v>
      </c>
      <c r="EW97" s="12">
        <v>65</v>
      </c>
      <c r="EX97" s="12">
        <v>71</v>
      </c>
      <c r="EY97" s="12">
        <v>4</v>
      </c>
      <c r="EZ97" s="12">
        <v>15</v>
      </c>
      <c r="FA97" s="12">
        <v>7</v>
      </c>
      <c r="FB97" s="12">
        <v>0</v>
      </c>
      <c r="FC97" s="12">
        <v>0</v>
      </c>
      <c r="FD97" s="12">
        <v>0</v>
      </c>
      <c r="FE97" s="12">
        <v>0</v>
      </c>
      <c r="FF97" s="12">
        <v>1</v>
      </c>
      <c r="FG97" s="12">
        <v>0</v>
      </c>
      <c r="FH97" s="12">
        <v>1</v>
      </c>
      <c r="FI97" s="12">
        <v>0</v>
      </c>
      <c r="FJ97" s="12">
        <v>1</v>
      </c>
      <c r="FK97" s="12">
        <v>0</v>
      </c>
      <c r="FL97" s="12">
        <v>3</v>
      </c>
      <c r="FM97" s="12">
        <v>0</v>
      </c>
      <c r="FN97" s="12">
        <v>0</v>
      </c>
      <c r="FO97" s="12">
        <v>0</v>
      </c>
      <c r="FP97" s="12">
        <v>0</v>
      </c>
      <c r="FQ97" s="12">
        <v>0</v>
      </c>
      <c r="FR97" s="12">
        <v>7</v>
      </c>
      <c r="FS97" s="12">
        <v>0</v>
      </c>
      <c r="FT97" s="12">
        <v>0</v>
      </c>
      <c r="FU97" s="12">
        <v>0</v>
      </c>
      <c r="FV97" s="12">
        <v>1</v>
      </c>
      <c r="FW97" s="12">
        <v>0</v>
      </c>
      <c r="FX97" s="12">
        <v>8</v>
      </c>
      <c r="FY97" s="12">
        <v>0</v>
      </c>
      <c r="FZ97" s="12">
        <v>3</v>
      </c>
      <c r="GA97" s="12">
        <v>0</v>
      </c>
      <c r="GB97" s="12">
        <v>0</v>
      </c>
      <c r="GC97" s="12">
        <v>0</v>
      </c>
      <c r="GD97" s="12">
        <v>2</v>
      </c>
      <c r="GE97" s="12">
        <v>2</v>
      </c>
      <c r="GF97" s="12">
        <v>4</v>
      </c>
      <c r="GG97" s="12">
        <v>6</v>
      </c>
      <c r="GH97" s="12">
        <v>0</v>
      </c>
      <c r="GI97" s="12">
        <v>6</v>
      </c>
      <c r="GJ97" s="12">
        <v>6</v>
      </c>
      <c r="GK97" s="12">
        <v>0</v>
      </c>
      <c r="GL97" s="12">
        <v>13</v>
      </c>
      <c r="GM97" s="12">
        <v>14</v>
      </c>
      <c r="GN97" s="12">
        <v>9</v>
      </c>
      <c r="GO97" s="12">
        <v>15</v>
      </c>
      <c r="GP97" s="12">
        <v>1</v>
      </c>
      <c r="GQ97" s="12">
        <v>4</v>
      </c>
      <c r="GR97" s="12">
        <v>2</v>
      </c>
      <c r="GS97" s="12">
        <v>7</v>
      </c>
      <c r="GT97" s="12">
        <v>5</v>
      </c>
      <c r="GU97" s="12">
        <v>17</v>
      </c>
      <c r="GV97" s="12">
        <v>0</v>
      </c>
      <c r="GW97" s="12">
        <v>0</v>
      </c>
      <c r="GY97" s="16"/>
    </row>
    <row r="98" spans="2:207" ht="15" customHeight="1" x14ac:dyDescent="0.2">
      <c r="B98" s="12">
        <v>6</v>
      </c>
      <c r="C98" s="12" t="s">
        <v>265</v>
      </c>
      <c r="D98" s="12" t="s">
        <v>286</v>
      </c>
      <c r="E98" s="14" t="s">
        <v>267</v>
      </c>
      <c r="F98" s="14" t="s">
        <v>288</v>
      </c>
      <c r="G98" s="15">
        <v>45232</v>
      </c>
      <c r="H98" s="15" t="s">
        <v>271</v>
      </c>
      <c r="I98" s="12" t="s">
        <v>269</v>
      </c>
      <c r="J98" s="12" t="s">
        <v>270</v>
      </c>
      <c r="K98" s="12">
        <v>200</v>
      </c>
      <c r="L98" s="12">
        <v>91</v>
      </c>
      <c r="M98" s="12">
        <v>27</v>
      </c>
      <c r="N98" s="12">
        <v>37</v>
      </c>
      <c r="O98" s="16">
        <v>0.72972972972972971</v>
      </c>
      <c r="P98" s="12">
        <v>7</v>
      </c>
      <c r="Q98" s="12">
        <v>20</v>
      </c>
      <c r="R98" s="16">
        <v>0.35</v>
      </c>
      <c r="S98" s="12">
        <v>34</v>
      </c>
      <c r="T98" s="12">
        <v>57</v>
      </c>
      <c r="U98" s="16">
        <v>0.59649122807017541</v>
      </c>
      <c r="V98" s="12">
        <v>16</v>
      </c>
      <c r="W98" s="12">
        <v>18</v>
      </c>
      <c r="X98" s="16">
        <v>0.88888888888888884</v>
      </c>
      <c r="Y98" s="12">
        <v>7</v>
      </c>
      <c r="Z98" s="12">
        <v>19</v>
      </c>
      <c r="AA98" s="12">
        <v>26</v>
      </c>
      <c r="AB98" s="12">
        <v>24</v>
      </c>
      <c r="AC98" s="12">
        <v>9</v>
      </c>
      <c r="AD98" s="12">
        <v>7</v>
      </c>
      <c r="AE98" s="12">
        <v>1</v>
      </c>
      <c r="AF98" s="12">
        <v>2</v>
      </c>
      <c r="AG98" s="12">
        <v>18</v>
      </c>
      <c r="AH98" s="12">
        <v>22</v>
      </c>
      <c r="AI98" s="17">
        <v>117</v>
      </c>
      <c r="AJ98" s="12">
        <v>3</v>
      </c>
      <c r="AK98" s="12">
        <v>67</v>
      </c>
      <c r="AL98" s="12">
        <v>74</v>
      </c>
      <c r="AM98" s="19">
        <v>1.2297297297297298</v>
      </c>
      <c r="AN98" s="19">
        <v>1.1139240506329113</v>
      </c>
      <c r="AO98" s="18">
        <v>135.82089552238804</v>
      </c>
      <c r="AP98" s="18">
        <v>131.34328358208955</v>
      </c>
      <c r="AQ98" s="18">
        <v>4.4776119402984875</v>
      </c>
      <c r="AR98" s="53">
        <v>0.65789473684210531</v>
      </c>
      <c r="AS98" s="53">
        <v>0.7</v>
      </c>
      <c r="AT98" s="16">
        <v>0.28378378378378377</v>
      </c>
      <c r="AU98" s="19">
        <v>1.6190476190476191</v>
      </c>
      <c r="AV98" s="16">
        <v>0.12162162162162163</v>
      </c>
      <c r="AW98" s="19">
        <v>1.3333333333333333</v>
      </c>
      <c r="AX98" s="16">
        <v>9.45945945945946E-2</v>
      </c>
      <c r="AY98" s="19">
        <v>1.1428571428571428</v>
      </c>
      <c r="AZ98" s="16">
        <v>5.4054054054054057E-2</v>
      </c>
      <c r="BA98" s="19">
        <v>0.75</v>
      </c>
      <c r="BB98" s="16">
        <v>0.21621621621621623</v>
      </c>
      <c r="BC98" s="21">
        <v>1.125</v>
      </c>
      <c r="BD98" s="16">
        <v>0.10810810810810811</v>
      </c>
      <c r="BE98" s="16">
        <v>0.12162162162162163</v>
      </c>
      <c r="BF98" s="16">
        <v>0.5714285714285714</v>
      </c>
      <c r="BG98" s="16">
        <v>0.62962962962962965</v>
      </c>
      <c r="BH98" s="16">
        <v>0.8571428571428571</v>
      </c>
      <c r="BI98" s="16">
        <v>0.125</v>
      </c>
      <c r="BJ98" s="16">
        <v>0.32432432432432434</v>
      </c>
      <c r="BK98" s="21">
        <v>2.6666666666666665</v>
      </c>
      <c r="BL98" s="16">
        <v>0.29166666666666669</v>
      </c>
      <c r="BM98" s="16">
        <v>0.27272727272727271</v>
      </c>
      <c r="BN98" s="16">
        <v>0.4375</v>
      </c>
      <c r="BO98" s="16">
        <v>0</v>
      </c>
      <c r="BP98" s="16">
        <v>0.61290322580645162</v>
      </c>
      <c r="BQ98" s="16">
        <v>0.375</v>
      </c>
      <c r="BR98" s="16">
        <v>0.66666666666666663</v>
      </c>
      <c r="BS98" s="16">
        <v>1</v>
      </c>
      <c r="BT98" s="16">
        <v>0.47272727272727272</v>
      </c>
      <c r="BU98" s="16">
        <v>0.1044776119402985</v>
      </c>
      <c r="BV98" s="16">
        <v>1.6129032258064516E-2</v>
      </c>
      <c r="BW98" s="54">
        <v>3</v>
      </c>
      <c r="BX98" s="54">
        <v>0.44444444444444442</v>
      </c>
      <c r="BY98" s="54">
        <v>0.40909090909090912</v>
      </c>
      <c r="BZ98" s="12">
        <v>17</v>
      </c>
      <c r="CA98" s="12">
        <v>6</v>
      </c>
      <c r="CB98" s="12">
        <v>1</v>
      </c>
      <c r="CC98" s="12">
        <v>2</v>
      </c>
      <c r="CD98" s="12">
        <v>2</v>
      </c>
      <c r="CE98" s="12">
        <v>1</v>
      </c>
      <c r="CF98" s="12">
        <v>0</v>
      </c>
      <c r="CG98" s="12">
        <v>0</v>
      </c>
      <c r="CH98" s="12">
        <v>0</v>
      </c>
      <c r="CI98" s="12">
        <v>0</v>
      </c>
      <c r="CJ98" s="12">
        <v>2</v>
      </c>
      <c r="CK98" s="12">
        <v>1</v>
      </c>
      <c r="CL98" s="12">
        <v>3</v>
      </c>
      <c r="CM98" s="12">
        <v>1</v>
      </c>
      <c r="CN98" s="12">
        <v>0</v>
      </c>
      <c r="CO98" s="12">
        <v>0</v>
      </c>
      <c r="CP98" s="12">
        <v>0</v>
      </c>
      <c r="CQ98" s="12">
        <v>0</v>
      </c>
      <c r="CR98" s="12">
        <v>2</v>
      </c>
      <c r="CS98" s="12">
        <v>0</v>
      </c>
      <c r="CT98" s="12">
        <v>4</v>
      </c>
      <c r="CU98" s="12">
        <v>0</v>
      </c>
      <c r="CV98" s="12">
        <v>2</v>
      </c>
      <c r="CW98" s="12">
        <v>0</v>
      </c>
      <c r="CX98" s="12">
        <v>10</v>
      </c>
      <c r="CY98" s="12">
        <v>0</v>
      </c>
      <c r="CZ98" s="12">
        <v>1</v>
      </c>
      <c r="DA98" s="12">
        <v>0</v>
      </c>
      <c r="DB98" s="12">
        <v>0</v>
      </c>
      <c r="DC98" s="12">
        <v>0</v>
      </c>
      <c r="DD98" s="12">
        <v>1</v>
      </c>
      <c r="DE98" s="12">
        <v>1</v>
      </c>
      <c r="DF98" s="12">
        <v>12</v>
      </c>
      <c r="DG98" s="12">
        <v>14</v>
      </c>
      <c r="DH98" s="12">
        <v>0</v>
      </c>
      <c r="DI98" s="12">
        <v>3</v>
      </c>
      <c r="DJ98" s="12">
        <v>3</v>
      </c>
      <c r="DK98" s="12">
        <v>0</v>
      </c>
      <c r="DL98" s="12">
        <v>17</v>
      </c>
      <c r="DM98" s="12">
        <v>21</v>
      </c>
      <c r="DN98" s="12">
        <v>6</v>
      </c>
      <c r="DO98" s="12">
        <v>9</v>
      </c>
      <c r="DP98" s="12">
        <v>4</v>
      </c>
      <c r="DQ98" s="12">
        <v>7</v>
      </c>
      <c r="DR98" s="12">
        <v>1</v>
      </c>
      <c r="DS98" s="12">
        <v>4</v>
      </c>
      <c r="DT98" s="12">
        <v>6</v>
      </c>
      <c r="DU98" s="12">
        <v>16</v>
      </c>
      <c r="DV98" s="12">
        <v>0</v>
      </c>
      <c r="DW98" s="12">
        <v>0</v>
      </c>
      <c r="DX98" s="12">
        <v>88</v>
      </c>
      <c r="DY98" s="12">
        <v>21</v>
      </c>
      <c r="DZ98" s="12">
        <v>34</v>
      </c>
      <c r="EA98" s="16">
        <v>0.61764705882352944</v>
      </c>
      <c r="EB98" s="12">
        <v>11</v>
      </c>
      <c r="EC98" s="12">
        <v>28</v>
      </c>
      <c r="ED98" s="16">
        <v>0.39285714285714285</v>
      </c>
      <c r="EE98" s="12">
        <v>32</v>
      </c>
      <c r="EF98" s="12">
        <v>62</v>
      </c>
      <c r="EG98" s="16">
        <v>0.5161290322580645</v>
      </c>
      <c r="EH98" s="12">
        <v>13</v>
      </c>
      <c r="EI98" s="12">
        <v>14</v>
      </c>
      <c r="EJ98" s="16">
        <v>0.9285714285714286</v>
      </c>
      <c r="EK98" s="12">
        <v>12</v>
      </c>
      <c r="EL98" s="12">
        <v>17</v>
      </c>
      <c r="EM98" s="12">
        <v>29</v>
      </c>
      <c r="EN98" s="12">
        <v>15</v>
      </c>
      <c r="EO98" s="12">
        <v>22</v>
      </c>
      <c r="EP98" s="12">
        <v>18</v>
      </c>
      <c r="EQ98" s="12">
        <v>4</v>
      </c>
      <c r="ER98" s="12">
        <v>11</v>
      </c>
      <c r="ES98" s="12">
        <v>2</v>
      </c>
      <c r="ET98" s="12">
        <v>1</v>
      </c>
      <c r="EU98" s="12">
        <v>91</v>
      </c>
      <c r="EV98" s="12">
        <v>-3</v>
      </c>
      <c r="EW98" s="12">
        <v>67</v>
      </c>
      <c r="EX98" s="12">
        <v>79</v>
      </c>
      <c r="EY98" s="12">
        <v>0</v>
      </c>
      <c r="EZ98" s="12">
        <v>6</v>
      </c>
      <c r="FA98" s="12">
        <v>7</v>
      </c>
      <c r="FB98" s="12">
        <v>2</v>
      </c>
      <c r="FC98" s="12">
        <v>4</v>
      </c>
      <c r="FD98" s="12">
        <v>3</v>
      </c>
      <c r="FE98" s="12">
        <v>2</v>
      </c>
      <c r="FF98" s="12">
        <v>3</v>
      </c>
      <c r="FG98" s="12">
        <v>1</v>
      </c>
      <c r="FH98" s="12">
        <v>1</v>
      </c>
      <c r="FI98" s="12">
        <v>0</v>
      </c>
      <c r="FJ98" s="12">
        <v>1</v>
      </c>
      <c r="FK98" s="12">
        <v>0</v>
      </c>
      <c r="FL98" s="12">
        <v>4</v>
      </c>
      <c r="FM98" s="12">
        <v>1</v>
      </c>
      <c r="FN98" s="12">
        <v>0</v>
      </c>
      <c r="FO98" s="12">
        <v>0</v>
      </c>
      <c r="FP98" s="12">
        <v>2</v>
      </c>
      <c r="FQ98" s="12">
        <v>0</v>
      </c>
      <c r="FR98" s="12">
        <v>3</v>
      </c>
      <c r="FS98" s="12">
        <v>0</v>
      </c>
      <c r="FT98" s="12">
        <v>3</v>
      </c>
      <c r="FU98" s="12">
        <v>0</v>
      </c>
      <c r="FV98" s="12">
        <v>1</v>
      </c>
      <c r="FW98" s="12">
        <v>0</v>
      </c>
      <c r="FX98" s="12">
        <v>7</v>
      </c>
      <c r="FY98" s="12">
        <v>1</v>
      </c>
      <c r="FZ98" s="12">
        <v>1</v>
      </c>
      <c r="GA98" s="12">
        <v>0</v>
      </c>
      <c r="GB98" s="12">
        <v>0</v>
      </c>
      <c r="GC98" s="12">
        <v>0</v>
      </c>
      <c r="GD98" s="12">
        <v>2</v>
      </c>
      <c r="GE98" s="12">
        <v>2</v>
      </c>
      <c r="GF98" s="12">
        <v>11</v>
      </c>
      <c r="GG98" s="12">
        <v>12</v>
      </c>
      <c r="GH98" s="12">
        <v>0</v>
      </c>
      <c r="GI98" s="12">
        <v>0</v>
      </c>
      <c r="GJ98" s="12">
        <v>0</v>
      </c>
      <c r="GK98" s="12">
        <v>0</v>
      </c>
      <c r="GL98" s="12">
        <v>10</v>
      </c>
      <c r="GM98" s="12">
        <v>13</v>
      </c>
      <c r="GN98" s="12">
        <v>8</v>
      </c>
      <c r="GO98" s="12">
        <v>13</v>
      </c>
      <c r="GP98" s="12">
        <v>3</v>
      </c>
      <c r="GQ98" s="12">
        <v>8</v>
      </c>
      <c r="GR98" s="12">
        <v>2</v>
      </c>
      <c r="GS98" s="12">
        <v>5</v>
      </c>
      <c r="GT98" s="12">
        <v>9</v>
      </c>
      <c r="GU98" s="12">
        <v>23</v>
      </c>
      <c r="GV98" s="12">
        <v>0</v>
      </c>
      <c r="GW98" s="12">
        <v>0</v>
      </c>
      <c r="GY98" s="16"/>
    </row>
    <row r="99" spans="2:207" ht="15" customHeight="1" x14ac:dyDescent="0.2">
      <c r="B99" s="12">
        <v>6</v>
      </c>
      <c r="C99" s="12" t="s">
        <v>286</v>
      </c>
      <c r="D99" s="12" t="s">
        <v>265</v>
      </c>
      <c r="E99" s="14" t="s">
        <v>288</v>
      </c>
      <c r="F99" s="14" t="s">
        <v>267</v>
      </c>
      <c r="G99" s="15">
        <v>45232</v>
      </c>
      <c r="H99" s="15" t="s">
        <v>268</v>
      </c>
      <c r="I99" s="12" t="s">
        <v>269</v>
      </c>
      <c r="J99" s="12" t="s">
        <v>272</v>
      </c>
      <c r="K99" s="12">
        <v>200</v>
      </c>
      <c r="L99" s="12">
        <v>88</v>
      </c>
      <c r="M99" s="12">
        <v>21</v>
      </c>
      <c r="N99" s="12">
        <v>34</v>
      </c>
      <c r="O99" s="16">
        <v>0.61764705882352944</v>
      </c>
      <c r="P99" s="12">
        <v>11</v>
      </c>
      <c r="Q99" s="12">
        <v>28</v>
      </c>
      <c r="R99" s="16">
        <v>0.39285714285714285</v>
      </c>
      <c r="S99" s="12">
        <v>32</v>
      </c>
      <c r="T99" s="12">
        <v>62</v>
      </c>
      <c r="U99" s="16">
        <v>0.5161290322580645</v>
      </c>
      <c r="V99" s="12">
        <v>13</v>
      </c>
      <c r="W99" s="12">
        <v>14</v>
      </c>
      <c r="X99" s="16">
        <v>0.9285714285714286</v>
      </c>
      <c r="Y99" s="12">
        <v>12</v>
      </c>
      <c r="Z99" s="12">
        <v>17</v>
      </c>
      <c r="AA99" s="12">
        <v>29</v>
      </c>
      <c r="AB99" s="12">
        <v>15</v>
      </c>
      <c r="AC99" s="12">
        <v>11</v>
      </c>
      <c r="AD99" s="12">
        <v>4</v>
      </c>
      <c r="AE99" s="12">
        <v>2</v>
      </c>
      <c r="AF99" s="12">
        <v>1</v>
      </c>
      <c r="AG99" s="12">
        <v>22</v>
      </c>
      <c r="AH99" s="12">
        <v>18</v>
      </c>
      <c r="AI99" s="17">
        <v>91</v>
      </c>
      <c r="AJ99" s="12">
        <v>-3</v>
      </c>
      <c r="AK99" s="12">
        <v>67</v>
      </c>
      <c r="AL99" s="12">
        <v>79</v>
      </c>
      <c r="AM99" s="19">
        <v>1.1139240506329113</v>
      </c>
      <c r="AN99" s="19">
        <v>1.2297297297297298</v>
      </c>
      <c r="AO99" s="18">
        <v>131.34328358208955</v>
      </c>
      <c r="AP99" s="18">
        <v>135.82089552238804</v>
      </c>
      <c r="AQ99" s="18">
        <v>-4.4776119402984875</v>
      </c>
      <c r="AR99" s="53">
        <v>0.60483870967741937</v>
      </c>
      <c r="AS99" s="53">
        <v>0.6470588235294118</v>
      </c>
      <c r="AT99" s="16">
        <v>0.16455696202531644</v>
      </c>
      <c r="AU99" s="19">
        <v>1.5384615384615385</v>
      </c>
      <c r="AV99" s="16">
        <v>0.16455696202531644</v>
      </c>
      <c r="AW99" s="19">
        <v>1.2307692307692308</v>
      </c>
      <c r="AX99" s="16">
        <v>0.10126582278481013</v>
      </c>
      <c r="AY99" s="19">
        <v>0.75</v>
      </c>
      <c r="AZ99" s="16">
        <v>6.3291139240506333E-2</v>
      </c>
      <c r="BA99" s="19">
        <v>1.2</v>
      </c>
      <c r="BB99" s="16">
        <v>0.29113924050632911</v>
      </c>
      <c r="BC99" s="21">
        <v>1.173913043478261</v>
      </c>
      <c r="BD99" s="16">
        <v>7.5949367088607597E-2</v>
      </c>
      <c r="BE99" s="16">
        <v>0.13924050632911392</v>
      </c>
      <c r="BF99" s="16">
        <v>0.39473684210526316</v>
      </c>
      <c r="BG99" s="16">
        <v>0.2857142857142857</v>
      </c>
      <c r="BH99" s="16">
        <v>0.63636363636363635</v>
      </c>
      <c r="BI99" s="16">
        <v>0.33333333333333331</v>
      </c>
      <c r="BJ99" s="16">
        <v>0.189873417721519</v>
      </c>
      <c r="BK99" s="21">
        <v>1.3636363636363635</v>
      </c>
      <c r="BL99" s="16">
        <v>0.38709677419354838</v>
      </c>
      <c r="BM99" s="16">
        <v>0.625</v>
      </c>
      <c r="BN99" s="16">
        <v>0.33333333333333331</v>
      </c>
      <c r="BO99" s="16">
        <v>0</v>
      </c>
      <c r="BP99" s="16">
        <v>0.70833333333333337</v>
      </c>
      <c r="BQ99" s="16">
        <v>0.72727272727272729</v>
      </c>
      <c r="BR99" s="16">
        <v>0.5625</v>
      </c>
      <c r="BS99" s="16">
        <v>1</v>
      </c>
      <c r="BT99" s="16">
        <v>0.52727272727272723</v>
      </c>
      <c r="BU99" s="16">
        <v>5.9701492537313432E-2</v>
      </c>
      <c r="BV99" s="16">
        <v>3.5087719298245612E-2</v>
      </c>
      <c r="BW99" s="54">
        <v>0</v>
      </c>
      <c r="BX99" s="54">
        <v>0.40909090909090912</v>
      </c>
      <c r="BY99" s="54">
        <v>0.44444444444444442</v>
      </c>
      <c r="BZ99" s="12">
        <v>6</v>
      </c>
      <c r="CA99" s="12">
        <v>7</v>
      </c>
      <c r="CB99" s="12">
        <v>2</v>
      </c>
      <c r="CC99" s="12">
        <v>4</v>
      </c>
      <c r="CD99" s="12">
        <v>3</v>
      </c>
      <c r="CE99" s="12">
        <v>2</v>
      </c>
      <c r="CF99" s="12">
        <v>3</v>
      </c>
      <c r="CG99" s="12">
        <v>1</v>
      </c>
      <c r="CH99" s="12">
        <v>1</v>
      </c>
      <c r="CI99" s="12">
        <v>0</v>
      </c>
      <c r="CJ99" s="12">
        <v>1</v>
      </c>
      <c r="CK99" s="12">
        <v>0</v>
      </c>
      <c r="CL99" s="12">
        <v>4</v>
      </c>
      <c r="CM99" s="12">
        <v>1</v>
      </c>
      <c r="CN99" s="12">
        <v>0</v>
      </c>
      <c r="CO99" s="12">
        <v>0</v>
      </c>
      <c r="CP99" s="12">
        <v>2</v>
      </c>
      <c r="CQ99" s="12">
        <v>0</v>
      </c>
      <c r="CR99" s="12">
        <v>3</v>
      </c>
      <c r="CS99" s="12">
        <v>0</v>
      </c>
      <c r="CT99" s="12">
        <v>3</v>
      </c>
      <c r="CU99" s="12">
        <v>0</v>
      </c>
      <c r="CV99" s="12">
        <v>1</v>
      </c>
      <c r="CW99" s="12">
        <v>0</v>
      </c>
      <c r="CX99" s="12">
        <v>7</v>
      </c>
      <c r="CY99" s="12">
        <v>1</v>
      </c>
      <c r="CZ99" s="12">
        <v>1</v>
      </c>
      <c r="DA99" s="12">
        <v>0</v>
      </c>
      <c r="DB99" s="12">
        <v>0</v>
      </c>
      <c r="DC99" s="12">
        <v>0</v>
      </c>
      <c r="DD99" s="12">
        <v>2</v>
      </c>
      <c r="DE99" s="12">
        <v>2</v>
      </c>
      <c r="DF99" s="12">
        <v>11</v>
      </c>
      <c r="DG99" s="12">
        <v>12</v>
      </c>
      <c r="DH99" s="12">
        <v>0</v>
      </c>
      <c r="DI99" s="12">
        <v>0</v>
      </c>
      <c r="DJ99" s="12">
        <v>0</v>
      </c>
      <c r="DK99" s="12">
        <v>0</v>
      </c>
      <c r="DL99" s="12">
        <v>10</v>
      </c>
      <c r="DM99" s="12">
        <v>13</v>
      </c>
      <c r="DN99" s="12">
        <v>8</v>
      </c>
      <c r="DO99" s="12">
        <v>13</v>
      </c>
      <c r="DP99" s="12">
        <v>3</v>
      </c>
      <c r="DQ99" s="12">
        <v>8</v>
      </c>
      <c r="DR99" s="12">
        <v>2</v>
      </c>
      <c r="DS99" s="12">
        <v>5</v>
      </c>
      <c r="DT99" s="12">
        <v>9</v>
      </c>
      <c r="DU99" s="12">
        <v>23</v>
      </c>
      <c r="DV99" s="12">
        <v>0</v>
      </c>
      <c r="DW99" s="12">
        <v>0</v>
      </c>
      <c r="DX99" s="12">
        <v>91</v>
      </c>
      <c r="DY99" s="12">
        <v>27</v>
      </c>
      <c r="DZ99" s="12">
        <v>37</v>
      </c>
      <c r="EA99" s="16">
        <v>0.72972972972972971</v>
      </c>
      <c r="EB99" s="12">
        <v>7</v>
      </c>
      <c r="EC99" s="12">
        <v>20</v>
      </c>
      <c r="ED99" s="16">
        <v>0.35</v>
      </c>
      <c r="EE99" s="12">
        <v>34</v>
      </c>
      <c r="EF99" s="12">
        <v>57</v>
      </c>
      <c r="EG99" s="16">
        <v>0.59649122807017541</v>
      </c>
      <c r="EH99" s="12">
        <v>16</v>
      </c>
      <c r="EI99" s="12">
        <v>18</v>
      </c>
      <c r="EJ99" s="16">
        <v>0.88888888888888884</v>
      </c>
      <c r="EK99" s="12">
        <v>7</v>
      </c>
      <c r="EL99" s="12">
        <v>19</v>
      </c>
      <c r="EM99" s="12">
        <v>26</v>
      </c>
      <c r="EN99" s="12">
        <v>24</v>
      </c>
      <c r="EO99" s="12">
        <v>18</v>
      </c>
      <c r="EP99" s="12">
        <v>22</v>
      </c>
      <c r="EQ99" s="12">
        <v>7</v>
      </c>
      <c r="ER99" s="12">
        <v>9</v>
      </c>
      <c r="ES99" s="12">
        <v>1</v>
      </c>
      <c r="ET99" s="12">
        <v>2</v>
      </c>
      <c r="EU99" s="12">
        <v>117</v>
      </c>
      <c r="EV99" s="12">
        <v>3</v>
      </c>
      <c r="EW99" s="12">
        <v>67</v>
      </c>
      <c r="EX99" s="12">
        <v>74</v>
      </c>
      <c r="EY99" s="12">
        <v>3</v>
      </c>
      <c r="EZ99" s="12">
        <v>17</v>
      </c>
      <c r="FA99" s="12">
        <v>6</v>
      </c>
      <c r="FB99" s="12">
        <v>1</v>
      </c>
      <c r="FC99" s="12">
        <v>2</v>
      </c>
      <c r="FD99" s="12">
        <v>2</v>
      </c>
      <c r="FE99" s="12">
        <v>1</v>
      </c>
      <c r="FF99" s="12">
        <v>0</v>
      </c>
      <c r="FG99" s="12">
        <v>0</v>
      </c>
      <c r="FH99" s="12">
        <v>0</v>
      </c>
      <c r="FI99" s="12">
        <v>0</v>
      </c>
      <c r="FJ99" s="12">
        <v>2</v>
      </c>
      <c r="FK99" s="12">
        <v>1</v>
      </c>
      <c r="FL99" s="12">
        <v>3</v>
      </c>
      <c r="FM99" s="12">
        <v>1</v>
      </c>
      <c r="FN99" s="12">
        <v>0</v>
      </c>
      <c r="FO99" s="12">
        <v>0</v>
      </c>
      <c r="FP99" s="12">
        <v>0</v>
      </c>
      <c r="FQ99" s="12">
        <v>0</v>
      </c>
      <c r="FR99" s="12">
        <v>2</v>
      </c>
      <c r="FS99" s="12">
        <v>0</v>
      </c>
      <c r="FT99" s="12">
        <v>4</v>
      </c>
      <c r="FU99" s="12">
        <v>0</v>
      </c>
      <c r="FV99" s="12">
        <v>2</v>
      </c>
      <c r="FW99" s="12">
        <v>0</v>
      </c>
      <c r="FX99" s="12">
        <v>10</v>
      </c>
      <c r="FY99" s="12">
        <v>0</v>
      </c>
      <c r="FZ99" s="12">
        <v>1</v>
      </c>
      <c r="GA99" s="12">
        <v>0</v>
      </c>
      <c r="GB99" s="12">
        <v>0</v>
      </c>
      <c r="GC99" s="12">
        <v>0</v>
      </c>
      <c r="GD99" s="12">
        <v>1</v>
      </c>
      <c r="GE99" s="12">
        <v>1</v>
      </c>
      <c r="GF99" s="12">
        <v>12</v>
      </c>
      <c r="GG99" s="12">
        <v>14</v>
      </c>
      <c r="GH99" s="12">
        <v>0</v>
      </c>
      <c r="GI99" s="12">
        <v>3</v>
      </c>
      <c r="GJ99" s="12">
        <v>3</v>
      </c>
      <c r="GK99" s="12">
        <v>0</v>
      </c>
      <c r="GL99" s="12">
        <v>17</v>
      </c>
      <c r="GM99" s="12">
        <v>21</v>
      </c>
      <c r="GN99" s="12">
        <v>6</v>
      </c>
      <c r="GO99" s="12">
        <v>9</v>
      </c>
      <c r="GP99" s="12">
        <v>4</v>
      </c>
      <c r="GQ99" s="12">
        <v>7</v>
      </c>
      <c r="GR99" s="12">
        <v>1</v>
      </c>
      <c r="GS99" s="12">
        <v>4</v>
      </c>
      <c r="GT99" s="12">
        <v>6</v>
      </c>
      <c r="GU99" s="12">
        <v>16</v>
      </c>
      <c r="GV99" s="12">
        <v>0</v>
      </c>
      <c r="GW99" s="12">
        <v>0</v>
      </c>
      <c r="GY99" s="16"/>
    </row>
    <row r="100" spans="2:207" ht="15" customHeight="1" x14ac:dyDescent="0.2">
      <c r="B100" s="12">
        <v>6</v>
      </c>
      <c r="C100" s="12" t="s">
        <v>301</v>
      </c>
      <c r="D100" s="12" t="s">
        <v>289</v>
      </c>
      <c r="E100" s="14" t="s">
        <v>302</v>
      </c>
      <c r="F100" s="14" t="s">
        <v>291</v>
      </c>
      <c r="G100" s="15">
        <v>45232</v>
      </c>
      <c r="H100" s="15" t="s">
        <v>271</v>
      </c>
      <c r="I100" s="12" t="s">
        <v>269</v>
      </c>
      <c r="J100" s="12" t="s">
        <v>270</v>
      </c>
      <c r="K100" s="12">
        <v>200</v>
      </c>
      <c r="L100" s="12">
        <v>72</v>
      </c>
      <c r="M100" s="12">
        <v>20</v>
      </c>
      <c r="N100" s="12">
        <v>40</v>
      </c>
      <c r="O100" s="16">
        <v>0.5</v>
      </c>
      <c r="P100" s="12">
        <v>7</v>
      </c>
      <c r="Q100" s="12">
        <v>17</v>
      </c>
      <c r="R100" s="16">
        <v>0.41176470588235292</v>
      </c>
      <c r="S100" s="12">
        <v>27</v>
      </c>
      <c r="T100" s="12">
        <v>57</v>
      </c>
      <c r="U100" s="16">
        <v>0.47368421052631576</v>
      </c>
      <c r="V100" s="12">
        <v>11</v>
      </c>
      <c r="W100" s="12">
        <v>15</v>
      </c>
      <c r="X100" s="16">
        <v>0.73333333333333328</v>
      </c>
      <c r="Y100" s="12">
        <v>9</v>
      </c>
      <c r="Z100" s="12">
        <v>24</v>
      </c>
      <c r="AA100" s="12">
        <v>33</v>
      </c>
      <c r="AB100" s="12">
        <v>11</v>
      </c>
      <c r="AC100" s="12">
        <v>12</v>
      </c>
      <c r="AD100" s="12">
        <v>7</v>
      </c>
      <c r="AE100" s="12">
        <v>2</v>
      </c>
      <c r="AF100" s="12">
        <v>0</v>
      </c>
      <c r="AG100" s="12">
        <v>22</v>
      </c>
      <c r="AH100" s="12">
        <v>21</v>
      </c>
      <c r="AI100" s="17">
        <v>78</v>
      </c>
      <c r="AJ100" s="12">
        <v>6</v>
      </c>
      <c r="AK100" s="12">
        <v>67</v>
      </c>
      <c r="AL100" s="12">
        <v>76</v>
      </c>
      <c r="AM100" s="19">
        <v>0.94736842105263153</v>
      </c>
      <c r="AN100" s="19">
        <v>0.88</v>
      </c>
      <c r="AO100" s="18">
        <v>107.46268656716418</v>
      </c>
      <c r="AP100" s="18">
        <v>100</v>
      </c>
      <c r="AQ100" s="18">
        <v>7.4626865671641838</v>
      </c>
      <c r="AR100" s="53">
        <v>0.53508771929824561</v>
      </c>
      <c r="AS100" s="53">
        <v>0.5625</v>
      </c>
      <c r="AT100" s="16">
        <v>0.18421052631578946</v>
      </c>
      <c r="AU100" s="19">
        <v>1.4285714285714286</v>
      </c>
      <c r="AV100" s="16">
        <v>0.13157894736842105</v>
      </c>
      <c r="AW100" s="19">
        <v>1</v>
      </c>
      <c r="AX100" s="16">
        <v>0.21052631578947367</v>
      </c>
      <c r="AY100" s="19">
        <v>0.625</v>
      </c>
      <c r="AZ100" s="16">
        <v>1.3157894736842105E-2</v>
      </c>
      <c r="BA100" s="19">
        <v>0</v>
      </c>
      <c r="BB100" s="16">
        <v>0.21052631578947367</v>
      </c>
      <c r="BC100" s="21">
        <v>1.3125</v>
      </c>
      <c r="BD100" s="16">
        <v>9.2105263157894732E-2</v>
      </c>
      <c r="BE100" s="16">
        <v>0.15789473684210525</v>
      </c>
      <c r="BF100" s="16">
        <v>0.33333333333333331</v>
      </c>
      <c r="BG100" s="16">
        <v>0.35</v>
      </c>
      <c r="BH100" s="16">
        <v>0.5714285714285714</v>
      </c>
      <c r="BI100" s="16">
        <v>0</v>
      </c>
      <c r="BJ100" s="16">
        <v>0.14473684210526316</v>
      </c>
      <c r="BK100" s="21">
        <v>0.91666666666666663</v>
      </c>
      <c r="BL100" s="16">
        <v>0.28125</v>
      </c>
      <c r="BM100" s="16">
        <v>0.39130434782608697</v>
      </c>
      <c r="BN100" s="16">
        <v>0.18181818181818182</v>
      </c>
      <c r="BO100" s="16">
        <v>0.66666666666666663</v>
      </c>
      <c r="BP100" s="16">
        <v>0.72727272727272729</v>
      </c>
      <c r="BQ100" s="16">
        <v>0.73333333333333328</v>
      </c>
      <c r="BR100" s="16">
        <v>0.58823529411764708</v>
      </c>
      <c r="BS100" s="16">
        <v>1</v>
      </c>
      <c r="BT100" s="16">
        <v>0.50769230769230766</v>
      </c>
      <c r="BU100" s="16">
        <v>0.10606060606060606</v>
      </c>
      <c r="BV100" s="16">
        <v>3.7735849056603772E-2</v>
      </c>
      <c r="BW100" s="54">
        <v>7</v>
      </c>
      <c r="BX100" s="54">
        <v>0.36363636363636365</v>
      </c>
      <c r="BY100" s="54">
        <v>0.38095238095238093</v>
      </c>
      <c r="BZ100" s="12">
        <v>7</v>
      </c>
      <c r="CA100" s="12">
        <v>4</v>
      </c>
      <c r="CB100" s="12">
        <v>0</v>
      </c>
      <c r="CC100" s="12">
        <v>0</v>
      </c>
      <c r="CD100" s="12">
        <v>1</v>
      </c>
      <c r="CE100" s="12">
        <v>1</v>
      </c>
      <c r="CF100" s="12">
        <v>1</v>
      </c>
      <c r="CG100" s="12">
        <v>0</v>
      </c>
      <c r="CH100" s="12">
        <v>4</v>
      </c>
      <c r="CI100" s="12">
        <v>2</v>
      </c>
      <c r="CJ100" s="12">
        <v>1</v>
      </c>
      <c r="CK100" s="12">
        <v>0</v>
      </c>
      <c r="CL100" s="12">
        <v>1</v>
      </c>
      <c r="CM100" s="12">
        <v>0</v>
      </c>
      <c r="CN100" s="12">
        <v>1</v>
      </c>
      <c r="CO100" s="12">
        <v>1</v>
      </c>
      <c r="CP100" s="12">
        <v>2</v>
      </c>
      <c r="CQ100" s="12">
        <v>0</v>
      </c>
      <c r="CR100" s="12">
        <v>6</v>
      </c>
      <c r="CS100" s="12">
        <v>0</v>
      </c>
      <c r="CT100" s="12">
        <v>3</v>
      </c>
      <c r="CU100" s="12">
        <v>0</v>
      </c>
      <c r="CV100" s="12">
        <v>1</v>
      </c>
      <c r="CW100" s="12">
        <v>0</v>
      </c>
      <c r="CX100" s="12">
        <v>9</v>
      </c>
      <c r="CY100" s="12">
        <v>0</v>
      </c>
      <c r="CZ100" s="12">
        <v>3</v>
      </c>
      <c r="DA100" s="12">
        <v>0</v>
      </c>
      <c r="DB100" s="12">
        <v>0</v>
      </c>
      <c r="DC100" s="12">
        <v>0</v>
      </c>
      <c r="DD100" s="12">
        <v>1</v>
      </c>
      <c r="DE100" s="12">
        <v>1</v>
      </c>
      <c r="DF100" s="12">
        <v>10</v>
      </c>
      <c r="DG100" s="12">
        <v>14</v>
      </c>
      <c r="DH100" s="12">
        <v>1</v>
      </c>
      <c r="DI100" s="12">
        <v>0</v>
      </c>
      <c r="DJ100" s="12">
        <v>0</v>
      </c>
      <c r="DK100" s="12">
        <v>0</v>
      </c>
      <c r="DL100" s="12">
        <v>10</v>
      </c>
      <c r="DM100" s="12">
        <v>14</v>
      </c>
      <c r="DN100" s="12">
        <v>5</v>
      </c>
      <c r="DO100" s="12">
        <v>10</v>
      </c>
      <c r="DP100" s="12">
        <v>5</v>
      </c>
      <c r="DQ100" s="12">
        <v>16</v>
      </c>
      <c r="DR100" s="12">
        <v>0</v>
      </c>
      <c r="DS100" s="12">
        <v>1</v>
      </c>
      <c r="DT100" s="12">
        <v>7</v>
      </c>
      <c r="DU100" s="12">
        <v>16</v>
      </c>
      <c r="DV100" s="12">
        <v>0</v>
      </c>
      <c r="DW100" s="12">
        <v>0</v>
      </c>
      <c r="DX100" s="12">
        <v>66</v>
      </c>
      <c r="DY100" s="12">
        <v>12</v>
      </c>
      <c r="DZ100" s="12">
        <v>26</v>
      </c>
      <c r="EA100" s="16">
        <v>0.46153846153846156</v>
      </c>
      <c r="EB100" s="12">
        <v>10</v>
      </c>
      <c r="EC100" s="12">
        <v>27</v>
      </c>
      <c r="ED100" s="16">
        <v>0.37037037037037035</v>
      </c>
      <c r="EE100" s="12">
        <v>22</v>
      </c>
      <c r="EF100" s="12">
        <v>53</v>
      </c>
      <c r="EG100" s="16">
        <v>0.41509433962264153</v>
      </c>
      <c r="EH100" s="12">
        <v>12</v>
      </c>
      <c r="EI100" s="12">
        <v>17</v>
      </c>
      <c r="EJ100" s="16">
        <v>0.70588235294117652</v>
      </c>
      <c r="EK100" s="12">
        <v>9</v>
      </c>
      <c r="EL100" s="12">
        <v>23</v>
      </c>
      <c r="EM100" s="12">
        <v>32</v>
      </c>
      <c r="EN100" s="12">
        <v>18</v>
      </c>
      <c r="EO100" s="12">
        <v>21</v>
      </c>
      <c r="EP100" s="12">
        <v>21</v>
      </c>
      <c r="EQ100" s="12">
        <v>7</v>
      </c>
      <c r="ER100" s="12">
        <v>14</v>
      </c>
      <c r="ES100" s="12">
        <v>0</v>
      </c>
      <c r="ET100" s="12">
        <v>2</v>
      </c>
      <c r="EU100" s="12">
        <v>71</v>
      </c>
      <c r="EV100" s="12">
        <v>-6</v>
      </c>
      <c r="EW100" s="12">
        <v>66</v>
      </c>
      <c r="EX100" s="12">
        <v>75</v>
      </c>
      <c r="EY100" s="12">
        <v>5</v>
      </c>
      <c r="EZ100" s="12">
        <v>7</v>
      </c>
      <c r="FA100" s="12">
        <v>9</v>
      </c>
      <c r="FB100" s="12">
        <v>2</v>
      </c>
      <c r="FC100" s="12">
        <v>2</v>
      </c>
      <c r="FD100" s="12">
        <v>0</v>
      </c>
      <c r="FE100" s="12">
        <v>0</v>
      </c>
      <c r="FF100" s="12">
        <v>3</v>
      </c>
      <c r="FG100" s="12">
        <v>1</v>
      </c>
      <c r="FH100" s="12">
        <v>0</v>
      </c>
      <c r="FI100" s="12">
        <v>0</v>
      </c>
      <c r="FJ100" s="12">
        <v>0</v>
      </c>
      <c r="FK100" s="12">
        <v>0</v>
      </c>
      <c r="FL100" s="12">
        <v>6</v>
      </c>
      <c r="FM100" s="12">
        <v>1</v>
      </c>
      <c r="FN100" s="12">
        <v>0</v>
      </c>
      <c r="FO100" s="12">
        <v>0</v>
      </c>
      <c r="FP100" s="12">
        <v>3</v>
      </c>
      <c r="FQ100" s="12">
        <v>0</v>
      </c>
      <c r="FR100" s="12">
        <v>4</v>
      </c>
      <c r="FS100" s="12">
        <v>0</v>
      </c>
      <c r="FT100" s="12">
        <v>7</v>
      </c>
      <c r="FU100" s="12">
        <v>0</v>
      </c>
      <c r="FV100" s="12">
        <v>0</v>
      </c>
      <c r="FW100" s="12">
        <v>0</v>
      </c>
      <c r="FX100" s="12">
        <v>8</v>
      </c>
      <c r="FY100" s="12">
        <v>1</v>
      </c>
      <c r="FZ100" s="12">
        <v>1</v>
      </c>
      <c r="GA100" s="12">
        <v>0</v>
      </c>
      <c r="GB100" s="12">
        <v>1</v>
      </c>
      <c r="GC100" s="12">
        <v>1</v>
      </c>
      <c r="GD100" s="12">
        <v>0</v>
      </c>
      <c r="GE100" s="12">
        <v>0</v>
      </c>
      <c r="GF100" s="12">
        <v>11</v>
      </c>
      <c r="GG100" s="12">
        <v>16</v>
      </c>
      <c r="GH100" s="12">
        <v>1</v>
      </c>
      <c r="GI100" s="12">
        <v>0</v>
      </c>
      <c r="GJ100" s="12">
        <v>0</v>
      </c>
      <c r="GK100" s="12">
        <v>0</v>
      </c>
      <c r="GL100" s="12">
        <v>9</v>
      </c>
      <c r="GM100" s="12">
        <v>11</v>
      </c>
      <c r="GN100" s="12">
        <v>3</v>
      </c>
      <c r="GO100" s="12">
        <v>12</v>
      </c>
      <c r="GP100" s="12">
        <v>0</v>
      </c>
      <c r="GQ100" s="12">
        <v>3</v>
      </c>
      <c r="GR100" s="12">
        <v>0</v>
      </c>
      <c r="GS100" s="12">
        <v>1</v>
      </c>
      <c r="GT100" s="12">
        <v>10</v>
      </c>
      <c r="GU100" s="12">
        <v>26</v>
      </c>
      <c r="GV100" s="12">
        <v>0</v>
      </c>
      <c r="GW100" s="12">
        <v>0</v>
      </c>
      <c r="GY100" s="16"/>
    </row>
    <row r="101" spans="2:207" ht="15" customHeight="1" x14ac:dyDescent="0.2">
      <c r="B101" s="12">
        <v>6</v>
      </c>
      <c r="C101" s="12" t="s">
        <v>289</v>
      </c>
      <c r="D101" s="12" t="s">
        <v>301</v>
      </c>
      <c r="E101" s="14" t="s">
        <v>291</v>
      </c>
      <c r="F101" s="14" t="s">
        <v>302</v>
      </c>
      <c r="G101" s="15">
        <v>45232</v>
      </c>
      <c r="H101" s="15" t="s">
        <v>268</v>
      </c>
      <c r="I101" s="12" t="s">
        <v>269</v>
      </c>
      <c r="J101" s="12" t="s">
        <v>272</v>
      </c>
      <c r="K101" s="12">
        <v>200</v>
      </c>
      <c r="L101" s="12">
        <v>66</v>
      </c>
      <c r="M101" s="12">
        <v>12</v>
      </c>
      <c r="N101" s="12">
        <v>26</v>
      </c>
      <c r="O101" s="16">
        <v>0.46153846153846156</v>
      </c>
      <c r="P101" s="12">
        <v>10</v>
      </c>
      <c r="Q101" s="12">
        <v>27</v>
      </c>
      <c r="R101" s="16">
        <v>0.37037037037037035</v>
      </c>
      <c r="S101" s="12">
        <v>22</v>
      </c>
      <c r="T101" s="12">
        <v>53</v>
      </c>
      <c r="U101" s="16">
        <v>0.41509433962264153</v>
      </c>
      <c r="V101" s="12">
        <v>12</v>
      </c>
      <c r="W101" s="12">
        <v>17</v>
      </c>
      <c r="X101" s="16">
        <v>0.70588235294117652</v>
      </c>
      <c r="Y101" s="12">
        <v>9</v>
      </c>
      <c r="Z101" s="12">
        <v>23</v>
      </c>
      <c r="AA101" s="12">
        <v>32</v>
      </c>
      <c r="AB101" s="12">
        <v>18</v>
      </c>
      <c r="AC101" s="12">
        <v>14</v>
      </c>
      <c r="AD101" s="12">
        <v>7</v>
      </c>
      <c r="AE101" s="12">
        <v>0</v>
      </c>
      <c r="AF101" s="12">
        <v>2</v>
      </c>
      <c r="AG101" s="12">
        <v>21</v>
      </c>
      <c r="AH101" s="12">
        <v>21</v>
      </c>
      <c r="AI101" s="17">
        <v>71</v>
      </c>
      <c r="AJ101" s="12">
        <v>-6</v>
      </c>
      <c r="AK101" s="12">
        <v>66</v>
      </c>
      <c r="AL101" s="12">
        <v>75</v>
      </c>
      <c r="AM101" s="19">
        <v>0.88</v>
      </c>
      <c r="AN101" s="19">
        <v>0.94736842105263153</v>
      </c>
      <c r="AO101" s="18">
        <v>100</v>
      </c>
      <c r="AP101" s="18">
        <v>107.46268656716418</v>
      </c>
      <c r="AQ101" s="18">
        <v>-7.4626865671641838</v>
      </c>
      <c r="AR101" s="53">
        <v>0.50943396226415094</v>
      </c>
      <c r="AS101" s="53">
        <v>0.54098360655737709</v>
      </c>
      <c r="AT101" s="16">
        <v>0.14666666666666667</v>
      </c>
      <c r="AU101" s="19">
        <v>1.6363636363636365</v>
      </c>
      <c r="AV101" s="16">
        <v>0.16</v>
      </c>
      <c r="AW101" s="19">
        <v>0.5</v>
      </c>
      <c r="AX101" s="16">
        <v>0.04</v>
      </c>
      <c r="AY101" s="19">
        <v>0</v>
      </c>
      <c r="AZ101" s="16">
        <v>1.3333333333333334E-2</v>
      </c>
      <c r="BA101" s="19">
        <v>0</v>
      </c>
      <c r="BB101" s="16">
        <v>0.34666666666666668</v>
      </c>
      <c r="BC101" s="21">
        <v>1.1538461538461537</v>
      </c>
      <c r="BD101" s="16">
        <v>0.10666666666666667</v>
      </c>
      <c r="BE101" s="16">
        <v>0.18666666666666668</v>
      </c>
      <c r="BF101" s="16">
        <v>0.62068965517241381</v>
      </c>
      <c r="BG101" s="16">
        <v>0.58333333333333337</v>
      </c>
      <c r="BH101" s="16">
        <v>0.9</v>
      </c>
      <c r="BI101" s="16">
        <v>0.2857142857142857</v>
      </c>
      <c r="BJ101" s="16">
        <v>0.24</v>
      </c>
      <c r="BK101" s="21">
        <v>1.2857142857142858</v>
      </c>
      <c r="BL101" s="16">
        <v>0.27272727272727271</v>
      </c>
      <c r="BM101" s="16">
        <v>0.26666666666666666</v>
      </c>
      <c r="BN101" s="16">
        <v>0.41176470588235292</v>
      </c>
      <c r="BO101" s="16">
        <v>0</v>
      </c>
      <c r="BP101" s="16">
        <v>0.71875</v>
      </c>
      <c r="BQ101" s="16">
        <v>0.60869565217391308</v>
      </c>
      <c r="BR101" s="16">
        <v>0.81818181818181823</v>
      </c>
      <c r="BS101" s="16">
        <v>0.33333333333333331</v>
      </c>
      <c r="BT101" s="16">
        <v>0.49230769230769234</v>
      </c>
      <c r="BU101" s="16">
        <v>0.1044776119402985</v>
      </c>
      <c r="BV101" s="16">
        <v>0</v>
      </c>
      <c r="BW101" s="54">
        <v>5</v>
      </c>
      <c r="BX101" s="54">
        <v>0.38095238095238093</v>
      </c>
      <c r="BY101" s="54">
        <v>0.38095238095238093</v>
      </c>
      <c r="BZ101" s="12">
        <v>7</v>
      </c>
      <c r="CA101" s="12">
        <v>9</v>
      </c>
      <c r="CB101" s="12">
        <v>2</v>
      </c>
      <c r="CC101" s="12">
        <v>2</v>
      </c>
      <c r="CD101" s="12">
        <v>0</v>
      </c>
      <c r="CE101" s="12">
        <v>0</v>
      </c>
      <c r="CF101" s="12">
        <v>3</v>
      </c>
      <c r="CG101" s="12">
        <v>1</v>
      </c>
      <c r="CH101" s="12">
        <v>0</v>
      </c>
      <c r="CI101" s="12">
        <v>0</v>
      </c>
      <c r="CJ101" s="12">
        <v>0</v>
      </c>
      <c r="CK101" s="12">
        <v>0</v>
      </c>
      <c r="CL101" s="12">
        <v>6</v>
      </c>
      <c r="CM101" s="12">
        <v>1</v>
      </c>
      <c r="CN101" s="12">
        <v>0</v>
      </c>
      <c r="CO101" s="12">
        <v>0</v>
      </c>
      <c r="CP101" s="12">
        <v>3</v>
      </c>
      <c r="CQ101" s="12">
        <v>0</v>
      </c>
      <c r="CR101" s="12">
        <v>4</v>
      </c>
      <c r="CS101" s="12">
        <v>0</v>
      </c>
      <c r="CT101" s="12">
        <v>7</v>
      </c>
      <c r="CU101" s="12">
        <v>0</v>
      </c>
      <c r="CV101" s="12">
        <v>0</v>
      </c>
      <c r="CW101" s="12">
        <v>0</v>
      </c>
      <c r="CX101" s="12">
        <v>8</v>
      </c>
      <c r="CY101" s="12">
        <v>1</v>
      </c>
      <c r="CZ101" s="12">
        <v>1</v>
      </c>
      <c r="DA101" s="12">
        <v>0</v>
      </c>
      <c r="DB101" s="12">
        <v>1</v>
      </c>
      <c r="DC101" s="12">
        <v>1</v>
      </c>
      <c r="DD101" s="12">
        <v>0</v>
      </c>
      <c r="DE101" s="12">
        <v>0</v>
      </c>
      <c r="DF101" s="12">
        <v>11</v>
      </c>
      <c r="DG101" s="12">
        <v>16</v>
      </c>
      <c r="DH101" s="12">
        <v>1</v>
      </c>
      <c r="DI101" s="12">
        <v>0</v>
      </c>
      <c r="DJ101" s="12">
        <v>0</v>
      </c>
      <c r="DK101" s="12">
        <v>0</v>
      </c>
      <c r="DL101" s="12">
        <v>9</v>
      </c>
      <c r="DM101" s="12">
        <v>11</v>
      </c>
      <c r="DN101" s="12">
        <v>3</v>
      </c>
      <c r="DO101" s="12">
        <v>12</v>
      </c>
      <c r="DP101" s="12">
        <v>0</v>
      </c>
      <c r="DQ101" s="12">
        <v>3</v>
      </c>
      <c r="DR101" s="12">
        <v>0</v>
      </c>
      <c r="DS101" s="12">
        <v>1</v>
      </c>
      <c r="DT101" s="12">
        <v>10</v>
      </c>
      <c r="DU101" s="12">
        <v>26</v>
      </c>
      <c r="DV101" s="12">
        <v>0</v>
      </c>
      <c r="DW101" s="12">
        <v>0</v>
      </c>
      <c r="DX101" s="12">
        <v>72</v>
      </c>
      <c r="DY101" s="12">
        <v>20</v>
      </c>
      <c r="DZ101" s="12">
        <v>40</v>
      </c>
      <c r="EA101" s="16">
        <v>0.5</v>
      </c>
      <c r="EB101" s="12">
        <v>7</v>
      </c>
      <c r="EC101" s="12">
        <v>17</v>
      </c>
      <c r="ED101" s="16">
        <v>0.41176470588235292</v>
      </c>
      <c r="EE101" s="12">
        <v>27</v>
      </c>
      <c r="EF101" s="12">
        <v>57</v>
      </c>
      <c r="EG101" s="16">
        <v>0.47368421052631576</v>
      </c>
      <c r="EH101" s="12">
        <v>11</v>
      </c>
      <c r="EI101" s="12">
        <v>15</v>
      </c>
      <c r="EJ101" s="16">
        <v>0.73333333333333328</v>
      </c>
      <c r="EK101" s="12">
        <v>9</v>
      </c>
      <c r="EL101" s="12">
        <v>24</v>
      </c>
      <c r="EM101" s="12">
        <v>33</v>
      </c>
      <c r="EN101" s="12">
        <v>11</v>
      </c>
      <c r="EO101" s="12">
        <v>22</v>
      </c>
      <c r="EP101" s="12">
        <v>21</v>
      </c>
      <c r="EQ101" s="12">
        <v>7</v>
      </c>
      <c r="ER101" s="12">
        <v>12</v>
      </c>
      <c r="ES101" s="12">
        <v>2</v>
      </c>
      <c r="ET101" s="12">
        <v>0</v>
      </c>
      <c r="EU101" s="12">
        <v>78</v>
      </c>
      <c r="EV101" s="12">
        <v>6</v>
      </c>
      <c r="EW101" s="12">
        <v>67</v>
      </c>
      <c r="EX101" s="12">
        <v>76</v>
      </c>
      <c r="EY101" s="12">
        <v>7</v>
      </c>
      <c r="EZ101" s="12">
        <v>7</v>
      </c>
      <c r="FA101" s="12">
        <v>4</v>
      </c>
      <c r="FB101" s="12">
        <v>0</v>
      </c>
      <c r="FC101" s="12">
        <v>0</v>
      </c>
      <c r="FD101" s="12">
        <v>1</v>
      </c>
      <c r="FE101" s="12">
        <v>1</v>
      </c>
      <c r="FF101" s="12">
        <v>1</v>
      </c>
      <c r="FG101" s="12">
        <v>0</v>
      </c>
      <c r="FH101" s="12">
        <v>4</v>
      </c>
      <c r="FI101" s="12">
        <v>2</v>
      </c>
      <c r="FJ101" s="12">
        <v>1</v>
      </c>
      <c r="FK101" s="12">
        <v>0</v>
      </c>
      <c r="FL101" s="12">
        <v>1</v>
      </c>
      <c r="FM101" s="12">
        <v>0</v>
      </c>
      <c r="FN101" s="12">
        <v>1</v>
      </c>
      <c r="FO101" s="12">
        <v>1</v>
      </c>
      <c r="FP101" s="12">
        <v>2</v>
      </c>
      <c r="FQ101" s="12">
        <v>0</v>
      </c>
      <c r="FR101" s="12">
        <v>6</v>
      </c>
      <c r="FS101" s="12">
        <v>0</v>
      </c>
      <c r="FT101" s="12">
        <v>3</v>
      </c>
      <c r="FU101" s="12">
        <v>0</v>
      </c>
      <c r="FV101" s="12">
        <v>1</v>
      </c>
      <c r="FW101" s="12">
        <v>0</v>
      </c>
      <c r="FX101" s="12">
        <v>9</v>
      </c>
      <c r="FY101" s="12">
        <v>0</v>
      </c>
      <c r="FZ101" s="12">
        <v>3</v>
      </c>
      <c r="GA101" s="12">
        <v>0</v>
      </c>
      <c r="GB101" s="12">
        <v>0</v>
      </c>
      <c r="GC101" s="12">
        <v>0</v>
      </c>
      <c r="GD101" s="12">
        <v>1</v>
      </c>
      <c r="GE101" s="12">
        <v>1</v>
      </c>
      <c r="GF101" s="12">
        <v>10</v>
      </c>
      <c r="GG101" s="12">
        <v>14</v>
      </c>
      <c r="GH101" s="12">
        <v>1</v>
      </c>
      <c r="GI101" s="12">
        <v>0</v>
      </c>
      <c r="GJ101" s="12">
        <v>0</v>
      </c>
      <c r="GK101" s="12">
        <v>0</v>
      </c>
      <c r="GL101" s="12">
        <v>10</v>
      </c>
      <c r="GM101" s="12">
        <v>14</v>
      </c>
      <c r="GN101" s="12">
        <v>5</v>
      </c>
      <c r="GO101" s="12">
        <v>10</v>
      </c>
      <c r="GP101" s="12">
        <v>5</v>
      </c>
      <c r="GQ101" s="12">
        <v>16</v>
      </c>
      <c r="GR101" s="12">
        <v>0</v>
      </c>
      <c r="GS101" s="12">
        <v>1</v>
      </c>
      <c r="GT101" s="12">
        <v>7</v>
      </c>
      <c r="GU101" s="12">
        <v>16</v>
      </c>
      <c r="GV101" s="12">
        <v>0</v>
      </c>
      <c r="GW101" s="12">
        <v>0</v>
      </c>
      <c r="GY101" s="16"/>
    </row>
    <row r="102" spans="2:207" ht="15" customHeight="1" x14ac:dyDescent="0.2">
      <c r="B102" s="12">
        <v>6</v>
      </c>
      <c r="C102" s="12" t="s">
        <v>281</v>
      </c>
      <c r="D102" s="12" t="s">
        <v>93</v>
      </c>
      <c r="E102" s="14" t="s">
        <v>283</v>
      </c>
      <c r="F102" s="14" t="s">
        <v>303</v>
      </c>
      <c r="G102" s="15">
        <v>45232</v>
      </c>
      <c r="H102" s="15" t="s">
        <v>271</v>
      </c>
      <c r="I102" s="12" t="s">
        <v>269</v>
      </c>
      <c r="J102" s="12" t="s">
        <v>272</v>
      </c>
      <c r="K102" s="12">
        <v>200</v>
      </c>
      <c r="L102" s="12">
        <v>71</v>
      </c>
      <c r="M102" s="12">
        <v>13</v>
      </c>
      <c r="N102" s="12">
        <v>28</v>
      </c>
      <c r="O102" s="16">
        <v>0.4642857142857143</v>
      </c>
      <c r="P102" s="12">
        <v>9</v>
      </c>
      <c r="Q102" s="12">
        <v>28</v>
      </c>
      <c r="R102" s="16">
        <v>0.32142857142857145</v>
      </c>
      <c r="S102" s="12">
        <v>22</v>
      </c>
      <c r="T102" s="12">
        <v>56</v>
      </c>
      <c r="U102" s="16">
        <v>0.39285714285714285</v>
      </c>
      <c r="V102" s="12">
        <v>18</v>
      </c>
      <c r="W102" s="12">
        <v>20</v>
      </c>
      <c r="X102" s="16">
        <v>0.9</v>
      </c>
      <c r="Y102" s="12">
        <v>10</v>
      </c>
      <c r="Z102" s="12">
        <v>23</v>
      </c>
      <c r="AA102" s="12">
        <v>33</v>
      </c>
      <c r="AB102" s="12">
        <v>13</v>
      </c>
      <c r="AC102" s="12">
        <v>18</v>
      </c>
      <c r="AD102" s="12">
        <v>9</v>
      </c>
      <c r="AE102" s="12">
        <v>5</v>
      </c>
      <c r="AF102" s="12">
        <v>3</v>
      </c>
      <c r="AG102" s="12">
        <v>17</v>
      </c>
      <c r="AH102" s="12">
        <v>20</v>
      </c>
      <c r="AI102" s="17">
        <v>77</v>
      </c>
      <c r="AJ102" s="12">
        <v>-8</v>
      </c>
      <c r="AK102" s="12">
        <v>73</v>
      </c>
      <c r="AL102" s="12">
        <v>83</v>
      </c>
      <c r="AM102" s="19">
        <v>0.85542168674698793</v>
      </c>
      <c r="AN102" s="19">
        <v>0.90804597701149425</v>
      </c>
      <c r="AO102" s="18">
        <v>97.260273972602747</v>
      </c>
      <c r="AP102" s="18">
        <v>105.33333333333333</v>
      </c>
      <c r="AQ102" s="18">
        <v>-8.0730593607305821</v>
      </c>
      <c r="AR102" s="53">
        <v>0.4732142857142857</v>
      </c>
      <c r="AS102" s="53">
        <v>0.5461538461538461</v>
      </c>
      <c r="AT102" s="16">
        <v>0.14457831325301204</v>
      </c>
      <c r="AU102" s="19">
        <v>1.3333333333333333</v>
      </c>
      <c r="AV102" s="16">
        <v>0.12048192771084337</v>
      </c>
      <c r="AW102" s="19">
        <v>0.6</v>
      </c>
      <c r="AX102" s="16">
        <v>7.2289156626506021E-2</v>
      </c>
      <c r="AY102" s="19">
        <v>0.66666666666666663</v>
      </c>
      <c r="AZ102" s="16">
        <v>7.2289156626506021E-2</v>
      </c>
      <c r="BA102" s="19">
        <v>1</v>
      </c>
      <c r="BB102" s="16">
        <v>0.24096385542168675</v>
      </c>
      <c r="BC102" s="21">
        <v>1.05</v>
      </c>
      <c r="BD102" s="16">
        <v>0.10843373493975904</v>
      </c>
      <c r="BE102" s="16">
        <v>0.21686746987951808</v>
      </c>
      <c r="BF102" s="16">
        <v>0.41935483870967744</v>
      </c>
      <c r="BG102" s="16">
        <v>0.38461538461538464</v>
      </c>
      <c r="BH102" s="16">
        <v>0.66666666666666663</v>
      </c>
      <c r="BI102" s="16">
        <v>0.22222222222222221</v>
      </c>
      <c r="BJ102" s="16">
        <v>0.15662650602409639</v>
      </c>
      <c r="BK102" s="21">
        <v>0.72222222222222221</v>
      </c>
      <c r="BL102" s="16">
        <v>0.29411764705882354</v>
      </c>
      <c r="BM102" s="16">
        <v>0.41176470588235292</v>
      </c>
      <c r="BN102" s="16">
        <v>0.2</v>
      </c>
      <c r="BO102" s="16">
        <v>0</v>
      </c>
      <c r="BP102" s="16">
        <v>0.65714285714285714</v>
      </c>
      <c r="BQ102" s="16">
        <v>0.625</v>
      </c>
      <c r="BR102" s="16">
        <v>0.66666666666666663</v>
      </c>
      <c r="BS102" s="16">
        <v>1</v>
      </c>
      <c r="BT102" s="16">
        <v>0.47826086956521741</v>
      </c>
      <c r="BU102" s="16">
        <v>0.12</v>
      </c>
      <c r="BV102" s="16">
        <v>7.575757575757576E-2</v>
      </c>
      <c r="BW102" s="54">
        <v>5</v>
      </c>
      <c r="BX102" s="54">
        <v>0.47058823529411764</v>
      </c>
      <c r="BY102" s="54">
        <v>0.45</v>
      </c>
      <c r="BZ102" s="12">
        <v>5</v>
      </c>
      <c r="CA102" s="12">
        <v>6</v>
      </c>
      <c r="CB102" s="12">
        <v>2</v>
      </c>
      <c r="CC102" s="12">
        <v>4</v>
      </c>
      <c r="CD102" s="12">
        <v>2</v>
      </c>
      <c r="CE102" s="12">
        <v>0</v>
      </c>
      <c r="CF102" s="12">
        <v>3</v>
      </c>
      <c r="CG102" s="12">
        <v>0</v>
      </c>
      <c r="CH102" s="12">
        <v>2</v>
      </c>
      <c r="CI102" s="12">
        <v>0</v>
      </c>
      <c r="CJ102" s="12">
        <v>1</v>
      </c>
      <c r="CK102" s="12">
        <v>0</v>
      </c>
      <c r="CL102" s="12">
        <v>2</v>
      </c>
      <c r="CM102" s="12">
        <v>1</v>
      </c>
      <c r="CN102" s="12">
        <v>0</v>
      </c>
      <c r="CO102" s="12">
        <v>0</v>
      </c>
      <c r="CP102" s="12">
        <v>3</v>
      </c>
      <c r="CQ102" s="12">
        <v>0</v>
      </c>
      <c r="CR102" s="12">
        <v>6</v>
      </c>
      <c r="CS102" s="12">
        <v>1</v>
      </c>
      <c r="CT102" s="12">
        <v>4</v>
      </c>
      <c r="CU102" s="12">
        <v>1</v>
      </c>
      <c r="CV102" s="12">
        <v>5</v>
      </c>
      <c r="CW102" s="12">
        <v>1</v>
      </c>
      <c r="CX102" s="12">
        <v>4</v>
      </c>
      <c r="CY102" s="12">
        <v>0</v>
      </c>
      <c r="CZ102" s="12">
        <v>1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14</v>
      </c>
      <c r="DG102" s="12">
        <v>14</v>
      </c>
      <c r="DH102" s="12">
        <v>0</v>
      </c>
      <c r="DI102" s="12">
        <v>4</v>
      </c>
      <c r="DJ102" s="12">
        <v>6</v>
      </c>
      <c r="DK102" s="12">
        <v>0</v>
      </c>
      <c r="DL102" s="12">
        <v>8</v>
      </c>
      <c r="DM102" s="12">
        <v>12</v>
      </c>
      <c r="DN102" s="12">
        <v>3</v>
      </c>
      <c r="DO102" s="12">
        <v>10</v>
      </c>
      <c r="DP102" s="12">
        <v>2</v>
      </c>
      <c r="DQ102" s="12">
        <v>6</v>
      </c>
      <c r="DR102" s="12">
        <v>2</v>
      </c>
      <c r="DS102" s="12">
        <v>6</v>
      </c>
      <c r="DT102" s="12">
        <v>7</v>
      </c>
      <c r="DU102" s="12">
        <v>20</v>
      </c>
      <c r="DV102" s="12">
        <v>0</v>
      </c>
      <c r="DW102" s="12">
        <v>0</v>
      </c>
      <c r="DX102" s="12">
        <v>79</v>
      </c>
      <c r="DY102" s="12">
        <v>23</v>
      </c>
      <c r="DZ102" s="12">
        <v>43</v>
      </c>
      <c r="EA102" s="16">
        <v>0.53488372093023251</v>
      </c>
      <c r="EB102" s="12">
        <v>7</v>
      </c>
      <c r="EC102" s="12">
        <v>23</v>
      </c>
      <c r="ED102" s="16">
        <v>0.30434782608695654</v>
      </c>
      <c r="EE102" s="12">
        <v>30</v>
      </c>
      <c r="EF102" s="12">
        <v>66</v>
      </c>
      <c r="EG102" s="16">
        <v>0.45454545454545453</v>
      </c>
      <c r="EH102" s="12">
        <v>12</v>
      </c>
      <c r="EI102" s="12">
        <v>14</v>
      </c>
      <c r="EJ102" s="16">
        <v>0.8571428571428571</v>
      </c>
      <c r="EK102" s="12">
        <v>12</v>
      </c>
      <c r="EL102" s="12">
        <v>24</v>
      </c>
      <c r="EM102" s="12">
        <v>36</v>
      </c>
      <c r="EN102" s="12">
        <v>18</v>
      </c>
      <c r="EO102" s="12">
        <v>20</v>
      </c>
      <c r="EP102" s="12">
        <v>17</v>
      </c>
      <c r="EQ102" s="12">
        <v>10</v>
      </c>
      <c r="ER102" s="12">
        <v>15</v>
      </c>
      <c r="ES102" s="12">
        <v>3</v>
      </c>
      <c r="ET102" s="12">
        <v>5</v>
      </c>
      <c r="EU102" s="12">
        <v>85</v>
      </c>
      <c r="EV102" s="12">
        <v>8</v>
      </c>
      <c r="EW102" s="12">
        <v>75</v>
      </c>
      <c r="EX102" s="12">
        <v>87</v>
      </c>
      <c r="EY102" s="12">
        <v>8</v>
      </c>
      <c r="EZ102" s="12">
        <v>12</v>
      </c>
      <c r="FA102" s="12">
        <v>5</v>
      </c>
      <c r="FB102" s="12">
        <v>1</v>
      </c>
      <c r="FC102" s="12">
        <v>2</v>
      </c>
      <c r="FD102" s="12">
        <v>2</v>
      </c>
      <c r="FE102" s="12">
        <v>2</v>
      </c>
      <c r="FF102" s="12">
        <v>3</v>
      </c>
      <c r="FG102" s="12">
        <v>1</v>
      </c>
      <c r="FH102" s="12">
        <v>1</v>
      </c>
      <c r="FI102" s="12">
        <v>0</v>
      </c>
      <c r="FJ102" s="12">
        <v>0</v>
      </c>
      <c r="FK102" s="12">
        <v>0</v>
      </c>
      <c r="FL102" s="12">
        <v>5</v>
      </c>
      <c r="FM102" s="12">
        <v>0</v>
      </c>
      <c r="FN102" s="12">
        <v>0</v>
      </c>
      <c r="FO102" s="12">
        <v>0</v>
      </c>
      <c r="FP102" s="12">
        <v>3</v>
      </c>
      <c r="FQ102" s="12">
        <v>0</v>
      </c>
      <c r="FR102" s="12">
        <v>4</v>
      </c>
      <c r="FS102" s="12">
        <v>0</v>
      </c>
      <c r="FT102" s="12">
        <v>2</v>
      </c>
      <c r="FU102" s="12">
        <v>1</v>
      </c>
      <c r="FV102" s="12">
        <v>3</v>
      </c>
      <c r="FW102" s="12">
        <v>0</v>
      </c>
      <c r="FX102" s="12">
        <v>11</v>
      </c>
      <c r="FY102" s="12">
        <v>2</v>
      </c>
      <c r="FZ102" s="12">
        <v>1</v>
      </c>
      <c r="GA102" s="12">
        <v>0</v>
      </c>
      <c r="GB102" s="12">
        <v>0</v>
      </c>
      <c r="GC102" s="12">
        <v>0</v>
      </c>
      <c r="GD102" s="12">
        <v>2</v>
      </c>
      <c r="GE102" s="12">
        <v>2</v>
      </c>
      <c r="GF102" s="12">
        <v>10</v>
      </c>
      <c r="GG102" s="12">
        <v>12</v>
      </c>
      <c r="GH102" s="12">
        <v>0</v>
      </c>
      <c r="GI102" s="12">
        <v>0</v>
      </c>
      <c r="GJ102" s="12">
        <v>0</v>
      </c>
      <c r="GK102" s="12">
        <v>0</v>
      </c>
      <c r="GL102" s="12">
        <v>13</v>
      </c>
      <c r="GM102" s="12">
        <v>19</v>
      </c>
      <c r="GN102" s="12">
        <v>7</v>
      </c>
      <c r="GO102" s="12">
        <v>16</v>
      </c>
      <c r="GP102" s="12">
        <v>3</v>
      </c>
      <c r="GQ102" s="12">
        <v>8</v>
      </c>
      <c r="GR102" s="12">
        <v>3</v>
      </c>
      <c r="GS102" s="12">
        <v>8</v>
      </c>
      <c r="GT102" s="12">
        <v>4</v>
      </c>
      <c r="GU102" s="12">
        <v>15</v>
      </c>
      <c r="GV102" s="12">
        <v>0</v>
      </c>
      <c r="GW102" s="12">
        <v>0</v>
      </c>
      <c r="GY102" s="16"/>
    </row>
    <row r="103" spans="2:207" ht="15" customHeight="1" x14ac:dyDescent="0.2">
      <c r="B103" s="12">
        <v>6</v>
      </c>
      <c r="C103" s="12" t="s">
        <v>93</v>
      </c>
      <c r="D103" s="12" t="s">
        <v>281</v>
      </c>
      <c r="E103" s="14" t="s">
        <v>303</v>
      </c>
      <c r="F103" s="14" t="s">
        <v>283</v>
      </c>
      <c r="G103" s="15">
        <v>45232</v>
      </c>
      <c r="H103" s="15" t="s">
        <v>268</v>
      </c>
      <c r="I103" s="12" t="s">
        <v>269</v>
      </c>
      <c r="J103" s="12" t="s">
        <v>270</v>
      </c>
      <c r="K103" s="12">
        <v>200</v>
      </c>
      <c r="L103" s="12">
        <v>79</v>
      </c>
      <c r="M103" s="12">
        <v>23</v>
      </c>
      <c r="N103" s="12">
        <v>43</v>
      </c>
      <c r="O103" s="16">
        <v>0.53488372093023251</v>
      </c>
      <c r="P103" s="12">
        <v>7</v>
      </c>
      <c r="Q103" s="12">
        <v>23</v>
      </c>
      <c r="R103" s="16">
        <v>0.30434782608695654</v>
      </c>
      <c r="S103" s="12">
        <v>30</v>
      </c>
      <c r="T103" s="12">
        <v>66</v>
      </c>
      <c r="U103" s="16">
        <v>0.45454545454545453</v>
      </c>
      <c r="V103" s="12">
        <v>12</v>
      </c>
      <c r="W103" s="12">
        <v>14</v>
      </c>
      <c r="X103" s="16">
        <v>0.8571428571428571</v>
      </c>
      <c r="Y103" s="12">
        <v>12</v>
      </c>
      <c r="Z103" s="12">
        <v>24</v>
      </c>
      <c r="AA103" s="12">
        <v>36</v>
      </c>
      <c r="AB103" s="12">
        <v>18</v>
      </c>
      <c r="AC103" s="12">
        <v>15</v>
      </c>
      <c r="AD103" s="12">
        <v>10</v>
      </c>
      <c r="AE103" s="12">
        <v>3</v>
      </c>
      <c r="AF103" s="12">
        <v>5</v>
      </c>
      <c r="AG103" s="12">
        <v>20</v>
      </c>
      <c r="AH103" s="12">
        <v>17</v>
      </c>
      <c r="AI103" s="17">
        <v>85</v>
      </c>
      <c r="AJ103" s="12">
        <v>8</v>
      </c>
      <c r="AK103" s="12">
        <v>75</v>
      </c>
      <c r="AL103" s="12">
        <v>87</v>
      </c>
      <c r="AM103" s="19">
        <v>0.90804597701149425</v>
      </c>
      <c r="AN103" s="19">
        <v>0.85542168674698793</v>
      </c>
      <c r="AO103" s="18">
        <v>105.33333333333333</v>
      </c>
      <c r="AP103" s="18">
        <v>97.260273972602747</v>
      </c>
      <c r="AQ103" s="18">
        <v>8.0730593607305821</v>
      </c>
      <c r="AR103" s="53">
        <v>0.50757575757575757</v>
      </c>
      <c r="AS103" s="53">
        <v>0.54861111111111116</v>
      </c>
      <c r="AT103" s="16">
        <v>0.21839080459770116</v>
      </c>
      <c r="AU103" s="19">
        <v>1.368421052631579</v>
      </c>
      <c r="AV103" s="16">
        <v>0.18390804597701149</v>
      </c>
      <c r="AW103" s="19">
        <v>0.875</v>
      </c>
      <c r="AX103" s="16">
        <v>9.1954022988505746E-2</v>
      </c>
      <c r="AY103" s="19">
        <v>0.75</v>
      </c>
      <c r="AZ103" s="16">
        <v>9.1954022988505746E-2</v>
      </c>
      <c r="BA103" s="19">
        <v>1.125</v>
      </c>
      <c r="BB103" s="16">
        <v>0.17241379310344829</v>
      </c>
      <c r="BC103" s="21">
        <v>0.8</v>
      </c>
      <c r="BD103" s="16">
        <v>6.8965517241379309E-2</v>
      </c>
      <c r="BE103" s="16">
        <v>0.17241379310344829</v>
      </c>
      <c r="BF103" s="16">
        <v>0.5</v>
      </c>
      <c r="BG103" s="16">
        <v>0.52173913043478259</v>
      </c>
      <c r="BH103" s="16">
        <v>0.7142857142857143</v>
      </c>
      <c r="BI103" s="16">
        <v>0.16666666666666666</v>
      </c>
      <c r="BJ103" s="16">
        <v>0.20689655172413793</v>
      </c>
      <c r="BK103" s="21">
        <v>1.2</v>
      </c>
      <c r="BL103" s="16">
        <v>0.34285714285714286</v>
      </c>
      <c r="BM103" s="16">
        <v>0.375</v>
      </c>
      <c r="BN103" s="16">
        <v>0.33333333333333331</v>
      </c>
      <c r="BO103" s="16">
        <v>0</v>
      </c>
      <c r="BP103" s="16">
        <v>0.70588235294117652</v>
      </c>
      <c r="BQ103" s="16">
        <v>0.58823529411764708</v>
      </c>
      <c r="BR103" s="16">
        <v>0.8</v>
      </c>
      <c r="BS103" s="16">
        <v>1</v>
      </c>
      <c r="BT103" s="16">
        <v>0.52173913043478259</v>
      </c>
      <c r="BU103" s="16">
        <v>0.13698630136986301</v>
      </c>
      <c r="BV103" s="16">
        <v>5.3571428571428568E-2</v>
      </c>
      <c r="BW103" s="54">
        <v>8</v>
      </c>
      <c r="BX103" s="54">
        <v>0.45</v>
      </c>
      <c r="BY103" s="54">
        <v>0.47058823529411764</v>
      </c>
      <c r="BZ103" s="12">
        <v>12</v>
      </c>
      <c r="CA103" s="12">
        <v>5</v>
      </c>
      <c r="CB103" s="12">
        <v>1</v>
      </c>
      <c r="CC103" s="12">
        <v>2</v>
      </c>
      <c r="CD103" s="12">
        <v>2</v>
      </c>
      <c r="CE103" s="12">
        <v>2</v>
      </c>
      <c r="CF103" s="12">
        <v>3</v>
      </c>
      <c r="CG103" s="12">
        <v>1</v>
      </c>
      <c r="CH103" s="12">
        <v>1</v>
      </c>
      <c r="CI103" s="12">
        <v>0</v>
      </c>
      <c r="CJ103" s="12">
        <v>0</v>
      </c>
      <c r="CK103" s="12">
        <v>0</v>
      </c>
      <c r="CL103" s="12">
        <v>5</v>
      </c>
      <c r="CM103" s="12">
        <v>0</v>
      </c>
      <c r="CN103" s="12">
        <v>0</v>
      </c>
      <c r="CO103" s="12">
        <v>0</v>
      </c>
      <c r="CP103" s="12">
        <v>3</v>
      </c>
      <c r="CQ103" s="12">
        <v>0</v>
      </c>
      <c r="CR103" s="12">
        <v>4</v>
      </c>
      <c r="CS103" s="12">
        <v>0</v>
      </c>
      <c r="CT103" s="12">
        <v>2</v>
      </c>
      <c r="CU103" s="12">
        <v>1</v>
      </c>
      <c r="CV103" s="12">
        <v>3</v>
      </c>
      <c r="CW103" s="12">
        <v>0</v>
      </c>
      <c r="CX103" s="12">
        <v>11</v>
      </c>
      <c r="CY103" s="12">
        <v>2</v>
      </c>
      <c r="CZ103" s="12">
        <v>1</v>
      </c>
      <c r="DA103" s="12">
        <v>0</v>
      </c>
      <c r="DB103" s="12">
        <v>0</v>
      </c>
      <c r="DC103" s="12">
        <v>0</v>
      </c>
      <c r="DD103" s="12">
        <v>2</v>
      </c>
      <c r="DE103" s="12">
        <v>2</v>
      </c>
      <c r="DF103" s="12">
        <v>10</v>
      </c>
      <c r="DG103" s="12">
        <v>12</v>
      </c>
      <c r="DH103" s="12">
        <v>0</v>
      </c>
      <c r="DI103" s="12">
        <v>0</v>
      </c>
      <c r="DJ103" s="12">
        <v>0</v>
      </c>
      <c r="DK103" s="12">
        <v>0</v>
      </c>
      <c r="DL103" s="12">
        <v>13</v>
      </c>
      <c r="DM103" s="12">
        <v>19</v>
      </c>
      <c r="DN103" s="12">
        <v>7</v>
      </c>
      <c r="DO103" s="12">
        <v>16</v>
      </c>
      <c r="DP103" s="12">
        <v>3</v>
      </c>
      <c r="DQ103" s="12">
        <v>8</v>
      </c>
      <c r="DR103" s="12">
        <v>3</v>
      </c>
      <c r="DS103" s="12">
        <v>8</v>
      </c>
      <c r="DT103" s="12">
        <v>4</v>
      </c>
      <c r="DU103" s="12">
        <v>15</v>
      </c>
      <c r="DV103" s="12">
        <v>0</v>
      </c>
      <c r="DW103" s="12">
        <v>0</v>
      </c>
      <c r="DX103" s="12">
        <v>71</v>
      </c>
      <c r="DY103" s="12">
        <v>13</v>
      </c>
      <c r="DZ103" s="12">
        <v>28</v>
      </c>
      <c r="EA103" s="16">
        <v>0.4642857142857143</v>
      </c>
      <c r="EB103" s="12">
        <v>9</v>
      </c>
      <c r="EC103" s="12">
        <v>28</v>
      </c>
      <c r="ED103" s="16">
        <v>0.32142857142857145</v>
      </c>
      <c r="EE103" s="12">
        <v>22</v>
      </c>
      <c r="EF103" s="12">
        <v>56</v>
      </c>
      <c r="EG103" s="16">
        <v>0.39285714285714285</v>
      </c>
      <c r="EH103" s="12">
        <v>18</v>
      </c>
      <c r="EI103" s="12">
        <v>20</v>
      </c>
      <c r="EJ103" s="16">
        <v>0.9</v>
      </c>
      <c r="EK103" s="12">
        <v>10</v>
      </c>
      <c r="EL103" s="12">
        <v>23</v>
      </c>
      <c r="EM103" s="12">
        <v>33</v>
      </c>
      <c r="EN103" s="12">
        <v>13</v>
      </c>
      <c r="EO103" s="12">
        <v>17</v>
      </c>
      <c r="EP103" s="12">
        <v>20</v>
      </c>
      <c r="EQ103" s="12">
        <v>9</v>
      </c>
      <c r="ER103" s="12">
        <v>18</v>
      </c>
      <c r="ES103" s="12">
        <v>5</v>
      </c>
      <c r="ET103" s="12">
        <v>3</v>
      </c>
      <c r="EU103" s="12">
        <v>77</v>
      </c>
      <c r="EV103" s="12">
        <v>-8</v>
      </c>
      <c r="EW103" s="12">
        <v>73</v>
      </c>
      <c r="EX103" s="12">
        <v>83</v>
      </c>
      <c r="EY103" s="12">
        <v>5</v>
      </c>
      <c r="EZ103" s="12">
        <v>5</v>
      </c>
      <c r="FA103" s="12">
        <v>6</v>
      </c>
      <c r="FB103" s="12">
        <v>2</v>
      </c>
      <c r="FC103" s="12">
        <v>4</v>
      </c>
      <c r="FD103" s="12">
        <v>2</v>
      </c>
      <c r="FE103" s="12">
        <v>0</v>
      </c>
      <c r="FF103" s="12">
        <v>3</v>
      </c>
      <c r="FG103" s="12">
        <v>0</v>
      </c>
      <c r="FH103" s="12">
        <v>2</v>
      </c>
      <c r="FI103" s="12">
        <v>0</v>
      </c>
      <c r="FJ103" s="12">
        <v>1</v>
      </c>
      <c r="FK103" s="12">
        <v>0</v>
      </c>
      <c r="FL103" s="12">
        <v>2</v>
      </c>
      <c r="FM103" s="12">
        <v>1</v>
      </c>
      <c r="FN103" s="12">
        <v>0</v>
      </c>
      <c r="FO103" s="12">
        <v>0</v>
      </c>
      <c r="FP103" s="12">
        <v>3</v>
      </c>
      <c r="FQ103" s="12">
        <v>0</v>
      </c>
      <c r="FR103" s="12">
        <v>6</v>
      </c>
      <c r="FS103" s="12">
        <v>1</v>
      </c>
      <c r="FT103" s="12">
        <v>4</v>
      </c>
      <c r="FU103" s="12">
        <v>1</v>
      </c>
      <c r="FV103" s="12">
        <v>5</v>
      </c>
      <c r="FW103" s="12">
        <v>1</v>
      </c>
      <c r="FX103" s="12">
        <v>4</v>
      </c>
      <c r="FY103" s="12">
        <v>0</v>
      </c>
      <c r="FZ103" s="12">
        <v>1</v>
      </c>
      <c r="GA103" s="12">
        <v>0</v>
      </c>
      <c r="GB103" s="12">
        <v>0</v>
      </c>
      <c r="GC103" s="12">
        <v>0</v>
      </c>
      <c r="GD103" s="12">
        <v>0</v>
      </c>
      <c r="GE103" s="12">
        <v>0</v>
      </c>
      <c r="GF103" s="12">
        <v>14</v>
      </c>
      <c r="GG103" s="12">
        <v>14</v>
      </c>
      <c r="GH103" s="12">
        <v>0</v>
      </c>
      <c r="GI103" s="12">
        <v>4</v>
      </c>
      <c r="GJ103" s="12">
        <v>6</v>
      </c>
      <c r="GK103" s="12">
        <v>0</v>
      </c>
      <c r="GL103" s="12">
        <v>8</v>
      </c>
      <c r="GM103" s="12">
        <v>12</v>
      </c>
      <c r="GN103" s="12">
        <v>3</v>
      </c>
      <c r="GO103" s="12">
        <v>10</v>
      </c>
      <c r="GP103" s="12">
        <v>2</v>
      </c>
      <c r="GQ103" s="12">
        <v>6</v>
      </c>
      <c r="GR103" s="12">
        <v>2</v>
      </c>
      <c r="GS103" s="12">
        <v>6</v>
      </c>
      <c r="GT103" s="12">
        <v>7</v>
      </c>
      <c r="GU103" s="12">
        <v>20</v>
      </c>
      <c r="GV103" s="12">
        <v>0</v>
      </c>
      <c r="GW103" s="12">
        <v>0</v>
      </c>
      <c r="GY103" s="16"/>
    </row>
    <row r="104" spans="2:207" ht="15" customHeight="1" x14ac:dyDescent="0.2">
      <c r="B104" s="12">
        <v>6</v>
      </c>
      <c r="C104" s="12" t="s">
        <v>278</v>
      </c>
      <c r="D104" s="12" t="s">
        <v>294</v>
      </c>
      <c r="E104" s="14" t="s">
        <v>280</v>
      </c>
      <c r="F104" s="14" t="s">
        <v>296</v>
      </c>
      <c r="G104" s="15">
        <v>45233</v>
      </c>
      <c r="H104" s="15" t="s">
        <v>268</v>
      </c>
      <c r="I104" s="12" t="s">
        <v>269</v>
      </c>
      <c r="J104" s="12" t="s">
        <v>270</v>
      </c>
      <c r="K104" s="12">
        <v>200</v>
      </c>
      <c r="L104" s="12">
        <v>80</v>
      </c>
      <c r="M104" s="12">
        <v>27</v>
      </c>
      <c r="N104" s="12">
        <v>48</v>
      </c>
      <c r="O104" s="16">
        <v>0.5625</v>
      </c>
      <c r="P104" s="12">
        <v>4</v>
      </c>
      <c r="Q104" s="12">
        <v>18</v>
      </c>
      <c r="R104" s="16">
        <v>0.22222222222222221</v>
      </c>
      <c r="S104" s="12">
        <v>31</v>
      </c>
      <c r="T104" s="12">
        <v>66</v>
      </c>
      <c r="U104" s="16">
        <v>0.46969696969696972</v>
      </c>
      <c r="V104" s="12">
        <v>14</v>
      </c>
      <c r="W104" s="12">
        <v>20</v>
      </c>
      <c r="X104" s="16">
        <v>0.7</v>
      </c>
      <c r="Y104" s="12">
        <v>13</v>
      </c>
      <c r="Z104" s="12">
        <v>29</v>
      </c>
      <c r="AA104" s="12">
        <v>42</v>
      </c>
      <c r="AB104" s="12">
        <v>10</v>
      </c>
      <c r="AC104" s="12">
        <v>14</v>
      </c>
      <c r="AD104" s="12">
        <v>9</v>
      </c>
      <c r="AE104" s="12">
        <v>2</v>
      </c>
      <c r="AF104" s="12">
        <v>1</v>
      </c>
      <c r="AG104" s="12">
        <v>18</v>
      </c>
      <c r="AH104" s="12">
        <v>19</v>
      </c>
      <c r="AI104" s="17">
        <v>88</v>
      </c>
      <c r="AJ104" s="12">
        <v>8</v>
      </c>
      <c r="AK104" s="12">
        <v>76</v>
      </c>
      <c r="AL104" s="12">
        <v>89</v>
      </c>
      <c r="AM104" s="19">
        <v>0.898876404494382</v>
      </c>
      <c r="AN104" s="19">
        <v>0.91139240506329111</v>
      </c>
      <c r="AO104" s="18">
        <v>105.26315789473684</v>
      </c>
      <c r="AP104" s="18">
        <v>100</v>
      </c>
      <c r="AQ104" s="18">
        <v>5.2631578947368354</v>
      </c>
      <c r="AR104" s="53">
        <v>0.5</v>
      </c>
      <c r="AS104" s="53">
        <v>0.53333333333333333</v>
      </c>
      <c r="AT104" s="16">
        <v>5.6179775280898875E-2</v>
      </c>
      <c r="AU104" s="19">
        <v>2</v>
      </c>
      <c r="AV104" s="16">
        <v>0.4044943820224719</v>
      </c>
      <c r="AW104" s="19">
        <v>1.0555555555555556</v>
      </c>
      <c r="AX104" s="16">
        <v>7.8651685393258425E-2</v>
      </c>
      <c r="AY104" s="19">
        <v>0.8571428571428571</v>
      </c>
      <c r="AZ104" s="16">
        <v>0</v>
      </c>
      <c r="BA104" s="19" t="s">
        <v>269</v>
      </c>
      <c r="BB104" s="16">
        <v>0.19101123595505617</v>
      </c>
      <c r="BC104" s="21">
        <v>0.70588235294117652</v>
      </c>
      <c r="BD104" s="16">
        <v>0.10112359550561797</v>
      </c>
      <c r="BE104" s="16">
        <v>0.15730337078651685</v>
      </c>
      <c r="BF104" s="16">
        <v>0.25</v>
      </c>
      <c r="BG104" s="16">
        <v>0.14814814814814814</v>
      </c>
      <c r="BH104" s="16">
        <v>0.75</v>
      </c>
      <c r="BI104" s="16">
        <v>0.33333333333333331</v>
      </c>
      <c r="BJ104" s="16">
        <v>0.11235955056179775</v>
      </c>
      <c r="BK104" s="21">
        <v>0.7142857142857143</v>
      </c>
      <c r="BL104" s="16">
        <v>0.37142857142857144</v>
      </c>
      <c r="BM104" s="16">
        <v>0.3</v>
      </c>
      <c r="BN104" s="16">
        <v>0.5</v>
      </c>
      <c r="BO104" s="16">
        <v>0.66666666666666663</v>
      </c>
      <c r="BP104" s="16">
        <v>0.80555555555555558</v>
      </c>
      <c r="BQ104" s="16">
        <v>0.75</v>
      </c>
      <c r="BR104" s="16">
        <v>0.94117647058823528</v>
      </c>
      <c r="BS104" s="16">
        <v>1</v>
      </c>
      <c r="BT104" s="16">
        <v>0.59154929577464788</v>
      </c>
      <c r="BU104" s="16">
        <v>0.125</v>
      </c>
      <c r="BV104" s="16">
        <v>3.3333333333333333E-2</v>
      </c>
      <c r="BW104" s="54">
        <v>8</v>
      </c>
      <c r="BX104" s="54">
        <v>0.5</v>
      </c>
      <c r="BY104" s="54">
        <v>0.52631578947368418</v>
      </c>
      <c r="BZ104" s="12">
        <v>4</v>
      </c>
      <c r="CA104" s="12">
        <v>3</v>
      </c>
      <c r="CB104" s="12">
        <v>3</v>
      </c>
      <c r="CC104" s="12">
        <v>4</v>
      </c>
      <c r="CD104" s="12">
        <v>0</v>
      </c>
      <c r="CE104" s="12">
        <v>0</v>
      </c>
      <c r="CF104" s="12">
        <v>5</v>
      </c>
      <c r="CG104" s="12">
        <v>1</v>
      </c>
      <c r="CH104" s="12">
        <v>0</v>
      </c>
      <c r="CI104" s="12">
        <v>0</v>
      </c>
      <c r="CJ104" s="12">
        <v>0</v>
      </c>
      <c r="CK104" s="12">
        <v>0</v>
      </c>
      <c r="CL104" s="12">
        <v>6</v>
      </c>
      <c r="CM104" s="12">
        <v>2</v>
      </c>
      <c r="CN104" s="12">
        <v>2</v>
      </c>
      <c r="CO104" s="12">
        <v>0</v>
      </c>
      <c r="CP104" s="12">
        <v>1</v>
      </c>
      <c r="CQ104" s="12">
        <v>1</v>
      </c>
      <c r="CR104" s="12">
        <v>11</v>
      </c>
      <c r="CS104" s="12">
        <v>2</v>
      </c>
      <c r="CT104" s="12">
        <v>3</v>
      </c>
      <c r="CU104" s="12">
        <v>0</v>
      </c>
      <c r="CV104" s="12">
        <v>0</v>
      </c>
      <c r="CW104" s="12">
        <v>0</v>
      </c>
      <c r="CX104" s="12">
        <v>13</v>
      </c>
      <c r="CY104" s="12">
        <v>3</v>
      </c>
      <c r="CZ104" s="12">
        <v>1</v>
      </c>
      <c r="DA104" s="12">
        <v>0</v>
      </c>
      <c r="DB104" s="12">
        <v>0</v>
      </c>
      <c r="DC104" s="12">
        <v>0</v>
      </c>
      <c r="DD104" s="12">
        <v>1</v>
      </c>
      <c r="DE104" s="12">
        <v>1</v>
      </c>
      <c r="DF104" s="12">
        <v>12</v>
      </c>
      <c r="DG104" s="12">
        <v>16</v>
      </c>
      <c r="DH104" s="12">
        <v>0</v>
      </c>
      <c r="DI104" s="12">
        <v>1</v>
      </c>
      <c r="DJ104" s="12">
        <v>3</v>
      </c>
      <c r="DK104" s="12">
        <v>0</v>
      </c>
      <c r="DL104" s="12">
        <v>5</v>
      </c>
      <c r="DM104" s="12">
        <v>5</v>
      </c>
      <c r="DN104" s="12">
        <v>19</v>
      </c>
      <c r="DO104" s="12">
        <v>36</v>
      </c>
      <c r="DP104" s="12">
        <v>3</v>
      </c>
      <c r="DQ104" s="12">
        <v>7</v>
      </c>
      <c r="DR104" s="12">
        <v>0</v>
      </c>
      <c r="DS104" s="12">
        <v>0</v>
      </c>
      <c r="DT104" s="12">
        <v>4</v>
      </c>
      <c r="DU104" s="12">
        <v>17</v>
      </c>
      <c r="DV104" s="12">
        <v>0</v>
      </c>
      <c r="DW104" s="12">
        <v>1</v>
      </c>
      <c r="DX104" s="12">
        <v>72</v>
      </c>
      <c r="DY104" s="12">
        <v>17</v>
      </c>
      <c r="DZ104" s="12">
        <v>38</v>
      </c>
      <c r="EA104" s="16">
        <v>0.44736842105263158</v>
      </c>
      <c r="EB104" s="12">
        <v>8</v>
      </c>
      <c r="EC104" s="12">
        <v>22</v>
      </c>
      <c r="ED104" s="16">
        <v>0.36363636363636365</v>
      </c>
      <c r="EE104" s="12">
        <v>25</v>
      </c>
      <c r="EF104" s="12">
        <v>60</v>
      </c>
      <c r="EG104" s="16">
        <v>0.41666666666666669</v>
      </c>
      <c r="EH104" s="12">
        <v>14</v>
      </c>
      <c r="EI104" s="12">
        <v>17</v>
      </c>
      <c r="EJ104" s="16">
        <v>0.82352941176470584</v>
      </c>
      <c r="EK104" s="12">
        <v>7</v>
      </c>
      <c r="EL104" s="12">
        <v>22</v>
      </c>
      <c r="EM104" s="12">
        <v>29</v>
      </c>
      <c r="EN104" s="12">
        <v>15</v>
      </c>
      <c r="EO104" s="12">
        <v>19</v>
      </c>
      <c r="EP104" s="12">
        <v>18</v>
      </c>
      <c r="EQ104" s="12">
        <v>4</v>
      </c>
      <c r="ER104" s="12">
        <v>12</v>
      </c>
      <c r="ES104" s="12">
        <v>1</v>
      </c>
      <c r="ET104" s="12">
        <v>2</v>
      </c>
      <c r="EU104" s="12">
        <v>68</v>
      </c>
      <c r="EV104" s="12">
        <v>-8</v>
      </c>
      <c r="EW104" s="12">
        <v>72</v>
      </c>
      <c r="EX104" s="12">
        <v>79</v>
      </c>
      <c r="EY104" s="12">
        <v>6</v>
      </c>
      <c r="EZ104" s="12">
        <v>7</v>
      </c>
      <c r="FA104" s="12">
        <v>6</v>
      </c>
      <c r="FB104" s="12">
        <v>2</v>
      </c>
      <c r="FC104" s="12">
        <v>4</v>
      </c>
      <c r="FD104" s="12">
        <v>1</v>
      </c>
      <c r="FE104" s="12">
        <v>0</v>
      </c>
      <c r="FF104" s="12">
        <v>4</v>
      </c>
      <c r="FG104" s="12">
        <v>0</v>
      </c>
      <c r="FH104" s="12">
        <v>1</v>
      </c>
      <c r="FI104" s="12">
        <v>0</v>
      </c>
      <c r="FJ104" s="12">
        <v>0</v>
      </c>
      <c r="FK104" s="12">
        <v>0</v>
      </c>
      <c r="FL104" s="12">
        <v>1</v>
      </c>
      <c r="FM104" s="12">
        <v>0</v>
      </c>
      <c r="FN104" s="12">
        <v>0</v>
      </c>
      <c r="FO104" s="12">
        <v>0</v>
      </c>
      <c r="FP104" s="12">
        <v>0</v>
      </c>
      <c r="FQ104" s="12">
        <v>0</v>
      </c>
      <c r="FR104" s="12">
        <v>10</v>
      </c>
      <c r="FS104" s="12">
        <v>0</v>
      </c>
      <c r="FT104" s="12">
        <v>4</v>
      </c>
      <c r="FU104" s="12">
        <v>0</v>
      </c>
      <c r="FV104" s="12">
        <v>0</v>
      </c>
      <c r="FW104" s="12">
        <v>0</v>
      </c>
      <c r="FX104" s="12">
        <v>7</v>
      </c>
      <c r="FY104" s="12">
        <v>1</v>
      </c>
      <c r="FZ104" s="12">
        <v>1</v>
      </c>
      <c r="GA104" s="12">
        <v>0</v>
      </c>
      <c r="GB104" s="12">
        <v>1</v>
      </c>
      <c r="GC104" s="12">
        <v>1</v>
      </c>
      <c r="GD104" s="12">
        <v>1</v>
      </c>
      <c r="GE104" s="12">
        <v>2</v>
      </c>
      <c r="GF104" s="12">
        <v>12</v>
      </c>
      <c r="GG104" s="12">
        <v>14</v>
      </c>
      <c r="GH104" s="12">
        <v>0</v>
      </c>
      <c r="GI104" s="12">
        <v>0</v>
      </c>
      <c r="GJ104" s="12">
        <v>0</v>
      </c>
      <c r="GK104" s="12">
        <v>0</v>
      </c>
      <c r="GL104" s="12">
        <v>4</v>
      </c>
      <c r="GM104" s="12">
        <v>6</v>
      </c>
      <c r="GN104" s="12">
        <v>12</v>
      </c>
      <c r="GO104" s="12">
        <v>27</v>
      </c>
      <c r="GP104" s="12">
        <v>1</v>
      </c>
      <c r="GQ104" s="12">
        <v>5</v>
      </c>
      <c r="GR104" s="12">
        <v>0</v>
      </c>
      <c r="GS104" s="12">
        <v>0</v>
      </c>
      <c r="GT104" s="12">
        <v>8</v>
      </c>
      <c r="GU104" s="12">
        <v>22</v>
      </c>
      <c r="GV104" s="12">
        <v>0</v>
      </c>
      <c r="GW104" s="12">
        <v>0</v>
      </c>
      <c r="GY104" s="16"/>
    </row>
    <row r="105" spans="2:207" ht="15" customHeight="1" x14ac:dyDescent="0.2">
      <c r="B105" s="12">
        <v>6</v>
      </c>
      <c r="C105" s="12" t="s">
        <v>294</v>
      </c>
      <c r="D105" s="12" t="s">
        <v>278</v>
      </c>
      <c r="E105" s="14" t="s">
        <v>296</v>
      </c>
      <c r="F105" s="14" t="s">
        <v>280</v>
      </c>
      <c r="G105" s="15">
        <v>45233</v>
      </c>
      <c r="H105" s="15" t="s">
        <v>271</v>
      </c>
      <c r="I105" s="12" t="s">
        <v>269</v>
      </c>
      <c r="J105" s="12" t="s">
        <v>272</v>
      </c>
      <c r="K105" s="12">
        <v>200</v>
      </c>
      <c r="L105" s="12">
        <v>72</v>
      </c>
      <c r="M105" s="12">
        <v>17</v>
      </c>
      <c r="N105" s="12">
        <v>38</v>
      </c>
      <c r="O105" s="16">
        <v>0.44736842105263158</v>
      </c>
      <c r="P105" s="12">
        <v>8</v>
      </c>
      <c r="Q105" s="12">
        <v>22</v>
      </c>
      <c r="R105" s="16">
        <v>0.36363636363636365</v>
      </c>
      <c r="S105" s="12">
        <v>25</v>
      </c>
      <c r="T105" s="12">
        <v>60</v>
      </c>
      <c r="U105" s="16">
        <v>0.41666666666666669</v>
      </c>
      <c r="V105" s="12">
        <v>14</v>
      </c>
      <c r="W105" s="12">
        <v>17</v>
      </c>
      <c r="X105" s="16">
        <v>0.82352941176470584</v>
      </c>
      <c r="Y105" s="12">
        <v>7</v>
      </c>
      <c r="Z105" s="12">
        <v>22</v>
      </c>
      <c r="AA105" s="12">
        <v>29</v>
      </c>
      <c r="AB105" s="12">
        <v>15</v>
      </c>
      <c r="AC105" s="12">
        <v>12</v>
      </c>
      <c r="AD105" s="12">
        <v>4</v>
      </c>
      <c r="AE105" s="12">
        <v>1</v>
      </c>
      <c r="AF105" s="12">
        <v>2</v>
      </c>
      <c r="AG105" s="12">
        <v>19</v>
      </c>
      <c r="AH105" s="12">
        <v>18</v>
      </c>
      <c r="AI105" s="17">
        <v>68</v>
      </c>
      <c r="AJ105" s="12">
        <v>-8</v>
      </c>
      <c r="AK105" s="12">
        <v>72</v>
      </c>
      <c r="AL105" s="12">
        <v>79</v>
      </c>
      <c r="AM105" s="19">
        <v>0.91139240506329111</v>
      </c>
      <c r="AN105" s="19">
        <v>0.898876404494382</v>
      </c>
      <c r="AO105" s="18">
        <v>100</v>
      </c>
      <c r="AP105" s="18">
        <v>105.26315789473684</v>
      </c>
      <c r="AQ105" s="18">
        <v>-5.2631578947368354</v>
      </c>
      <c r="AR105" s="53">
        <v>0.48333333333333334</v>
      </c>
      <c r="AS105" s="53">
        <v>0.53731343283582089</v>
      </c>
      <c r="AT105" s="16">
        <v>7.5949367088607597E-2</v>
      </c>
      <c r="AU105" s="19">
        <v>1.3333333333333333</v>
      </c>
      <c r="AV105" s="16">
        <v>0.34177215189873417</v>
      </c>
      <c r="AW105" s="19">
        <v>0.88888888888888884</v>
      </c>
      <c r="AX105" s="16">
        <v>6.3291139240506333E-2</v>
      </c>
      <c r="AY105" s="19">
        <v>0.4</v>
      </c>
      <c r="AZ105" s="16">
        <v>0</v>
      </c>
      <c r="BA105" s="19" t="s">
        <v>269</v>
      </c>
      <c r="BB105" s="16">
        <v>0.27848101265822783</v>
      </c>
      <c r="BC105" s="21">
        <v>1.0909090909090908</v>
      </c>
      <c r="BD105" s="16">
        <v>8.8607594936708861E-2</v>
      </c>
      <c r="BE105" s="16">
        <v>0.15189873417721519</v>
      </c>
      <c r="BF105" s="16">
        <v>0.46875</v>
      </c>
      <c r="BG105" s="16">
        <v>0.41176470588235292</v>
      </c>
      <c r="BH105" s="16">
        <v>0.75</v>
      </c>
      <c r="BI105" s="16">
        <v>0.2857142857142857</v>
      </c>
      <c r="BJ105" s="16">
        <v>0.189873417721519</v>
      </c>
      <c r="BK105" s="21">
        <v>1.25</v>
      </c>
      <c r="BL105" s="16">
        <v>0.19444444444444445</v>
      </c>
      <c r="BM105" s="16">
        <v>0.25</v>
      </c>
      <c r="BN105" s="16">
        <v>5.8823529411764705E-2</v>
      </c>
      <c r="BO105" s="16">
        <v>0</v>
      </c>
      <c r="BP105" s="16">
        <v>0.62857142857142856</v>
      </c>
      <c r="BQ105" s="16">
        <v>0.7</v>
      </c>
      <c r="BR105" s="16">
        <v>0.5</v>
      </c>
      <c r="BS105" s="16">
        <v>0.33333333333333331</v>
      </c>
      <c r="BT105" s="16">
        <v>0.40845070422535212</v>
      </c>
      <c r="BU105" s="16">
        <v>5.2631578947368418E-2</v>
      </c>
      <c r="BV105" s="16">
        <v>1.5151515151515152E-2</v>
      </c>
      <c r="BW105" s="54">
        <v>6</v>
      </c>
      <c r="BX105" s="54">
        <v>0.52631578947368418</v>
      </c>
      <c r="BY105" s="54">
        <v>0.5</v>
      </c>
      <c r="BZ105" s="12">
        <v>7</v>
      </c>
      <c r="CA105" s="12">
        <v>6</v>
      </c>
      <c r="CB105" s="12">
        <v>2</v>
      </c>
      <c r="CC105" s="12">
        <v>4</v>
      </c>
      <c r="CD105" s="12">
        <v>1</v>
      </c>
      <c r="CE105" s="12">
        <v>0</v>
      </c>
      <c r="CF105" s="12">
        <v>4</v>
      </c>
      <c r="CG105" s="12">
        <v>0</v>
      </c>
      <c r="CH105" s="12">
        <v>1</v>
      </c>
      <c r="CI105" s="12">
        <v>0</v>
      </c>
      <c r="CJ105" s="12">
        <v>0</v>
      </c>
      <c r="CK105" s="12">
        <v>0</v>
      </c>
      <c r="CL105" s="12">
        <v>1</v>
      </c>
      <c r="CM105" s="12">
        <v>0</v>
      </c>
      <c r="CN105" s="12">
        <v>0</v>
      </c>
      <c r="CO105" s="12">
        <v>0</v>
      </c>
      <c r="CP105" s="12">
        <v>0</v>
      </c>
      <c r="CQ105" s="12">
        <v>0</v>
      </c>
      <c r="CR105" s="12">
        <v>10</v>
      </c>
      <c r="CS105" s="12">
        <v>0</v>
      </c>
      <c r="CT105" s="12">
        <v>4</v>
      </c>
      <c r="CU105" s="12">
        <v>0</v>
      </c>
      <c r="CV105" s="12">
        <v>0</v>
      </c>
      <c r="CW105" s="12">
        <v>0</v>
      </c>
      <c r="CX105" s="12">
        <v>7</v>
      </c>
      <c r="CY105" s="12">
        <v>1</v>
      </c>
      <c r="CZ105" s="12">
        <v>1</v>
      </c>
      <c r="DA105" s="12">
        <v>0</v>
      </c>
      <c r="DB105" s="12">
        <v>1</v>
      </c>
      <c r="DC105" s="12">
        <v>1</v>
      </c>
      <c r="DD105" s="12">
        <v>1</v>
      </c>
      <c r="DE105" s="12">
        <v>2</v>
      </c>
      <c r="DF105" s="12">
        <v>12</v>
      </c>
      <c r="DG105" s="12">
        <v>14</v>
      </c>
      <c r="DH105" s="12">
        <v>0</v>
      </c>
      <c r="DI105" s="12">
        <v>0</v>
      </c>
      <c r="DJ105" s="12">
        <v>0</v>
      </c>
      <c r="DK105" s="12">
        <v>0</v>
      </c>
      <c r="DL105" s="12">
        <v>4</v>
      </c>
      <c r="DM105" s="12">
        <v>6</v>
      </c>
      <c r="DN105" s="12">
        <v>12</v>
      </c>
      <c r="DO105" s="12">
        <v>27</v>
      </c>
      <c r="DP105" s="12">
        <v>1</v>
      </c>
      <c r="DQ105" s="12">
        <v>5</v>
      </c>
      <c r="DR105" s="12">
        <v>0</v>
      </c>
      <c r="DS105" s="12">
        <v>0</v>
      </c>
      <c r="DT105" s="12">
        <v>8</v>
      </c>
      <c r="DU105" s="12">
        <v>22</v>
      </c>
      <c r="DV105" s="12">
        <v>0</v>
      </c>
      <c r="DW105" s="12">
        <v>0</v>
      </c>
      <c r="DX105" s="12">
        <v>80</v>
      </c>
      <c r="DY105" s="12">
        <v>27</v>
      </c>
      <c r="DZ105" s="12">
        <v>48</v>
      </c>
      <c r="EA105" s="16">
        <v>0.5625</v>
      </c>
      <c r="EB105" s="12">
        <v>4</v>
      </c>
      <c r="EC105" s="12">
        <v>18</v>
      </c>
      <c r="ED105" s="16">
        <v>0.22222222222222221</v>
      </c>
      <c r="EE105" s="12">
        <v>31</v>
      </c>
      <c r="EF105" s="12">
        <v>66</v>
      </c>
      <c r="EG105" s="16">
        <v>0.46969696969696972</v>
      </c>
      <c r="EH105" s="12">
        <v>14</v>
      </c>
      <c r="EI105" s="12">
        <v>20</v>
      </c>
      <c r="EJ105" s="16">
        <v>0.7</v>
      </c>
      <c r="EK105" s="12">
        <v>13</v>
      </c>
      <c r="EL105" s="12">
        <v>29</v>
      </c>
      <c r="EM105" s="12">
        <v>42</v>
      </c>
      <c r="EN105" s="12">
        <v>10</v>
      </c>
      <c r="EO105" s="12">
        <v>19</v>
      </c>
      <c r="EP105" s="12">
        <v>19</v>
      </c>
      <c r="EQ105" s="12">
        <v>9</v>
      </c>
      <c r="ER105" s="12">
        <v>14</v>
      </c>
      <c r="ES105" s="12">
        <v>2</v>
      </c>
      <c r="ET105" s="12">
        <v>1</v>
      </c>
      <c r="EU105" s="12">
        <v>87</v>
      </c>
      <c r="EV105" s="12">
        <v>8</v>
      </c>
      <c r="EW105" s="12">
        <v>76</v>
      </c>
      <c r="EX105" s="12">
        <v>89</v>
      </c>
      <c r="EY105" s="12">
        <v>8</v>
      </c>
      <c r="EZ105" s="12">
        <v>4</v>
      </c>
      <c r="FA105" s="12">
        <v>3</v>
      </c>
      <c r="FB105" s="12">
        <v>3</v>
      </c>
      <c r="FC105" s="12">
        <v>4</v>
      </c>
      <c r="FD105" s="12">
        <v>0</v>
      </c>
      <c r="FE105" s="12">
        <v>0</v>
      </c>
      <c r="FF105" s="12">
        <v>5</v>
      </c>
      <c r="FG105" s="12">
        <v>1</v>
      </c>
      <c r="FH105" s="12">
        <v>0</v>
      </c>
      <c r="FI105" s="12">
        <v>0</v>
      </c>
      <c r="FJ105" s="12">
        <v>0</v>
      </c>
      <c r="FK105" s="12">
        <v>0</v>
      </c>
      <c r="FL105" s="12">
        <v>6</v>
      </c>
      <c r="FM105" s="12">
        <v>2</v>
      </c>
      <c r="FN105" s="12">
        <v>2</v>
      </c>
      <c r="FO105" s="12">
        <v>0</v>
      </c>
      <c r="FP105" s="12">
        <v>1</v>
      </c>
      <c r="FQ105" s="12">
        <v>1</v>
      </c>
      <c r="FR105" s="12">
        <v>11</v>
      </c>
      <c r="FS105" s="12">
        <v>2</v>
      </c>
      <c r="FT105" s="12">
        <v>3</v>
      </c>
      <c r="FU105" s="12">
        <v>0</v>
      </c>
      <c r="FV105" s="12">
        <v>0</v>
      </c>
      <c r="FW105" s="12">
        <v>0</v>
      </c>
      <c r="FX105" s="12">
        <v>13</v>
      </c>
      <c r="FY105" s="12">
        <v>3</v>
      </c>
      <c r="FZ105" s="12">
        <v>1</v>
      </c>
      <c r="GA105" s="12">
        <v>0</v>
      </c>
      <c r="GB105" s="12">
        <v>0</v>
      </c>
      <c r="GC105" s="12">
        <v>0</v>
      </c>
      <c r="GD105" s="12">
        <v>1</v>
      </c>
      <c r="GE105" s="12">
        <v>1</v>
      </c>
      <c r="GF105" s="12">
        <v>12</v>
      </c>
      <c r="GG105" s="12">
        <v>16</v>
      </c>
      <c r="GH105" s="12">
        <v>0</v>
      </c>
      <c r="GI105" s="12">
        <v>1</v>
      </c>
      <c r="GJ105" s="12">
        <v>3</v>
      </c>
      <c r="GK105" s="12">
        <v>0</v>
      </c>
      <c r="GL105" s="12">
        <v>5</v>
      </c>
      <c r="GM105" s="12">
        <v>5</v>
      </c>
      <c r="GN105" s="12">
        <v>19</v>
      </c>
      <c r="GO105" s="12">
        <v>36</v>
      </c>
      <c r="GP105" s="12">
        <v>3</v>
      </c>
      <c r="GQ105" s="12">
        <v>7</v>
      </c>
      <c r="GR105" s="12">
        <v>0</v>
      </c>
      <c r="GS105" s="12">
        <v>0</v>
      </c>
      <c r="GT105" s="12">
        <v>4</v>
      </c>
      <c r="GU105" s="12">
        <v>17</v>
      </c>
      <c r="GV105" s="12">
        <v>0</v>
      </c>
      <c r="GW105" s="12">
        <v>1</v>
      </c>
      <c r="GY105" s="16"/>
    </row>
    <row r="106" spans="2:207" ht="15" customHeight="1" x14ac:dyDescent="0.2">
      <c r="B106" s="12">
        <v>6</v>
      </c>
      <c r="C106" s="12" t="s">
        <v>297</v>
      </c>
      <c r="D106" s="12" t="s">
        <v>274</v>
      </c>
      <c r="E106" s="14" t="s">
        <v>299</v>
      </c>
      <c r="F106" s="14" t="s">
        <v>276</v>
      </c>
      <c r="G106" s="15">
        <v>45233</v>
      </c>
      <c r="H106" s="15" t="s">
        <v>268</v>
      </c>
      <c r="I106" s="12" t="s">
        <v>269</v>
      </c>
      <c r="J106" s="12" t="s">
        <v>270</v>
      </c>
      <c r="K106" s="12">
        <v>200</v>
      </c>
      <c r="L106" s="12">
        <v>84</v>
      </c>
      <c r="M106" s="12">
        <v>19</v>
      </c>
      <c r="N106" s="12">
        <v>38</v>
      </c>
      <c r="O106" s="16">
        <v>0.5</v>
      </c>
      <c r="P106" s="12">
        <v>8</v>
      </c>
      <c r="Q106" s="12">
        <v>28</v>
      </c>
      <c r="R106" s="16">
        <v>0.2857142857142857</v>
      </c>
      <c r="S106" s="12">
        <v>27</v>
      </c>
      <c r="T106" s="12">
        <v>66</v>
      </c>
      <c r="U106" s="16">
        <v>0.40909090909090912</v>
      </c>
      <c r="V106" s="12">
        <v>22</v>
      </c>
      <c r="W106" s="12">
        <v>28</v>
      </c>
      <c r="X106" s="16">
        <v>0.7857142857142857</v>
      </c>
      <c r="Y106" s="12">
        <v>16</v>
      </c>
      <c r="Z106" s="12">
        <v>22</v>
      </c>
      <c r="AA106" s="12">
        <v>38</v>
      </c>
      <c r="AB106" s="12">
        <v>18</v>
      </c>
      <c r="AC106" s="12">
        <v>10</v>
      </c>
      <c r="AD106" s="12">
        <v>7</v>
      </c>
      <c r="AE106" s="12">
        <v>2</v>
      </c>
      <c r="AF106" s="12">
        <v>7</v>
      </c>
      <c r="AG106" s="12">
        <v>20</v>
      </c>
      <c r="AH106" s="12">
        <v>24</v>
      </c>
      <c r="AI106" s="17">
        <v>91</v>
      </c>
      <c r="AJ106" s="12">
        <v>1</v>
      </c>
      <c r="AK106" s="12">
        <v>71</v>
      </c>
      <c r="AL106" s="12">
        <v>87</v>
      </c>
      <c r="AM106" s="19">
        <v>0.96551724137931039</v>
      </c>
      <c r="AN106" s="19">
        <v>1.1369863013698631</v>
      </c>
      <c r="AO106" s="18">
        <v>118.30985915492957</v>
      </c>
      <c r="AP106" s="18">
        <v>116.90140845070422</v>
      </c>
      <c r="AQ106" s="18">
        <v>1.4084507042253449</v>
      </c>
      <c r="AR106" s="53">
        <v>0.46969696969696972</v>
      </c>
      <c r="AS106" s="53">
        <v>0.54545454545454541</v>
      </c>
      <c r="AT106" s="16">
        <v>0.10344827586206896</v>
      </c>
      <c r="AU106" s="19">
        <v>1.7777777777777777</v>
      </c>
      <c r="AV106" s="16">
        <v>0.26436781609195403</v>
      </c>
      <c r="AW106" s="19">
        <v>0.78260869565217395</v>
      </c>
      <c r="AX106" s="16">
        <v>6.8965517241379309E-2</v>
      </c>
      <c r="AY106" s="19">
        <v>0.66666666666666663</v>
      </c>
      <c r="AZ106" s="16">
        <v>0</v>
      </c>
      <c r="BA106" s="19" t="s">
        <v>269</v>
      </c>
      <c r="BB106" s="16">
        <v>0.31034482758620691</v>
      </c>
      <c r="BC106" s="21">
        <v>0.88888888888888884</v>
      </c>
      <c r="BD106" s="16">
        <v>0.12643678160919541</v>
      </c>
      <c r="BE106" s="16">
        <v>0.11494252873563218</v>
      </c>
      <c r="BF106" s="16">
        <v>0.5</v>
      </c>
      <c r="BG106" s="16">
        <v>0.42105263157894735</v>
      </c>
      <c r="BH106" s="16">
        <v>0.625</v>
      </c>
      <c r="BI106" s="16">
        <v>0.55555555555555558</v>
      </c>
      <c r="BJ106" s="16">
        <v>0.20689655172413793</v>
      </c>
      <c r="BK106" s="21">
        <v>1.8</v>
      </c>
      <c r="BL106" s="16">
        <v>0.4</v>
      </c>
      <c r="BM106" s="16">
        <v>0.47619047619047616</v>
      </c>
      <c r="BN106" s="16">
        <v>0.4</v>
      </c>
      <c r="BO106" s="16">
        <v>0.5</v>
      </c>
      <c r="BP106" s="16">
        <v>0.91666666666666663</v>
      </c>
      <c r="BQ106" s="16">
        <v>1</v>
      </c>
      <c r="BR106" s="16">
        <v>0.7857142857142857</v>
      </c>
      <c r="BS106" s="16">
        <v>1</v>
      </c>
      <c r="BT106" s="16">
        <v>0.59375</v>
      </c>
      <c r="BU106" s="16">
        <v>9.8591549295774641E-2</v>
      </c>
      <c r="BV106" s="16">
        <v>3.7037037037037035E-2</v>
      </c>
      <c r="BW106" s="54">
        <v>4</v>
      </c>
      <c r="BX106" s="54">
        <v>0.5</v>
      </c>
      <c r="BY106" s="54">
        <v>0.625</v>
      </c>
      <c r="BZ106" s="12">
        <v>8</v>
      </c>
      <c r="CA106" s="12">
        <v>5</v>
      </c>
      <c r="CB106" s="12">
        <v>5</v>
      </c>
      <c r="CC106" s="12">
        <v>11</v>
      </c>
      <c r="CD106" s="12">
        <v>0</v>
      </c>
      <c r="CE106" s="12">
        <v>0</v>
      </c>
      <c r="CF106" s="12">
        <v>6</v>
      </c>
      <c r="CG106" s="12">
        <v>1</v>
      </c>
      <c r="CH106" s="12">
        <v>2</v>
      </c>
      <c r="CI106" s="12">
        <v>1</v>
      </c>
      <c r="CJ106" s="12">
        <v>0</v>
      </c>
      <c r="CK106" s="12">
        <v>0</v>
      </c>
      <c r="CL106" s="12">
        <v>7</v>
      </c>
      <c r="CM106" s="12">
        <v>1</v>
      </c>
      <c r="CN106" s="12">
        <v>1</v>
      </c>
      <c r="CO106" s="12">
        <v>0</v>
      </c>
      <c r="CP106" s="12">
        <v>0</v>
      </c>
      <c r="CQ106" s="12">
        <v>0</v>
      </c>
      <c r="CR106" s="12">
        <v>9</v>
      </c>
      <c r="CS106" s="12">
        <v>0</v>
      </c>
      <c r="CT106" s="12">
        <v>1</v>
      </c>
      <c r="CU106" s="12">
        <v>0</v>
      </c>
      <c r="CV106" s="12">
        <v>0</v>
      </c>
      <c r="CW106" s="12">
        <v>0</v>
      </c>
      <c r="CX106" s="12">
        <v>11</v>
      </c>
      <c r="CY106" s="12">
        <v>0</v>
      </c>
      <c r="CZ106" s="12">
        <v>1</v>
      </c>
      <c r="DA106" s="12">
        <v>0</v>
      </c>
      <c r="DB106" s="12">
        <v>0</v>
      </c>
      <c r="DC106" s="12">
        <v>0</v>
      </c>
      <c r="DD106" s="12">
        <v>4</v>
      </c>
      <c r="DE106" s="12">
        <v>4</v>
      </c>
      <c r="DF106" s="12">
        <v>14</v>
      </c>
      <c r="DG106" s="12">
        <v>18</v>
      </c>
      <c r="DH106" s="12">
        <v>2</v>
      </c>
      <c r="DI106" s="12">
        <v>4</v>
      </c>
      <c r="DJ106" s="12">
        <v>6</v>
      </c>
      <c r="DK106" s="12">
        <v>0</v>
      </c>
      <c r="DL106" s="12">
        <v>8</v>
      </c>
      <c r="DM106" s="12">
        <v>9</v>
      </c>
      <c r="DN106" s="12">
        <v>9</v>
      </c>
      <c r="DO106" s="12">
        <v>23</v>
      </c>
      <c r="DP106" s="12">
        <v>2</v>
      </c>
      <c r="DQ106" s="12">
        <v>6</v>
      </c>
      <c r="DR106" s="12">
        <v>0</v>
      </c>
      <c r="DS106" s="12">
        <v>0</v>
      </c>
      <c r="DT106" s="12">
        <v>8</v>
      </c>
      <c r="DU106" s="12">
        <v>27</v>
      </c>
      <c r="DV106" s="12">
        <v>0</v>
      </c>
      <c r="DW106" s="12">
        <v>1</v>
      </c>
      <c r="DX106" s="12">
        <v>83</v>
      </c>
      <c r="DY106" s="12">
        <v>20</v>
      </c>
      <c r="DZ106" s="12">
        <v>30</v>
      </c>
      <c r="EA106" s="16">
        <v>0.66666666666666663</v>
      </c>
      <c r="EB106" s="12">
        <v>9</v>
      </c>
      <c r="EC106" s="12">
        <v>24</v>
      </c>
      <c r="ED106" s="16">
        <v>0.375</v>
      </c>
      <c r="EE106" s="12">
        <v>29</v>
      </c>
      <c r="EF106" s="12">
        <v>54</v>
      </c>
      <c r="EG106" s="16">
        <v>0.53703703703703709</v>
      </c>
      <c r="EH106" s="12">
        <v>16</v>
      </c>
      <c r="EI106" s="12">
        <v>17</v>
      </c>
      <c r="EJ106" s="16">
        <v>0.94117647058823528</v>
      </c>
      <c r="EK106" s="12">
        <v>2</v>
      </c>
      <c r="EL106" s="12">
        <v>24</v>
      </c>
      <c r="EM106" s="12">
        <v>26</v>
      </c>
      <c r="EN106" s="12">
        <v>17</v>
      </c>
      <c r="EO106" s="12">
        <v>24</v>
      </c>
      <c r="EP106" s="12">
        <v>20</v>
      </c>
      <c r="EQ106" s="12">
        <v>6</v>
      </c>
      <c r="ER106" s="12">
        <v>13</v>
      </c>
      <c r="ES106" s="12">
        <v>7</v>
      </c>
      <c r="ET106" s="12">
        <v>2</v>
      </c>
      <c r="EU106" s="12">
        <v>94</v>
      </c>
      <c r="EV106" s="12">
        <v>-1</v>
      </c>
      <c r="EW106" s="12">
        <v>71</v>
      </c>
      <c r="EX106" s="12">
        <v>73</v>
      </c>
      <c r="EY106" s="12">
        <v>5</v>
      </c>
      <c r="EZ106" s="12">
        <v>8</v>
      </c>
      <c r="FA106" s="12">
        <v>7</v>
      </c>
      <c r="FB106" s="12">
        <v>2</v>
      </c>
      <c r="FC106" s="12">
        <v>5</v>
      </c>
      <c r="FD106" s="12">
        <v>0</v>
      </c>
      <c r="FE106" s="12">
        <v>0</v>
      </c>
      <c r="FF106" s="12">
        <v>0</v>
      </c>
      <c r="FG106" s="12">
        <v>0</v>
      </c>
      <c r="FH106" s="12">
        <v>0</v>
      </c>
      <c r="FI106" s="12">
        <v>0</v>
      </c>
      <c r="FJ106" s="12">
        <v>0</v>
      </c>
      <c r="FK106" s="12">
        <v>0</v>
      </c>
      <c r="FL106" s="12">
        <v>2</v>
      </c>
      <c r="FM106" s="12">
        <v>1</v>
      </c>
      <c r="FN106" s="12">
        <v>0</v>
      </c>
      <c r="FO106" s="12">
        <v>0</v>
      </c>
      <c r="FP106" s="12">
        <v>1</v>
      </c>
      <c r="FQ106" s="12">
        <v>0</v>
      </c>
      <c r="FR106" s="12">
        <v>8</v>
      </c>
      <c r="FS106" s="12">
        <v>0</v>
      </c>
      <c r="FT106" s="12">
        <v>2</v>
      </c>
      <c r="FU106" s="12">
        <v>0</v>
      </c>
      <c r="FV106" s="12">
        <v>0</v>
      </c>
      <c r="FW106" s="12">
        <v>0</v>
      </c>
      <c r="FX106" s="12">
        <v>12</v>
      </c>
      <c r="FY106" s="12">
        <v>0</v>
      </c>
      <c r="FZ106" s="12">
        <v>1</v>
      </c>
      <c r="GA106" s="12">
        <v>0</v>
      </c>
      <c r="GB106" s="12">
        <v>0</v>
      </c>
      <c r="GC106" s="12">
        <v>0</v>
      </c>
      <c r="GD106" s="12">
        <v>4</v>
      </c>
      <c r="GE106" s="12">
        <v>4</v>
      </c>
      <c r="GF106" s="12">
        <v>9</v>
      </c>
      <c r="GG106" s="12">
        <v>10</v>
      </c>
      <c r="GH106" s="12">
        <v>0</v>
      </c>
      <c r="GI106" s="12">
        <v>3</v>
      </c>
      <c r="GJ106" s="12">
        <v>3</v>
      </c>
      <c r="GK106" s="12">
        <v>0</v>
      </c>
      <c r="GL106" s="12">
        <v>3</v>
      </c>
      <c r="GM106" s="12">
        <v>3</v>
      </c>
      <c r="GN106" s="12">
        <v>14</v>
      </c>
      <c r="GO106" s="12">
        <v>23</v>
      </c>
      <c r="GP106" s="12">
        <v>3</v>
      </c>
      <c r="GQ106" s="12">
        <v>4</v>
      </c>
      <c r="GR106" s="12">
        <v>0</v>
      </c>
      <c r="GS106" s="12">
        <v>0</v>
      </c>
      <c r="GT106" s="12">
        <v>9</v>
      </c>
      <c r="GU106" s="12">
        <v>23</v>
      </c>
      <c r="GV106" s="12">
        <v>0</v>
      </c>
      <c r="GW106" s="12">
        <v>1</v>
      </c>
      <c r="GY106" s="16"/>
    </row>
    <row r="107" spans="2:207" ht="15" customHeight="1" x14ac:dyDescent="0.2">
      <c r="B107" s="12">
        <v>6</v>
      </c>
      <c r="C107" s="12" t="s">
        <v>274</v>
      </c>
      <c r="D107" s="12" t="s">
        <v>297</v>
      </c>
      <c r="E107" s="14" t="s">
        <v>276</v>
      </c>
      <c r="F107" s="14" t="s">
        <v>299</v>
      </c>
      <c r="G107" s="15">
        <v>45233</v>
      </c>
      <c r="H107" s="15" t="s">
        <v>271</v>
      </c>
      <c r="I107" s="12" t="s">
        <v>269</v>
      </c>
      <c r="J107" s="12" t="s">
        <v>272</v>
      </c>
      <c r="K107" s="12">
        <v>200</v>
      </c>
      <c r="L107" s="12">
        <v>83</v>
      </c>
      <c r="M107" s="12">
        <v>20</v>
      </c>
      <c r="N107" s="12">
        <v>30</v>
      </c>
      <c r="O107" s="16">
        <v>0.66666666666666663</v>
      </c>
      <c r="P107" s="12">
        <v>9</v>
      </c>
      <c r="Q107" s="12">
        <v>24</v>
      </c>
      <c r="R107" s="16">
        <v>0.375</v>
      </c>
      <c r="S107" s="12">
        <v>29</v>
      </c>
      <c r="T107" s="12">
        <v>54</v>
      </c>
      <c r="U107" s="16">
        <v>0.53703703703703709</v>
      </c>
      <c r="V107" s="12">
        <v>16</v>
      </c>
      <c r="W107" s="12">
        <v>17</v>
      </c>
      <c r="X107" s="16">
        <v>0.94117647058823528</v>
      </c>
      <c r="Y107" s="12">
        <v>2</v>
      </c>
      <c r="Z107" s="12">
        <v>24</v>
      </c>
      <c r="AA107" s="12">
        <v>26</v>
      </c>
      <c r="AB107" s="12">
        <v>17</v>
      </c>
      <c r="AC107" s="12">
        <v>13</v>
      </c>
      <c r="AD107" s="12">
        <v>6</v>
      </c>
      <c r="AE107" s="12">
        <v>7</v>
      </c>
      <c r="AF107" s="12">
        <v>2</v>
      </c>
      <c r="AG107" s="12">
        <v>24</v>
      </c>
      <c r="AH107" s="12">
        <v>20</v>
      </c>
      <c r="AI107" s="17">
        <v>94</v>
      </c>
      <c r="AJ107" s="12">
        <v>-1</v>
      </c>
      <c r="AK107" s="12">
        <v>71</v>
      </c>
      <c r="AL107" s="12">
        <v>73</v>
      </c>
      <c r="AM107" s="19">
        <v>1.1369863013698631</v>
      </c>
      <c r="AN107" s="19">
        <v>0.96551724137931039</v>
      </c>
      <c r="AO107" s="18">
        <v>116.90140845070422</v>
      </c>
      <c r="AP107" s="18">
        <v>118.30985915492957</v>
      </c>
      <c r="AQ107" s="18">
        <v>-1.4084507042253449</v>
      </c>
      <c r="AR107" s="53">
        <v>0.62037037037037035</v>
      </c>
      <c r="AS107" s="53">
        <v>0.69166666666666665</v>
      </c>
      <c r="AT107" s="16">
        <v>4.1095890410958902E-2</v>
      </c>
      <c r="AU107" s="19">
        <v>2</v>
      </c>
      <c r="AV107" s="16">
        <v>0.31506849315068491</v>
      </c>
      <c r="AW107" s="19">
        <v>1.2173913043478262</v>
      </c>
      <c r="AX107" s="16">
        <v>5.4794520547945202E-2</v>
      </c>
      <c r="AY107" s="19">
        <v>1.5</v>
      </c>
      <c r="AZ107" s="16">
        <v>0</v>
      </c>
      <c r="BA107" s="19" t="s">
        <v>269</v>
      </c>
      <c r="BB107" s="16">
        <v>0.31506849315068491</v>
      </c>
      <c r="BC107" s="21">
        <v>1.173913043478261</v>
      </c>
      <c r="BD107" s="16">
        <v>8.2191780821917804E-2</v>
      </c>
      <c r="BE107" s="16">
        <v>0.17808219178082191</v>
      </c>
      <c r="BF107" s="16">
        <v>0.48571428571428571</v>
      </c>
      <c r="BG107" s="16">
        <v>0.4</v>
      </c>
      <c r="BH107" s="16">
        <v>0.77777777777777779</v>
      </c>
      <c r="BI107" s="16">
        <v>0.33333333333333331</v>
      </c>
      <c r="BJ107" s="16">
        <v>0.23287671232876711</v>
      </c>
      <c r="BK107" s="21">
        <v>1.3076923076923077</v>
      </c>
      <c r="BL107" s="16">
        <v>8.3333333333333329E-2</v>
      </c>
      <c r="BM107" s="16">
        <v>0</v>
      </c>
      <c r="BN107" s="16">
        <v>0.21428571428571427</v>
      </c>
      <c r="BO107" s="16">
        <v>0</v>
      </c>
      <c r="BP107" s="16">
        <v>0.6</v>
      </c>
      <c r="BQ107" s="16">
        <v>0.52380952380952384</v>
      </c>
      <c r="BR107" s="16">
        <v>0.6</v>
      </c>
      <c r="BS107" s="16">
        <v>0.5</v>
      </c>
      <c r="BT107" s="16">
        <v>0.40625</v>
      </c>
      <c r="BU107" s="16">
        <v>8.4507042253521125E-2</v>
      </c>
      <c r="BV107" s="16">
        <v>0.10606060606060606</v>
      </c>
      <c r="BW107" s="54">
        <v>5</v>
      </c>
      <c r="BX107" s="54">
        <v>0.625</v>
      </c>
      <c r="BY107" s="54">
        <v>0.5</v>
      </c>
      <c r="BZ107" s="12">
        <v>8</v>
      </c>
      <c r="CA107" s="12">
        <v>7</v>
      </c>
      <c r="CB107" s="12">
        <v>2</v>
      </c>
      <c r="CC107" s="12">
        <v>5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2</v>
      </c>
      <c r="CM107" s="12">
        <v>1</v>
      </c>
      <c r="CN107" s="12">
        <v>0</v>
      </c>
      <c r="CO107" s="12">
        <v>0</v>
      </c>
      <c r="CP107" s="12">
        <v>1</v>
      </c>
      <c r="CQ107" s="12">
        <v>0</v>
      </c>
      <c r="CR107" s="12">
        <v>8</v>
      </c>
      <c r="CS107" s="12">
        <v>0</v>
      </c>
      <c r="CT107" s="12">
        <v>2</v>
      </c>
      <c r="CU107" s="12">
        <v>0</v>
      </c>
      <c r="CV107" s="12">
        <v>0</v>
      </c>
      <c r="CW107" s="12">
        <v>0</v>
      </c>
      <c r="CX107" s="12">
        <v>12</v>
      </c>
      <c r="CY107" s="12">
        <v>0</v>
      </c>
      <c r="CZ107" s="12">
        <v>1</v>
      </c>
      <c r="DA107" s="12">
        <v>0</v>
      </c>
      <c r="DB107" s="12">
        <v>0</v>
      </c>
      <c r="DC107" s="12">
        <v>0</v>
      </c>
      <c r="DD107" s="12">
        <v>4</v>
      </c>
      <c r="DE107" s="12">
        <v>4</v>
      </c>
      <c r="DF107" s="12">
        <v>9</v>
      </c>
      <c r="DG107" s="12">
        <v>10</v>
      </c>
      <c r="DH107" s="12">
        <v>0</v>
      </c>
      <c r="DI107" s="12">
        <v>3</v>
      </c>
      <c r="DJ107" s="12">
        <v>3</v>
      </c>
      <c r="DK107" s="12">
        <v>0</v>
      </c>
      <c r="DL107" s="12">
        <v>3</v>
      </c>
      <c r="DM107" s="12">
        <v>3</v>
      </c>
      <c r="DN107" s="12">
        <v>14</v>
      </c>
      <c r="DO107" s="12">
        <v>23</v>
      </c>
      <c r="DP107" s="12">
        <v>3</v>
      </c>
      <c r="DQ107" s="12">
        <v>4</v>
      </c>
      <c r="DR107" s="12">
        <v>0</v>
      </c>
      <c r="DS107" s="12">
        <v>0</v>
      </c>
      <c r="DT107" s="12">
        <v>9</v>
      </c>
      <c r="DU107" s="12">
        <v>23</v>
      </c>
      <c r="DV107" s="12">
        <v>0</v>
      </c>
      <c r="DW107" s="12">
        <v>1</v>
      </c>
      <c r="DX107" s="12">
        <v>84</v>
      </c>
      <c r="DY107" s="12">
        <v>19</v>
      </c>
      <c r="DZ107" s="12">
        <v>38</v>
      </c>
      <c r="EA107" s="16">
        <v>0.5</v>
      </c>
      <c r="EB107" s="12">
        <v>8</v>
      </c>
      <c r="EC107" s="12">
        <v>28</v>
      </c>
      <c r="ED107" s="16">
        <v>0.2857142857142857</v>
      </c>
      <c r="EE107" s="12">
        <v>27</v>
      </c>
      <c r="EF107" s="12">
        <v>66</v>
      </c>
      <c r="EG107" s="16">
        <v>0.40909090909090912</v>
      </c>
      <c r="EH107" s="12">
        <v>22</v>
      </c>
      <c r="EI107" s="12">
        <v>28</v>
      </c>
      <c r="EJ107" s="16">
        <v>0.7857142857142857</v>
      </c>
      <c r="EK107" s="12">
        <v>16</v>
      </c>
      <c r="EL107" s="12">
        <v>22</v>
      </c>
      <c r="EM107" s="12">
        <v>38</v>
      </c>
      <c r="EN107" s="12">
        <v>18</v>
      </c>
      <c r="EO107" s="12">
        <v>20</v>
      </c>
      <c r="EP107" s="12">
        <v>24</v>
      </c>
      <c r="EQ107" s="12">
        <v>7</v>
      </c>
      <c r="ER107" s="12">
        <v>10</v>
      </c>
      <c r="ES107" s="12">
        <v>2</v>
      </c>
      <c r="ET107" s="12">
        <v>7</v>
      </c>
      <c r="EU107" s="12">
        <v>91</v>
      </c>
      <c r="EV107" s="12">
        <v>1</v>
      </c>
      <c r="EW107" s="12">
        <v>71</v>
      </c>
      <c r="EX107" s="12">
        <v>87</v>
      </c>
      <c r="EY107" s="12">
        <v>4</v>
      </c>
      <c r="EZ107" s="12">
        <v>8</v>
      </c>
      <c r="FA107" s="12">
        <v>5</v>
      </c>
      <c r="FB107" s="12">
        <v>5</v>
      </c>
      <c r="FC107" s="12">
        <v>11</v>
      </c>
      <c r="FD107" s="12">
        <v>0</v>
      </c>
      <c r="FE107" s="12">
        <v>0</v>
      </c>
      <c r="FF107" s="12">
        <v>6</v>
      </c>
      <c r="FG107" s="12">
        <v>1</v>
      </c>
      <c r="FH107" s="12">
        <v>2</v>
      </c>
      <c r="FI107" s="12">
        <v>1</v>
      </c>
      <c r="FJ107" s="12">
        <v>0</v>
      </c>
      <c r="FK107" s="12">
        <v>0</v>
      </c>
      <c r="FL107" s="12">
        <v>7</v>
      </c>
      <c r="FM107" s="12">
        <v>1</v>
      </c>
      <c r="FN107" s="12">
        <v>1</v>
      </c>
      <c r="FO107" s="12">
        <v>0</v>
      </c>
      <c r="FP107" s="12">
        <v>0</v>
      </c>
      <c r="FQ107" s="12">
        <v>0</v>
      </c>
      <c r="FR107" s="12">
        <v>9</v>
      </c>
      <c r="FS107" s="12">
        <v>0</v>
      </c>
      <c r="FT107" s="12">
        <v>1</v>
      </c>
      <c r="FU107" s="12">
        <v>0</v>
      </c>
      <c r="FV107" s="12">
        <v>0</v>
      </c>
      <c r="FW107" s="12">
        <v>0</v>
      </c>
      <c r="FX107" s="12">
        <v>11</v>
      </c>
      <c r="FY107" s="12">
        <v>0</v>
      </c>
      <c r="FZ107" s="12">
        <v>1</v>
      </c>
      <c r="GA107" s="12">
        <v>0</v>
      </c>
      <c r="GB107" s="12">
        <v>0</v>
      </c>
      <c r="GC107" s="12">
        <v>0</v>
      </c>
      <c r="GD107" s="12">
        <v>4</v>
      </c>
      <c r="GE107" s="12">
        <v>4</v>
      </c>
      <c r="GF107" s="12">
        <v>14</v>
      </c>
      <c r="GG107" s="12">
        <v>18</v>
      </c>
      <c r="GH107" s="12">
        <v>2</v>
      </c>
      <c r="GI107" s="12">
        <v>4</v>
      </c>
      <c r="GJ107" s="12">
        <v>6</v>
      </c>
      <c r="GK107" s="12">
        <v>0</v>
      </c>
      <c r="GL107" s="12">
        <v>8</v>
      </c>
      <c r="GM107" s="12">
        <v>9</v>
      </c>
      <c r="GN107" s="12">
        <v>9</v>
      </c>
      <c r="GO107" s="12">
        <v>23</v>
      </c>
      <c r="GP107" s="12">
        <v>2</v>
      </c>
      <c r="GQ107" s="12">
        <v>6</v>
      </c>
      <c r="GR107" s="12">
        <v>0</v>
      </c>
      <c r="GS107" s="12">
        <v>0</v>
      </c>
      <c r="GT107" s="12">
        <v>8</v>
      </c>
      <c r="GU107" s="12">
        <v>27</v>
      </c>
      <c r="GV107" s="12">
        <v>0</v>
      </c>
      <c r="GW107" s="12">
        <v>1</v>
      </c>
      <c r="GY107" s="16"/>
    </row>
    <row r="108" spans="2:207" ht="15" customHeight="1" x14ac:dyDescent="0.2">
      <c r="B108" s="12">
        <v>6</v>
      </c>
      <c r="C108" s="12" t="s">
        <v>277</v>
      </c>
      <c r="D108" s="12" t="s">
        <v>285</v>
      </c>
      <c r="E108" s="14" t="s">
        <v>279</v>
      </c>
      <c r="F108" s="14" t="s">
        <v>287</v>
      </c>
      <c r="G108" s="15">
        <v>45233</v>
      </c>
      <c r="H108" s="15" t="s">
        <v>271</v>
      </c>
      <c r="I108" s="12" t="s">
        <v>269</v>
      </c>
      <c r="J108" s="12" t="s">
        <v>272</v>
      </c>
      <c r="K108" s="12">
        <v>200</v>
      </c>
      <c r="L108" s="12">
        <v>81</v>
      </c>
      <c r="M108" s="12">
        <v>21</v>
      </c>
      <c r="N108" s="12">
        <v>33</v>
      </c>
      <c r="O108" s="16">
        <v>0.63636363636363635</v>
      </c>
      <c r="P108" s="12">
        <v>7</v>
      </c>
      <c r="Q108" s="12">
        <v>16</v>
      </c>
      <c r="R108" s="16">
        <v>0.4375</v>
      </c>
      <c r="S108" s="12">
        <v>28</v>
      </c>
      <c r="T108" s="12">
        <v>49</v>
      </c>
      <c r="U108" s="16">
        <v>0.5714285714285714</v>
      </c>
      <c r="V108" s="12">
        <v>18</v>
      </c>
      <c r="W108" s="12">
        <v>22</v>
      </c>
      <c r="X108" s="16">
        <v>0.81818181818181823</v>
      </c>
      <c r="Y108" s="12">
        <v>7</v>
      </c>
      <c r="Z108" s="12">
        <v>18</v>
      </c>
      <c r="AA108" s="12">
        <v>25</v>
      </c>
      <c r="AB108" s="12">
        <v>10</v>
      </c>
      <c r="AC108" s="12">
        <v>14</v>
      </c>
      <c r="AD108" s="12">
        <v>4</v>
      </c>
      <c r="AE108" s="12">
        <v>2</v>
      </c>
      <c r="AF108" s="12">
        <v>2</v>
      </c>
      <c r="AG108" s="12">
        <v>23</v>
      </c>
      <c r="AH108" s="12">
        <v>23</v>
      </c>
      <c r="AI108" s="17">
        <v>81</v>
      </c>
      <c r="AJ108" s="12">
        <v>-12</v>
      </c>
      <c r="AK108" s="12">
        <v>66</v>
      </c>
      <c r="AL108" s="12">
        <v>73</v>
      </c>
      <c r="AM108" s="19">
        <v>1.1095890410958904</v>
      </c>
      <c r="AN108" s="19">
        <v>1.0941176470588236</v>
      </c>
      <c r="AO108" s="18">
        <v>122.72727272727273</v>
      </c>
      <c r="AP108" s="18">
        <v>136.76470588235296</v>
      </c>
      <c r="AQ108" s="18">
        <v>-14.037433155080222</v>
      </c>
      <c r="AR108" s="53">
        <v>0.6428571428571429</v>
      </c>
      <c r="AS108" s="53">
        <v>0.68644067796610164</v>
      </c>
      <c r="AT108" s="16">
        <v>0.13698630136986301</v>
      </c>
      <c r="AU108" s="19">
        <v>1.8</v>
      </c>
      <c r="AV108" s="16">
        <v>0.23287671232876711</v>
      </c>
      <c r="AW108" s="19">
        <v>1.0588235294117647</v>
      </c>
      <c r="AX108" s="16">
        <v>8.2191780821917804E-2</v>
      </c>
      <c r="AY108" s="19">
        <v>1</v>
      </c>
      <c r="AZ108" s="16">
        <v>0</v>
      </c>
      <c r="BA108" s="19" t="s">
        <v>269</v>
      </c>
      <c r="BB108" s="16">
        <v>0.21917808219178081</v>
      </c>
      <c r="BC108" s="21">
        <v>1.3125</v>
      </c>
      <c r="BD108" s="16">
        <v>0.13698630136986301</v>
      </c>
      <c r="BE108" s="16">
        <v>0.19178082191780821</v>
      </c>
      <c r="BF108" s="16">
        <v>0.26315789473684209</v>
      </c>
      <c r="BG108" s="16">
        <v>0.23809523809523808</v>
      </c>
      <c r="BH108" s="16">
        <v>0.7142857142857143</v>
      </c>
      <c r="BI108" s="16">
        <v>0</v>
      </c>
      <c r="BJ108" s="16">
        <v>0.13698630136986301</v>
      </c>
      <c r="BK108" s="21">
        <v>0.7142857142857143</v>
      </c>
      <c r="BL108" s="16">
        <v>0.31818181818181818</v>
      </c>
      <c r="BM108" s="16">
        <v>0.30769230769230771</v>
      </c>
      <c r="BN108" s="16">
        <v>0.33333333333333331</v>
      </c>
      <c r="BO108" s="16">
        <v>1</v>
      </c>
      <c r="BP108" s="16">
        <v>0.51428571428571423</v>
      </c>
      <c r="BQ108" s="16">
        <v>0.6</v>
      </c>
      <c r="BR108" s="16">
        <v>0.25</v>
      </c>
      <c r="BS108" s="16">
        <v>0.75</v>
      </c>
      <c r="BT108" s="16">
        <v>0.43859649122807015</v>
      </c>
      <c r="BU108" s="16">
        <v>5.8823529411764705E-2</v>
      </c>
      <c r="BV108" s="16">
        <v>3.0303030303030304E-2</v>
      </c>
      <c r="BW108" s="54">
        <v>3</v>
      </c>
      <c r="BX108" s="54">
        <v>0.56521739130434778</v>
      </c>
      <c r="BY108" s="54">
        <v>0.52173913043478259</v>
      </c>
      <c r="BZ108" s="12">
        <v>5</v>
      </c>
      <c r="CA108" s="12">
        <v>5</v>
      </c>
      <c r="CB108" s="12">
        <v>0</v>
      </c>
      <c r="CC108" s="12">
        <v>0</v>
      </c>
      <c r="CD108" s="12">
        <v>1</v>
      </c>
      <c r="CE108" s="12">
        <v>1</v>
      </c>
      <c r="CF108" s="12">
        <v>2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3</v>
      </c>
      <c r="CM108" s="12">
        <v>0</v>
      </c>
      <c r="CN108" s="12">
        <v>1</v>
      </c>
      <c r="CO108" s="12">
        <v>0</v>
      </c>
      <c r="CP108" s="12">
        <v>0</v>
      </c>
      <c r="CQ108" s="12">
        <v>0</v>
      </c>
      <c r="CR108" s="12">
        <v>4</v>
      </c>
      <c r="CS108" s="12">
        <v>0</v>
      </c>
      <c r="CT108" s="12">
        <v>8</v>
      </c>
      <c r="CU108" s="12">
        <v>0</v>
      </c>
      <c r="CV108" s="12">
        <v>0</v>
      </c>
      <c r="CW108" s="12">
        <v>0</v>
      </c>
      <c r="CX108" s="12">
        <v>3</v>
      </c>
      <c r="CY108" s="12">
        <v>0</v>
      </c>
      <c r="CZ108" s="12">
        <v>3</v>
      </c>
      <c r="DA108" s="12">
        <v>0</v>
      </c>
      <c r="DB108" s="12">
        <v>0</v>
      </c>
      <c r="DC108" s="12">
        <v>0</v>
      </c>
      <c r="DD108" s="12">
        <v>2</v>
      </c>
      <c r="DE108" s="12">
        <v>2</v>
      </c>
      <c r="DF108" s="12">
        <v>16</v>
      </c>
      <c r="DG108" s="12">
        <v>20</v>
      </c>
      <c r="DH108" s="12">
        <v>0</v>
      </c>
      <c r="DI108" s="12">
        <v>0</v>
      </c>
      <c r="DJ108" s="12">
        <v>0</v>
      </c>
      <c r="DK108" s="12">
        <v>0</v>
      </c>
      <c r="DL108" s="12">
        <v>9</v>
      </c>
      <c r="DM108" s="12">
        <v>10</v>
      </c>
      <c r="DN108" s="12">
        <v>9</v>
      </c>
      <c r="DO108" s="12">
        <v>17</v>
      </c>
      <c r="DP108" s="12">
        <v>3</v>
      </c>
      <c r="DQ108" s="12">
        <v>6</v>
      </c>
      <c r="DR108" s="12">
        <v>0</v>
      </c>
      <c r="DS108" s="12">
        <v>0</v>
      </c>
      <c r="DT108" s="12">
        <v>7</v>
      </c>
      <c r="DU108" s="12">
        <v>16</v>
      </c>
      <c r="DV108" s="12">
        <v>0</v>
      </c>
      <c r="DW108" s="12">
        <v>0</v>
      </c>
      <c r="DX108" s="12">
        <v>93</v>
      </c>
      <c r="DY108" s="12">
        <v>26</v>
      </c>
      <c r="DZ108" s="12">
        <v>46</v>
      </c>
      <c r="EA108" s="16">
        <v>0.56521739130434778</v>
      </c>
      <c r="EB108" s="12">
        <v>7</v>
      </c>
      <c r="EC108" s="12">
        <v>20</v>
      </c>
      <c r="ED108" s="16">
        <v>0.35</v>
      </c>
      <c r="EE108" s="12">
        <v>33</v>
      </c>
      <c r="EF108" s="12">
        <v>66</v>
      </c>
      <c r="EG108" s="16">
        <v>0.5</v>
      </c>
      <c r="EH108" s="12">
        <v>20</v>
      </c>
      <c r="EI108" s="12">
        <v>26</v>
      </c>
      <c r="EJ108" s="16">
        <v>0.76923076923076927</v>
      </c>
      <c r="EK108" s="12">
        <v>17</v>
      </c>
      <c r="EL108" s="12">
        <v>15</v>
      </c>
      <c r="EM108" s="12">
        <v>32</v>
      </c>
      <c r="EN108" s="12">
        <v>22</v>
      </c>
      <c r="EO108" s="12">
        <v>23</v>
      </c>
      <c r="EP108" s="12">
        <v>23</v>
      </c>
      <c r="EQ108" s="12">
        <v>10</v>
      </c>
      <c r="ER108" s="12">
        <v>8</v>
      </c>
      <c r="ES108" s="12">
        <v>2</v>
      </c>
      <c r="ET108" s="12">
        <v>2</v>
      </c>
      <c r="EU108" s="12">
        <v>110</v>
      </c>
      <c r="EV108" s="12">
        <v>12</v>
      </c>
      <c r="EW108" s="12">
        <v>68</v>
      </c>
      <c r="EX108" s="12">
        <v>85</v>
      </c>
      <c r="EY108" s="12">
        <v>2</v>
      </c>
      <c r="EZ108" s="12">
        <v>14</v>
      </c>
      <c r="FA108" s="12">
        <v>5</v>
      </c>
      <c r="FB108" s="12">
        <v>3</v>
      </c>
      <c r="FC108" s="12">
        <v>5</v>
      </c>
      <c r="FD108" s="12">
        <v>0</v>
      </c>
      <c r="FE108" s="12">
        <v>0</v>
      </c>
      <c r="FF108" s="12">
        <v>7</v>
      </c>
      <c r="FG108" s="12">
        <v>1</v>
      </c>
      <c r="FH108" s="12">
        <v>0</v>
      </c>
      <c r="FI108" s="12">
        <v>0</v>
      </c>
      <c r="FJ108" s="12">
        <v>0</v>
      </c>
      <c r="FK108" s="12">
        <v>0</v>
      </c>
      <c r="FL108" s="12">
        <v>9</v>
      </c>
      <c r="FM108" s="12">
        <v>0</v>
      </c>
      <c r="FN108" s="12">
        <v>1</v>
      </c>
      <c r="FO108" s="12">
        <v>0</v>
      </c>
      <c r="FP108" s="12">
        <v>0</v>
      </c>
      <c r="FQ108" s="12">
        <v>0</v>
      </c>
      <c r="FR108" s="12">
        <v>6</v>
      </c>
      <c r="FS108" s="12">
        <v>0</v>
      </c>
      <c r="FT108" s="12">
        <v>3</v>
      </c>
      <c r="FU108" s="12">
        <v>0</v>
      </c>
      <c r="FV108" s="12">
        <v>0</v>
      </c>
      <c r="FW108" s="12">
        <v>0</v>
      </c>
      <c r="FX108" s="12">
        <v>6</v>
      </c>
      <c r="FY108" s="12">
        <v>0</v>
      </c>
      <c r="FZ108" s="12">
        <v>0</v>
      </c>
      <c r="GA108" s="12">
        <v>0</v>
      </c>
      <c r="GB108" s="12">
        <v>0</v>
      </c>
      <c r="GC108" s="12">
        <v>0</v>
      </c>
      <c r="GD108" s="12">
        <v>1</v>
      </c>
      <c r="GE108" s="12">
        <v>2</v>
      </c>
      <c r="GF108" s="12">
        <v>13</v>
      </c>
      <c r="GG108" s="12">
        <v>18</v>
      </c>
      <c r="GH108" s="12">
        <v>0</v>
      </c>
      <c r="GI108" s="12">
        <v>6</v>
      </c>
      <c r="GJ108" s="12">
        <v>6</v>
      </c>
      <c r="GK108" s="12">
        <v>0</v>
      </c>
      <c r="GL108" s="12">
        <v>11</v>
      </c>
      <c r="GM108" s="12">
        <v>11</v>
      </c>
      <c r="GN108" s="12">
        <v>13</v>
      </c>
      <c r="GO108" s="12">
        <v>25</v>
      </c>
      <c r="GP108" s="12">
        <v>2</v>
      </c>
      <c r="GQ108" s="12">
        <v>10</v>
      </c>
      <c r="GR108" s="12">
        <v>0</v>
      </c>
      <c r="GS108" s="12">
        <v>0</v>
      </c>
      <c r="GT108" s="12">
        <v>7</v>
      </c>
      <c r="GU108" s="12">
        <v>20</v>
      </c>
      <c r="GV108" s="12">
        <v>0</v>
      </c>
      <c r="GW108" s="12">
        <v>0</v>
      </c>
      <c r="GY108" s="16"/>
    </row>
    <row r="109" spans="2:207" ht="15" customHeight="1" x14ac:dyDescent="0.2">
      <c r="B109" s="12">
        <v>6</v>
      </c>
      <c r="C109" s="12" t="s">
        <v>285</v>
      </c>
      <c r="D109" s="12" t="s">
        <v>277</v>
      </c>
      <c r="E109" s="14" t="s">
        <v>287</v>
      </c>
      <c r="F109" s="14" t="s">
        <v>279</v>
      </c>
      <c r="G109" s="15">
        <v>45233</v>
      </c>
      <c r="H109" s="15" t="s">
        <v>268</v>
      </c>
      <c r="I109" s="12" t="s">
        <v>269</v>
      </c>
      <c r="J109" s="12" t="s">
        <v>270</v>
      </c>
      <c r="K109" s="12">
        <v>200</v>
      </c>
      <c r="L109" s="12">
        <v>93</v>
      </c>
      <c r="M109" s="12">
        <v>26</v>
      </c>
      <c r="N109" s="12">
        <v>46</v>
      </c>
      <c r="O109" s="16">
        <v>0.56521739130434778</v>
      </c>
      <c r="P109" s="12">
        <v>7</v>
      </c>
      <c r="Q109" s="12">
        <v>20</v>
      </c>
      <c r="R109" s="16">
        <v>0.35</v>
      </c>
      <c r="S109" s="12">
        <v>33</v>
      </c>
      <c r="T109" s="12">
        <v>66</v>
      </c>
      <c r="U109" s="16">
        <v>0.5</v>
      </c>
      <c r="V109" s="12">
        <v>20</v>
      </c>
      <c r="W109" s="12">
        <v>26</v>
      </c>
      <c r="X109" s="16">
        <v>0.76923076923076927</v>
      </c>
      <c r="Y109" s="12">
        <v>17</v>
      </c>
      <c r="Z109" s="12">
        <v>15</v>
      </c>
      <c r="AA109" s="12">
        <v>32</v>
      </c>
      <c r="AB109" s="12">
        <v>22</v>
      </c>
      <c r="AC109" s="12">
        <v>8</v>
      </c>
      <c r="AD109" s="12">
        <v>10</v>
      </c>
      <c r="AE109" s="12">
        <v>2</v>
      </c>
      <c r="AF109" s="12">
        <v>2</v>
      </c>
      <c r="AG109" s="12">
        <v>23</v>
      </c>
      <c r="AH109" s="12">
        <v>23</v>
      </c>
      <c r="AI109" s="17">
        <v>110</v>
      </c>
      <c r="AJ109" s="12">
        <v>12</v>
      </c>
      <c r="AK109" s="12">
        <v>68</v>
      </c>
      <c r="AL109" s="12">
        <v>85</v>
      </c>
      <c r="AM109" s="19">
        <v>1.0941176470588236</v>
      </c>
      <c r="AN109" s="19">
        <v>1.1095890410958904</v>
      </c>
      <c r="AO109" s="18">
        <v>136.76470588235296</v>
      </c>
      <c r="AP109" s="18">
        <v>122.72727272727273</v>
      </c>
      <c r="AQ109" s="18">
        <v>14.037433155080222</v>
      </c>
      <c r="AR109" s="53">
        <v>0.55303030303030298</v>
      </c>
      <c r="AS109" s="53">
        <v>0.60389610389610393</v>
      </c>
      <c r="AT109" s="16">
        <v>0.12941176470588237</v>
      </c>
      <c r="AU109" s="19">
        <v>2</v>
      </c>
      <c r="AV109" s="16">
        <v>0.29411764705882354</v>
      </c>
      <c r="AW109" s="19">
        <v>1.04</v>
      </c>
      <c r="AX109" s="16">
        <v>0.11764705882352941</v>
      </c>
      <c r="AY109" s="19">
        <v>0.4</v>
      </c>
      <c r="AZ109" s="16">
        <v>0</v>
      </c>
      <c r="BA109" s="19" t="s">
        <v>269</v>
      </c>
      <c r="BB109" s="16">
        <v>0.23529411764705882</v>
      </c>
      <c r="BC109" s="21">
        <v>1.05</v>
      </c>
      <c r="BD109" s="16">
        <v>0.12941176470588237</v>
      </c>
      <c r="BE109" s="16">
        <v>9.4117647058823528E-2</v>
      </c>
      <c r="BF109" s="16">
        <v>0.5</v>
      </c>
      <c r="BG109" s="16">
        <v>0.53846153846153844</v>
      </c>
      <c r="BH109" s="16">
        <v>0.7142857142857143</v>
      </c>
      <c r="BI109" s="16">
        <v>0.27272727272727271</v>
      </c>
      <c r="BJ109" s="16">
        <v>0.25882352941176473</v>
      </c>
      <c r="BK109" s="21">
        <v>2.75</v>
      </c>
      <c r="BL109" s="16">
        <v>0.48571428571428571</v>
      </c>
      <c r="BM109" s="16">
        <v>0.4</v>
      </c>
      <c r="BN109" s="16">
        <v>0.75</v>
      </c>
      <c r="BO109" s="16">
        <v>0.25</v>
      </c>
      <c r="BP109" s="16">
        <v>0.68181818181818177</v>
      </c>
      <c r="BQ109" s="16">
        <v>0.69230769230769229</v>
      </c>
      <c r="BR109" s="16">
        <v>0.66666666666666663</v>
      </c>
      <c r="BS109" s="16">
        <v>0</v>
      </c>
      <c r="BT109" s="16">
        <v>0.56140350877192979</v>
      </c>
      <c r="BU109" s="16">
        <v>0.15151515151515152</v>
      </c>
      <c r="BV109" s="16">
        <v>4.0816326530612242E-2</v>
      </c>
      <c r="BW109" s="54">
        <v>2</v>
      </c>
      <c r="BX109" s="54">
        <v>0.52173913043478259</v>
      </c>
      <c r="BY109" s="54">
        <v>0.56521739130434778</v>
      </c>
      <c r="BZ109" s="12">
        <v>14</v>
      </c>
      <c r="CA109" s="12">
        <v>5</v>
      </c>
      <c r="CB109" s="12">
        <v>3</v>
      </c>
      <c r="CC109" s="12">
        <v>5</v>
      </c>
      <c r="CD109" s="12">
        <v>0</v>
      </c>
      <c r="CE109" s="12">
        <v>0</v>
      </c>
      <c r="CF109" s="12">
        <v>7</v>
      </c>
      <c r="CG109" s="12">
        <v>1</v>
      </c>
      <c r="CH109" s="12">
        <v>0</v>
      </c>
      <c r="CI109" s="12">
        <v>0</v>
      </c>
      <c r="CJ109" s="12">
        <v>0</v>
      </c>
      <c r="CK109" s="12">
        <v>0</v>
      </c>
      <c r="CL109" s="12">
        <v>9</v>
      </c>
      <c r="CM109" s="12">
        <v>0</v>
      </c>
      <c r="CN109" s="12">
        <v>1</v>
      </c>
      <c r="CO109" s="12">
        <v>0</v>
      </c>
      <c r="CP109" s="12">
        <v>0</v>
      </c>
      <c r="CQ109" s="12">
        <v>0</v>
      </c>
      <c r="CR109" s="12">
        <v>6</v>
      </c>
      <c r="CS109" s="12">
        <v>0</v>
      </c>
      <c r="CT109" s="12">
        <v>3</v>
      </c>
      <c r="CU109" s="12">
        <v>0</v>
      </c>
      <c r="CV109" s="12">
        <v>0</v>
      </c>
      <c r="CW109" s="12">
        <v>0</v>
      </c>
      <c r="CX109" s="12">
        <v>6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1</v>
      </c>
      <c r="DE109" s="12">
        <v>2</v>
      </c>
      <c r="DF109" s="12">
        <v>13</v>
      </c>
      <c r="DG109" s="12">
        <v>18</v>
      </c>
      <c r="DH109" s="12">
        <v>0</v>
      </c>
      <c r="DI109" s="12">
        <v>6</v>
      </c>
      <c r="DJ109" s="12">
        <v>6</v>
      </c>
      <c r="DK109" s="12">
        <v>0</v>
      </c>
      <c r="DL109" s="12">
        <v>11</v>
      </c>
      <c r="DM109" s="12">
        <v>11</v>
      </c>
      <c r="DN109" s="12">
        <v>13</v>
      </c>
      <c r="DO109" s="12">
        <v>25</v>
      </c>
      <c r="DP109" s="12">
        <v>2</v>
      </c>
      <c r="DQ109" s="12">
        <v>10</v>
      </c>
      <c r="DR109" s="12">
        <v>0</v>
      </c>
      <c r="DS109" s="12">
        <v>0</v>
      </c>
      <c r="DT109" s="12">
        <v>7</v>
      </c>
      <c r="DU109" s="12">
        <v>20</v>
      </c>
      <c r="DV109" s="12">
        <v>0</v>
      </c>
      <c r="DW109" s="12">
        <v>0</v>
      </c>
      <c r="DX109" s="12">
        <v>81</v>
      </c>
      <c r="DY109" s="12">
        <v>21</v>
      </c>
      <c r="DZ109" s="12">
        <v>33</v>
      </c>
      <c r="EA109" s="16">
        <v>0.63636363636363635</v>
      </c>
      <c r="EB109" s="12">
        <v>7</v>
      </c>
      <c r="EC109" s="12">
        <v>16</v>
      </c>
      <c r="ED109" s="16">
        <v>0.4375</v>
      </c>
      <c r="EE109" s="12">
        <v>28</v>
      </c>
      <c r="EF109" s="12">
        <v>49</v>
      </c>
      <c r="EG109" s="16">
        <v>0.5714285714285714</v>
      </c>
      <c r="EH109" s="12">
        <v>18</v>
      </c>
      <c r="EI109" s="12">
        <v>22</v>
      </c>
      <c r="EJ109" s="16">
        <v>0.81818181818181823</v>
      </c>
      <c r="EK109" s="12">
        <v>7</v>
      </c>
      <c r="EL109" s="12">
        <v>18</v>
      </c>
      <c r="EM109" s="12">
        <v>25</v>
      </c>
      <c r="EN109" s="12">
        <v>10</v>
      </c>
      <c r="EO109" s="12">
        <v>23</v>
      </c>
      <c r="EP109" s="12">
        <v>23</v>
      </c>
      <c r="EQ109" s="12">
        <v>4</v>
      </c>
      <c r="ER109" s="12">
        <v>14</v>
      </c>
      <c r="ES109" s="12">
        <v>2</v>
      </c>
      <c r="ET109" s="12">
        <v>2</v>
      </c>
      <c r="EU109" s="12">
        <v>81</v>
      </c>
      <c r="EV109" s="12">
        <v>-12</v>
      </c>
      <c r="EW109" s="12">
        <v>66</v>
      </c>
      <c r="EX109" s="12">
        <v>73</v>
      </c>
      <c r="EY109" s="12">
        <v>3</v>
      </c>
      <c r="EZ109" s="12">
        <v>5</v>
      </c>
      <c r="FA109" s="12">
        <v>5</v>
      </c>
      <c r="FB109" s="12">
        <v>0</v>
      </c>
      <c r="FC109" s="12">
        <v>0</v>
      </c>
      <c r="FD109" s="12">
        <v>1</v>
      </c>
      <c r="FE109" s="12">
        <v>1</v>
      </c>
      <c r="FF109" s="12">
        <v>2</v>
      </c>
      <c r="FG109" s="12">
        <v>0</v>
      </c>
      <c r="FH109" s="12">
        <v>0</v>
      </c>
      <c r="FI109" s="12">
        <v>0</v>
      </c>
      <c r="FJ109" s="12">
        <v>0</v>
      </c>
      <c r="FK109" s="12">
        <v>0</v>
      </c>
      <c r="FL109" s="12">
        <v>3</v>
      </c>
      <c r="FM109" s="12">
        <v>0</v>
      </c>
      <c r="FN109" s="12">
        <v>1</v>
      </c>
      <c r="FO109" s="12">
        <v>0</v>
      </c>
      <c r="FP109" s="12">
        <v>0</v>
      </c>
      <c r="FQ109" s="12">
        <v>0</v>
      </c>
      <c r="FR109" s="12">
        <v>4</v>
      </c>
      <c r="FS109" s="12">
        <v>0</v>
      </c>
      <c r="FT109" s="12">
        <v>8</v>
      </c>
      <c r="FU109" s="12">
        <v>0</v>
      </c>
      <c r="FV109" s="12">
        <v>0</v>
      </c>
      <c r="FW109" s="12">
        <v>0</v>
      </c>
      <c r="FX109" s="12">
        <v>3</v>
      </c>
      <c r="FY109" s="12">
        <v>0</v>
      </c>
      <c r="FZ109" s="12">
        <v>3</v>
      </c>
      <c r="GA109" s="12">
        <v>0</v>
      </c>
      <c r="GB109" s="12">
        <v>0</v>
      </c>
      <c r="GC109" s="12">
        <v>0</v>
      </c>
      <c r="GD109" s="12">
        <v>2</v>
      </c>
      <c r="GE109" s="12">
        <v>2</v>
      </c>
      <c r="GF109" s="12">
        <v>16</v>
      </c>
      <c r="GG109" s="12">
        <v>20</v>
      </c>
      <c r="GH109" s="12">
        <v>0</v>
      </c>
      <c r="GI109" s="12">
        <v>0</v>
      </c>
      <c r="GJ109" s="12">
        <v>0</v>
      </c>
      <c r="GK109" s="12">
        <v>0</v>
      </c>
      <c r="GL109" s="12">
        <v>9</v>
      </c>
      <c r="GM109" s="12">
        <v>10</v>
      </c>
      <c r="GN109" s="12">
        <v>9</v>
      </c>
      <c r="GO109" s="12">
        <v>17</v>
      </c>
      <c r="GP109" s="12">
        <v>3</v>
      </c>
      <c r="GQ109" s="12">
        <v>6</v>
      </c>
      <c r="GR109" s="12">
        <v>0</v>
      </c>
      <c r="GS109" s="12">
        <v>0</v>
      </c>
      <c r="GT109" s="12">
        <v>7</v>
      </c>
      <c r="GU109" s="12">
        <v>16</v>
      </c>
      <c r="GV109" s="12">
        <v>0</v>
      </c>
      <c r="GW109" s="12">
        <v>0</v>
      </c>
      <c r="GY109" s="16"/>
    </row>
    <row r="110" spans="2:207" ht="15" customHeight="1" x14ac:dyDescent="0.2">
      <c r="B110" s="12">
        <v>7</v>
      </c>
      <c r="C110" s="12" t="s">
        <v>297</v>
      </c>
      <c r="D110" s="12" t="s">
        <v>293</v>
      </c>
      <c r="E110" s="14" t="s">
        <v>299</v>
      </c>
      <c r="F110" s="14" t="s">
        <v>295</v>
      </c>
      <c r="G110" s="15">
        <v>45239</v>
      </c>
      <c r="H110" s="15" t="s">
        <v>271</v>
      </c>
      <c r="I110" s="12" t="s">
        <v>269</v>
      </c>
      <c r="J110" s="12" t="s">
        <v>270</v>
      </c>
      <c r="K110" s="12">
        <v>200</v>
      </c>
      <c r="L110" s="12">
        <v>75</v>
      </c>
      <c r="M110" s="12">
        <v>19</v>
      </c>
      <c r="N110" s="12">
        <v>33</v>
      </c>
      <c r="O110" s="16">
        <v>0.5757575757575758</v>
      </c>
      <c r="P110" s="12">
        <v>9</v>
      </c>
      <c r="Q110" s="12">
        <v>28</v>
      </c>
      <c r="R110" s="16">
        <v>0.32142857142857145</v>
      </c>
      <c r="S110" s="12">
        <v>28</v>
      </c>
      <c r="T110" s="12">
        <v>61</v>
      </c>
      <c r="U110" s="16">
        <v>0.45901639344262296</v>
      </c>
      <c r="V110" s="12">
        <v>10</v>
      </c>
      <c r="W110" s="12">
        <v>12</v>
      </c>
      <c r="X110" s="16">
        <v>0.83333333333333337</v>
      </c>
      <c r="Y110" s="12">
        <v>10</v>
      </c>
      <c r="Z110" s="12">
        <v>24</v>
      </c>
      <c r="AA110" s="12">
        <v>34</v>
      </c>
      <c r="AB110" s="12">
        <v>18</v>
      </c>
      <c r="AC110" s="12">
        <v>14</v>
      </c>
      <c r="AD110" s="12">
        <v>6</v>
      </c>
      <c r="AE110" s="12">
        <v>2</v>
      </c>
      <c r="AF110" s="12">
        <v>4</v>
      </c>
      <c r="AG110" s="12">
        <v>12</v>
      </c>
      <c r="AH110" s="12">
        <v>17</v>
      </c>
      <c r="AI110" s="17">
        <v>87</v>
      </c>
      <c r="AJ110" s="12">
        <v>1</v>
      </c>
      <c r="AK110" s="12">
        <v>69</v>
      </c>
      <c r="AL110" s="12">
        <v>80</v>
      </c>
      <c r="AM110" s="19">
        <v>0.9375</v>
      </c>
      <c r="AN110" s="19">
        <v>1.0136986301369864</v>
      </c>
      <c r="AO110" s="18">
        <v>108.69565217391303</v>
      </c>
      <c r="AP110" s="18">
        <v>108.8235294117647</v>
      </c>
      <c r="AQ110" s="18">
        <v>-0.12787723785166349</v>
      </c>
      <c r="AR110" s="53">
        <v>0.53278688524590168</v>
      </c>
      <c r="AS110" s="53">
        <v>0.56818181818181823</v>
      </c>
      <c r="AT110" s="16">
        <v>0.25</v>
      </c>
      <c r="AU110" s="19">
        <v>1.4</v>
      </c>
      <c r="AV110" s="16">
        <v>8.7499999999999994E-2</v>
      </c>
      <c r="AW110" s="19">
        <v>0.5714285714285714</v>
      </c>
      <c r="AX110" s="16">
        <v>7.4999999999999997E-2</v>
      </c>
      <c r="AY110" s="19">
        <v>1</v>
      </c>
      <c r="AZ110" s="16">
        <v>3.7499999999999999E-2</v>
      </c>
      <c r="BA110" s="19">
        <v>0</v>
      </c>
      <c r="BB110" s="16">
        <v>0.3125</v>
      </c>
      <c r="BC110" s="21">
        <v>1.08</v>
      </c>
      <c r="BD110" s="16">
        <v>6.25E-2</v>
      </c>
      <c r="BE110" s="16">
        <v>0.17721518987341772</v>
      </c>
      <c r="BF110" s="16">
        <v>0.54545454545454541</v>
      </c>
      <c r="BG110" s="16">
        <v>0.47368421052631576</v>
      </c>
      <c r="BH110" s="16">
        <v>0.88888888888888884</v>
      </c>
      <c r="BI110" s="16">
        <v>0.2</v>
      </c>
      <c r="BJ110" s="16">
        <v>0.22784810126582278</v>
      </c>
      <c r="BK110" s="21">
        <v>1.2857142857142858</v>
      </c>
      <c r="BL110" s="16">
        <v>0.32258064516129031</v>
      </c>
      <c r="BM110" s="16">
        <v>0.2857142857142857</v>
      </c>
      <c r="BN110" s="16">
        <v>0.4</v>
      </c>
      <c r="BO110" s="16" t="s">
        <v>269</v>
      </c>
      <c r="BP110" s="16">
        <v>0.82758620689655171</v>
      </c>
      <c r="BQ110" s="16">
        <v>1</v>
      </c>
      <c r="BR110" s="16">
        <v>0.72222222222222221</v>
      </c>
      <c r="BS110" s="16">
        <v>1</v>
      </c>
      <c r="BT110" s="16">
        <v>0.56666666666666665</v>
      </c>
      <c r="BU110" s="16">
        <v>8.8235294117647065E-2</v>
      </c>
      <c r="BV110" s="16">
        <v>3.5714285714285712E-2</v>
      </c>
      <c r="BW110" s="54">
        <v>7</v>
      </c>
      <c r="BX110" s="54">
        <v>0.41666666666666669</v>
      </c>
      <c r="BY110" s="54">
        <v>0.35294117647058826</v>
      </c>
      <c r="BZ110" s="12">
        <v>9</v>
      </c>
      <c r="CA110" s="12">
        <v>8</v>
      </c>
      <c r="CB110" s="12">
        <v>1</v>
      </c>
      <c r="CC110" s="12">
        <v>2</v>
      </c>
      <c r="CD110" s="12">
        <v>1</v>
      </c>
      <c r="CE110" s="12">
        <v>0</v>
      </c>
      <c r="CF110" s="12">
        <v>1</v>
      </c>
      <c r="CG110" s="12">
        <v>1</v>
      </c>
      <c r="CH110" s="12">
        <v>1</v>
      </c>
      <c r="CI110" s="12">
        <v>0</v>
      </c>
      <c r="CJ110" s="12">
        <v>2</v>
      </c>
      <c r="CK110" s="12">
        <v>0</v>
      </c>
      <c r="CL110" s="12">
        <v>5</v>
      </c>
      <c r="CM110" s="12">
        <v>1</v>
      </c>
      <c r="CN110" s="12">
        <v>0</v>
      </c>
      <c r="CO110" s="12">
        <v>0</v>
      </c>
      <c r="CP110" s="12">
        <v>3</v>
      </c>
      <c r="CQ110" s="12">
        <v>0</v>
      </c>
      <c r="CR110" s="12">
        <v>7</v>
      </c>
      <c r="CS110" s="12">
        <v>1</v>
      </c>
      <c r="CT110" s="12">
        <v>1</v>
      </c>
      <c r="CU110" s="12">
        <v>0</v>
      </c>
      <c r="CV110" s="12">
        <v>2</v>
      </c>
      <c r="CW110" s="12">
        <v>0</v>
      </c>
      <c r="CX110" s="12">
        <v>10</v>
      </c>
      <c r="CY110" s="12">
        <v>1</v>
      </c>
      <c r="CZ110" s="12">
        <v>1</v>
      </c>
      <c r="DA110" s="12">
        <v>0</v>
      </c>
      <c r="DB110" s="12">
        <v>0</v>
      </c>
      <c r="DC110" s="12">
        <v>0</v>
      </c>
      <c r="DD110" s="12">
        <v>1</v>
      </c>
      <c r="DE110" s="12">
        <v>1</v>
      </c>
      <c r="DF110" s="12">
        <v>7</v>
      </c>
      <c r="DG110" s="12">
        <v>8</v>
      </c>
      <c r="DH110" s="12">
        <v>0</v>
      </c>
      <c r="DI110" s="12">
        <v>2</v>
      </c>
      <c r="DJ110" s="12">
        <v>3</v>
      </c>
      <c r="DK110" s="12">
        <v>0</v>
      </c>
      <c r="DL110" s="12">
        <v>14</v>
      </c>
      <c r="DM110" s="12">
        <v>20</v>
      </c>
      <c r="DN110" s="12">
        <v>2</v>
      </c>
      <c r="DO110" s="12">
        <v>7</v>
      </c>
      <c r="DP110" s="12">
        <v>3</v>
      </c>
      <c r="DQ110" s="12">
        <v>6</v>
      </c>
      <c r="DR110" s="12">
        <v>0</v>
      </c>
      <c r="DS110" s="12">
        <v>3</v>
      </c>
      <c r="DT110" s="12">
        <v>9</v>
      </c>
      <c r="DU110" s="12">
        <v>25</v>
      </c>
      <c r="DV110" s="12">
        <v>0</v>
      </c>
      <c r="DW110" s="12">
        <v>0</v>
      </c>
      <c r="DX110" s="12">
        <v>74</v>
      </c>
      <c r="DY110" s="12">
        <v>15</v>
      </c>
      <c r="DZ110" s="12">
        <v>27</v>
      </c>
      <c r="EA110" s="16">
        <v>0.55555555555555558</v>
      </c>
      <c r="EB110" s="12">
        <v>12</v>
      </c>
      <c r="EC110" s="12">
        <v>29</v>
      </c>
      <c r="ED110" s="16">
        <v>0.41379310344827586</v>
      </c>
      <c r="EE110" s="12">
        <v>27</v>
      </c>
      <c r="EF110" s="12">
        <v>56</v>
      </c>
      <c r="EG110" s="16">
        <v>0.48214285714285715</v>
      </c>
      <c r="EH110" s="12">
        <v>8</v>
      </c>
      <c r="EI110" s="12">
        <v>10</v>
      </c>
      <c r="EJ110" s="16">
        <v>0.8</v>
      </c>
      <c r="EK110" s="12">
        <v>5</v>
      </c>
      <c r="EL110" s="12">
        <v>21</v>
      </c>
      <c r="EM110" s="12">
        <v>26</v>
      </c>
      <c r="EN110" s="12">
        <v>20</v>
      </c>
      <c r="EO110" s="12">
        <v>17</v>
      </c>
      <c r="EP110" s="12">
        <v>12</v>
      </c>
      <c r="EQ110" s="12">
        <v>5</v>
      </c>
      <c r="ER110" s="12">
        <v>13</v>
      </c>
      <c r="ES110" s="12">
        <v>4</v>
      </c>
      <c r="ET110" s="12">
        <v>2</v>
      </c>
      <c r="EU110" s="12">
        <v>78</v>
      </c>
      <c r="EV110" s="12">
        <v>-1</v>
      </c>
      <c r="EW110" s="12">
        <v>68</v>
      </c>
      <c r="EX110" s="12">
        <v>73</v>
      </c>
      <c r="EY110" s="12">
        <v>7</v>
      </c>
      <c r="EZ110" s="12">
        <v>8</v>
      </c>
      <c r="FA110" s="12">
        <v>10</v>
      </c>
      <c r="FB110" s="12">
        <v>2</v>
      </c>
      <c r="FC110" s="12">
        <v>5</v>
      </c>
      <c r="FD110" s="12">
        <v>0</v>
      </c>
      <c r="FE110" s="12">
        <v>0</v>
      </c>
      <c r="FF110" s="12">
        <v>0</v>
      </c>
      <c r="FG110" s="12">
        <v>0</v>
      </c>
      <c r="FH110" s="12">
        <v>0</v>
      </c>
      <c r="FI110" s="12">
        <v>0</v>
      </c>
      <c r="FJ110" s="12">
        <v>2</v>
      </c>
      <c r="FK110" s="12">
        <v>0</v>
      </c>
      <c r="FL110" s="12">
        <v>3</v>
      </c>
      <c r="FM110" s="12">
        <v>0</v>
      </c>
      <c r="FN110" s="12">
        <v>0</v>
      </c>
      <c r="FO110" s="12">
        <v>0</v>
      </c>
      <c r="FP110" s="12">
        <v>5</v>
      </c>
      <c r="FQ110" s="12">
        <v>0</v>
      </c>
      <c r="FR110" s="12">
        <v>4</v>
      </c>
      <c r="FS110" s="12">
        <v>0</v>
      </c>
      <c r="FT110" s="12">
        <v>1</v>
      </c>
      <c r="FU110" s="12">
        <v>0</v>
      </c>
      <c r="FV110" s="12">
        <v>1</v>
      </c>
      <c r="FW110" s="12">
        <v>0</v>
      </c>
      <c r="FX110" s="12">
        <v>10</v>
      </c>
      <c r="FY110" s="12">
        <v>1</v>
      </c>
      <c r="FZ110" s="12">
        <v>0</v>
      </c>
      <c r="GA110" s="12">
        <v>0</v>
      </c>
      <c r="GB110" s="12">
        <v>0</v>
      </c>
      <c r="GC110" s="12">
        <v>0</v>
      </c>
      <c r="GD110" s="12">
        <v>1</v>
      </c>
      <c r="GE110" s="12">
        <v>1</v>
      </c>
      <c r="GF110" s="12">
        <v>4</v>
      </c>
      <c r="GG110" s="12">
        <v>6</v>
      </c>
      <c r="GH110" s="12">
        <v>1</v>
      </c>
      <c r="GI110" s="12">
        <v>3</v>
      </c>
      <c r="GJ110" s="12">
        <v>3</v>
      </c>
      <c r="GK110" s="12">
        <v>0</v>
      </c>
      <c r="GL110" s="12">
        <v>12</v>
      </c>
      <c r="GM110" s="12">
        <v>15</v>
      </c>
      <c r="GN110" s="12">
        <v>3</v>
      </c>
      <c r="GO110" s="12">
        <v>11</v>
      </c>
      <c r="GP110" s="12">
        <v>0</v>
      </c>
      <c r="GQ110" s="12">
        <v>1</v>
      </c>
      <c r="GR110" s="12">
        <v>3</v>
      </c>
      <c r="GS110" s="12">
        <v>7</v>
      </c>
      <c r="GT110" s="12">
        <v>9</v>
      </c>
      <c r="GU110" s="12">
        <v>22</v>
      </c>
      <c r="GV110" s="12">
        <v>0</v>
      </c>
      <c r="GW110" s="12">
        <v>0</v>
      </c>
      <c r="GY110" s="16"/>
    </row>
    <row r="111" spans="2:207" ht="15" customHeight="1" x14ac:dyDescent="0.2">
      <c r="B111" s="12">
        <v>7</v>
      </c>
      <c r="C111" s="12" t="s">
        <v>293</v>
      </c>
      <c r="D111" s="12" t="s">
        <v>297</v>
      </c>
      <c r="E111" s="14" t="s">
        <v>295</v>
      </c>
      <c r="F111" s="14" t="s">
        <v>299</v>
      </c>
      <c r="G111" s="15">
        <v>45239</v>
      </c>
      <c r="H111" s="15" t="s">
        <v>268</v>
      </c>
      <c r="I111" s="12" t="s">
        <v>269</v>
      </c>
      <c r="J111" s="12" t="s">
        <v>272</v>
      </c>
      <c r="K111" s="12">
        <v>200</v>
      </c>
      <c r="L111" s="12">
        <v>74</v>
      </c>
      <c r="M111" s="12">
        <v>15</v>
      </c>
      <c r="N111" s="12">
        <v>27</v>
      </c>
      <c r="O111" s="16">
        <v>0.55555555555555558</v>
      </c>
      <c r="P111" s="12">
        <v>12</v>
      </c>
      <c r="Q111" s="12">
        <v>29</v>
      </c>
      <c r="R111" s="16">
        <v>0.41379310344827586</v>
      </c>
      <c r="S111" s="12">
        <v>27</v>
      </c>
      <c r="T111" s="12">
        <v>56</v>
      </c>
      <c r="U111" s="16">
        <v>0.48214285714285715</v>
      </c>
      <c r="V111" s="12">
        <v>8</v>
      </c>
      <c r="W111" s="12">
        <v>10</v>
      </c>
      <c r="X111" s="16">
        <v>0.8</v>
      </c>
      <c r="Y111" s="12">
        <v>5</v>
      </c>
      <c r="Z111" s="12">
        <v>21</v>
      </c>
      <c r="AA111" s="12">
        <v>26</v>
      </c>
      <c r="AB111" s="12">
        <v>20</v>
      </c>
      <c r="AC111" s="12">
        <v>13</v>
      </c>
      <c r="AD111" s="12">
        <v>5</v>
      </c>
      <c r="AE111" s="12">
        <v>4</v>
      </c>
      <c r="AF111" s="12">
        <v>2</v>
      </c>
      <c r="AG111" s="12">
        <v>17</v>
      </c>
      <c r="AH111" s="12">
        <v>12</v>
      </c>
      <c r="AI111" s="17">
        <v>78</v>
      </c>
      <c r="AJ111" s="12">
        <v>-1</v>
      </c>
      <c r="AK111" s="12">
        <v>68</v>
      </c>
      <c r="AL111" s="12">
        <v>73</v>
      </c>
      <c r="AM111" s="19">
        <v>1.0136986301369864</v>
      </c>
      <c r="AN111" s="19">
        <v>0.9375</v>
      </c>
      <c r="AO111" s="18">
        <v>108.8235294117647</v>
      </c>
      <c r="AP111" s="18">
        <v>108.69565217391303</v>
      </c>
      <c r="AQ111" s="18">
        <v>0.12787723785166349</v>
      </c>
      <c r="AR111" s="53">
        <v>0.5892857142857143</v>
      </c>
      <c r="AS111" s="53">
        <v>0.6166666666666667</v>
      </c>
      <c r="AT111" s="16">
        <v>0.20547945205479451</v>
      </c>
      <c r="AU111" s="19">
        <v>1.6</v>
      </c>
      <c r="AV111" s="16">
        <v>0.15068493150684931</v>
      </c>
      <c r="AW111" s="19">
        <v>0.54545454545454541</v>
      </c>
      <c r="AX111" s="16">
        <v>1.3698630136986301E-2</v>
      </c>
      <c r="AY111" s="19">
        <v>0</v>
      </c>
      <c r="AZ111" s="16">
        <v>9.5890410958904104E-2</v>
      </c>
      <c r="BA111" s="19">
        <v>1.2857142857142858</v>
      </c>
      <c r="BB111" s="16">
        <v>0.30136986301369861</v>
      </c>
      <c r="BC111" s="21">
        <v>1.2272727272727273</v>
      </c>
      <c r="BD111" s="16">
        <v>5.4794520547945202E-2</v>
      </c>
      <c r="BE111" s="16">
        <v>0.17808219178082191</v>
      </c>
      <c r="BF111" s="16">
        <v>0.66666666666666663</v>
      </c>
      <c r="BG111" s="16">
        <v>0.53333333333333333</v>
      </c>
      <c r="BH111" s="16">
        <v>0.83333333333333337</v>
      </c>
      <c r="BI111" s="16">
        <v>0.66666666666666663</v>
      </c>
      <c r="BJ111" s="16">
        <v>0.27397260273972601</v>
      </c>
      <c r="BK111" s="21">
        <v>1.5384615384615385</v>
      </c>
      <c r="BL111" s="16">
        <v>0.17241379310344829</v>
      </c>
      <c r="BM111" s="16">
        <v>0</v>
      </c>
      <c r="BN111" s="16">
        <v>0.27777777777777779</v>
      </c>
      <c r="BO111" s="16">
        <v>0</v>
      </c>
      <c r="BP111" s="16">
        <v>0.67741935483870963</v>
      </c>
      <c r="BQ111" s="16">
        <v>0.7142857142857143</v>
      </c>
      <c r="BR111" s="16">
        <v>0.6</v>
      </c>
      <c r="BS111" s="16" t="s">
        <v>269</v>
      </c>
      <c r="BT111" s="16">
        <v>0.43333333333333335</v>
      </c>
      <c r="BU111" s="16">
        <v>7.2463768115942032E-2</v>
      </c>
      <c r="BV111" s="16">
        <v>6.5573770491803282E-2</v>
      </c>
      <c r="BW111" s="54">
        <v>7</v>
      </c>
      <c r="BX111" s="54">
        <v>0.35294117647058826</v>
      </c>
      <c r="BY111" s="54">
        <v>0.41666666666666669</v>
      </c>
      <c r="BZ111" s="12">
        <v>8</v>
      </c>
      <c r="CA111" s="12">
        <v>10</v>
      </c>
      <c r="CB111" s="12">
        <v>2</v>
      </c>
      <c r="CC111" s="12">
        <v>5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2</v>
      </c>
      <c r="CK111" s="12">
        <v>0</v>
      </c>
      <c r="CL111" s="12">
        <v>3</v>
      </c>
      <c r="CM111" s="12">
        <v>0</v>
      </c>
      <c r="CN111" s="12">
        <v>0</v>
      </c>
      <c r="CO111" s="12">
        <v>0</v>
      </c>
      <c r="CP111" s="12">
        <v>5</v>
      </c>
      <c r="CQ111" s="12">
        <v>0</v>
      </c>
      <c r="CR111" s="12">
        <v>4</v>
      </c>
      <c r="CS111" s="12">
        <v>0</v>
      </c>
      <c r="CT111" s="12">
        <v>1</v>
      </c>
      <c r="CU111" s="12">
        <v>0</v>
      </c>
      <c r="CV111" s="12">
        <v>1</v>
      </c>
      <c r="CW111" s="12">
        <v>0</v>
      </c>
      <c r="CX111" s="12">
        <v>10</v>
      </c>
      <c r="CY111" s="12">
        <v>1</v>
      </c>
      <c r="CZ111" s="12">
        <v>0</v>
      </c>
      <c r="DA111" s="12">
        <v>0</v>
      </c>
      <c r="DB111" s="12">
        <v>0</v>
      </c>
      <c r="DC111" s="12">
        <v>0</v>
      </c>
      <c r="DD111" s="12">
        <v>1</v>
      </c>
      <c r="DE111" s="12">
        <v>1</v>
      </c>
      <c r="DF111" s="12">
        <v>4</v>
      </c>
      <c r="DG111" s="12">
        <v>6</v>
      </c>
      <c r="DH111" s="12">
        <v>1</v>
      </c>
      <c r="DI111" s="12">
        <v>3</v>
      </c>
      <c r="DJ111" s="12">
        <v>3</v>
      </c>
      <c r="DK111" s="12">
        <v>0</v>
      </c>
      <c r="DL111" s="12">
        <v>12</v>
      </c>
      <c r="DM111" s="12">
        <v>15</v>
      </c>
      <c r="DN111" s="12">
        <v>3</v>
      </c>
      <c r="DO111" s="12">
        <v>11</v>
      </c>
      <c r="DP111" s="12">
        <v>0</v>
      </c>
      <c r="DQ111" s="12">
        <v>1</v>
      </c>
      <c r="DR111" s="12">
        <v>3</v>
      </c>
      <c r="DS111" s="12">
        <v>7</v>
      </c>
      <c r="DT111" s="12">
        <v>9</v>
      </c>
      <c r="DU111" s="12">
        <v>22</v>
      </c>
      <c r="DV111" s="12">
        <v>0</v>
      </c>
      <c r="DW111" s="12">
        <v>0</v>
      </c>
      <c r="DX111" s="12">
        <v>75</v>
      </c>
      <c r="DY111" s="12">
        <v>19</v>
      </c>
      <c r="DZ111" s="12">
        <v>33</v>
      </c>
      <c r="EA111" s="16">
        <v>0.5757575757575758</v>
      </c>
      <c r="EB111" s="12">
        <v>9</v>
      </c>
      <c r="EC111" s="12">
        <v>28</v>
      </c>
      <c r="ED111" s="16">
        <v>0.32142857142857145</v>
      </c>
      <c r="EE111" s="12">
        <v>28</v>
      </c>
      <c r="EF111" s="12">
        <v>61</v>
      </c>
      <c r="EG111" s="16">
        <v>0.45901639344262296</v>
      </c>
      <c r="EH111" s="12">
        <v>10</v>
      </c>
      <c r="EI111" s="12">
        <v>12</v>
      </c>
      <c r="EJ111" s="16">
        <v>0.83333333333333337</v>
      </c>
      <c r="EK111" s="12">
        <v>10</v>
      </c>
      <c r="EL111" s="12">
        <v>24</v>
      </c>
      <c r="EM111" s="12">
        <v>34</v>
      </c>
      <c r="EN111" s="12">
        <v>18</v>
      </c>
      <c r="EO111" s="12">
        <v>12</v>
      </c>
      <c r="EP111" s="12">
        <v>17</v>
      </c>
      <c r="EQ111" s="12">
        <v>6</v>
      </c>
      <c r="ER111" s="12">
        <v>14</v>
      </c>
      <c r="ES111" s="12">
        <v>2</v>
      </c>
      <c r="ET111" s="12">
        <v>4</v>
      </c>
      <c r="EU111" s="12">
        <v>87</v>
      </c>
      <c r="EV111" s="12">
        <v>1</v>
      </c>
      <c r="EW111" s="12">
        <v>69</v>
      </c>
      <c r="EX111" s="12">
        <v>80</v>
      </c>
      <c r="EY111" s="12">
        <v>7</v>
      </c>
      <c r="EZ111" s="12">
        <v>9</v>
      </c>
      <c r="FA111" s="12">
        <v>8</v>
      </c>
      <c r="FB111" s="12">
        <v>1</v>
      </c>
      <c r="FC111" s="12">
        <v>2</v>
      </c>
      <c r="FD111" s="12">
        <v>1</v>
      </c>
      <c r="FE111" s="12">
        <v>0</v>
      </c>
      <c r="FF111" s="12">
        <v>1</v>
      </c>
      <c r="FG111" s="12">
        <v>1</v>
      </c>
      <c r="FH111" s="12">
        <v>1</v>
      </c>
      <c r="FI111" s="12">
        <v>0</v>
      </c>
      <c r="FJ111" s="12">
        <v>2</v>
      </c>
      <c r="FK111" s="12">
        <v>0</v>
      </c>
      <c r="FL111" s="12">
        <v>5</v>
      </c>
      <c r="FM111" s="12">
        <v>1</v>
      </c>
      <c r="FN111" s="12">
        <v>0</v>
      </c>
      <c r="FO111" s="12">
        <v>0</v>
      </c>
      <c r="FP111" s="12">
        <v>3</v>
      </c>
      <c r="FQ111" s="12">
        <v>0</v>
      </c>
      <c r="FR111" s="12">
        <v>7</v>
      </c>
      <c r="FS111" s="12">
        <v>1</v>
      </c>
      <c r="FT111" s="12">
        <v>1</v>
      </c>
      <c r="FU111" s="12">
        <v>0</v>
      </c>
      <c r="FV111" s="12">
        <v>2</v>
      </c>
      <c r="FW111" s="12">
        <v>0</v>
      </c>
      <c r="FX111" s="12">
        <v>10</v>
      </c>
      <c r="FY111" s="12">
        <v>1</v>
      </c>
      <c r="FZ111" s="12">
        <v>1</v>
      </c>
      <c r="GA111" s="12">
        <v>0</v>
      </c>
      <c r="GB111" s="12">
        <v>0</v>
      </c>
      <c r="GC111" s="12">
        <v>0</v>
      </c>
      <c r="GD111" s="12">
        <v>1</v>
      </c>
      <c r="GE111" s="12">
        <v>1</v>
      </c>
      <c r="GF111" s="12">
        <v>7</v>
      </c>
      <c r="GG111" s="12">
        <v>8</v>
      </c>
      <c r="GH111" s="12">
        <v>0</v>
      </c>
      <c r="GI111" s="12">
        <v>2</v>
      </c>
      <c r="GJ111" s="12">
        <v>3</v>
      </c>
      <c r="GK111" s="12">
        <v>0</v>
      </c>
      <c r="GL111" s="12">
        <v>14</v>
      </c>
      <c r="GM111" s="12">
        <v>20</v>
      </c>
      <c r="GN111" s="12">
        <v>2</v>
      </c>
      <c r="GO111" s="12">
        <v>7</v>
      </c>
      <c r="GP111" s="12">
        <v>3</v>
      </c>
      <c r="GQ111" s="12">
        <v>6</v>
      </c>
      <c r="GR111" s="12">
        <v>0</v>
      </c>
      <c r="GS111" s="12">
        <v>3</v>
      </c>
      <c r="GT111" s="12">
        <v>9</v>
      </c>
      <c r="GU111" s="12">
        <v>25</v>
      </c>
      <c r="GV111" s="12">
        <v>0</v>
      </c>
      <c r="GW111" s="12">
        <v>0</v>
      </c>
      <c r="GY111" s="16"/>
    </row>
    <row r="112" spans="2:207" ht="15" customHeight="1" x14ac:dyDescent="0.2">
      <c r="B112" s="12">
        <v>7</v>
      </c>
      <c r="C112" s="12" t="s">
        <v>277</v>
      </c>
      <c r="D112" s="12" t="s">
        <v>286</v>
      </c>
      <c r="E112" s="14" t="s">
        <v>279</v>
      </c>
      <c r="F112" s="14" t="s">
        <v>288</v>
      </c>
      <c r="G112" s="15">
        <v>45239</v>
      </c>
      <c r="H112" s="15" t="s">
        <v>268</v>
      </c>
      <c r="I112" s="12" t="s">
        <v>269</v>
      </c>
      <c r="J112" s="12" t="s">
        <v>270</v>
      </c>
      <c r="K112" s="12">
        <v>225</v>
      </c>
      <c r="L112" s="12">
        <v>86</v>
      </c>
      <c r="M112" s="12">
        <v>21</v>
      </c>
      <c r="N112" s="12">
        <v>41</v>
      </c>
      <c r="O112" s="16">
        <v>0.51219512195121952</v>
      </c>
      <c r="P112" s="12">
        <v>10</v>
      </c>
      <c r="Q112" s="12">
        <v>25</v>
      </c>
      <c r="R112" s="16">
        <v>0.4</v>
      </c>
      <c r="S112" s="12">
        <v>31</v>
      </c>
      <c r="T112" s="12">
        <v>66</v>
      </c>
      <c r="U112" s="16">
        <v>0.46969696969696972</v>
      </c>
      <c r="V112" s="12">
        <v>14</v>
      </c>
      <c r="W112" s="12">
        <v>17</v>
      </c>
      <c r="X112" s="16">
        <v>0.82352941176470584</v>
      </c>
      <c r="Y112" s="12">
        <v>9</v>
      </c>
      <c r="Z112" s="12">
        <v>29</v>
      </c>
      <c r="AA112" s="12">
        <v>38</v>
      </c>
      <c r="AB112" s="12">
        <v>13</v>
      </c>
      <c r="AC112" s="12">
        <v>11</v>
      </c>
      <c r="AD112" s="12">
        <v>7</v>
      </c>
      <c r="AE112" s="12">
        <v>4</v>
      </c>
      <c r="AF112" s="12">
        <v>2</v>
      </c>
      <c r="AG112" s="12">
        <v>17</v>
      </c>
      <c r="AH112" s="12">
        <v>22</v>
      </c>
      <c r="AI112" s="17">
        <v>102</v>
      </c>
      <c r="AJ112" s="12">
        <v>4</v>
      </c>
      <c r="AK112" s="12">
        <v>76</v>
      </c>
      <c r="AL112" s="12">
        <v>85</v>
      </c>
      <c r="AM112" s="19">
        <v>1.0117647058823529</v>
      </c>
      <c r="AN112" s="19">
        <v>0.96470588235294119</v>
      </c>
      <c r="AO112" s="18">
        <v>113.1578947368421</v>
      </c>
      <c r="AP112" s="18">
        <v>107.89473684210526</v>
      </c>
      <c r="AQ112" s="18">
        <v>5.2631578947368354</v>
      </c>
      <c r="AR112" s="53">
        <v>0.54545454545454541</v>
      </c>
      <c r="AS112" s="53">
        <v>0.58108108108108103</v>
      </c>
      <c r="AT112" s="16">
        <v>0.18823529411764706</v>
      </c>
      <c r="AU112" s="19">
        <v>1.625</v>
      </c>
      <c r="AV112" s="16">
        <v>0.18823529411764706</v>
      </c>
      <c r="AW112" s="19">
        <v>0.5</v>
      </c>
      <c r="AX112" s="16">
        <v>0.10588235294117647</v>
      </c>
      <c r="AY112" s="19">
        <v>0.88888888888888884</v>
      </c>
      <c r="AZ112" s="16">
        <v>4.7058823529411764E-2</v>
      </c>
      <c r="BA112" s="19">
        <v>1.5</v>
      </c>
      <c r="BB112" s="16">
        <v>0.24705882352941178</v>
      </c>
      <c r="BC112" s="21">
        <v>1.1428571428571428</v>
      </c>
      <c r="BD112" s="16">
        <v>9.4117647058823528E-2</v>
      </c>
      <c r="BE112" s="16">
        <v>0.12941176470588237</v>
      </c>
      <c r="BF112" s="16">
        <v>0.34210526315789475</v>
      </c>
      <c r="BG112" s="16">
        <v>0.23809523809523808</v>
      </c>
      <c r="BH112" s="16">
        <v>0.7</v>
      </c>
      <c r="BI112" s="16">
        <v>0.14285714285714285</v>
      </c>
      <c r="BJ112" s="16">
        <v>0.15294117647058825</v>
      </c>
      <c r="BK112" s="21">
        <v>1.1818181818181819</v>
      </c>
      <c r="BL112" s="16">
        <v>0.26470588235294118</v>
      </c>
      <c r="BM112" s="16">
        <v>0.3</v>
      </c>
      <c r="BN112" s="16">
        <v>0.2857142857142857</v>
      </c>
      <c r="BO112" s="16">
        <v>0</v>
      </c>
      <c r="BP112" s="16">
        <v>0.76315789473684215</v>
      </c>
      <c r="BQ112" s="16">
        <v>0.78947368421052633</v>
      </c>
      <c r="BR112" s="16">
        <v>0.82352941176470584</v>
      </c>
      <c r="BS112" s="16">
        <v>0</v>
      </c>
      <c r="BT112" s="16">
        <v>0.52777777777777779</v>
      </c>
      <c r="BU112" s="16">
        <v>9.2105263157894732E-2</v>
      </c>
      <c r="BV112" s="16">
        <v>5.5555555555555552E-2</v>
      </c>
      <c r="BW112" s="54">
        <v>7</v>
      </c>
      <c r="BX112" s="54">
        <v>0.17647058823529413</v>
      </c>
      <c r="BY112" s="54">
        <v>0.40909090909090912</v>
      </c>
      <c r="BZ112" s="12">
        <v>5</v>
      </c>
      <c r="CA112" s="12">
        <v>7</v>
      </c>
      <c r="CB112" s="12">
        <v>1</v>
      </c>
      <c r="CC112" s="12">
        <v>2</v>
      </c>
      <c r="CD112" s="12">
        <v>1</v>
      </c>
      <c r="CE112" s="12">
        <v>0</v>
      </c>
      <c r="CF112" s="12">
        <v>4</v>
      </c>
      <c r="CG112" s="12">
        <v>0</v>
      </c>
      <c r="CH112" s="12">
        <v>1</v>
      </c>
      <c r="CI112" s="12">
        <v>0</v>
      </c>
      <c r="CJ112" s="12">
        <v>0</v>
      </c>
      <c r="CK112" s="12">
        <v>0</v>
      </c>
      <c r="CL112" s="12">
        <v>3</v>
      </c>
      <c r="CM112" s="12">
        <v>1</v>
      </c>
      <c r="CN112" s="12">
        <v>0</v>
      </c>
      <c r="CO112" s="12">
        <v>0</v>
      </c>
      <c r="CP112" s="12">
        <v>0</v>
      </c>
      <c r="CQ112" s="12">
        <v>0</v>
      </c>
      <c r="CR112" s="12">
        <v>14</v>
      </c>
      <c r="CS112" s="12">
        <v>0</v>
      </c>
      <c r="CT112" s="12">
        <v>1</v>
      </c>
      <c r="CU112" s="12">
        <v>0</v>
      </c>
      <c r="CV112" s="12">
        <v>2</v>
      </c>
      <c r="CW112" s="12">
        <v>0</v>
      </c>
      <c r="CX112" s="12">
        <v>11</v>
      </c>
      <c r="CY112" s="12">
        <v>1</v>
      </c>
      <c r="CZ112" s="12">
        <v>0</v>
      </c>
      <c r="DA112" s="12">
        <v>0</v>
      </c>
      <c r="DB112" s="12">
        <v>0</v>
      </c>
      <c r="DC112" s="12">
        <v>0</v>
      </c>
      <c r="DD112" s="12">
        <v>1</v>
      </c>
      <c r="DE112" s="12">
        <v>1</v>
      </c>
      <c r="DF112" s="12">
        <v>13</v>
      </c>
      <c r="DG112" s="12">
        <v>16</v>
      </c>
      <c r="DH112" s="12">
        <v>1</v>
      </c>
      <c r="DI112" s="12">
        <v>0</v>
      </c>
      <c r="DJ112" s="12">
        <v>0</v>
      </c>
      <c r="DK112" s="12">
        <v>0</v>
      </c>
      <c r="DL112" s="12">
        <v>13</v>
      </c>
      <c r="DM112" s="12">
        <v>16</v>
      </c>
      <c r="DN112" s="12">
        <v>4</v>
      </c>
      <c r="DO112" s="12">
        <v>16</v>
      </c>
      <c r="DP112" s="12">
        <v>4</v>
      </c>
      <c r="DQ112" s="12">
        <v>9</v>
      </c>
      <c r="DR112" s="12">
        <v>2</v>
      </c>
      <c r="DS112" s="12">
        <v>4</v>
      </c>
      <c r="DT112" s="12">
        <v>8</v>
      </c>
      <c r="DU112" s="12">
        <v>21</v>
      </c>
      <c r="DV112" s="12">
        <v>0</v>
      </c>
      <c r="DW112" s="12">
        <v>0</v>
      </c>
      <c r="DX112" s="12">
        <v>82</v>
      </c>
      <c r="DY112" s="12">
        <v>21</v>
      </c>
      <c r="DZ112" s="12">
        <v>41</v>
      </c>
      <c r="EA112" s="16">
        <v>0.51219512195121952</v>
      </c>
      <c r="EB112" s="12">
        <v>12</v>
      </c>
      <c r="EC112" s="12">
        <v>31</v>
      </c>
      <c r="ED112" s="16">
        <v>0.38709677419354838</v>
      </c>
      <c r="EE112" s="12">
        <v>33</v>
      </c>
      <c r="EF112" s="12">
        <v>72</v>
      </c>
      <c r="EG112" s="16">
        <v>0.45833333333333331</v>
      </c>
      <c r="EH112" s="12">
        <v>4</v>
      </c>
      <c r="EI112" s="12">
        <v>5</v>
      </c>
      <c r="EJ112" s="16">
        <v>0.8</v>
      </c>
      <c r="EK112" s="12">
        <v>9</v>
      </c>
      <c r="EL112" s="12">
        <v>25</v>
      </c>
      <c r="EM112" s="12">
        <v>34</v>
      </c>
      <c r="EN112" s="12">
        <v>18</v>
      </c>
      <c r="EO112" s="12">
        <v>22</v>
      </c>
      <c r="EP112" s="12">
        <v>17</v>
      </c>
      <c r="EQ112" s="12">
        <v>7</v>
      </c>
      <c r="ER112" s="12">
        <v>11</v>
      </c>
      <c r="ES112" s="12">
        <v>2</v>
      </c>
      <c r="ET112" s="12">
        <v>4</v>
      </c>
      <c r="EU112" s="12">
        <v>83</v>
      </c>
      <c r="EV112" s="12">
        <v>-4</v>
      </c>
      <c r="EW112" s="12">
        <v>76</v>
      </c>
      <c r="EX112" s="12">
        <v>85</v>
      </c>
      <c r="EY112" s="12">
        <v>4</v>
      </c>
      <c r="EZ112" s="12">
        <v>9</v>
      </c>
      <c r="FA112" s="12">
        <v>9</v>
      </c>
      <c r="FB112" s="12">
        <v>0</v>
      </c>
      <c r="FC112" s="12">
        <v>0</v>
      </c>
      <c r="FD112" s="12">
        <v>0</v>
      </c>
      <c r="FE112" s="12">
        <v>0</v>
      </c>
      <c r="FF112" s="12">
        <v>4</v>
      </c>
      <c r="FG112" s="12">
        <v>0</v>
      </c>
      <c r="FH112" s="12">
        <v>0</v>
      </c>
      <c r="FI112" s="12">
        <v>0</v>
      </c>
      <c r="FJ112" s="12">
        <v>0</v>
      </c>
      <c r="FK112" s="12">
        <v>0</v>
      </c>
      <c r="FL112" s="12">
        <v>3</v>
      </c>
      <c r="FM112" s="12">
        <v>0</v>
      </c>
      <c r="FN112" s="12">
        <v>1</v>
      </c>
      <c r="FO112" s="12">
        <v>0</v>
      </c>
      <c r="FP112" s="12">
        <v>2</v>
      </c>
      <c r="FQ112" s="12">
        <v>0</v>
      </c>
      <c r="FR112" s="12">
        <v>8</v>
      </c>
      <c r="FS112" s="12">
        <v>0</v>
      </c>
      <c r="FT112" s="12">
        <v>4</v>
      </c>
      <c r="FU112" s="12">
        <v>0</v>
      </c>
      <c r="FV112" s="12">
        <v>2</v>
      </c>
      <c r="FW112" s="12">
        <v>0</v>
      </c>
      <c r="FX112" s="12">
        <v>8</v>
      </c>
      <c r="FY112" s="12">
        <v>0</v>
      </c>
      <c r="FZ112" s="12">
        <v>1</v>
      </c>
      <c r="GA112" s="12">
        <v>0</v>
      </c>
      <c r="GB112" s="12">
        <v>0</v>
      </c>
      <c r="GC112" s="12">
        <v>0</v>
      </c>
      <c r="GD112" s="12">
        <v>1</v>
      </c>
      <c r="GE112" s="12">
        <v>1</v>
      </c>
      <c r="GF112" s="12">
        <v>3</v>
      </c>
      <c r="GG112" s="12">
        <v>4</v>
      </c>
      <c r="GH112" s="12">
        <v>0</v>
      </c>
      <c r="GI112" s="12">
        <v>0</v>
      </c>
      <c r="GJ112" s="12">
        <v>0</v>
      </c>
      <c r="GK112" s="12">
        <v>0</v>
      </c>
      <c r="GL112" s="12">
        <v>6</v>
      </c>
      <c r="GM112" s="12">
        <v>7</v>
      </c>
      <c r="GN112" s="12">
        <v>14</v>
      </c>
      <c r="GO112" s="12">
        <v>32</v>
      </c>
      <c r="GP112" s="12">
        <v>1</v>
      </c>
      <c r="GQ112" s="12">
        <v>2</v>
      </c>
      <c r="GR112" s="12">
        <v>1</v>
      </c>
      <c r="GS112" s="12">
        <v>3</v>
      </c>
      <c r="GT112" s="12">
        <v>11</v>
      </c>
      <c r="GU112" s="12">
        <v>27</v>
      </c>
      <c r="GV112" s="12">
        <v>0</v>
      </c>
      <c r="GW112" s="12">
        <v>1</v>
      </c>
      <c r="GY112" s="16"/>
    </row>
    <row r="113" spans="2:207" ht="15" customHeight="1" x14ac:dyDescent="0.2">
      <c r="B113" s="12">
        <v>7</v>
      </c>
      <c r="C113" s="12" t="s">
        <v>286</v>
      </c>
      <c r="D113" s="12" t="s">
        <v>277</v>
      </c>
      <c r="E113" s="14" t="s">
        <v>288</v>
      </c>
      <c r="F113" s="14" t="s">
        <v>279</v>
      </c>
      <c r="G113" s="15">
        <v>45239</v>
      </c>
      <c r="H113" s="15" t="s">
        <v>271</v>
      </c>
      <c r="I113" s="12" t="s">
        <v>269</v>
      </c>
      <c r="J113" s="12" t="s">
        <v>272</v>
      </c>
      <c r="K113" s="12">
        <v>225</v>
      </c>
      <c r="L113" s="12">
        <v>82</v>
      </c>
      <c r="M113" s="12">
        <v>21</v>
      </c>
      <c r="N113" s="12">
        <v>41</v>
      </c>
      <c r="O113" s="16">
        <v>0.51219512195121952</v>
      </c>
      <c r="P113" s="12">
        <v>12</v>
      </c>
      <c r="Q113" s="12">
        <v>31</v>
      </c>
      <c r="R113" s="16">
        <v>0.38709677419354838</v>
      </c>
      <c r="S113" s="12">
        <v>33</v>
      </c>
      <c r="T113" s="12">
        <v>72</v>
      </c>
      <c r="U113" s="16">
        <v>0.45833333333333331</v>
      </c>
      <c r="V113" s="12">
        <v>4</v>
      </c>
      <c r="W113" s="12">
        <v>5</v>
      </c>
      <c r="X113" s="16">
        <v>0.8</v>
      </c>
      <c r="Y113" s="12">
        <v>9</v>
      </c>
      <c r="Z113" s="12">
        <v>25</v>
      </c>
      <c r="AA113" s="12">
        <v>34</v>
      </c>
      <c r="AB113" s="12">
        <v>18</v>
      </c>
      <c r="AC113" s="12">
        <v>11</v>
      </c>
      <c r="AD113" s="12">
        <v>7</v>
      </c>
      <c r="AE113" s="12">
        <v>2</v>
      </c>
      <c r="AF113" s="12">
        <v>4</v>
      </c>
      <c r="AG113" s="12">
        <v>22</v>
      </c>
      <c r="AH113" s="12">
        <v>17</v>
      </c>
      <c r="AI113" s="17">
        <v>83</v>
      </c>
      <c r="AJ113" s="12">
        <v>-4</v>
      </c>
      <c r="AK113" s="12">
        <v>76</v>
      </c>
      <c r="AL113" s="12">
        <v>85</v>
      </c>
      <c r="AM113" s="19">
        <v>0.96470588235294119</v>
      </c>
      <c r="AN113" s="19">
        <v>1.0117647058823529</v>
      </c>
      <c r="AO113" s="18">
        <v>107.89473684210526</v>
      </c>
      <c r="AP113" s="18">
        <v>113.1578947368421</v>
      </c>
      <c r="AQ113" s="18">
        <v>-5.2631578947368354</v>
      </c>
      <c r="AR113" s="53">
        <v>0.54166666666666663</v>
      </c>
      <c r="AS113" s="53">
        <v>0.55405405405405406</v>
      </c>
      <c r="AT113" s="16">
        <v>8.2352941176470587E-2</v>
      </c>
      <c r="AU113" s="19">
        <v>1.7142857142857142</v>
      </c>
      <c r="AV113" s="16">
        <v>0.37647058823529411</v>
      </c>
      <c r="AW113" s="19">
        <v>0.875</v>
      </c>
      <c r="AX113" s="16">
        <v>2.3529411764705882E-2</v>
      </c>
      <c r="AY113" s="19">
        <v>1</v>
      </c>
      <c r="AZ113" s="16">
        <v>3.5294117647058823E-2</v>
      </c>
      <c r="BA113" s="19">
        <v>1</v>
      </c>
      <c r="BB113" s="16">
        <v>0.31764705882352939</v>
      </c>
      <c r="BC113" s="21">
        <v>1.2222222222222223</v>
      </c>
      <c r="BD113" s="16">
        <v>2.3529411764705882E-2</v>
      </c>
      <c r="BE113" s="16">
        <v>0.12941176470588237</v>
      </c>
      <c r="BF113" s="16">
        <v>0.51428571428571423</v>
      </c>
      <c r="BG113" s="16">
        <v>0.42857142857142855</v>
      </c>
      <c r="BH113" s="16">
        <v>0.75</v>
      </c>
      <c r="BI113" s="16">
        <v>0</v>
      </c>
      <c r="BJ113" s="16">
        <v>0.21176470588235294</v>
      </c>
      <c r="BK113" s="21">
        <v>1.6363636363636365</v>
      </c>
      <c r="BL113" s="16">
        <v>0.23684210526315788</v>
      </c>
      <c r="BM113" s="16">
        <v>0.21052631578947367</v>
      </c>
      <c r="BN113" s="16">
        <v>0.17647058823529413</v>
      </c>
      <c r="BO113" s="16">
        <v>1</v>
      </c>
      <c r="BP113" s="16">
        <v>0.73529411764705888</v>
      </c>
      <c r="BQ113" s="16">
        <v>0.7</v>
      </c>
      <c r="BR113" s="16">
        <v>0.7142857142857143</v>
      </c>
      <c r="BS113" s="16">
        <v>1</v>
      </c>
      <c r="BT113" s="16">
        <v>0.47222222222222221</v>
      </c>
      <c r="BU113" s="16">
        <v>9.2105263157894732E-2</v>
      </c>
      <c r="BV113" s="16">
        <v>3.0303030303030304E-2</v>
      </c>
      <c r="BW113" s="54">
        <v>4</v>
      </c>
      <c r="BX113" s="54">
        <v>0.40909090909090912</v>
      </c>
      <c r="BY113" s="54">
        <v>0.17647058823529413</v>
      </c>
      <c r="BZ113" s="12">
        <v>9</v>
      </c>
      <c r="CA113" s="12">
        <v>9</v>
      </c>
      <c r="CB113" s="12">
        <v>0</v>
      </c>
      <c r="CC113" s="12">
        <v>0</v>
      </c>
      <c r="CD113" s="12">
        <v>0</v>
      </c>
      <c r="CE113" s="12">
        <v>0</v>
      </c>
      <c r="CF113" s="12">
        <v>4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3</v>
      </c>
      <c r="CM113" s="12">
        <v>0</v>
      </c>
      <c r="CN113" s="12">
        <v>1</v>
      </c>
      <c r="CO113" s="12">
        <v>0</v>
      </c>
      <c r="CP113" s="12">
        <v>2</v>
      </c>
      <c r="CQ113" s="12">
        <v>0</v>
      </c>
      <c r="CR113" s="12">
        <v>8</v>
      </c>
      <c r="CS113" s="12">
        <v>0</v>
      </c>
      <c r="CT113" s="12">
        <v>4</v>
      </c>
      <c r="CU113" s="12">
        <v>0</v>
      </c>
      <c r="CV113" s="12">
        <v>2</v>
      </c>
      <c r="CW113" s="12">
        <v>0</v>
      </c>
      <c r="CX113" s="12">
        <v>8</v>
      </c>
      <c r="CY113" s="12">
        <v>0</v>
      </c>
      <c r="CZ113" s="12">
        <v>1</v>
      </c>
      <c r="DA113" s="12">
        <v>0</v>
      </c>
      <c r="DB113" s="12">
        <v>0</v>
      </c>
      <c r="DC113" s="12">
        <v>0</v>
      </c>
      <c r="DD113" s="12">
        <v>1</v>
      </c>
      <c r="DE113" s="12">
        <v>1</v>
      </c>
      <c r="DF113" s="12">
        <v>3</v>
      </c>
      <c r="DG113" s="12">
        <v>4</v>
      </c>
      <c r="DH113" s="12">
        <v>0</v>
      </c>
      <c r="DI113" s="12">
        <v>0</v>
      </c>
      <c r="DJ113" s="12">
        <v>0</v>
      </c>
      <c r="DK113" s="12">
        <v>0</v>
      </c>
      <c r="DL113" s="12">
        <v>6</v>
      </c>
      <c r="DM113" s="12">
        <v>7</v>
      </c>
      <c r="DN113" s="12">
        <v>14</v>
      </c>
      <c r="DO113" s="12">
        <v>32</v>
      </c>
      <c r="DP113" s="12">
        <v>1</v>
      </c>
      <c r="DQ113" s="12">
        <v>2</v>
      </c>
      <c r="DR113" s="12">
        <v>1</v>
      </c>
      <c r="DS113" s="12">
        <v>3</v>
      </c>
      <c r="DT113" s="12">
        <v>11</v>
      </c>
      <c r="DU113" s="12">
        <v>27</v>
      </c>
      <c r="DV113" s="12">
        <v>0</v>
      </c>
      <c r="DW113" s="12">
        <v>1</v>
      </c>
      <c r="DX113" s="12">
        <v>86</v>
      </c>
      <c r="DY113" s="12">
        <v>21</v>
      </c>
      <c r="DZ113" s="12">
        <v>41</v>
      </c>
      <c r="EA113" s="16">
        <v>0.51219512195121952</v>
      </c>
      <c r="EB113" s="12">
        <v>10</v>
      </c>
      <c r="EC113" s="12">
        <v>25</v>
      </c>
      <c r="ED113" s="16">
        <v>0.4</v>
      </c>
      <c r="EE113" s="12">
        <v>31</v>
      </c>
      <c r="EF113" s="12">
        <v>66</v>
      </c>
      <c r="EG113" s="16">
        <v>0.46969696969696972</v>
      </c>
      <c r="EH113" s="12">
        <v>14</v>
      </c>
      <c r="EI113" s="12">
        <v>17</v>
      </c>
      <c r="EJ113" s="16">
        <v>0.82352941176470584</v>
      </c>
      <c r="EK113" s="12">
        <v>9</v>
      </c>
      <c r="EL113" s="12">
        <v>29</v>
      </c>
      <c r="EM113" s="12">
        <v>38</v>
      </c>
      <c r="EN113" s="12">
        <v>13</v>
      </c>
      <c r="EO113" s="12">
        <v>17</v>
      </c>
      <c r="EP113" s="12">
        <v>22</v>
      </c>
      <c r="EQ113" s="12">
        <v>7</v>
      </c>
      <c r="ER113" s="12">
        <v>11</v>
      </c>
      <c r="ES113" s="12">
        <v>4</v>
      </c>
      <c r="ET113" s="12">
        <v>2</v>
      </c>
      <c r="EU113" s="12">
        <v>102</v>
      </c>
      <c r="EV113" s="12">
        <v>4</v>
      </c>
      <c r="EW113" s="12">
        <v>76</v>
      </c>
      <c r="EX113" s="12">
        <v>85</v>
      </c>
      <c r="EY113" s="12">
        <v>7</v>
      </c>
      <c r="EZ113" s="12">
        <v>5</v>
      </c>
      <c r="FA113" s="12">
        <v>7</v>
      </c>
      <c r="FB113" s="12">
        <v>1</v>
      </c>
      <c r="FC113" s="12">
        <v>2</v>
      </c>
      <c r="FD113" s="12">
        <v>1</v>
      </c>
      <c r="FE113" s="12">
        <v>0</v>
      </c>
      <c r="FF113" s="12">
        <v>4</v>
      </c>
      <c r="FG113" s="12">
        <v>0</v>
      </c>
      <c r="FH113" s="12">
        <v>1</v>
      </c>
      <c r="FI113" s="12">
        <v>0</v>
      </c>
      <c r="FJ113" s="12">
        <v>0</v>
      </c>
      <c r="FK113" s="12">
        <v>0</v>
      </c>
      <c r="FL113" s="12">
        <v>3</v>
      </c>
      <c r="FM113" s="12">
        <v>1</v>
      </c>
      <c r="FN113" s="12">
        <v>0</v>
      </c>
      <c r="FO113" s="12">
        <v>0</v>
      </c>
      <c r="FP113" s="12">
        <v>0</v>
      </c>
      <c r="FQ113" s="12">
        <v>0</v>
      </c>
      <c r="FR113" s="12">
        <v>14</v>
      </c>
      <c r="FS113" s="12">
        <v>0</v>
      </c>
      <c r="FT113" s="12">
        <v>1</v>
      </c>
      <c r="FU113" s="12">
        <v>0</v>
      </c>
      <c r="FV113" s="12">
        <v>2</v>
      </c>
      <c r="FW113" s="12">
        <v>0</v>
      </c>
      <c r="FX113" s="12">
        <v>11</v>
      </c>
      <c r="FY113" s="12">
        <v>1</v>
      </c>
      <c r="FZ113" s="12">
        <v>0</v>
      </c>
      <c r="GA113" s="12">
        <v>0</v>
      </c>
      <c r="GB113" s="12">
        <v>0</v>
      </c>
      <c r="GC113" s="12">
        <v>0</v>
      </c>
      <c r="GD113" s="12">
        <v>1</v>
      </c>
      <c r="GE113" s="12">
        <v>1</v>
      </c>
      <c r="GF113" s="12">
        <v>13</v>
      </c>
      <c r="GG113" s="12">
        <v>16</v>
      </c>
      <c r="GH113" s="12">
        <v>1</v>
      </c>
      <c r="GI113" s="12">
        <v>0</v>
      </c>
      <c r="GJ113" s="12">
        <v>0</v>
      </c>
      <c r="GK113" s="12">
        <v>0</v>
      </c>
      <c r="GL113" s="12">
        <v>13</v>
      </c>
      <c r="GM113" s="12">
        <v>16</v>
      </c>
      <c r="GN113" s="12">
        <v>4</v>
      </c>
      <c r="GO113" s="12">
        <v>16</v>
      </c>
      <c r="GP113" s="12">
        <v>4</v>
      </c>
      <c r="GQ113" s="12">
        <v>9</v>
      </c>
      <c r="GR113" s="12">
        <v>2</v>
      </c>
      <c r="GS113" s="12">
        <v>4</v>
      </c>
      <c r="GT113" s="12">
        <v>8</v>
      </c>
      <c r="GU113" s="12">
        <v>21</v>
      </c>
      <c r="GV113" s="12">
        <v>0</v>
      </c>
      <c r="GW113" s="12">
        <v>0</v>
      </c>
      <c r="GY113" s="16"/>
    </row>
    <row r="114" spans="2:207" ht="15" customHeight="1" x14ac:dyDescent="0.2">
      <c r="B114" s="12">
        <v>7</v>
      </c>
      <c r="C114" s="12" t="s">
        <v>282</v>
      </c>
      <c r="D114" s="12" t="s">
        <v>273</v>
      </c>
      <c r="E114" s="14" t="s">
        <v>284</v>
      </c>
      <c r="F114" s="14" t="s">
        <v>275</v>
      </c>
      <c r="G114" s="15">
        <v>45239</v>
      </c>
      <c r="H114" s="15" t="s">
        <v>271</v>
      </c>
      <c r="I114" s="12" t="s">
        <v>269</v>
      </c>
      <c r="J114" s="12" t="s">
        <v>272</v>
      </c>
      <c r="K114" s="12">
        <v>200</v>
      </c>
      <c r="L114" s="12">
        <v>90</v>
      </c>
      <c r="M114" s="12">
        <v>27</v>
      </c>
      <c r="N114" s="12">
        <v>37</v>
      </c>
      <c r="O114" s="16">
        <v>0.72972972972972971</v>
      </c>
      <c r="P114" s="12">
        <v>9</v>
      </c>
      <c r="Q114" s="12">
        <v>22</v>
      </c>
      <c r="R114" s="16">
        <v>0.40909090909090912</v>
      </c>
      <c r="S114" s="12">
        <v>36</v>
      </c>
      <c r="T114" s="12">
        <v>59</v>
      </c>
      <c r="U114" s="16">
        <v>0.61016949152542377</v>
      </c>
      <c r="V114" s="12">
        <v>9</v>
      </c>
      <c r="W114" s="12">
        <v>14</v>
      </c>
      <c r="X114" s="16">
        <v>0.6428571428571429</v>
      </c>
      <c r="Y114" s="12">
        <v>8</v>
      </c>
      <c r="Z114" s="12">
        <v>21</v>
      </c>
      <c r="AA114" s="12">
        <v>29</v>
      </c>
      <c r="AB114" s="12">
        <v>14</v>
      </c>
      <c r="AC114" s="12">
        <v>23</v>
      </c>
      <c r="AD114" s="12">
        <v>5</v>
      </c>
      <c r="AE114" s="12">
        <v>1</v>
      </c>
      <c r="AF114" s="12">
        <v>2</v>
      </c>
      <c r="AG114" s="12">
        <v>23</v>
      </c>
      <c r="AH114" s="12">
        <v>21</v>
      </c>
      <c r="AI114" s="17">
        <v>84</v>
      </c>
      <c r="AJ114" s="12">
        <v>-3</v>
      </c>
      <c r="AK114" s="12">
        <v>81</v>
      </c>
      <c r="AL114" s="12">
        <v>89</v>
      </c>
      <c r="AM114" s="19">
        <v>1.0112359550561798</v>
      </c>
      <c r="AN114" s="19">
        <v>1.0449438202247192</v>
      </c>
      <c r="AO114" s="18">
        <v>111.11111111111111</v>
      </c>
      <c r="AP114" s="18">
        <v>116.25000000000001</v>
      </c>
      <c r="AQ114" s="18">
        <v>-5.1388888888888999</v>
      </c>
      <c r="AR114" s="53">
        <v>0.68644067796610164</v>
      </c>
      <c r="AS114" s="53">
        <v>0.68181818181818177</v>
      </c>
      <c r="AT114" s="16">
        <v>0.14606741573033707</v>
      </c>
      <c r="AU114" s="19">
        <v>1.8461538461538463</v>
      </c>
      <c r="AV114" s="16">
        <v>0.15730337078651685</v>
      </c>
      <c r="AW114" s="19">
        <v>1.1428571428571428</v>
      </c>
      <c r="AX114" s="16">
        <v>0.11235955056179775</v>
      </c>
      <c r="AY114" s="19">
        <v>1.4</v>
      </c>
      <c r="AZ114" s="16">
        <v>1.1235955056179775E-2</v>
      </c>
      <c r="BA114" s="19">
        <v>3</v>
      </c>
      <c r="BB114" s="16">
        <v>0.2247191011235955</v>
      </c>
      <c r="BC114" s="21">
        <v>1.2</v>
      </c>
      <c r="BD114" s="16">
        <v>7.8651685393258425E-2</v>
      </c>
      <c r="BE114" s="16">
        <v>0.25842696629213485</v>
      </c>
      <c r="BF114" s="16">
        <v>0.32558139534883723</v>
      </c>
      <c r="BG114" s="16">
        <v>0.25925925925925924</v>
      </c>
      <c r="BH114" s="16">
        <v>0.55555555555555558</v>
      </c>
      <c r="BI114" s="16">
        <v>0.2857142857142857</v>
      </c>
      <c r="BJ114" s="16">
        <v>0.15730337078651685</v>
      </c>
      <c r="BK114" s="21">
        <v>0.60869565217391308</v>
      </c>
      <c r="BL114" s="16">
        <v>0.34782608695652173</v>
      </c>
      <c r="BM114" s="16">
        <v>0.53333333333333333</v>
      </c>
      <c r="BN114" s="16">
        <v>0.25</v>
      </c>
      <c r="BO114" s="16">
        <v>0</v>
      </c>
      <c r="BP114" s="16">
        <v>0.7</v>
      </c>
      <c r="BQ114" s="16">
        <v>0.61111111111111116</v>
      </c>
      <c r="BR114" s="16">
        <v>0.70588235294117652</v>
      </c>
      <c r="BS114" s="16" t="s">
        <v>269</v>
      </c>
      <c r="BT114" s="16">
        <v>0.54716981132075471</v>
      </c>
      <c r="BU114" s="16">
        <v>6.25E-2</v>
      </c>
      <c r="BV114" s="16">
        <v>1.6666666666666666E-2</v>
      </c>
      <c r="BW114" s="54">
        <v>3</v>
      </c>
      <c r="BX114" s="54">
        <v>0.52173913043478259</v>
      </c>
      <c r="BY114" s="54">
        <v>0.33333333333333331</v>
      </c>
      <c r="BZ114" s="12">
        <v>7</v>
      </c>
      <c r="CA114" s="12">
        <v>5</v>
      </c>
      <c r="CB114" s="12">
        <v>2</v>
      </c>
      <c r="CC114" s="12">
        <v>4</v>
      </c>
      <c r="CD114" s="12">
        <v>1</v>
      </c>
      <c r="CE114" s="12">
        <v>0</v>
      </c>
      <c r="CF114" s="12">
        <v>3</v>
      </c>
      <c r="CG114" s="12">
        <v>3</v>
      </c>
      <c r="CH114" s="12">
        <v>1</v>
      </c>
      <c r="CI114" s="12">
        <v>0</v>
      </c>
      <c r="CJ114" s="12">
        <v>0</v>
      </c>
      <c r="CK114" s="12">
        <v>0</v>
      </c>
      <c r="CL114" s="12">
        <v>3</v>
      </c>
      <c r="CM114" s="12">
        <v>0</v>
      </c>
      <c r="CN114" s="12">
        <v>0</v>
      </c>
      <c r="CO114" s="12">
        <v>0</v>
      </c>
      <c r="CP114" s="12">
        <v>1</v>
      </c>
      <c r="CQ114" s="12">
        <v>1</v>
      </c>
      <c r="CR114" s="12">
        <v>7</v>
      </c>
      <c r="CS114" s="12">
        <v>0</v>
      </c>
      <c r="CT114" s="12">
        <v>2</v>
      </c>
      <c r="CU114" s="12">
        <v>0</v>
      </c>
      <c r="CV114" s="12">
        <v>3</v>
      </c>
      <c r="CW114" s="12">
        <v>0</v>
      </c>
      <c r="CX114" s="12">
        <v>8</v>
      </c>
      <c r="CY114" s="12">
        <v>1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9</v>
      </c>
      <c r="DG114" s="12">
        <v>14</v>
      </c>
      <c r="DH114" s="12">
        <v>0</v>
      </c>
      <c r="DI114" s="12">
        <v>0</v>
      </c>
      <c r="DJ114" s="12">
        <v>0</v>
      </c>
      <c r="DK114" s="12">
        <v>0</v>
      </c>
      <c r="DL114" s="12">
        <v>12</v>
      </c>
      <c r="DM114" s="12">
        <v>13</v>
      </c>
      <c r="DN114" s="12">
        <v>8</v>
      </c>
      <c r="DO114" s="12">
        <v>14</v>
      </c>
      <c r="DP114" s="12">
        <v>7</v>
      </c>
      <c r="DQ114" s="12">
        <v>10</v>
      </c>
      <c r="DR114" s="12">
        <v>1</v>
      </c>
      <c r="DS114" s="12">
        <v>1</v>
      </c>
      <c r="DT114" s="12">
        <v>8</v>
      </c>
      <c r="DU114" s="12">
        <v>20</v>
      </c>
      <c r="DV114" s="12">
        <v>0</v>
      </c>
      <c r="DW114" s="12">
        <v>1</v>
      </c>
      <c r="DX114" s="12">
        <v>93</v>
      </c>
      <c r="DY114" s="12">
        <v>20</v>
      </c>
      <c r="DZ114" s="12">
        <v>34</v>
      </c>
      <c r="EA114" s="16">
        <v>0.58823529411764708</v>
      </c>
      <c r="EB114" s="12">
        <v>10</v>
      </c>
      <c r="EC114" s="12">
        <v>26</v>
      </c>
      <c r="ED114" s="16">
        <v>0.38461538461538464</v>
      </c>
      <c r="EE114" s="12">
        <v>30</v>
      </c>
      <c r="EF114" s="12">
        <v>60</v>
      </c>
      <c r="EG114" s="16">
        <v>0.5</v>
      </c>
      <c r="EH114" s="12">
        <v>23</v>
      </c>
      <c r="EI114" s="12">
        <v>25</v>
      </c>
      <c r="EJ114" s="16">
        <v>0.92</v>
      </c>
      <c r="EK114" s="12">
        <v>9</v>
      </c>
      <c r="EL114" s="12">
        <v>15</v>
      </c>
      <c r="EM114" s="12">
        <v>24</v>
      </c>
      <c r="EN114" s="12">
        <v>20</v>
      </c>
      <c r="EO114" s="12">
        <v>21</v>
      </c>
      <c r="EP114" s="12">
        <v>23</v>
      </c>
      <c r="EQ114" s="12">
        <v>12</v>
      </c>
      <c r="ER114" s="12">
        <v>17</v>
      </c>
      <c r="ES114" s="12">
        <v>2</v>
      </c>
      <c r="ET114" s="12">
        <v>1</v>
      </c>
      <c r="EU114" s="12">
        <v>103</v>
      </c>
      <c r="EV114" s="12">
        <v>3</v>
      </c>
      <c r="EW114" s="12">
        <v>80</v>
      </c>
      <c r="EX114" s="12">
        <v>89</v>
      </c>
      <c r="EY114" s="12">
        <v>4</v>
      </c>
      <c r="EZ114" s="12">
        <v>6</v>
      </c>
      <c r="FA114" s="12">
        <v>9</v>
      </c>
      <c r="FB114" s="12">
        <v>4</v>
      </c>
      <c r="FC114" s="12">
        <v>8</v>
      </c>
      <c r="FD114" s="12">
        <v>0</v>
      </c>
      <c r="FE114" s="12">
        <v>0</v>
      </c>
      <c r="FF114" s="12">
        <v>3</v>
      </c>
      <c r="FG114" s="12">
        <v>2</v>
      </c>
      <c r="FH114" s="12">
        <v>1</v>
      </c>
      <c r="FI114" s="12">
        <v>1</v>
      </c>
      <c r="FJ114" s="12">
        <v>3</v>
      </c>
      <c r="FK114" s="12">
        <v>0</v>
      </c>
      <c r="FL114" s="12">
        <v>2</v>
      </c>
      <c r="FM114" s="12">
        <v>0</v>
      </c>
      <c r="FN114" s="12">
        <v>0</v>
      </c>
      <c r="FO114" s="12">
        <v>0</v>
      </c>
      <c r="FP114" s="12">
        <v>0</v>
      </c>
      <c r="FQ114" s="12">
        <v>0</v>
      </c>
      <c r="FR114" s="12">
        <v>3</v>
      </c>
      <c r="FS114" s="12">
        <v>2</v>
      </c>
      <c r="FT114" s="12">
        <v>2</v>
      </c>
      <c r="FU114" s="12">
        <v>0</v>
      </c>
      <c r="FV114" s="12">
        <v>0</v>
      </c>
      <c r="FW114" s="12">
        <v>0</v>
      </c>
      <c r="FX114" s="12">
        <v>8</v>
      </c>
      <c r="FY114" s="12">
        <v>1</v>
      </c>
      <c r="FZ114" s="12">
        <v>2</v>
      </c>
      <c r="GA114" s="12">
        <v>0</v>
      </c>
      <c r="GB114" s="12">
        <v>1</v>
      </c>
      <c r="GC114" s="12">
        <v>1</v>
      </c>
      <c r="GD114" s="12">
        <v>0</v>
      </c>
      <c r="GE114" s="12">
        <v>0</v>
      </c>
      <c r="GF114" s="12">
        <v>22</v>
      </c>
      <c r="GG114" s="12">
        <v>24</v>
      </c>
      <c r="GH114" s="12">
        <v>0</v>
      </c>
      <c r="GI114" s="12">
        <v>0</v>
      </c>
      <c r="GJ114" s="12">
        <v>0</v>
      </c>
      <c r="GK114" s="12">
        <v>0</v>
      </c>
      <c r="GL114" s="12">
        <v>10</v>
      </c>
      <c r="GM114" s="12">
        <v>11</v>
      </c>
      <c r="GN114" s="12">
        <v>7</v>
      </c>
      <c r="GO114" s="12">
        <v>17</v>
      </c>
      <c r="GP114" s="12">
        <v>3</v>
      </c>
      <c r="GQ114" s="12">
        <v>6</v>
      </c>
      <c r="GR114" s="12">
        <v>3</v>
      </c>
      <c r="GS114" s="12">
        <v>9</v>
      </c>
      <c r="GT114" s="12">
        <v>7</v>
      </c>
      <c r="GU114" s="12">
        <v>17</v>
      </c>
      <c r="GV114" s="12">
        <v>0</v>
      </c>
      <c r="GW114" s="12">
        <v>0</v>
      </c>
      <c r="GY114" s="16"/>
    </row>
    <row r="115" spans="2:207" ht="15" customHeight="1" x14ac:dyDescent="0.2">
      <c r="B115" s="12">
        <v>7</v>
      </c>
      <c r="C115" s="12" t="s">
        <v>273</v>
      </c>
      <c r="D115" s="12" t="s">
        <v>282</v>
      </c>
      <c r="E115" s="14" t="s">
        <v>275</v>
      </c>
      <c r="F115" s="14" t="s">
        <v>284</v>
      </c>
      <c r="G115" s="15">
        <v>45239</v>
      </c>
      <c r="H115" s="15" t="s">
        <v>268</v>
      </c>
      <c r="I115" s="12" t="s">
        <v>269</v>
      </c>
      <c r="J115" s="12" t="s">
        <v>270</v>
      </c>
      <c r="K115" s="12">
        <v>200</v>
      </c>
      <c r="L115" s="12">
        <v>93</v>
      </c>
      <c r="M115" s="12">
        <v>20</v>
      </c>
      <c r="N115" s="12">
        <v>34</v>
      </c>
      <c r="O115" s="16">
        <v>0.58823529411764708</v>
      </c>
      <c r="P115" s="12">
        <v>10</v>
      </c>
      <c r="Q115" s="12">
        <v>26</v>
      </c>
      <c r="R115" s="16">
        <v>0.38461538461538464</v>
      </c>
      <c r="S115" s="12">
        <v>30</v>
      </c>
      <c r="T115" s="12">
        <v>60</v>
      </c>
      <c r="U115" s="16">
        <v>0.5</v>
      </c>
      <c r="V115" s="12">
        <v>23</v>
      </c>
      <c r="W115" s="12">
        <v>25</v>
      </c>
      <c r="X115" s="16">
        <v>0.92</v>
      </c>
      <c r="Y115" s="12">
        <v>9</v>
      </c>
      <c r="Z115" s="12">
        <v>15</v>
      </c>
      <c r="AA115" s="12">
        <v>24</v>
      </c>
      <c r="AB115" s="12">
        <v>20</v>
      </c>
      <c r="AC115" s="12">
        <v>17</v>
      </c>
      <c r="AD115" s="12">
        <v>12</v>
      </c>
      <c r="AE115" s="12">
        <v>2</v>
      </c>
      <c r="AF115" s="12">
        <v>1</v>
      </c>
      <c r="AG115" s="12">
        <v>21</v>
      </c>
      <c r="AH115" s="12">
        <v>23</v>
      </c>
      <c r="AI115" s="17">
        <v>103</v>
      </c>
      <c r="AJ115" s="12">
        <v>3</v>
      </c>
      <c r="AK115" s="12">
        <v>80</v>
      </c>
      <c r="AL115" s="12">
        <v>89</v>
      </c>
      <c r="AM115" s="19">
        <v>1.0449438202247192</v>
      </c>
      <c r="AN115" s="19">
        <v>1.0112359550561798</v>
      </c>
      <c r="AO115" s="18">
        <v>116.25000000000001</v>
      </c>
      <c r="AP115" s="18">
        <v>111.11111111111111</v>
      </c>
      <c r="AQ115" s="18">
        <v>5.1388888888888999</v>
      </c>
      <c r="AR115" s="53">
        <v>0.58333333333333337</v>
      </c>
      <c r="AS115" s="53">
        <v>0.64583333333333337</v>
      </c>
      <c r="AT115" s="16">
        <v>0.12359550561797752</v>
      </c>
      <c r="AU115" s="19">
        <v>1.8181818181818181</v>
      </c>
      <c r="AV115" s="16">
        <v>0.19101123595505617</v>
      </c>
      <c r="AW115" s="19">
        <v>0.82352941176470584</v>
      </c>
      <c r="AX115" s="16">
        <v>6.741573033707865E-2</v>
      </c>
      <c r="AY115" s="19">
        <v>1</v>
      </c>
      <c r="AZ115" s="16">
        <v>0.10112359550561797</v>
      </c>
      <c r="BA115" s="19">
        <v>1</v>
      </c>
      <c r="BB115" s="16">
        <v>0.19101123595505617</v>
      </c>
      <c r="BC115" s="21">
        <v>1.2352941176470589</v>
      </c>
      <c r="BD115" s="16">
        <v>0.1348314606741573</v>
      </c>
      <c r="BE115" s="16">
        <v>0.19101123595505617</v>
      </c>
      <c r="BF115" s="16">
        <v>0.45238095238095238</v>
      </c>
      <c r="BG115" s="16">
        <v>0.3</v>
      </c>
      <c r="BH115" s="16">
        <v>0.9</v>
      </c>
      <c r="BI115" s="16">
        <v>0.33333333333333331</v>
      </c>
      <c r="BJ115" s="16">
        <v>0.2247191011235955</v>
      </c>
      <c r="BK115" s="21">
        <v>1.1764705882352942</v>
      </c>
      <c r="BL115" s="16">
        <v>0.3</v>
      </c>
      <c r="BM115" s="16">
        <v>0.3888888888888889</v>
      </c>
      <c r="BN115" s="16">
        <v>0.29411764705882354</v>
      </c>
      <c r="BO115" s="16" t="s">
        <v>269</v>
      </c>
      <c r="BP115" s="16">
        <v>0.65217391304347827</v>
      </c>
      <c r="BQ115" s="16">
        <v>0.46666666666666667</v>
      </c>
      <c r="BR115" s="16">
        <v>0.75</v>
      </c>
      <c r="BS115" s="16">
        <v>1</v>
      </c>
      <c r="BT115" s="16">
        <v>0.45283018867924529</v>
      </c>
      <c r="BU115" s="16">
        <v>0.14814814814814814</v>
      </c>
      <c r="BV115" s="16">
        <v>3.3898305084745763E-2</v>
      </c>
      <c r="BW115" s="54">
        <v>4</v>
      </c>
      <c r="BX115" s="54">
        <v>0.33333333333333331</v>
      </c>
      <c r="BY115" s="54">
        <v>0.52173913043478259</v>
      </c>
      <c r="BZ115" s="12">
        <v>6</v>
      </c>
      <c r="CA115" s="12">
        <v>9</v>
      </c>
      <c r="CB115" s="12">
        <v>4</v>
      </c>
      <c r="CC115" s="12">
        <v>8</v>
      </c>
      <c r="CD115" s="12">
        <v>0</v>
      </c>
      <c r="CE115" s="12">
        <v>0</v>
      </c>
      <c r="CF115" s="12">
        <v>3</v>
      </c>
      <c r="CG115" s="12">
        <v>2</v>
      </c>
      <c r="CH115" s="12">
        <v>1</v>
      </c>
      <c r="CI115" s="12">
        <v>1</v>
      </c>
      <c r="CJ115" s="12">
        <v>3</v>
      </c>
      <c r="CK115" s="12">
        <v>0</v>
      </c>
      <c r="CL115" s="12">
        <v>2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3</v>
      </c>
      <c r="CS115" s="12">
        <v>2</v>
      </c>
      <c r="CT115" s="12">
        <v>2</v>
      </c>
      <c r="CU115" s="12">
        <v>0</v>
      </c>
      <c r="CV115" s="12">
        <v>0</v>
      </c>
      <c r="CW115" s="12">
        <v>0</v>
      </c>
      <c r="CX115" s="12">
        <v>8</v>
      </c>
      <c r="CY115" s="12">
        <v>1</v>
      </c>
      <c r="CZ115" s="12">
        <v>2</v>
      </c>
      <c r="DA115" s="12">
        <v>0</v>
      </c>
      <c r="DB115" s="12">
        <v>1</v>
      </c>
      <c r="DC115" s="12">
        <v>1</v>
      </c>
      <c r="DD115" s="12">
        <v>0</v>
      </c>
      <c r="DE115" s="12">
        <v>0</v>
      </c>
      <c r="DF115" s="12">
        <v>22</v>
      </c>
      <c r="DG115" s="12">
        <v>24</v>
      </c>
      <c r="DH115" s="12">
        <v>0</v>
      </c>
      <c r="DI115" s="12">
        <v>0</v>
      </c>
      <c r="DJ115" s="12">
        <v>0</v>
      </c>
      <c r="DK115" s="12">
        <v>0</v>
      </c>
      <c r="DL115" s="12">
        <v>10</v>
      </c>
      <c r="DM115" s="12">
        <v>11</v>
      </c>
      <c r="DN115" s="12">
        <v>7</v>
      </c>
      <c r="DO115" s="12">
        <v>17</v>
      </c>
      <c r="DP115" s="12">
        <v>3</v>
      </c>
      <c r="DQ115" s="12">
        <v>6</v>
      </c>
      <c r="DR115" s="12">
        <v>3</v>
      </c>
      <c r="DS115" s="12">
        <v>9</v>
      </c>
      <c r="DT115" s="12">
        <v>7</v>
      </c>
      <c r="DU115" s="12">
        <v>17</v>
      </c>
      <c r="DV115" s="12">
        <v>0</v>
      </c>
      <c r="DW115" s="12">
        <v>0</v>
      </c>
      <c r="DX115" s="12">
        <v>90</v>
      </c>
      <c r="DY115" s="12">
        <v>27</v>
      </c>
      <c r="DZ115" s="12">
        <v>37</v>
      </c>
      <c r="EA115" s="16">
        <v>0.72972972972972971</v>
      </c>
      <c r="EB115" s="12">
        <v>9</v>
      </c>
      <c r="EC115" s="12">
        <v>22</v>
      </c>
      <c r="ED115" s="16">
        <v>0.40909090909090912</v>
      </c>
      <c r="EE115" s="12">
        <v>36</v>
      </c>
      <c r="EF115" s="12">
        <v>59</v>
      </c>
      <c r="EG115" s="16">
        <v>0.61016949152542377</v>
      </c>
      <c r="EH115" s="12">
        <v>9</v>
      </c>
      <c r="EI115" s="12">
        <v>14</v>
      </c>
      <c r="EJ115" s="16">
        <v>0.6428571428571429</v>
      </c>
      <c r="EK115" s="12">
        <v>8</v>
      </c>
      <c r="EL115" s="12">
        <v>21</v>
      </c>
      <c r="EM115" s="12">
        <v>29</v>
      </c>
      <c r="EN115" s="12">
        <v>14</v>
      </c>
      <c r="EO115" s="12">
        <v>24</v>
      </c>
      <c r="EP115" s="12">
        <v>21</v>
      </c>
      <c r="EQ115" s="12">
        <v>5</v>
      </c>
      <c r="ER115" s="12">
        <v>23</v>
      </c>
      <c r="ES115" s="12">
        <v>1</v>
      </c>
      <c r="ET115" s="12">
        <v>2</v>
      </c>
      <c r="EU115" s="12">
        <v>83</v>
      </c>
      <c r="EV115" s="12">
        <v>-3</v>
      </c>
      <c r="EW115" s="12">
        <v>81</v>
      </c>
      <c r="EX115" s="12">
        <v>89</v>
      </c>
      <c r="EY115" s="12">
        <v>3</v>
      </c>
      <c r="EZ115" s="12">
        <v>7</v>
      </c>
      <c r="FA115" s="12">
        <v>5</v>
      </c>
      <c r="FB115" s="12">
        <v>2</v>
      </c>
      <c r="FC115" s="12">
        <v>4</v>
      </c>
      <c r="FD115" s="12">
        <v>1</v>
      </c>
      <c r="FE115" s="12">
        <v>0</v>
      </c>
      <c r="FF115" s="12">
        <v>3</v>
      </c>
      <c r="FG115" s="12">
        <v>3</v>
      </c>
      <c r="FH115" s="12">
        <v>1</v>
      </c>
      <c r="FI115" s="12">
        <v>0</v>
      </c>
      <c r="FJ115" s="12">
        <v>0</v>
      </c>
      <c r="FK115" s="12">
        <v>0</v>
      </c>
      <c r="FL115" s="12">
        <v>3</v>
      </c>
      <c r="FM115" s="12">
        <v>0</v>
      </c>
      <c r="FN115" s="12">
        <v>0</v>
      </c>
      <c r="FO115" s="12">
        <v>0</v>
      </c>
      <c r="FP115" s="12">
        <v>1</v>
      </c>
      <c r="FQ115" s="12">
        <v>1</v>
      </c>
      <c r="FR115" s="12">
        <v>7</v>
      </c>
      <c r="FS115" s="12">
        <v>0</v>
      </c>
      <c r="FT115" s="12">
        <v>2</v>
      </c>
      <c r="FU115" s="12">
        <v>0</v>
      </c>
      <c r="FV115" s="12">
        <v>3</v>
      </c>
      <c r="FW115" s="12">
        <v>0</v>
      </c>
      <c r="FX115" s="12">
        <v>8</v>
      </c>
      <c r="FY115" s="12">
        <v>1</v>
      </c>
      <c r="FZ115" s="12">
        <v>0</v>
      </c>
      <c r="GA115" s="12">
        <v>0</v>
      </c>
      <c r="GB115" s="12">
        <v>0</v>
      </c>
      <c r="GC115" s="12">
        <v>0</v>
      </c>
      <c r="GD115" s="12">
        <v>0</v>
      </c>
      <c r="GE115" s="12">
        <v>0</v>
      </c>
      <c r="GF115" s="12">
        <v>9</v>
      </c>
      <c r="GG115" s="12">
        <v>14</v>
      </c>
      <c r="GH115" s="12">
        <v>0</v>
      </c>
      <c r="GI115" s="12">
        <v>0</v>
      </c>
      <c r="GJ115" s="12">
        <v>0</v>
      </c>
      <c r="GK115" s="12">
        <v>0</v>
      </c>
      <c r="GL115" s="12">
        <v>12</v>
      </c>
      <c r="GM115" s="12">
        <v>13</v>
      </c>
      <c r="GN115" s="12">
        <v>8</v>
      </c>
      <c r="GO115" s="12">
        <v>14</v>
      </c>
      <c r="GP115" s="12">
        <v>7</v>
      </c>
      <c r="GQ115" s="12">
        <v>10</v>
      </c>
      <c r="GR115" s="12">
        <v>1</v>
      </c>
      <c r="GS115" s="12">
        <v>1</v>
      </c>
      <c r="GT115" s="12">
        <v>8</v>
      </c>
      <c r="GU115" s="12">
        <v>20</v>
      </c>
      <c r="GV115" s="12">
        <v>0</v>
      </c>
      <c r="GW115" s="12">
        <v>1</v>
      </c>
      <c r="GY115" s="16"/>
    </row>
    <row r="116" spans="2:207" ht="15" customHeight="1" x14ac:dyDescent="0.2">
      <c r="B116" s="12">
        <v>7</v>
      </c>
      <c r="C116" s="12" t="s">
        <v>289</v>
      </c>
      <c r="D116" s="12" t="s">
        <v>93</v>
      </c>
      <c r="E116" s="14" t="s">
        <v>291</v>
      </c>
      <c r="F116" s="14" t="s">
        <v>303</v>
      </c>
      <c r="G116" s="15">
        <v>45239</v>
      </c>
      <c r="H116" s="15" t="s">
        <v>268</v>
      </c>
      <c r="I116" s="12" t="s">
        <v>269</v>
      </c>
      <c r="J116" s="12" t="s">
        <v>270</v>
      </c>
      <c r="K116" s="12">
        <v>200</v>
      </c>
      <c r="L116" s="12">
        <v>83</v>
      </c>
      <c r="M116" s="12">
        <v>19</v>
      </c>
      <c r="N116" s="12">
        <v>34</v>
      </c>
      <c r="O116" s="16">
        <v>0.55882352941176472</v>
      </c>
      <c r="P116" s="12">
        <v>12</v>
      </c>
      <c r="Q116" s="12">
        <v>31</v>
      </c>
      <c r="R116" s="16">
        <v>0.38709677419354838</v>
      </c>
      <c r="S116" s="12">
        <v>31</v>
      </c>
      <c r="T116" s="12">
        <v>65</v>
      </c>
      <c r="U116" s="16">
        <v>0.47692307692307695</v>
      </c>
      <c r="V116" s="12">
        <v>9</v>
      </c>
      <c r="W116" s="12">
        <v>13</v>
      </c>
      <c r="X116" s="16">
        <v>0.69230769230769229</v>
      </c>
      <c r="Y116" s="12">
        <v>11</v>
      </c>
      <c r="Z116" s="12">
        <v>29</v>
      </c>
      <c r="AA116" s="12">
        <v>40</v>
      </c>
      <c r="AB116" s="12">
        <v>17</v>
      </c>
      <c r="AC116" s="12">
        <v>12</v>
      </c>
      <c r="AD116" s="12">
        <v>12</v>
      </c>
      <c r="AE116" s="12">
        <v>5</v>
      </c>
      <c r="AF116" s="12">
        <v>1</v>
      </c>
      <c r="AG116" s="12">
        <v>16</v>
      </c>
      <c r="AH116" s="12">
        <v>19</v>
      </c>
      <c r="AI116" s="17">
        <v>109</v>
      </c>
      <c r="AJ116" s="12">
        <v>31</v>
      </c>
      <c r="AK116" s="12">
        <v>71</v>
      </c>
      <c r="AL116" s="12">
        <v>82</v>
      </c>
      <c r="AM116" s="19">
        <v>1.0121951219512195</v>
      </c>
      <c r="AN116" s="19">
        <v>0.63414634146341464</v>
      </c>
      <c r="AO116" s="18">
        <v>116.90140845070422</v>
      </c>
      <c r="AP116" s="18">
        <v>73.239436619718319</v>
      </c>
      <c r="AQ116" s="18">
        <v>43.661971830985905</v>
      </c>
      <c r="AR116" s="53">
        <v>0.56923076923076921</v>
      </c>
      <c r="AS116" s="53">
        <v>0.59285714285714286</v>
      </c>
      <c r="AT116" s="16">
        <v>0.2073170731707317</v>
      </c>
      <c r="AU116" s="19">
        <v>1.5294117647058822</v>
      </c>
      <c r="AV116" s="16">
        <v>0.17073170731707318</v>
      </c>
      <c r="AW116" s="19">
        <v>0.8571428571428571</v>
      </c>
      <c r="AX116" s="16">
        <v>3.6585365853658534E-2</v>
      </c>
      <c r="AY116" s="19">
        <v>0</v>
      </c>
      <c r="AZ116" s="16">
        <v>3.6585365853658534E-2</v>
      </c>
      <c r="BA116" s="19">
        <v>2</v>
      </c>
      <c r="BB116" s="16">
        <v>0.32926829268292684</v>
      </c>
      <c r="BC116" s="21">
        <v>1.1111111111111112</v>
      </c>
      <c r="BD116" s="16">
        <v>6.097560975609756E-2</v>
      </c>
      <c r="BE116" s="16">
        <v>0.14634146341463414</v>
      </c>
      <c r="BF116" s="16">
        <v>0.47222222222222221</v>
      </c>
      <c r="BG116" s="16">
        <v>0.36842105263157893</v>
      </c>
      <c r="BH116" s="16">
        <v>0.75</v>
      </c>
      <c r="BI116" s="16">
        <v>0.2</v>
      </c>
      <c r="BJ116" s="16">
        <v>0.2073170731707317</v>
      </c>
      <c r="BK116" s="21">
        <v>1.4166666666666667</v>
      </c>
      <c r="BL116" s="16">
        <v>0.29729729729729731</v>
      </c>
      <c r="BM116" s="16">
        <v>0.2</v>
      </c>
      <c r="BN116" s="16">
        <v>0.35</v>
      </c>
      <c r="BO116" s="16">
        <v>0.6</v>
      </c>
      <c r="BP116" s="16">
        <v>0.72499999999999998</v>
      </c>
      <c r="BQ116" s="16">
        <v>0.82608695652173914</v>
      </c>
      <c r="BR116" s="16">
        <v>0.52380952380952384</v>
      </c>
      <c r="BS116" s="16" t="s">
        <v>269</v>
      </c>
      <c r="BT116" s="16">
        <v>0.51948051948051943</v>
      </c>
      <c r="BU116" s="16">
        <v>0.16901408450704225</v>
      </c>
      <c r="BV116" s="16">
        <v>8.9285714285714288E-2</v>
      </c>
      <c r="BW116" s="54">
        <v>9</v>
      </c>
      <c r="BX116" s="54">
        <v>0.5</v>
      </c>
      <c r="BY116" s="54">
        <v>0.42105263157894735</v>
      </c>
      <c r="BZ116" s="12">
        <v>7</v>
      </c>
      <c r="CA116" s="12">
        <v>9</v>
      </c>
      <c r="CB116" s="12">
        <v>1</v>
      </c>
      <c r="CC116" s="12">
        <v>2</v>
      </c>
      <c r="CD116" s="12">
        <v>0</v>
      </c>
      <c r="CE116" s="12">
        <v>0</v>
      </c>
      <c r="CF116" s="12">
        <v>3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6</v>
      </c>
      <c r="CM116" s="12">
        <v>1</v>
      </c>
      <c r="CN116" s="12">
        <v>2</v>
      </c>
      <c r="CO116" s="12">
        <v>1</v>
      </c>
      <c r="CP116" s="12">
        <v>1</v>
      </c>
      <c r="CQ116" s="12">
        <v>0</v>
      </c>
      <c r="CR116" s="12">
        <v>15</v>
      </c>
      <c r="CS116" s="12">
        <v>0</v>
      </c>
      <c r="CT116" s="12">
        <v>3</v>
      </c>
      <c r="CU116" s="12">
        <v>0</v>
      </c>
      <c r="CV116" s="12">
        <v>0</v>
      </c>
      <c r="CW116" s="12">
        <v>0</v>
      </c>
      <c r="CX116" s="12">
        <v>10</v>
      </c>
      <c r="CY116" s="12">
        <v>1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3</v>
      </c>
      <c r="DF116" s="12">
        <v>9</v>
      </c>
      <c r="DG116" s="12">
        <v>10</v>
      </c>
      <c r="DH116" s="12">
        <v>0</v>
      </c>
      <c r="DI116" s="12">
        <v>0</v>
      </c>
      <c r="DJ116" s="12">
        <v>0</v>
      </c>
      <c r="DK116" s="12">
        <v>0</v>
      </c>
      <c r="DL116" s="12">
        <v>13</v>
      </c>
      <c r="DM116" s="12">
        <v>17</v>
      </c>
      <c r="DN116" s="12">
        <v>6</v>
      </c>
      <c r="DO116" s="12">
        <v>14</v>
      </c>
      <c r="DP116" s="12">
        <v>0</v>
      </c>
      <c r="DQ116" s="12">
        <v>3</v>
      </c>
      <c r="DR116" s="12">
        <v>2</v>
      </c>
      <c r="DS116" s="12">
        <v>3</v>
      </c>
      <c r="DT116" s="12">
        <v>10</v>
      </c>
      <c r="DU116" s="12">
        <v>27</v>
      </c>
      <c r="DV116" s="12">
        <v>0</v>
      </c>
      <c r="DW116" s="12">
        <v>1</v>
      </c>
      <c r="DX116" s="12">
        <v>52</v>
      </c>
      <c r="DY116" s="12">
        <v>9</v>
      </c>
      <c r="DZ116" s="12">
        <v>32</v>
      </c>
      <c r="EA116" s="16">
        <v>0.28125</v>
      </c>
      <c r="EB116" s="12">
        <v>7</v>
      </c>
      <c r="EC116" s="12">
        <v>24</v>
      </c>
      <c r="ED116" s="16">
        <v>0.29166666666666669</v>
      </c>
      <c r="EE116" s="12">
        <v>16</v>
      </c>
      <c r="EF116" s="12">
        <v>56</v>
      </c>
      <c r="EG116" s="16">
        <v>0.2857142857142857</v>
      </c>
      <c r="EH116" s="12">
        <v>13</v>
      </c>
      <c r="EI116" s="12">
        <v>16</v>
      </c>
      <c r="EJ116" s="16">
        <v>0.8125</v>
      </c>
      <c r="EK116" s="12">
        <v>11</v>
      </c>
      <c r="EL116" s="12">
        <v>26</v>
      </c>
      <c r="EM116" s="12">
        <v>37</v>
      </c>
      <c r="EN116" s="12">
        <v>14</v>
      </c>
      <c r="EO116" s="12">
        <v>19</v>
      </c>
      <c r="EP116" s="12">
        <v>16</v>
      </c>
      <c r="EQ116" s="12">
        <v>7</v>
      </c>
      <c r="ER116" s="12">
        <v>19</v>
      </c>
      <c r="ES116" s="12">
        <v>1</v>
      </c>
      <c r="ET116" s="12">
        <v>5</v>
      </c>
      <c r="EU116" s="12">
        <v>41</v>
      </c>
      <c r="EV116" s="12">
        <v>-31</v>
      </c>
      <c r="EW116" s="12">
        <v>71</v>
      </c>
      <c r="EX116" s="12">
        <v>82</v>
      </c>
      <c r="EY116" s="12">
        <v>4</v>
      </c>
      <c r="EZ116" s="12">
        <v>6</v>
      </c>
      <c r="FA116" s="12">
        <v>6</v>
      </c>
      <c r="FB116" s="12">
        <v>2</v>
      </c>
      <c r="FC116" s="12">
        <v>4</v>
      </c>
      <c r="FD116" s="12">
        <v>2</v>
      </c>
      <c r="FE116" s="12">
        <v>0</v>
      </c>
      <c r="FF116" s="12">
        <v>2</v>
      </c>
      <c r="FG116" s="12">
        <v>0</v>
      </c>
      <c r="FH116" s="12">
        <v>0</v>
      </c>
      <c r="FI116" s="12">
        <v>0</v>
      </c>
      <c r="FJ116" s="12">
        <v>2</v>
      </c>
      <c r="FK116" s="12">
        <v>1</v>
      </c>
      <c r="FL116" s="12">
        <v>5</v>
      </c>
      <c r="FM116" s="12">
        <v>2</v>
      </c>
      <c r="FN116" s="12">
        <v>0</v>
      </c>
      <c r="FO116" s="12">
        <v>0</v>
      </c>
      <c r="FP116" s="12">
        <v>4</v>
      </c>
      <c r="FQ116" s="12">
        <v>0</v>
      </c>
      <c r="FR116" s="12">
        <v>5</v>
      </c>
      <c r="FS116" s="12">
        <v>0</v>
      </c>
      <c r="FT116" s="12">
        <v>3</v>
      </c>
      <c r="FU116" s="12">
        <v>0</v>
      </c>
      <c r="FV116" s="12">
        <v>1</v>
      </c>
      <c r="FW116" s="12">
        <v>0</v>
      </c>
      <c r="FX116" s="12">
        <v>11</v>
      </c>
      <c r="FY116" s="12">
        <v>1</v>
      </c>
      <c r="FZ116" s="12">
        <v>2</v>
      </c>
      <c r="GA116" s="12">
        <v>0</v>
      </c>
      <c r="GB116" s="12">
        <v>0</v>
      </c>
      <c r="GC116" s="12">
        <v>0</v>
      </c>
      <c r="GD116" s="12">
        <v>1</v>
      </c>
      <c r="GE116" s="12">
        <v>1</v>
      </c>
      <c r="GF116" s="12">
        <v>9</v>
      </c>
      <c r="GG116" s="12">
        <v>12</v>
      </c>
      <c r="GH116" s="12">
        <v>0</v>
      </c>
      <c r="GI116" s="12">
        <v>3</v>
      </c>
      <c r="GJ116" s="12">
        <v>3</v>
      </c>
      <c r="GK116" s="12">
        <v>0</v>
      </c>
      <c r="GL116" s="12">
        <v>6</v>
      </c>
      <c r="GM116" s="12">
        <v>9</v>
      </c>
      <c r="GN116" s="12">
        <v>3</v>
      </c>
      <c r="GO116" s="12">
        <v>20</v>
      </c>
      <c r="GP116" s="12">
        <v>0</v>
      </c>
      <c r="GQ116" s="12">
        <v>3</v>
      </c>
      <c r="GR116" s="12">
        <v>0</v>
      </c>
      <c r="GS116" s="12">
        <v>2</v>
      </c>
      <c r="GT116" s="12">
        <v>7</v>
      </c>
      <c r="GU116" s="12">
        <v>22</v>
      </c>
      <c r="GV116" s="12">
        <v>0</v>
      </c>
      <c r="GW116" s="12">
        <v>0</v>
      </c>
      <c r="GY116" s="16"/>
    </row>
    <row r="117" spans="2:207" ht="15" customHeight="1" x14ac:dyDescent="0.2">
      <c r="B117" s="12">
        <v>7</v>
      </c>
      <c r="C117" s="12" t="s">
        <v>93</v>
      </c>
      <c r="D117" s="12" t="s">
        <v>289</v>
      </c>
      <c r="E117" s="14" t="s">
        <v>303</v>
      </c>
      <c r="F117" s="14" t="s">
        <v>291</v>
      </c>
      <c r="G117" s="15">
        <v>45239</v>
      </c>
      <c r="H117" s="15" t="s">
        <v>271</v>
      </c>
      <c r="I117" s="12" t="s">
        <v>269</v>
      </c>
      <c r="J117" s="12" t="s">
        <v>272</v>
      </c>
      <c r="K117" s="12">
        <v>200</v>
      </c>
      <c r="L117" s="12">
        <v>52</v>
      </c>
      <c r="M117" s="12">
        <v>9</v>
      </c>
      <c r="N117" s="12">
        <v>32</v>
      </c>
      <c r="O117" s="16">
        <v>0.28125</v>
      </c>
      <c r="P117" s="12">
        <v>7</v>
      </c>
      <c r="Q117" s="12">
        <v>24</v>
      </c>
      <c r="R117" s="16">
        <v>0.29166666666666669</v>
      </c>
      <c r="S117" s="12">
        <v>16</v>
      </c>
      <c r="T117" s="12">
        <v>56</v>
      </c>
      <c r="U117" s="16">
        <v>0.2857142857142857</v>
      </c>
      <c r="V117" s="12">
        <v>13</v>
      </c>
      <c r="W117" s="12">
        <v>16</v>
      </c>
      <c r="X117" s="16">
        <v>0.8125</v>
      </c>
      <c r="Y117" s="12">
        <v>11</v>
      </c>
      <c r="Z117" s="12">
        <v>26</v>
      </c>
      <c r="AA117" s="12">
        <v>37</v>
      </c>
      <c r="AB117" s="12">
        <v>14</v>
      </c>
      <c r="AC117" s="12">
        <v>19</v>
      </c>
      <c r="AD117" s="12">
        <v>7</v>
      </c>
      <c r="AE117" s="12">
        <v>1</v>
      </c>
      <c r="AF117" s="12">
        <v>5</v>
      </c>
      <c r="AG117" s="12">
        <v>19</v>
      </c>
      <c r="AH117" s="12">
        <v>16</v>
      </c>
      <c r="AI117" s="17">
        <v>41</v>
      </c>
      <c r="AJ117" s="12">
        <v>-31</v>
      </c>
      <c r="AK117" s="12">
        <v>71</v>
      </c>
      <c r="AL117" s="12">
        <v>82</v>
      </c>
      <c r="AM117" s="19">
        <v>0.63414634146341464</v>
      </c>
      <c r="AN117" s="19">
        <v>1.0121951219512195</v>
      </c>
      <c r="AO117" s="18">
        <v>73.239436619718319</v>
      </c>
      <c r="AP117" s="18">
        <v>116.90140845070422</v>
      </c>
      <c r="AQ117" s="18">
        <v>-43.661971830985905</v>
      </c>
      <c r="AR117" s="53">
        <v>0.3482142857142857</v>
      </c>
      <c r="AS117" s="53">
        <v>0.41269841269841268</v>
      </c>
      <c r="AT117" s="16">
        <v>0.10975609756097561</v>
      </c>
      <c r="AU117" s="19">
        <v>1.3333333333333333</v>
      </c>
      <c r="AV117" s="16">
        <v>0.24390243902439024</v>
      </c>
      <c r="AW117" s="19">
        <v>0.3</v>
      </c>
      <c r="AX117" s="16">
        <v>3.6585365853658534E-2</v>
      </c>
      <c r="AY117" s="19">
        <v>0</v>
      </c>
      <c r="AZ117" s="16">
        <v>2.4390243902439025E-2</v>
      </c>
      <c r="BA117" s="19">
        <v>0</v>
      </c>
      <c r="BB117" s="16">
        <v>0.26829268292682928</v>
      </c>
      <c r="BC117" s="21">
        <v>0.95454545454545459</v>
      </c>
      <c r="BD117" s="16">
        <v>8.5365853658536592E-2</v>
      </c>
      <c r="BE117" s="16">
        <v>0.23170731707317074</v>
      </c>
      <c r="BF117" s="16">
        <v>0.60869565217391308</v>
      </c>
      <c r="BG117" s="16">
        <v>0.66666666666666663</v>
      </c>
      <c r="BH117" s="16">
        <v>0.8571428571428571</v>
      </c>
      <c r="BI117" s="16">
        <v>0.2857142857142857</v>
      </c>
      <c r="BJ117" s="16">
        <v>0.17073170731707318</v>
      </c>
      <c r="BK117" s="21">
        <v>0.73684210526315785</v>
      </c>
      <c r="BL117" s="16">
        <v>0.27500000000000002</v>
      </c>
      <c r="BM117" s="16">
        <v>0.17391304347826086</v>
      </c>
      <c r="BN117" s="16">
        <v>0.47619047619047616</v>
      </c>
      <c r="BO117" s="16" t="s">
        <v>269</v>
      </c>
      <c r="BP117" s="16">
        <v>0.70270270270270274</v>
      </c>
      <c r="BQ117" s="16">
        <v>0.8</v>
      </c>
      <c r="BR117" s="16">
        <v>0.65</v>
      </c>
      <c r="BS117" s="16">
        <v>0.4</v>
      </c>
      <c r="BT117" s="16">
        <v>0.48051948051948051</v>
      </c>
      <c r="BU117" s="16">
        <v>9.8591549295774641E-2</v>
      </c>
      <c r="BV117" s="16">
        <v>1.5384615384615385E-2</v>
      </c>
      <c r="BW117" s="54">
        <v>4</v>
      </c>
      <c r="BX117" s="54">
        <v>0.42105263157894735</v>
      </c>
      <c r="BY117" s="54">
        <v>0.5</v>
      </c>
      <c r="BZ117" s="12">
        <v>6</v>
      </c>
      <c r="CA117" s="12">
        <v>6</v>
      </c>
      <c r="CB117" s="12">
        <v>2</v>
      </c>
      <c r="CC117" s="12">
        <v>4</v>
      </c>
      <c r="CD117" s="12">
        <v>2</v>
      </c>
      <c r="CE117" s="12">
        <v>0</v>
      </c>
      <c r="CF117" s="12">
        <v>2</v>
      </c>
      <c r="CG117" s="12">
        <v>0</v>
      </c>
      <c r="CH117" s="12">
        <v>0</v>
      </c>
      <c r="CI117" s="12">
        <v>0</v>
      </c>
      <c r="CJ117" s="12">
        <v>2</v>
      </c>
      <c r="CK117" s="12">
        <v>1</v>
      </c>
      <c r="CL117" s="12">
        <v>5</v>
      </c>
      <c r="CM117" s="12">
        <v>2</v>
      </c>
      <c r="CN117" s="12">
        <v>0</v>
      </c>
      <c r="CO117" s="12">
        <v>0</v>
      </c>
      <c r="CP117" s="12">
        <v>4</v>
      </c>
      <c r="CQ117" s="12">
        <v>0</v>
      </c>
      <c r="CR117" s="12">
        <v>5</v>
      </c>
      <c r="CS117" s="12">
        <v>0</v>
      </c>
      <c r="CT117" s="12">
        <v>3</v>
      </c>
      <c r="CU117" s="12">
        <v>0</v>
      </c>
      <c r="CV117" s="12">
        <v>1</v>
      </c>
      <c r="CW117" s="12">
        <v>0</v>
      </c>
      <c r="CX117" s="12">
        <v>11</v>
      </c>
      <c r="CY117" s="12">
        <v>1</v>
      </c>
      <c r="CZ117" s="12">
        <v>2</v>
      </c>
      <c r="DA117" s="12">
        <v>0</v>
      </c>
      <c r="DB117" s="12">
        <v>0</v>
      </c>
      <c r="DC117" s="12">
        <v>0</v>
      </c>
      <c r="DD117" s="12">
        <v>1</v>
      </c>
      <c r="DE117" s="12">
        <v>1</v>
      </c>
      <c r="DF117" s="12">
        <v>9</v>
      </c>
      <c r="DG117" s="12">
        <v>12</v>
      </c>
      <c r="DH117" s="12">
        <v>0</v>
      </c>
      <c r="DI117" s="12">
        <v>3</v>
      </c>
      <c r="DJ117" s="12">
        <v>3</v>
      </c>
      <c r="DK117" s="12">
        <v>0</v>
      </c>
      <c r="DL117" s="12">
        <v>6</v>
      </c>
      <c r="DM117" s="12">
        <v>9</v>
      </c>
      <c r="DN117" s="12">
        <v>3</v>
      </c>
      <c r="DO117" s="12">
        <v>20</v>
      </c>
      <c r="DP117" s="12">
        <v>0</v>
      </c>
      <c r="DQ117" s="12">
        <v>3</v>
      </c>
      <c r="DR117" s="12">
        <v>0</v>
      </c>
      <c r="DS117" s="12">
        <v>2</v>
      </c>
      <c r="DT117" s="12">
        <v>7</v>
      </c>
      <c r="DU117" s="12">
        <v>22</v>
      </c>
      <c r="DV117" s="12">
        <v>0</v>
      </c>
      <c r="DW117" s="12">
        <v>0</v>
      </c>
      <c r="DX117" s="12">
        <v>83</v>
      </c>
      <c r="DY117" s="12">
        <v>19</v>
      </c>
      <c r="DZ117" s="12">
        <v>34</v>
      </c>
      <c r="EA117" s="16">
        <v>0.55882352941176472</v>
      </c>
      <c r="EB117" s="12">
        <v>12</v>
      </c>
      <c r="EC117" s="12">
        <v>31</v>
      </c>
      <c r="ED117" s="16">
        <v>0.38709677419354838</v>
      </c>
      <c r="EE117" s="12">
        <v>31</v>
      </c>
      <c r="EF117" s="12">
        <v>65</v>
      </c>
      <c r="EG117" s="16">
        <v>0.47692307692307695</v>
      </c>
      <c r="EH117" s="12">
        <v>9</v>
      </c>
      <c r="EI117" s="12">
        <v>13</v>
      </c>
      <c r="EJ117" s="16">
        <v>0.69230769230769229</v>
      </c>
      <c r="EK117" s="12">
        <v>11</v>
      </c>
      <c r="EL117" s="12">
        <v>29</v>
      </c>
      <c r="EM117" s="12">
        <v>40</v>
      </c>
      <c r="EN117" s="12">
        <v>17</v>
      </c>
      <c r="EO117" s="12">
        <v>16</v>
      </c>
      <c r="EP117" s="12">
        <v>19</v>
      </c>
      <c r="EQ117" s="12">
        <v>12</v>
      </c>
      <c r="ER117" s="12">
        <v>12</v>
      </c>
      <c r="ES117" s="12">
        <v>5</v>
      </c>
      <c r="ET117" s="12">
        <v>1</v>
      </c>
      <c r="EU117" s="12">
        <v>109</v>
      </c>
      <c r="EV117" s="12">
        <v>31</v>
      </c>
      <c r="EW117" s="12">
        <v>71</v>
      </c>
      <c r="EX117" s="12">
        <v>82</v>
      </c>
      <c r="EY117" s="12">
        <v>9</v>
      </c>
      <c r="EZ117" s="12">
        <v>7</v>
      </c>
      <c r="FA117" s="12">
        <v>9</v>
      </c>
      <c r="FB117" s="12">
        <v>1</v>
      </c>
      <c r="FC117" s="12">
        <v>2</v>
      </c>
      <c r="FD117" s="12">
        <v>0</v>
      </c>
      <c r="FE117" s="12">
        <v>0</v>
      </c>
      <c r="FF117" s="12">
        <v>3</v>
      </c>
      <c r="FG117" s="12">
        <v>0</v>
      </c>
      <c r="FH117" s="12">
        <v>0</v>
      </c>
      <c r="FI117" s="12">
        <v>0</v>
      </c>
      <c r="FJ117" s="12">
        <v>0</v>
      </c>
      <c r="FK117" s="12">
        <v>0</v>
      </c>
      <c r="FL117" s="12">
        <v>6</v>
      </c>
      <c r="FM117" s="12">
        <v>1</v>
      </c>
      <c r="FN117" s="12">
        <v>2</v>
      </c>
      <c r="FO117" s="12">
        <v>1</v>
      </c>
      <c r="FP117" s="12">
        <v>1</v>
      </c>
      <c r="FQ117" s="12">
        <v>0</v>
      </c>
      <c r="FR117" s="12">
        <v>15</v>
      </c>
      <c r="FS117" s="12">
        <v>0</v>
      </c>
      <c r="FT117" s="12">
        <v>3</v>
      </c>
      <c r="FU117" s="12">
        <v>0</v>
      </c>
      <c r="FV117" s="12">
        <v>0</v>
      </c>
      <c r="FW117" s="12">
        <v>0</v>
      </c>
      <c r="FX117" s="12">
        <v>10</v>
      </c>
      <c r="FY117" s="12">
        <v>1</v>
      </c>
      <c r="FZ117" s="12">
        <v>0</v>
      </c>
      <c r="GA117" s="12">
        <v>0</v>
      </c>
      <c r="GB117" s="12">
        <v>0</v>
      </c>
      <c r="GC117" s="12">
        <v>0</v>
      </c>
      <c r="GD117" s="12">
        <v>0</v>
      </c>
      <c r="GE117" s="12">
        <v>3</v>
      </c>
      <c r="GF117" s="12">
        <v>9</v>
      </c>
      <c r="GG117" s="12">
        <v>10</v>
      </c>
      <c r="GH117" s="12">
        <v>0</v>
      </c>
      <c r="GI117" s="12">
        <v>0</v>
      </c>
      <c r="GJ117" s="12">
        <v>0</v>
      </c>
      <c r="GK117" s="12">
        <v>0</v>
      </c>
      <c r="GL117" s="12">
        <v>13</v>
      </c>
      <c r="GM117" s="12">
        <v>17</v>
      </c>
      <c r="GN117" s="12">
        <v>6</v>
      </c>
      <c r="GO117" s="12">
        <v>14</v>
      </c>
      <c r="GP117" s="12">
        <v>0</v>
      </c>
      <c r="GQ117" s="12">
        <v>3</v>
      </c>
      <c r="GR117" s="12">
        <v>2</v>
      </c>
      <c r="GS117" s="12">
        <v>3</v>
      </c>
      <c r="GT117" s="12">
        <v>10</v>
      </c>
      <c r="GU117" s="12">
        <v>27</v>
      </c>
      <c r="GV117" s="12">
        <v>0</v>
      </c>
      <c r="GW117" s="12">
        <v>1</v>
      </c>
      <c r="GY117" s="16"/>
    </row>
    <row r="118" spans="2:207" ht="15" customHeight="1" x14ac:dyDescent="0.2">
      <c r="B118" s="12">
        <v>7</v>
      </c>
      <c r="C118" s="12" t="s">
        <v>290</v>
      </c>
      <c r="D118" s="12" t="s">
        <v>274</v>
      </c>
      <c r="E118" s="14" t="s">
        <v>292</v>
      </c>
      <c r="F118" s="14" t="s">
        <v>276</v>
      </c>
      <c r="G118" s="15">
        <v>45239</v>
      </c>
      <c r="H118" s="15" t="s">
        <v>271</v>
      </c>
      <c r="I118" s="12" t="s">
        <v>269</v>
      </c>
      <c r="J118" s="12" t="s">
        <v>272</v>
      </c>
      <c r="K118" s="12">
        <v>200</v>
      </c>
      <c r="L118" s="12">
        <v>84</v>
      </c>
      <c r="M118" s="12">
        <v>18</v>
      </c>
      <c r="N118" s="12">
        <v>30</v>
      </c>
      <c r="O118" s="16">
        <v>0.6</v>
      </c>
      <c r="P118" s="12">
        <v>11</v>
      </c>
      <c r="Q118" s="12">
        <v>31</v>
      </c>
      <c r="R118" s="16">
        <v>0.35483870967741937</v>
      </c>
      <c r="S118" s="12">
        <v>29</v>
      </c>
      <c r="T118" s="12">
        <v>61</v>
      </c>
      <c r="U118" s="16">
        <v>0.47540983606557374</v>
      </c>
      <c r="V118" s="12">
        <v>15</v>
      </c>
      <c r="W118" s="12">
        <v>16</v>
      </c>
      <c r="X118" s="16">
        <v>0.9375</v>
      </c>
      <c r="Y118" s="12">
        <v>12</v>
      </c>
      <c r="Z118" s="12">
        <v>22</v>
      </c>
      <c r="AA118" s="12">
        <v>34</v>
      </c>
      <c r="AB118" s="12">
        <v>18</v>
      </c>
      <c r="AC118" s="12">
        <v>12</v>
      </c>
      <c r="AD118" s="12">
        <v>3</v>
      </c>
      <c r="AE118" s="12">
        <v>2</v>
      </c>
      <c r="AF118" s="12">
        <v>1</v>
      </c>
      <c r="AG118" s="12">
        <v>18</v>
      </c>
      <c r="AH118" s="12">
        <v>21</v>
      </c>
      <c r="AI118" s="17">
        <v>98</v>
      </c>
      <c r="AJ118" s="12">
        <v>-1</v>
      </c>
      <c r="AK118" s="12">
        <v>68</v>
      </c>
      <c r="AL118" s="12">
        <v>80</v>
      </c>
      <c r="AM118" s="19">
        <v>1.05</v>
      </c>
      <c r="AN118" s="19">
        <v>1.1038961038961039</v>
      </c>
      <c r="AO118" s="18">
        <v>123.52941176470588</v>
      </c>
      <c r="AP118" s="18">
        <v>126.86567164179105</v>
      </c>
      <c r="AQ118" s="18">
        <v>-3.336259877085169</v>
      </c>
      <c r="AR118" s="53">
        <v>0.56557377049180324</v>
      </c>
      <c r="AS118" s="53">
        <v>0.61764705882352944</v>
      </c>
      <c r="AT118" s="16">
        <v>0.17499999999999999</v>
      </c>
      <c r="AU118" s="19">
        <v>1.7142857142857142</v>
      </c>
      <c r="AV118" s="16">
        <v>0.16250000000000001</v>
      </c>
      <c r="AW118" s="19">
        <v>0.76923076923076927</v>
      </c>
      <c r="AX118" s="16">
        <v>3.7499999999999999E-2</v>
      </c>
      <c r="AY118" s="19">
        <v>0.66666666666666663</v>
      </c>
      <c r="AZ118" s="16">
        <v>0.05</v>
      </c>
      <c r="BA118" s="19">
        <v>1.5</v>
      </c>
      <c r="BB118" s="16">
        <v>0.33750000000000002</v>
      </c>
      <c r="BC118" s="21">
        <v>1</v>
      </c>
      <c r="BD118" s="16">
        <v>8.7499999999999994E-2</v>
      </c>
      <c r="BE118" s="16">
        <v>0.15</v>
      </c>
      <c r="BF118" s="16">
        <v>0.5</v>
      </c>
      <c r="BG118" s="16">
        <v>0.5</v>
      </c>
      <c r="BH118" s="16">
        <v>0.63636363636363635</v>
      </c>
      <c r="BI118" s="16">
        <v>0.2857142857142857</v>
      </c>
      <c r="BJ118" s="16">
        <v>0.22500000000000001</v>
      </c>
      <c r="BK118" s="21">
        <v>1.5</v>
      </c>
      <c r="BL118" s="16">
        <v>0.375</v>
      </c>
      <c r="BM118" s="16">
        <v>0.46153846153846156</v>
      </c>
      <c r="BN118" s="16">
        <v>0.33333333333333331</v>
      </c>
      <c r="BO118" s="16">
        <v>0</v>
      </c>
      <c r="BP118" s="16">
        <v>0.6875</v>
      </c>
      <c r="BQ118" s="16">
        <v>0.7</v>
      </c>
      <c r="BR118" s="16">
        <v>0.66666666666666663</v>
      </c>
      <c r="BS118" s="16" t="s">
        <v>269</v>
      </c>
      <c r="BT118" s="16">
        <v>0.53125</v>
      </c>
      <c r="BU118" s="16">
        <v>4.4776119402985072E-2</v>
      </c>
      <c r="BV118" s="16">
        <v>3.2258064516129031E-2</v>
      </c>
      <c r="BW118" s="54">
        <v>5</v>
      </c>
      <c r="BX118" s="54">
        <v>0.44444444444444442</v>
      </c>
      <c r="BY118" s="54">
        <v>0.42857142857142855</v>
      </c>
      <c r="BZ118" s="12">
        <v>9</v>
      </c>
      <c r="CA118" s="12">
        <v>7</v>
      </c>
      <c r="CB118" s="12">
        <v>2</v>
      </c>
      <c r="CC118" s="12">
        <v>2</v>
      </c>
      <c r="CD118" s="12">
        <v>2</v>
      </c>
      <c r="CE118" s="12">
        <v>1</v>
      </c>
      <c r="CF118" s="12">
        <v>3</v>
      </c>
      <c r="CG118" s="12">
        <v>0</v>
      </c>
      <c r="CH118" s="12">
        <v>0</v>
      </c>
      <c r="CI118" s="12">
        <v>0</v>
      </c>
      <c r="CJ118" s="12">
        <v>1</v>
      </c>
      <c r="CK118" s="12">
        <v>0</v>
      </c>
      <c r="CL118" s="12">
        <v>6</v>
      </c>
      <c r="CM118" s="12">
        <v>1</v>
      </c>
      <c r="CN118" s="12">
        <v>0</v>
      </c>
      <c r="CO118" s="12">
        <v>0</v>
      </c>
      <c r="CP118" s="12">
        <v>2</v>
      </c>
      <c r="CQ118" s="12">
        <v>0</v>
      </c>
      <c r="CR118" s="12">
        <v>6</v>
      </c>
      <c r="CS118" s="12">
        <v>0</v>
      </c>
      <c r="CT118" s="12">
        <v>6</v>
      </c>
      <c r="CU118" s="12">
        <v>0</v>
      </c>
      <c r="CV118" s="12">
        <v>0</v>
      </c>
      <c r="CW118" s="12">
        <v>0</v>
      </c>
      <c r="CX118" s="12">
        <v>8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2</v>
      </c>
      <c r="DE118" s="12">
        <v>2</v>
      </c>
      <c r="DF118" s="12">
        <v>13</v>
      </c>
      <c r="DG118" s="12">
        <v>14</v>
      </c>
      <c r="DH118" s="12">
        <v>0</v>
      </c>
      <c r="DI118" s="12">
        <v>0</v>
      </c>
      <c r="DJ118" s="12">
        <v>0</v>
      </c>
      <c r="DK118" s="12">
        <v>0</v>
      </c>
      <c r="DL118" s="12">
        <v>12</v>
      </c>
      <c r="DM118" s="12">
        <v>14</v>
      </c>
      <c r="DN118" s="12">
        <v>5</v>
      </c>
      <c r="DO118" s="12">
        <v>13</v>
      </c>
      <c r="DP118" s="12">
        <v>1</v>
      </c>
      <c r="DQ118" s="12">
        <v>3</v>
      </c>
      <c r="DR118" s="12">
        <v>2</v>
      </c>
      <c r="DS118" s="12">
        <v>4</v>
      </c>
      <c r="DT118" s="12">
        <v>9</v>
      </c>
      <c r="DU118" s="12">
        <v>27</v>
      </c>
      <c r="DV118" s="12">
        <v>0</v>
      </c>
      <c r="DW118" s="12">
        <v>0</v>
      </c>
      <c r="DX118" s="12">
        <v>85</v>
      </c>
      <c r="DY118" s="12">
        <v>22</v>
      </c>
      <c r="DZ118" s="12">
        <v>42</v>
      </c>
      <c r="EA118" s="16">
        <v>0.52380952380952384</v>
      </c>
      <c r="EB118" s="12">
        <v>8</v>
      </c>
      <c r="EC118" s="12">
        <v>20</v>
      </c>
      <c r="ED118" s="16">
        <v>0.4</v>
      </c>
      <c r="EE118" s="12">
        <v>30</v>
      </c>
      <c r="EF118" s="12">
        <v>62</v>
      </c>
      <c r="EG118" s="16">
        <v>0.4838709677419355</v>
      </c>
      <c r="EH118" s="12">
        <v>17</v>
      </c>
      <c r="EI118" s="12">
        <v>18</v>
      </c>
      <c r="EJ118" s="16">
        <v>0.94444444444444442</v>
      </c>
      <c r="EK118" s="12">
        <v>10</v>
      </c>
      <c r="EL118" s="12">
        <v>20</v>
      </c>
      <c r="EM118" s="12">
        <v>30</v>
      </c>
      <c r="EN118" s="12">
        <v>20</v>
      </c>
      <c r="EO118" s="12">
        <v>21</v>
      </c>
      <c r="EP118" s="12">
        <v>18</v>
      </c>
      <c r="EQ118" s="12">
        <v>7</v>
      </c>
      <c r="ER118" s="12">
        <v>8</v>
      </c>
      <c r="ES118" s="12">
        <v>1</v>
      </c>
      <c r="ET118" s="12">
        <v>2</v>
      </c>
      <c r="EU118" s="12">
        <v>97</v>
      </c>
      <c r="EV118" s="12">
        <v>1</v>
      </c>
      <c r="EW118" s="12">
        <v>67</v>
      </c>
      <c r="EX118" s="12">
        <v>77</v>
      </c>
      <c r="EY118" s="12">
        <v>3</v>
      </c>
      <c r="EZ118" s="12">
        <v>9</v>
      </c>
      <c r="FA118" s="12">
        <v>8</v>
      </c>
      <c r="FB118" s="12">
        <v>3</v>
      </c>
      <c r="FC118" s="12">
        <v>7</v>
      </c>
      <c r="FD118" s="12">
        <v>1</v>
      </c>
      <c r="FE118" s="12">
        <v>0</v>
      </c>
      <c r="FF118" s="12">
        <v>3</v>
      </c>
      <c r="FG118" s="12">
        <v>0</v>
      </c>
      <c r="FH118" s="12">
        <v>2</v>
      </c>
      <c r="FI118" s="12">
        <v>0</v>
      </c>
      <c r="FJ118" s="12">
        <v>0</v>
      </c>
      <c r="FK118" s="12">
        <v>0</v>
      </c>
      <c r="FL118" s="12">
        <v>4</v>
      </c>
      <c r="FM118" s="12">
        <v>0</v>
      </c>
      <c r="FN118" s="12">
        <v>0</v>
      </c>
      <c r="FO118" s="12">
        <v>0</v>
      </c>
      <c r="FP118" s="12">
        <v>0</v>
      </c>
      <c r="FQ118" s="12">
        <v>0</v>
      </c>
      <c r="FR118" s="12">
        <v>5</v>
      </c>
      <c r="FS118" s="12">
        <v>0</v>
      </c>
      <c r="FT118" s="12">
        <v>2</v>
      </c>
      <c r="FU118" s="12">
        <v>0</v>
      </c>
      <c r="FV118" s="12">
        <v>1</v>
      </c>
      <c r="FW118" s="12">
        <v>0</v>
      </c>
      <c r="FX118" s="12">
        <v>11</v>
      </c>
      <c r="FY118" s="12">
        <v>4</v>
      </c>
      <c r="FZ118" s="12">
        <v>1</v>
      </c>
      <c r="GA118" s="12">
        <v>0</v>
      </c>
      <c r="GB118" s="12">
        <v>1</v>
      </c>
      <c r="GC118" s="12">
        <v>1</v>
      </c>
      <c r="GD118" s="12">
        <v>1</v>
      </c>
      <c r="GE118" s="12">
        <v>1</v>
      </c>
      <c r="GF118" s="12">
        <v>9</v>
      </c>
      <c r="GG118" s="12">
        <v>10</v>
      </c>
      <c r="GH118" s="12">
        <v>0</v>
      </c>
      <c r="GI118" s="12">
        <v>6</v>
      </c>
      <c r="GJ118" s="12">
        <v>6</v>
      </c>
      <c r="GK118" s="12">
        <v>0</v>
      </c>
      <c r="GL118" s="12">
        <v>10</v>
      </c>
      <c r="GM118" s="12">
        <v>13</v>
      </c>
      <c r="GN118" s="12">
        <v>8</v>
      </c>
      <c r="GO118" s="12">
        <v>17</v>
      </c>
      <c r="GP118" s="12">
        <v>4</v>
      </c>
      <c r="GQ118" s="12">
        <v>12</v>
      </c>
      <c r="GR118" s="12">
        <v>2</v>
      </c>
      <c r="GS118" s="12">
        <v>2</v>
      </c>
      <c r="GT118" s="12">
        <v>6</v>
      </c>
      <c r="GU118" s="12">
        <v>18</v>
      </c>
      <c r="GV118" s="12">
        <v>0</v>
      </c>
      <c r="GW118" s="12">
        <v>0</v>
      </c>
      <c r="GY118" s="16"/>
    </row>
    <row r="119" spans="2:207" ht="15" customHeight="1" x14ac:dyDescent="0.2">
      <c r="B119" s="12">
        <v>7</v>
      </c>
      <c r="C119" s="12" t="s">
        <v>274</v>
      </c>
      <c r="D119" s="12" t="s">
        <v>290</v>
      </c>
      <c r="E119" s="14" t="s">
        <v>276</v>
      </c>
      <c r="F119" s="14" t="s">
        <v>292</v>
      </c>
      <c r="G119" s="15">
        <v>45239</v>
      </c>
      <c r="H119" s="15" t="s">
        <v>268</v>
      </c>
      <c r="I119" s="12" t="s">
        <v>269</v>
      </c>
      <c r="J119" s="12" t="s">
        <v>270</v>
      </c>
      <c r="K119" s="12">
        <v>200</v>
      </c>
      <c r="L119" s="12">
        <v>85</v>
      </c>
      <c r="M119" s="12">
        <v>22</v>
      </c>
      <c r="N119" s="12">
        <v>42</v>
      </c>
      <c r="O119" s="16">
        <v>0.52380952380952384</v>
      </c>
      <c r="P119" s="12">
        <v>8</v>
      </c>
      <c r="Q119" s="12">
        <v>20</v>
      </c>
      <c r="R119" s="16">
        <v>0.4</v>
      </c>
      <c r="S119" s="12">
        <v>30</v>
      </c>
      <c r="T119" s="12">
        <v>62</v>
      </c>
      <c r="U119" s="16">
        <v>0.4838709677419355</v>
      </c>
      <c r="V119" s="12">
        <v>17</v>
      </c>
      <c r="W119" s="12">
        <v>18</v>
      </c>
      <c r="X119" s="16">
        <v>0.94444444444444442</v>
      </c>
      <c r="Y119" s="12">
        <v>10</v>
      </c>
      <c r="Z119" s="12">
        <v>20</v>
      </c>
      <c r="AA119" s="12">
        <v>30</v>
      </c>
      <c r="AB119" s="12">
        <v>20</v>
      </c>
      <c r="AC119" s="12">
        <v>8</v>
      </c>
      <c r="AD119" s="12">
        <v>7</v>
      </c>
      <c r="AE119" s="12">
        <v>1</v>
      </c>
      <c r="AF119" s="12">
        <v>2</v>
      </c>
      <c r="AG119" s="12">
        <v>21</v>
      </c>
      <c r="AH119" s="12">
        <v>18</v>
      </c>
      <c r="AI119" s="17">
        <v>97</v>
      </c>
      <c r="AJ119" s="12">
        <v>1</v>
      </c>
      <c r="AK119" s="12">
        <v>67</v>
      </c>
      <c r="AL119" s="12">
        <v>77</v>
      </c>
      <c r="AM119" s="19">
        <v>1.1038961038961039</v>
      </c>
      <c r="AN119" s="19">
        <v>1.05</v>
      </c>
      <c r="AO119" s="18">
        <v>126.86567164179105</v>
      </c>
      <c r="AP119" s="18">
        <v>123.52941176470588</v>
      </c>
      <c r="AQ119" s="18">
        <v>3.336259877085169</v>
      </c>
      <c r="AR119" s="53">
        <v>0.54838709677419351</v>
      </c>
      <c r="AS119" s="53">
        <v>0.61594202898550721</v>
      </c>
      <c r="AT119" s="16">
        <v>0.16883116883116883</v>
      </c>
      <c r="AU119" s="19">
        <v>1.5384615384615385</v>
      </c>
      <c r="AV119" s="16">
        <v>0.22077922077922077</v>
      </c>
      <c r="AW119" s="19">
        <v>0.94117647058823528</v>
      </c>
      <c r="AX119" s="16">
        <v>0.15584415584415584</v>
      </c>
      <c r="AY119" s="19">
        <v>0.66666666666666663</v>
      </c>
      <c r="AZ119" s="16">
        <v>2.5974025974025976E-2</v>
      </c>
      <c r="BA119" s="19">
        <v>3</v>
      </c>
      <c r="BB119" s="16">
        <v>0.23376623376623376</v>
      </c>
      <c r="BC119" s="21">
        <v>1</v>
      </c>
      <c r="BD119" s="16">
        <v>9.0909090909090912E-2</v>
      </c>
      <c r="BE119" s="16">
        <v>0.1038961038961039</v>
      </c>
      <c r="BF119" s="16">
        <v>0.54054054054054057</v>
      </c>
      <c r="BG119" s="16">
        <v>0.40909090909090912</v>
      </c>
      <c r="BH119" s="16">
        <v>1</v>
      </c>
      <c r="BI119" s="16">
        <v>0.42857142857142855</v>
      </c>
      <c r="BJ119" s="16">
        <v>0.25974025974025972</v>
      </c>
      <c r="BK119" s="21">
        <v>2.5</v>
      </c>
      <c r="BL119" s="16">
        <v>0.3125</v>
      </c>
      <c r="BM119" s="16">
        <v>0.3</v>
      </c>
      <c r="BN119" s="16">
        <v>0.33333333333333331</v>
      </c>
      <c r="BO119" s="16" t="s">
        <v>269</v>
      </c>
      <c r="BP119" s="16">
        <v>0.625</v>
      </c>
      <c r="BQ119" s="16">
        <v>0.53846153846153844</v>
      </c>
      <c r="BR119" s="16">
        <v>0.66666666666666663</v>
      </c>
      <c r="BS119" s="16">
        <v>1</v>
      </c>
      <c r="BT119" s="16">
        <v>0.46875</v>
      </c>
      <c r="BU119" s="16">
        <v>0.10294117647058823</v>
      </c>
      <c r="BV119" s="16">
        <v>1.6393442622950821E-2</v>
      </c>
      <c r="BW119" s="54">
        <v>3</v>
      </c>
      <c r="BX119" s="54">
        <v>0.42857142857142855</v>
      </c>
      <c r="BY119" s="54">
        <v>0.44444444444444442</v>
      </c>
      <c r="BZ119" s="12">
        <v>9</v>
      </c>
      <c r="CA119" s="12">
        <v>8</v>
      </c>
      <c r="CB119" s="12">
        <v>3</v>
      </c>
      <c r="CC119" s="12">
        <v>7</v>
      </c>
      <c r="CD119" s="12">
        <v>1</v>
      </c>
      <c r="CE119" s="12">
        <v>0</v>
      </c>
      <c r="CF119" s="12">
        <v>3</v>
      </c>
      <c r="CG119" s="12">
        <v>0</v>
      </c>
      <c r="CH119" s="12">
        <v>2</v>
      </c>
      <c r="CI119" s="12">
        <v>0</v>
      </c>
      <c r="CJ119" s="12">
        <v>0</v>
      </c>
      <c r="CK119" s="12">
        <v>0</v>
      </c>
      <c r="CL119" s="12">
        <v>4</v>
      </c>
      <c r="CM119" s="12">
        <v>0</v>
      </c>
      <c r="CN119" s="12">
        <v>0</v>
      </c>
      <c r="CO119" s="12">
        <v>0</v>
      </c>
      <c r="CP119" s="12">
        <v>0</v>
      </c>
      <c r="CQ119" s="12">
        <v>0</v>
      </c>
      <c r="CR119" s="12">
        <v>5</v>
      </c>
      <c r="CS119" s="12">
        <v>0</v>
      </c>
      <c r="CT119" s="12">
        <v>2</v>
      </c>
      <c r="CU119" s="12">
        <v>0</v>
      </c>
      <c r="CV119" s="12">
        <v>1</v>
      </c>
      <c r="CW119" s="12">
        <v>0</v>
      </c>
      <c r="CX119" s="12">
        <v>11</v>
      </c>
      <c r="CY119" s="12">
        <v>4</v>
      </c>
      <c r="CZ119" s="12">
        <v>1</v>
      </c>
      <c r="DA119" s="12">
        <v>0</v>
      </c>
      <c r="DB119" s="12">
        <v>1</v>
      </c>
      <c r="DC119" s="12">
        <v>1</v>
      </c>
      <c r="DD119" s="12">
        <v>1</v>
      </c>
      <c r="DE119" s="12">
        <v>1</v>
      </c>
      <c r="DF119" s="12">
        <v>9</v>
      </c>
      <c r="DG119" s="12">
        <v>10</v>
      </c>
      <c r="DH119" s="12">
        <v>0</v>
      </c>
      <c r="DI119" s="12">
        <v>6</v>
      </c>
      <c r="DJ119" s="12">
        <v>6</v>
      </c>
      <c r="DK119" s="12">
        <v>0</v>
      </c>
      <c r="DL119" s="12">
        <v>10</v>
      </c>
      <c r="DM119" s="12">
        <v>13</v>
      </c>
      <c r="DN119" s="12">
        <v>8</v>
      </c>
      <c r="DO119" s="12">
        <v>17</v>
      </c>
      <c r="DP119" s="12">
        <v>4</v>
      </c>
      <c r="DQ119" s="12">
        <v>12</v>
      </c>
      <c r="DR119" s="12">
        <v>2</v>
      </c>
      <c r="DS119" s="12">
        <v>2</v>
      </c>
      <c r="DT119" s="12">
        <v>6</v>
      </c>
      <c r="DU119" s="12">
        <v>18</v>
      </c>
      <c r="DV119" s="12">
        <v>0</v>
      </c>
      <c r="DW119" s="12">
        <v>0</v>
      </c>
      <c r="DX119" s="12">
        <v>84</v>
      </c>
      <c r="DY119" s="12">
        <v>18</v>
      </c>
      <c r="DZ119" s="12">
        <v>30</v>
      </c>
      <c r="EA119" s="16">
        <v>0.6</v>
      </c>
      <c r="EB119" s="12">
        <v>11</v>
      </c>
      <c r="EC119" s="12">
        <v>31</v>
      </c>
      <c r="ED119" s="16">
        <v>0.35483870967741937</v>
      </c>
      <c r="EE119" s="12">
        <v>29</v>
      </c>
      <c r="EF119" s="12">
        <v>61</v>
      </c>
      <c r="EG119" s="16">
        <v>0.47540983606557374</v>
      </c>
      <c r="EH119" s="12">
        <v>15</v>
      </c>
      <c r="EI119" s="12">
        <v>16</v>
      </c>
      <c r="EJ119" s="16">
        <v>0.9375</v>
      </c>
      <c r="EK119" s="12">
        <v>12</v>
      </c>
      <c r="EL119" s="12">
        <v>22</v>
      </c>
      <c r="EM119" s="12">
        <v>34</v>
      </c>
      <c r="EN119" s="12">
        <v>18</v>
      </c>
      <c r="EO119" s="12">
        <v>19</v>
      </c>
      <c r="EP119" s="12">
        <v>21</v>
      </c>
      <c r="EQ119" s="12">
        <v>3</v>
      </c>
      <c r="ER119" s="12">
        <v>12</v>
      </c>
      <c r="ES119" s="12">
        <v>2</v>
      </c>
      <c r="ET119" s="12">
        <v>1</v>
      </c>
      <c r="EU119" s="12">
        <v>97</v>
      </c>
      <c r="EV119" s="12">
        <v>-1</v>
      </c>
      <c r="EW119" s="12">
        <v>68</v>
      </c>
      <c r="EX119" s="12">
        <v>80</v>
      </c>
      <c r="EY119" s="12">
        <v>5</v>
      </c>
      <c r="EZ119" s="12">
        <v>9</v>
      </c>
      <c r="FA119" s="12">
        <v>7</v>
      </c>
      <c r="FB119" s="12">
        <v>2</v>
      </c>
      <c r="FC119" s="12">
        <v>2</v>
      </c>
      <c r="FD119" s="12">
        <v>2</v>
      </c>
      <c r="FE119" s="12">
        <v>1</v>
      </c>
      <c r="FF119" s="12">
        <v>3</v>
      </c>
      <c r="FG119" s="12">
        <v>0</v>
      </c>
      <c r="FH119" s="12">
        <v>0</v>
      </c>
      <c r="FI119" s="12">
        <v>0</v>
      </c>
      <c r="FJ119" s="12">
        <v>1</v>
      </c>
      <c r="FK119" s="12">
        <v>0</v>
      </c>
      <c r="FL119" s="12">
        <v>6</v>
      </c>
      <c r="FM119" s="12">
        <v>1</v>
      </c>
      <c r="FN119" s="12">
        <v>0</v>
      </c>
      <c r="FO119" s="12">
        <v>0</v>
      </c>
      <c r="FP119" s="12">
        <v>2</v>
      </c>
      <c r="FQ119" s="12">
        <v>0</v>
      </c>
      <c r="FR119" s="12">
        <v>6</v>
      </c>
      <c r="FS119" s="12">
        <v>0</v>
      </c>
      <c r="FT119" s="12">
        <v>6</v>
      </c>
      <c r="FU119" s="12">
        <v>0</v>
      </c>
      <c r="FV119" s="12">
        <v>0</v>
      </c>
      <c r="FW119" s="12">
        <v>0</v>
      </c>
      <c r="FX119" s="12">
        <v>8</v>
      </c>
      <c r="FY119" s="12">
        <v>0</v>
      </c>
      <c r="FZ119" s="12">
        <v>0</v>
      </c>
      <c r="GA119" s="12">
        <v>0</v>
      </c>
      <c r="GB119" s="12">
        <v>0</v>
      </c>
      <c r="GC119" s="12">
        <v>0</v>
      </c>
      <c r="GD119" s="12">
        <v>2</v>
      </c>
      <c r="GE119" s="12">
        <v>2</v>
      </c>
      <c r="GF119" s="12">
        <v>13</v>
      </c>
      <c r="GG119" s="12">
        <v>14</v>
      </c>
      <c r="GH119" s="12">
        <v>0</v>
      </c>
      <c r="GI119" s="12">
        <v>0</v>
      </c>
      <c r="GJ119" s="12">
        <v>0</v>
      </c>
      <c r="GK119" s="12">
        <v>0</v>
      </c>
      <c r="GL119" s="12">
        <v>12</v>
      </c>
      <c r="GM119" s="12">
        <v>14</v>
      </c>
      <c r="GN119" s="12">
        <v>5</v>
      </c>
      <c r="GO119" s="12">
        <v>13</v>
      </c>
      <c r="GP119" s="12">
        <v>1</v>
      </c>
      <c r="GQ119" s="12">
        <v>3</v>
      </c>
      <c r="GR119" s="12">
        <v>2</v>
      </c>
      <c r="GS119" s="12">
        <v>4</v>
      </c>
      <c r="GT119" s="12">
        <v>9</v>
      </c>
      <c r="GU119" s="12">
        <v>27</v>
      </c>
      <c r="GV119" s="12">
        <v>0</v>
      </c>
      <c r="GW119" s="12">
        <v>0</v>
      </c>
      <c r="GY119" s="16"/>
    </row>
    <row r="120" spans="2:207" ht="15" customHeight="1" x14ac:dyDescent="0.2">
      <c r="B120" s="12">
        <v>7</v>
      </c>
      <c r="C120" s="12" t="s">
        <v>298</v>
      </c>
      <c r="D120" s="12" t="s">
        <v>285</v>
      </c>
      <c r="E120" s="14" t="s">
        <v>300</v>
      </c>
      <c r="F120" s="14" t="s">
        <v>287</v>
      </c>
      <c r="G120" s="15">
        <v>45239</v>
      </c>
      <c r="H120" s="15" t="s">
        <v>268</v>
      </c>
      <c r="I120" s="12" t="s">
        <v>269</v>
      </c>
      <c r="J120" s="12" t="s">
        <v>270</v>
      </c>
      <c r="K120" s="12">
        <v>200</v>
      </c>
      <c r="L120" s="12">
        <v>100</v>
      </c>
      <c r="M120" s="12">
        <v>19</v>
      </c>
      <c r="N120" s="12">
        <v>37</v>
      </c>
      <c r="O120" s="16">
        <v>0.51351351351351349</v>
      </c>
      <c r="P120" s="12">
        <v>11</v>
      </c>
      <c r="Q120" s="12">
        <v>26</v>
      </c>
      <c r="R120" s="16">
        <v>0.42307692307692307</v>
      </c>
      <c r="S120" s="12">
        <v>30</v>
      </c>
      <c r="T120" s="12">
        <v>63</v>
      </c>
      <c r="U120" s="16">
        <v>0.47619047619047616</v>
      </c>
      <c r="V120" s="12">
        <v>29</v>
      </c>
      <c r="W120" s="12">
        <v>34</v>
      </c>
      <c r="X120" s="16">
        <v>0.8529411764705882</v>
      </c>
      <c r="Y120" s="12">
        <v>8</v>
      </c>
      <c r="Z120" s="12">
        <v>29</v>
      </c>
      <c r="AA120" s="12">
        <v>37</v>
      </c>
      <c r="AB120" s="12">
        <v>28</v>
      </c>
      <c r="AC120" s="12">
        <v>8</v>
      </c>
      <c r="AD120" s="12">
        <v>7</v>
      </c>
      <c r="AE120" s="12">
        <v>3</v>
      </c>
      <c r="AF120" s="12">
        <v>1</v>
      </c>
      <c r="AG120" s="12">
        <v>21</v>
      </c>
      <c r="AH120" s="12">
        <v>27</v>
      </c>
      <c r="AI120" s="17">
        <v>134</v>
      </c>
      <c r="AJ120" s="12">
        <v>26</v>
      </c>
      <c r="AK120" s="12">
        <v>79</v>
      </c>
      <c r="AL120" s="12">
        <v>87</v>
      </c>
      <c r="AM120" s="19">
        <v>1.1494252873563218</v>
      </c>
      <c r="AN120" s="19">
        <v>0.89156626506024095</v>
      </c>
      <c r="AO120" s="18">
        <v>126.58227848101266</v>
      </c>
      <c r="AP120" s="18">
        <v>94.871794871794862</v>
      </c>
      <c r="AQ120" s="18">
        <v>31.710483609217803</v>
      </c>
      <c r="AR120" s="53">
        <v>0.56349206349206349</v>
      </c>
      <c r="AS120" s="53">
        <v>0.63291139240506333</v>
      </c>
      <c r="AT120" s="16">
        <v>5.7471264367816091E-2</v>
      </c>
      <c r="AU120" s="19">
        <v>1.6</v>
      </c>
      <c r="AV120" s="16">
        <v>0.33333333333333331</v>
      </c>
      <c r="AW120" s="19">
        <v>1.0344827586206897</v>
      </c>
      <c r="AX120" s="16">
        <v>3.4482758620689655E-2</v>
      </c>
      <c r="AY120" s="19">
        <v>0</v>
      </c>
      <c r="AZ120" s="16">
        <v>0</v>
      </c>
      <c r="BA120" s="19" t="s">
        <v>269</v>
      </c>
      <c r="BB120" s="16">
        <v>0.2988505747126437</v>
      </c>
      <c r="BC120" s="21">
        <v>1.2692307692307692</v>
      </c>
      <c r="BD120" s="16">
        <v>0.18390804597701149</v>
      </c>
      <c r="BE120" s="16">
        <v>9.1954022988505746E-2</v>
      </c>
      <c r="BF120" s="16">
        <v>0.60869565217391308</v>
      </c>
      <c r="BG120" s="16">
        <v>0.57894736842105265</v>
      </c>
      <c r="BH120" s="16">
        <v>1</v>
      </c>
      <c r="BI120" s="16">
        <v>0.375</v>
      </c>
      <c r="BJ120" s="16">
        <v>0.32183908045977011</v>
      </c>
      <c r="BK120" s="21">
        <v>3.5</v>
      </c>
      <c r="BL120" s="16">
        <v>0.25</v>
      </c>
      <c r="BM120" s="16">
        <v>0.375</v>
      </c>
      <c r="BN120" s="16">
        <v>0.125</v>
      </c>
      <c r="BO120" s="16">
        <v>0</v>
      </c>
      <c r="BP120" s="16">
        <v>0.8529411764705882</v>
      </c>
      <c r="BQ120" s="16">
        <v>0.83333333333333337</v>
      </c>
      <c r="BR120" s="16">
        <v>0.85</v>
      </c>
      <c r="BS120" s="16">
        <v>1</v>
      </c>
      <c r="BT120" s="16">
        <v>0.56060606060606055</v>
      </c>
      <c r="BU120" s="16">
        <v>8.9743589743589744E-2</v>
      </c>
      <c r="BV120" s="16">
        <v>5.2631578947368418E-2</v>
      </c>
      <c r="BW120" s="54">
        <v>9</v>
      </c>
      <c r="BX120" s="54">
        <v>0.52380952380952384</v>
      </c>
      <c r="BY120" s="54">
        <v>0.62962962962962965</v>
      </c>
      <c r="BZ120" s="12">
        <v>11</v>
      </c>
      <c r="CA120" s="12">
        <v>11</v>
      </c>
      <c r="CB120" s="12">
        <v>6</v>
      </c>
      <c r="CC120" s="12">
        <v>10</v>
      </c>
      <c r="CD120" s="12">
        <v>1</v>
      </c>
      <c r="CE120" s="12">
        <v>0</v>
      </c>
      <c r="CF120" s="12">
        <v>4</v>
      </c>
      <c r="CG120" s="12">
        <v>0</v>
      </c>
      <c r="CH120" s="12">
        <v>1</v>
      </c>
      <c r="CI120" s="12">
        <v>0</v>
      </c>
      <c r="CJ120" s="12">
        <v>0</v>
      </c>
      <c r="CK120" s="12">
        <v>0</v>
      </c>
      <c r="CL120" s="12">
        <v>2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8</v>
      </c>
      <c r="CS120" s="12">
        <v>0</v>
      </c>
      <c r="CT120" s="12">
        <v>2</v>
      </c>
      <c r="CU120" s="12">
        <v>0</v>
      </c>
      <c r="CV120" s="12">
        <v>0</v>
      </c>
      <c r="CW120" s="12">
        <v>0</v>
      </c>
      <c r="CX120" s="12">
        <v>16</v>
      </c>
      <c r="CY120" s="12">
        <v>1</v>
      </c>
      <c r="CZ120" s="12">
        <v>3</v>
      </c>
      <c r="DA120" s="12">
        <v>0</v>
      </c>
      <c r="DB120" s="12">
        <v>1</v>
      </c>
      <c r="DC120" s="12">
        <v>1</v>
      </c>
      <c r="DD120" s="12">
        <v>1</v>
      </c>
      <c r="DE120" s="12">
        <v>1</v>
      </c>
      <c r="DF120" s="12">
        <v>27</v>
      </c>
      <c r="DG120" s="12">
        <v>32</v>
      </c>
      <c r="DH120" s="12">
        <v>0</v>
      </c>
      <c r="DI120" s="12">
        <v>0</v>
      </c>
      <c r="DJ120" s="12">
        <v>0</v>
      </c>
      <c r="DK120" s="12">
        <v>0</v>
      </c>
      <c r="DL120" s="12">
        <v>4</v>
      </c>
      <c r="DM120" s="12">
        <v>5</v>
      </c>
      <c r="DN120" s="12">
        <v>15</v>
      </c>
      <c r="DO120" s="12">
        <v>29</v>
      </c>
      <c r="DP120" s="12">
        <v>0</v>
      </c>
      <c r="DQ120" s="12">
        <v>3</v>
      </c>
      <c r="DR120" s="12">
        <v>0</v>
      </c>
      <c r="DS120" s="12">
        <v>0</v>
      </c>
      <c r="DT120" s="12">
        <v>11</v>
      </c>
      <c r="DU120" s="12">
        <v>26</v>
      </c>
      <c r="DV120" s="12">
        <v>0</v>
      </c>
      <c r="DW120" s="12">
        <v>0</v>
      </c>
      <c r="DX120" s="12">
        <v>74</v>
      </c>
      <c r="DY120" s="12">
        <v>20</v>
      </c>
      <c r="DZ120" s="12">
        <v>32</v>
      </c>
      <c r="EA120" s="16">
        <v>0.625</v>
      </c>
      <c r="EB120" s="12">
        <v>6</v>
      </c>
      <c r="EC120" s="12">
        <v>25</v>
      </c>
      <c r="ED120" s="16">
        <v>0.24</v>
      </c>
      <c r="EE120" s="12">
        <v>26</v>
      </c>
      <c r="EF120" s="12">
        <v>57</v>
      </c>
      <c r="EG120" s="16">
        <v>0.45614035087719296</v>
      </c>
      <c r="EH120" s="12">
        <v>16</v>
      </c>
      <c r="EI120" s="12">
        <v>21</v>
      </c>
      <c r="EJ120" s="16">
        <v>0.76190476190476186</v>
      </c>
      <c r="EK120" s="12">
        <v>5</v>
      </c>
      <c r="EL120" s="12">
        <v>24</v>
      </c>
      <c r="EM120" s="12">
        <v>29</v>
      </c>
      <c r="EN120" s="12">
        <v>17</v>
      </c>
      <c r="EO120" s="12">
        <v>28</v>
      </c>
      <c r="EP120" s="12">
        <v>20</v>
      </c>
      <c r="EQ120" s="12">
        <v>4</v>
      </c>
      <c r="ER120" s="12">
        <v>19</v>
      </c>
      <c r="ES120" s="12">
        <v>1</v>
      </c>
      <c r="ET120" s="12">
        <v>3</v>
      </c>
      <c r="EU120" s="12">
        <v>59</v>
      </c>
      <c r="EV120" s="12">
        <v>-26</v>
      </c>
      <c r="EW120" s="12">
        <v>78</v>
      </c>
      <c r="EX120" s="12">
        <v>83</v>
      </c>
      <c r="EY120" s="12">
        <v>5</v>
      </c>
      <c r="EZ120" s="12">
        <v>11</v>
      </c>
      <c r="FA120" s="12">
        <v>5</v>
      </c>
      <c r="FB120" s="12">
        <v>1</v>
      </c>
      <c r="FC120" s="12">
        <v>0</v>
      </c>
      <c r="FD120" s="12">
        <v>1</v>
      </c>
      <c r="FE120" s="12">
        <v>0</v>
      </c>
      <c r="FF120" s="12">
        <v>1</v>
      </c>
      <c r="FG120" s="12">
        <v>0</v>
      </c>
      <c r="FH120" s="12">
        <v>0</v>
      </c>
      <c r="FI120" s="12">
        <v>0</v>
      </c>
      <c r="FJ120" s="12">
        <v>0</v>
      </c>
      <c r="FK120" s="12">
        <v>0</v>
      </c>
      <c r="FL120" s="12">
        <v>3</v>
      </c>
      <c r="FM120" s="12">
        <v>0</v>
      </c>
      <c r="FN120" s="12">
        <v>0</v>
      </c>
      <c r="FO120" s="12">
        <v>0</v>
      </c>
      <c r="FP120" s="12">
        <v>0</v>
      </c>
      <c r="FQ120" s="12">
        <v>0</v>
      </c>
      <c r="FR120" s="12">
        <v>10</v>
      </c>
      <c r="FS120" s="12">
        <v>0</v>
      </c>
      <c r="FT120" s="12">
        <v>0</v>
      </c>
      <c r="FU120" s="12">
        <v>0</v>
      </c>
      <c r="FV120" s="12">
        <v>0</v>
      </c>
      <c r="FW120" s="12">
        <v>0</v>
      </c>
      <c r="FX120" s="12">
        <v>12</v>
      </c>
      <c r="FY120" s="12">
        <v>2</v>
      </c>
      <c r="FZ120" s="12">
        <v>2</v>
      </c>
      <c r="GA120" s="12">
        <v>0</v>
      </c>
      <c r="GB120" s="12">
        <v>1</v>
      </c>
      <c r="GC120" s="12">
        <v>1</v>
      </c>
      <c r="GD120" s="12">
        <v>3</v>
      </c>
      <c r="GE120" s="12">
        <v>4</v>
      </c>
      <c r="GF120" s="12">
        <v>8</v>
      </c>
      <c r="GG120" s="12">
        <v>10</v>
      </c>
      <c r="GH120" s="12">
        <v>0</v>
      </c>
      <c r="GI120" s="12">
        <v>4</v>
      </c>
      <c r="GJ120" s="12">
        <v>6</v>
      </c>
      <c r="GK120" s="12">
        <v>0</v>
      </c>
      <c r="GL120" s="12">
        <v>4</v>
      </c>
      <c r="GM120" s="12">
        <v>5</v>
      </c>
      <c r="GN120" s="12">
        <v>16</v>
      </c>
      <c r="GO120" s="12">
        <v>25</v>
      </c>
      <c r="GP120" s="12">
        <v>0</v>
      </c>
      <c r="GQ120" s="12">
        <v>2</v>
      </c>
      <c r="GR120" s="12">
        <v>0</v>
      </c>
      <c r="GS120" s="12">
        <v>0</v>
      </c>
      <c r="GT120" s="12">
        <v>6</v>
      </c>
      <c r="GU120" s="12">
        <v>25</v>
      </c>
      <c r="GV120" s="12">
        <v>0</v>
      </c>
      <c r="GW120" s="12">
        <v>0</v>
      </c>
      <c r="GY120" s="16"/>
    </row>
    <row r="121" spans="2:207" ht="15" customHeight="1" x14ac:dyDescent="0.2">
      <c r="B121" s="12">
        <v>7</v>
      </c>
      <c r="C121" s="12" t="s">
        <v>285</v>
      </c>
      <c r="D121" s="12" t="s">
        <v>298</v>
      </c>
      <c r="E121" s="14" t="s">
        <v>287</v>
      </c>
      <c r="F121" s="14" t="s">
        <v>300</v>
      </c>
      <c r="G121" s="15">
        <v>45239</v>
      </c>
      <c r="H121" s="15" t="s">
        <v>271</v>
      </c>
      <c r="I121" s="12" t="s">
        <v>269</v>
      </c>
      <c r="J121" s="12" t="s">
        <v>272</v>
      </c>
      <c r="K121" s="12">
        <v>200</v>
      </c>
      <c r="L121" s="12">
        <v>74</v>
      </c>
      <c r="M121" s="12">
        <v>20</v>
      </c>
      <c r="N121" s="12">
        <v>32</v>
      </c>
      <c r="O121" s="16">
        <v>0.625</v>
      </c>
      <c r="P121" s="12">
        <v>6</v>
      </c>
      <c r="Q121" s="12">
        <v>25</v>
      </c>
      <c r="R121" s="16">
        <v>0.24</v>
      </c>
      <c r="S121" s="12">
        <v>26</v>
      </c>
      <c r="T121" s="12">
        <v>57</v>
      </c>
      <c r="U121" s="16">
        <v>0.45614035087719296</v>
      </c>
      <c r="V121" s="12">
        <v>16</v>
      </c>
      <c r="W121" s="12">
        <v>21</v>
      </c>
      <c r="X121" s="16">
        <v>0.76190476190476186</v>
      </c>
      <c r="Y121" s="12">
        <v>5</v>
      </c>
      <c r="Z121" s="12">
        <v>24</v>
      </c>
      <c r="AA121" s="12">
        <v>29</v>
      </c>
      <c r="AB121" s="12">
        <v>17</v>
      </c>
      <c r="AC121" s="12">
        <v>19</v>
      </c>
      <c r="AD121" s="12">
        <v>4</v>
      </c>
      <c r="AE121" s="12">
        <v>1</v>
      </c>
      <c r="AF121" s="12">
        <v>3</v>
      </c>
      <c r="AG121" s="12">
        <v>28</v>
      </c>
      <c r="AH121" s="12">
        <v>20</v>
      </c>
      <c r="AI121" s="17">
        <v>59</v>
      </c>
      <c r="AJ121" s="12">
        <v>-26</v>
      </c>
      <c r="AK121" s="12">
        <v>78</v>
      </c>
      <c r="AL121" s="12">
        <v>83</v>
      </c>
      <c r="AM121" s="19">
        <v>0.89156626506024095</v>
      </c>
      <c r="AN121" s="19">
        <v>1.1494252873563218</v>
      </c>
      <c r="AO121" s="18">
        <v>94.871794871794862</v>
      </c>
      <c r="AP121" s="18">
        <v>126.58227848101266</v>
      </c>
      <c r="AQ121" s="18">
        <v>-31.710483609217803</v>
      </c>
      <c r="AR121" s="53">
        <v>0.50877192982456143</v>
      </c>
      <c r="AS121" s="53">
        <v>0.578125</v>
      </c>
      <c r="AT121" s="16">
        <v>6.0240963855421686E-2</v>
      </c>
      <c r="AU121" s="19">
        <v>1.6</v>
      </c>
      <c r="AV121" s="16">
        <v>0.30120481927710846</v>
      </c>
      <c r="AW121" s="19">
        <v>1.28</v>
      </c>
      <c r="AX121" s="16">
        <v>2.4096385542168676E-2</v>
      </c>
      <c r="AY121" s="19">
        <v>0</v>
      </c>
      <c r="AZ121" s="16">
        <v>0</v>
      </c>
      <c r="BA121" s="19" t="s">
        <v>269</v>
      </c>
      <c r="BB121" s="16">
        <v>0.30120481927710846</v>
      </c>
      <c r="BC121" s="21">
        <v>0.72</v>
      </c>
      <c r="BD121" s="16">
        <v>8.4337349397590355E-2</v>
      </c>
      <c r="BE121" s="16">
        <v>0.2289156626506024</v>
      </c>
      <c r="BF121" s="16">
        <v>0.51515151515151514</v>
      </c>
      <c r="BG121" s="16">
        <v>0.55000000000000004</v>
      </c>
      <c r="BH121" s="16">
        <v>0.83333333333333337</v>
      </c>
      <c r="BI121" s="16">
        <v>0.14285714285714285</v>
      </c>
      <c r="BJ121" s="16">
        <v>0.20481927710843373</v>
      </c>
      <c r="BK121" s="21">
        <v>0.89473684210526316</v>
      </c>
      <c r="BL121" s="16">
        <v>0.14705882352941177</v>
      </c>
      <c r="BM121" s="16">
        <v>0.16666666666666666</v>
      </c>
      <c r="BN121" s="16">
        <v>0.15</v>
      </c>
      <c r="BO121" s="16">
        <v>0</v>
      </c>
      <c r="BP121" s="16">
        <v>0.75</v>
      </c>
      <c r="BQ121" s="16">
        <v>0.625</v>
      </c>
      <c r="BR121" s="16">
        <v>0.875</v>
      </c>
      <c r="BS121" s="16">
        <v>1</v>
      </c>
      <c r="BT121" s="16">
        <v>0.43939393939393939</v>
      </c>
      <c r="BU121" s="16">
        <v>5.0632911392405063E-2</v>
      </c>
      <c r="BV121" s="16">
        <v>1.5873015873015872E-2</v>
      </c>
      <c r="BW121" s="54">
        <v>5</v>
      </c>
      <c r="BX121" s="54">
        <v>0.6071428571428571</v>
      </c>
      <c r="BY121" s="54">
        <v>0.55000000000000004</v>
      </c>
      <c r="BZ121" s="12">
        <v>11</v>
      </c>
      <c r="CA121" s="12">
        <v>5</v>
      </c>
      <c r="CB121" s="12">
        <v>1</v>
      </c>
      <c r="CC121" s="12">
        <v>0</v>
      </c>
      <c r="CD121" s="12">
        <v>1</v>
      </c>
      <c r="CE121" s="12">
        <v>0</v>
      </c>
      <c r="CF121" s="12">
        <v>1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3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10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12</v>
      </c>
      <c r="CY121" s="12">
        <v>2</v>
      </c>
      <c r="CZ121" s="12">
        <v>2</v>
      </c>
      <c r="DA121" s="12">
        <v>0</v>
      </c>
      <c r="DB121" s="12">
        <v>1</v>
      </c>
      <c r="DC121" s="12">
        <v>1</v>
      </c>
      <c r="DD121" s="12">
        <v>3</v>
      </c>
      <c r="DE121" s="12">
        <v>4</v>
      </c>
      <c r="DF121" s="12">
        <v>8</v>
      </c>
      <c r="DG121" s="12">
        <v>10</v>
      </c>
      <c r="DH121" s="12">
        <v>0</v>
      </c>
      <c r="DI121" s="12">
        <v>4</v>
      </c>
      <c r="DJ121" s="12">
        <v>6</v>
      </c>
      <c r="DK121" s="12">
        <v>0</v>
      </c>
      <c r="DL121" s="12">
        <v>4</v>
      </c>
      <c r="DM121" s="12">
        <v>5</v>
      </c>
      <c r="DN121" s="12">
        <v>16</v>
      </c>
      <c r="DO121" s="12">
        <v>25</v>
      </c>
      <c r="DP121" s="12">
        <v>0</v>
      </c>
      <c r="DQ121" s="12">
        <v>2</v>
      </c>
      <c r="DR121" s="12">
        <v>0</v>
      </c>
      <c r="DS121" s="12">
        <v>0</v>
      </c>
      <c r="DT121" s="12">
        <v>6</v>
      </c>
      <c r="DU121" s="12">
        <v>25</v>
      </c>
      <c r="DV121" s="12">
        <v>0</v>
      </c>
      <c r="DW121" s="12">
        <v>0</v>
      </c>
      <c r="DX121" s="12">
        <v>100</v>
      </c>
      <c r="DY121" s="12">
        <v>19</v>
      </c>
      <c r="DZ121" s="12">
        <v>37</v>
      </c>
      <c r="EA121" s="16">
        <v>0.51351351351351349</v>
      </c>
      <c r="EB121" s="12">
        <v>11</v>
      </c>
      <c r="EC121" s="12">
        <v>26</v>
      </c>
      <c r="ED121" s="16">
        <v>0.42307692307692307</v>
      </c>
      <c r="EE121" s="12">
        <v>30</v>
      </c>
      <c r="EF121" s="12">
        <v>63</v>
      </c>
      <c r="EG121" s="16">
        <v>0.47619047619047616</v>
      </c>
      <c r="EH121" s="12">
        <v>29</v>
      </c>
      <c r="EI121" s="12">
        <v>34</v>
      </c>
      <c r="EJ121" s="16">
        <v>0.8529411764705882</v>
      </c>
      <c r="EK121" s="12">
        <v>8</v>
      </c>
      <c r="EL121" s="12">
        <v>29</v>
      </c>
      <c r="EM121" s="12">
        <v>37</v>
      </c>
      <c r="EN121" s="12">
        <v>28</v>
      </c>
      <c r="EO121" s="12">
        <v>21</v>
      </c>
      <c r="EP121" s="12">
        <v>27</v>
      </c>
      <c r="EQ121" s="12">
        <v>7</v>
      </c>
      <c r="ER121" s="12">
        <v>8</v>
      </c>
      <c r="ES121" s="12">
        <v>3</v>
      </c>
      <c r="ET121" s="12">
        <v>1</v>
      </c>
      <c r="EU121" s="12">
        <v>134</v>
      </c>
      <c r="EV121" s="12">
        <v>26</v>
      </c>
      <c r="EW121" s="12">
        <v>79</v>
      </c>
      <c r="EX121" s="12">
        <v>87</v>
      </c>
      <c r="EY121" s="12">
        <v>9</v>
      </c>
      <c r="EZ121" s="12">
        <v>11</v>
      </c>
      <c r="FA121" s="12">
        <v>11</v>
      </c>
      <c r="FB121" s="12">
        <v>6</v>
      </c>
      <c r="FC121" s="12">
        <v>10</v>
      </c>
      <c r="FD121" s="12">
        <v>1</v>
      </c>
      <c r="FE121" s="12">
        <v>0</v>
      </c>
      <c r="FF121" s="12">
        <v>4</v>
      </c>
      <c r="FG121" s="12">
        <v>0</v>
      </c>
      <c r="FH121" s="12">
        <v>1</v>
      </c>
      <c r="FI121" s="12">
        <v>0</v>
      </c>
      <c r="FJ121" s="12">
        <v>0</v>
      </c>
      <c r="FK121" s="12">
        <v>0</v>
      </c>
      <c r="FL121" s="12">
        <v>2</v>
      </c>
      <c r="FM121" s="12">
        <v>0</v>
      </c>
      <c r="FN121" s="12">
        <v>0</v>
      </c>
      <c r="FO121" s="12">
        <v>0</v>
      </c>
      <c r="FP121" s="12">
        <v>0</v>
      </c>
      <c r="FQ121" s="12">
        <v>0</v>
      </c>
      <c r="FR121" s="12">
        <v>8</v>
      </c>
      <c r="FS121" s="12">
        <v>0</v>
      </c>
      <c r="FT121" s="12">
        <v>2</v>
      </c>
      <c r="FU121" s="12">
        <v>0</v>
      </c>
      <c r="FV121" s="12">
        <v>0</v>
      </c>
      <c r="FW121" s="12">
        <v>0</v>
      </c>
      <c r="FX121" s="12">
        <v>16</v>
      </c>
      <c r="FY121" s="12">
        <v>1</v>
      </c>
      <c r="FZ121" s="12">
        <v>3</v>
      </c>
      <c r="GA121" s="12">
        <v>0</v>
      </c>
      <c r="GB121" s="12">
        <v>1</v>
      </c>
      <c r="GC121" s="12">
        <v>1</v>
      </c>
      <c r="GD121" s="12">
        <v>1</v>
      </c>
      <c r="GE121" s="12">
        <v>1</v>
      </c>
      <c r="GF121" s="12">
        <v>27</v>
      </c>
      <c r="GG121" s="12">
        <v>32</v>
      </c>
      <c r="GH121" s="12">
        <v>0</v>
      </c>
      <c r="GI121" s="12">
        <v>0</v>
      </c>
      <c r="GJ121" s="12">
        <v>0</v>
      </c>
      <c r="GK121" s="12">
        <v>0</v>
      </c>
      <c r="GL121" s="12">
        <v>4</v>
      </c>
      <c r="GM121" s="12">
        <v>5</v>
      </c>
      <c r="GN121" s="12">
        <v>15</v>
      </c>
      <c r="GO121" s="12">
        <v>29</v>
      </c>
      <c r="GP121" s="12">
        <v>0</v>
      </c>
      <c r="GQ121" s="12">
        <v>3</v>
      </c>
      <c r="GR121" s="12">
        <v>0</v>
      </c>
      <c r="GS121" s="12">
        <v>0</v>
      </c>
      <c r="GT121" s="12">
        <v>11</v>
      </c>
      <c r="GU121" s="12">
        <v>26</v>
      </c>
      <c r="GV121" s="12">
        <v>0</v>
      </c>
      <c r="GW121" s="12">
        <v>0</v>
      </c>
      <c r="GY121" s="16"/>
    </row>
    <row r="122" spans="2:207" ht="15" customHeight="1" x14ac:dyDescent="0.2">
      <c r="B122" s="12">
        <v>7</v>
      </c>
      <c r="C122" s="12" t="s">
        <v>281</v>
      </c>
      <c r="D122" s="12" t="s">
        <v>294</v>
      </c>
      <c r="E122" s="14" t="s">
        <v>283</v>
      </c>
      <c r="F122" s="14" t="s">
        <v>296</v>
      </c>
      <c r="G122" s="15">
        <v>45240</v>
      </c>
      <c r="H122" s="15" t="s">
        <v>268</v>
      </c>
      <c r="I122" s="12" t="s">
        <v>269</v>
      </c>
      <c r="J122" s="12" t="s">
        <v>272</v>
      </c>
      <c r="K122" s="12">
        <v>200</v>
      </c>
      <c r="L122" s="12">
        <v>85</v>
      </c>
      <c r="M122" s="12">
        <v>20</v>
      </c>
      <c r="N122" s="12">
        <v>42</v>
      </c>
      <c r="O122" s="16">
        <v>0.47619047619047616</v>
      </c>
      <c r="P122" s="12">
        <v>12</v>
      </c>
      <c r="Q122" s="12">
        <v>28</v>
      </c>
      <c r="R122" s="16">
        <v>0.42857142857142855</v>
      </c>
      <c r="S122" s="12">
        <v>32</v>
      </c>
      <c r="T122" s="12">
        <v>70</v>
      </c>
      <c r="U122" s="16">
        <v>0.45714285714285713</v>
      </c>
      <c r="V122" s="12">
        <v>9</v>
      </c>
      <c r="W122" s="12">
        <v>12</v>
      </c>
      <c r="X122" s="16">
        <v>0.75</v>
      </c>
      <c r="Y122" s="12">
        <v>15</v>
      </c>
      <c r="Z122" s="12">
        <v>19</v>
      </c>
      <c r="AA122" s="12">
        <v>34</v>
      </c>
      <c r="AB122" s="12">
        <v>19</v>
      </c>
      <c r="AC122" s="12">
        <v>14</v>
      </c>
      <c r="AD122" s="12">
        <v>7</v>
      </c>
      <c r="AE122" s="12">
        <v>1</v>
      </c>
      <c r="AF122" s="12">
        <v>3</v>
      </c>
      <c r="AG122" s="12">
        <v>21</v>
      </c>
      <c r="AH122" s="12">
        <v>17</v>
      </c>
      <c r="AI122" s="17">
        <v>84</v>
      </c>
      <c r="AJ122" s="12">
        <v>-14</v>
      </c>
      <c r="AK122" s="12">
        <v>74</v>
      </c>
      <c r="AL122" s="12">
        <v>89</v>
      </c>
      <c r="AM122" s="19">
        <v>0.9550561797752809</v>
      </c>
      <c r="AN122" s="19">
        <v>1.2073170731707317</v>
      </c>
      <c r="AO122" s="18">
        <v>114.86486486486487</v>
      </c>
      <c r="AP122" s="18">
        <v>132</v>
      </c>
      <c r="AQ122" s="18">
        <v>-17.13513513513513</v>
      </c>
      <c r="AR122" s="53">
        <v>0.54285714285714282</v>
      </c>
      <c r="AS122" s="53">
        <v>0.56666666666666665</v>
      </c>
      <c r="AT122" s="16">
        <v>0.24719101123595505</v>
      </c>
      <c r="AU122" s="19">
        <v>1.1818181818181819</v>
      </c>
      <c r="AV122" s="16">
        <v>0.1797752808988764</v>
      </c>
      <c r="AW122" s="19">
        <v>0.875</v>
      </c>
      <c r="AX122" s="16">
        <v>4.49438202247191E-2</v>
      </c>
      <c r="AY122" s="19">
        <v>0</v>
      </c>
      <c r="AZ122" s="16">
        <v>7.8651685393258425E-2</v>
      </c>
      <c r="BA122" s="19">
        <v>1.7142857142857142</v>
      </c>
      <c r="BB122" s="16">
        <v>0.23595505617977527</v>
      </c>
      <c r="BC122" s="21">
        <v>1.1428571428571428</v>
      </c>
      <c r="BD122" s="16">
        <v>5.6179775280898875E-2</v>
      </c>
      <c r="BE122" s="16">
        <v>0.15730337078651685</v>
      </c>
      <c r="BF122" s="16">
        <v>0.51351351351351349</v>
      </c>
      <c r="BG122" s="16">
        <v>0.35</v>
      </c>
      <c r="BH122" s="16">
        <v>0.83333333333333337</v>
      </c>
      <c r="BI122" s="16">
        <v>0.4</v>
      </c>
      <c r="BJ122" s="16">
        <v>0.21348314606741572</v>
      </c>
      <c r="BK122" s="21">
        <v>1.3571428571428572</v>
      </c>
      <c r="BL122" s="16">
        <v>0.36585365853658536</v>
      </c>
      <c r="BM122" s="16">
        <v>0.4</v>
      </c>
      <c r="BN122" s="16">
        <v>0.3888888888888889</v>
      </c>
      <c r="BO122" s="16">
        <v>0</v>
      </c>
      <c r="BP122" s="16">
        <v>0.73076923076923073</v>
      </c>
      <c r="BQ122" s="16">
        <v>0.66666666666666663</v>
      </c>
      <c r="BR122" s="16">
        <v>0.75</v>
      </c>
      <c r="BS122" s="16">
        <v>1</v>
      </c>
      <c r="BT122" s="16">
        <v>0.5074626865671642</v>
      </c>
      <c r="BU122" s="16">
        <v>9.3333333333333338E-2</v>
      </c>
      <c r="BV122" s="16">
        <v>1.6129032258064516E-2</v>
      </c>
      <c r="BW122" s="54">
        <v>1</v>
      </c>
      <c r="BX122" s="54">
        <v>0.42857142857142855</v>
      </c>
      <c r="BY122" s="54">
        <v>0.41176470588235292</v>
      </c>
      <c r="BZ122" s="12">
        <v>7</v>
      </c>
      <c r="CA122" s="12">
        <v>10</v>
      </c>
      <c r="CB122" s="12">
        <v>2</v>
      </c>
      <c r="CC122" s="12">
        <v>4</v>
      </c>
      <c r="CD122" s="12">
        <v>3</v>
      </c>
      <c r="CE122" s="12">
        <v>1</v>
      </c>
      <c r="CF122" s="12">
        <v>3</v>
      </c>
      <c r="CG122" s="12">
        <v>0</v>
      </c>
      <c r="CH122" s="12">
        <v>2</v>
      </c>
      <c r="CI122" s="12">
        <v>1</v>
      </c>
      <c r="CJ122" s="12">
        <v>2</v>
      </c>
      <c r="CK122" s="12">
        <v>1</v>
      </c>
      <c r="CL122" s="12">
        <v>4</v>
      </c>
      <c r="CM122" s="12">
        <v>0</v>
      </c>
      <c r="CN122" s="12">
        <v>0</v>
      </c>
      <c r="CO122" s="12">
        <v>0</v>
      </c>
      <c r="CP122" s="12">
        <v>3</v>
      </c>
      <c r="CQ122" s="12">
        <v>2</v>
      </c>
      <c r="CR122" s="12">
        <v>2</v>
      </c>
      <c r="CS122" s="12">
        <v>0</v>
      </c>
      <c r="CT122" s="12">
        <v>1</v>
      </c>
      <c r="CU122" s="12">
        <v>0</v>
      </c>
      <c r="CV122" s="12">
        <v>2</v>
      </c>
      <c r="CW122" s="12">
        <v>0</v>
      </c>
      <c r="CX122" s="12">
        <v>10</v>
      </c>
      <c r="CY122" s="12">
        <v>0</v>
      </c>
      <c r="CZ122" s="12">
        <v>1</v>
      </c>
      <c r="DA122" s="12">
        <v>0</v>
      </c>
      <c r="DB122" s="12">
        <v>0</v>
      </c>
      <c r="DC122" s="12">
        <v>0</v>
      </c>
      <c r="DD122" s="12">
        <v>0</v>
      </c>
      <c r="DE122" s="12">
        <v>2</v>
      </c>
      <c r="DF122" s="12">
        <v>9</v>
      </c>
      <c r="DG122" s="12">
        <v>10</v>
      </c>
      <c r="DH122" s="12">
        <v>0</v>
      </c>
      <c r="DI122" s="12">
        <v>0</v>
      </c>
      <c r="DJ122" s="12">
        <v>0</v>
      </c>
      <c r="DK122" s="12">
        <v>0</v>
      </c>
      <c r="DL122" s="12">
        <v>13</v>
      </c>
      <c r="DM122" s="12">
        <v>22</v>
      </c>
      <c r="DN122" s="12">
        <v>7</v>
      </c>
      <c r="DO122" s="12">
        <v>16</v>
      </c>
      <c r="DP122" s="12">
        <v>0</v>
      </c>
      <c r="DQ122" s="12">
        <v>4</v>
      </c>
      <c r="DR122" s="12">
        <v>4</v>
      </c>
      <c r="DS122" s="12">
        <v>7</v>
      </c>
      <c r="DT122" s="12">
        <v>8</v>
      </c>
      <c r="DU122" s="12">
        <v>21</v>
      </c>
      <c r="DV122" s="12">
        <v>0</v>
      </c>
      <c r="DW122" s="12">
        <v>0</v>
      </c>
      <c r="DX122" s="12">
        <v>99</v>
      </c>
      <c r="DY122" s="12">
        <v>23</v>
      </c>
      <c r="DZ122" s="12">
        <v>33</v>
      </c>
      <c r="EA122" s="16">
        <v>0.69696969696969702</v>
      </c>
      <c r="EB122" s="12">
        <v>13</v>
      </c>
      <c r="EC122" s="12">
        <v>29</v>
      </c>
      <c r="ED122" s="16">
        <v>0.44827586206896552</v>
      </c>
      <c r="EE122" s="12">
        <v>36</v>
      </c>
      <c r="EF122" s="12">
        <v>62</v>
      </c>
      <c r="EG122" s="16">
        <v>0.58064516129032262</v>
      </c>
      <c r="EH122" s="12">
        <v>14</v>
      </c>
      <c r="EI122" s="12">
        <v>17</v>
      </c>
      <c r="EJ122" s="16">
        <v>0.82352941176470584</v>
      </c>
      <c r="EK122" s="12">
        <v>7</v>
      </c>
      <c r="EL122" s="12">
        <v>26</v>
      </c>
      <c r="EM122" s="12">
        <v>33</v>
      </c>
      <c r="EN122" s="12">
        <v>27</v>
      </c>
      <c r="EO122" s="12">
        <v>17</v>
      </c>
      <c r="EP122" s="12">
        <v>21</v>
      </c>
      <c r="EQ122" s="12">
        <v>8</v>
      </c>
      <c r="ER122" s="12">
        <v>12</v>
      </c>
      <c r="ES122" s="12">
        <v>3</v>
      </c>
      <c r="ET122" s="12">
        <v>1</v>
      </c>
      <c r="EU122" s="12">
        <v>132</v>
      </c>
      <c r="EV122" s="12">
        <v>14</v>
      </c>
      <c r="EW122" s="12">
        <v>75</v>
      </c>
      <c r="EX122" s="12">
        <v>82</v>
      </c>
      <c r="EY122" s="12">
        <v>6</v>
      </c>
      <c r="EZ122" s="12">
        <v>13</v>
      </c>
      <c r="FA122" s="12">
        <v>11</v>
      </c>
      <c r="FB122" s="12">
        <v>3</v>
      </c>
      <c r="FC122" s="12">
        <v>6</v>
      </c>
      <c r="FD122" s="12">
        <v>1</v>
      </c>
      <c r="FE122" s="12">
        <v>0</v>
      </c>
      <c r="FF122" s="12">
        <v>3</v>
      </c>
      <c r="FG122" s="12">
        <v>0</v>
      </c>
      <c r="FH122" s="12">
        <v>0</v>
      </c>
      <c r="FI122" s="12">
        <v>0</v>
      </c>
      <c r="FJ122" s="12">
        <v>0</v>
      </c>
      <c r="FK122" s="12">
        <v>0</v>
      </c>
      <c r="FL122" s="12">
        <v>3</v>
      </c>
      <c r="FM122" s="12">
        <v>1</v>
      </c>
      <c r="FN122" s="12">
        <v>0</v>
      </c>
      <c r="FO122" s="12">
        <v>0</v>
      </c>
      <c r="FP122" s="12">
        <v>6</v>
      </c>
      <c r="FQ122" s="12">
        <v>1</v>
      </c>
      <c r="FR122" s="12">
        <v>5</v>
      </c>
      <c r="FS122" s="12">
        <v>0</v>
      </c>
      <c r="FT122" s="12">
        <v>2</v>
      </c>
      <c r="FU122" s="12">
        <v>1</v>
      </c>
      <c r="FV122" s="12">
        <v>1</v>
      </c>
      <c r="FW122" s="12">
        <v>0</v>
      </c>
      <c r="FX122" s="12">
        <v>9</v>
      </c>
      <c r="FY122" s="12">
        <v>1</v>
      </c>
      <c r="FZ122" s="12">
        <v>3</v>
      </c>
      <c r="GA122" s="12">
        <v>0</v>
      </c>
      <c r="GB122" s="12">
        <v>0</v>
      </c>
      <c r="GC122" s="12">
        <v>0</v>
      </c>
      <c r="GD122" s="12">
        <v>1</v>
      </c>
      <c r="GE122" s="12">
        <v>1</v>
      </c>
      <c r="GF122" s="12">
        <v>13</v>
      </c>
      <c r="GG122" s="12">
        <v>16</v>
      </c>
      <c r="GH122" s="12">
        <v>1</v>
      </c>
      <c r="GI122" s="12">
        <v>0</v>
      </c>
      <c r="GJ122" s="12">
        <v>0</v>
      </c>
      <c r="GK122" s="12">
        <v>0</v>
      </c>
      <c r="GL122" s="12">
        <v>12</v>
      </c>
      <c r="GM122" s="12">
        <v>16</v>
      </c>
      <c r="GN122" s="12">
        <v>8</v>
      </c>
      <c r="GO122" s="12">
        <v>13</v>
      </c>
      <c r="GP122" s="12">
        <v>3</v>
      </c>
      <c r="GQ122" s="12">
        <v>4</v>
      </c>
      <c r="GR122" s="12">
        <v>3</v>
      </c>
      <c r="GS122" s="12">
        <v>5</v>
      </c>
      <c r="GT122" s="12">
        <v>10</v>
      </c>
      <c r="GU122" s="12">
        <v>24</v>
      </c>
      <c r="GV122" s="12">
        <v>0</v>
      </c>
      <c r="GW122" s="12">
        <v>0</v>
      </c>
      <c r="GY122" s="16"/>
    </row>
    <row r="123" spans="2:207" ht="15" customHeight="1" x14ac:dyDescent="0.2">
      <c r="B123" s="12">
        <v>7</v>
      </c>
      <c r="C123" s="12" t="s">
        <v>294</v>
      </c>
      <c r="D123" s="12" t="s">
        <v>281</v>
      </c>
      <c r="E123" s="14" t="s">
        <v>296</v>
      </c>
      <c r="F123" s="14" t="s">
        <v>283</v>
      </c>
      <c r="G123" s="15">
        <v>45240</v>
      </c>
      <c r="H123" s="15" t="s">
        <v>271</v>
      </c>
      <c r="I123" s="12" t="s">
        <v>269</v>
      </c>
      <c r="J123" s="12" t="s">
        <v>270</v>
      </c>
      <c r="K123" s="12">
        <v>200</v>
      </c>
      <c r="L123" s="12">
        <v>99</v>
      </c>
      <c r="M123" s="12">
        <v>23</v>
      </c>
      <c r="N123" s="12">
        <v>33</v>
      </c>
      <c r="O123" s="16">
        <v>0.69696969696969702</v>
      </c>
      <c r="P123" s="12">
        <v>13</v>
      </c>
      <c r="Q123" s="12">
        <v>29</v>
      </c>
      <c r="R123" s="16">
        <v>0.44827586206896552</v>
      </c>
      <c r="S123" s="12">
        <v>36</v>
      </c>
      <c r="T123" s="12">
        <v>62</v>
      </c>
      <c r="U123" s="16">
        <v>0.58064516129032262</v>
      </c>
      <c r="V123" s="12">
        <v>14</v>
      </c>
      <c r="W123" s="12">
        <v>17</v>
      </c>
      <c r="X123" s="16">
        <v>0.82352941176470584</v>
      </c>
      <c r="Y123" s="12">
        <v>7</v>
      </c>
      <c r="Z123" s="12">
        <v>26</v>
      </c>
      <c r="AA123" s="12">
        <v>33</v>
      </c>
      <c r="AB123" s="12">
        <v>27</v>
      </c>
      <c r="AC123" s="12">
        <v>12</v>
      </c>
      <c r="AD123" s="12">
        <v>8</v>
      </c>
      <c r="AE123" s="12">
        <v>3</v>
      </c>
      <c r="AF123" s="12">
        <v>1</v>
      </c>
      <c r="AG123" s="12">
        <v>17</v>
      </c>
      <c r="AH123" s="12">
        <v>21</v>
      </c>
      <c r="AI123" s="17">
        <v>132</v>
      </c>
      <c r="AJ123" s="12">
        <v>14</v>
      </c>
      <c r="AK123" s="12">
        <v>75</v>
      </c>
      <c r="AL123" s="12">
        <v>82</v>
      </c>
      <c r="AM123" s="19">
        <v>1.2073170731707317</v>
      </c>
      <c r="AN123" s="19">
        <v>0.9550561797752809</v>
      </c>
      <c r="AO123" s="18">
        <v>132</v>
      </c>
      <c r="AP123" s="18">
        <v>114.86486486486487</v>
      </c>
      <c r="AQ123" s="18">
        <v>17.13513513513513</v>
      </c>
      <c r="AR123" s="53">
        <v>0.68548387096774188</v>
      </c>
      <c r="AS123" s="53">
        <v>0.70714285714285718</v>
      </c>
      <c r="AT123" s="16">
        <v>0.1951219512195122</v>
      </c>
      <c r="AU123" s="19">
        <v>1.5</v>
      </c>
      <c r="AV123" s="16">
        <v>0.15853658536585366</v>
      </c>
      <c r="AW123" s="19">
        <v>1.2307692307692308</v>
      </c>
      <c r="AX123" s="16">
        <v>4.878048780487805E-2</v>
      </c>
      <c r="AY123" s="19">
        <v>1.5</v>
      </c>
      <c r="AZ123" s="16">
        <v>6.097560975609756E-2</v>
      </c>
      <c r="BA123" s="19">
        <v>1.8</v>
      </c>
      <c r="BB123" s="16">
        <v>0.29268292682926828</v>
      </c>
      <c r="BC123" s="21">
        <v>1.25</v>
      </c>
      <c r="BD123" s="16">
        <v>9.7560975609756101E-2</v>
      </c>
      <c r="BE123" s="16">
        <v>0.14634146341463414</v>
      </c>
      <c r="BF123" s="16">
        <v>0.62790697674418605</v>
      </c>
      <c r="BG123" s="16">
        <v>0.56521739130434778</v>
      </c>
      <c r="BH123" s="16">
        <v>0.84615384615384615</v>
      </c>
      <c r="BI123" s="16">
        <v>0.42857142857142855</v>
      </c>
      <c r="BJ123" s="16">
        <v>0.32926829268292684</v>
      </c>
      <c r="BK123" s="21">
        <v>2.25</v>
      </c>
      <c r="BL123" s="16">
        <v>0.26923076923076922</v>
      </c>
      <c r="BM123" s="16">
        <v>0.33333333333333331</v>
      </c>
      <c r="BN123" s="16">
        <v>0.25</v>
      </c>
      <c r="BO123" s="16">
        <v>0</v>
      </c>
      <c r="BP123" s="16">
        <v>0.63414634146341464</v>
      </c>
      <c r="BQ123" s="16">
        <v>0.6</v>
      </c>
      <c r="BR123" s="16">
        <v>0.61111111111111116</v>
      </c>
      <c r="BS123" s="16">
        <v>1</v>
      </c>
      <c r="BT123" s="16">
        <v>0.4925373134328358</v>
      </c>
      <c r="BU123" s="16">
        <v>0.10810810810810811</v>
      </c>
      <c r="BV123" s="16">
        <v>4.2857142857142858E-2</v>
      </c>
      <c r="BW123" s="54">
        <v>6</v>
      </c>
      <c r="BX123" s="54">
        <v>0.35294117647058826</v>
      </c>
      <c r="BY123" s="54">
        <v>0.42857142857142855</v>
      </c>
      <c r="BZ123" s="12">
        <v>13</v>
      </c>
      <c r="CA123" s="12">
        <v>11</v>
      </c>
      <c r="CB123" s="12">
        <v>3</v>
      </c>
      <c r="CC123" s="12">
        <v>6</v>
      </c>
      <c r="CD123" s="12">
        <v>1</v>
      </c>
      <c r="CE123" s="12">
        <v>0</v>
      </c>
      <c r="CF123" s="12">
        <v>3</v>
      </c>
      <c r="CG123" s="12">
        <v>0</v>
      </c>
      <c r="CH123" s="12">
        <v>0</v>
      </c>
      <c r="CI123" s="12">
        <v>0</v>
      </c>
      <c r="CJ123" s="12">
        <v>0</v>
      </c>
      <c r="CK123" s="12">
        <v>0</v>
      </c>
      <c r="CL123" s="12">
        <v>3</v>
      </c>
      <c r="CM123" s="12">
        <v>1</v>
      </c>
      <c r="CN123" s="12">
        <v>0</v>
      </c>
      <c r="CO123" s="12">
        <v>0</v>
      </c>
      <c r="CP123" s="12">
        <v>6</v>
      </c>
      <c r="CQ123" s="12">
        <v>1</v>
      </c>
      <c r="CR123" s="12">
        <v>5</v>
      </c>
      <c r="CS123" s="12">
        <v>0</v>
      </c>
      <c r="CT123" s="12">
        <v>2</v>
      </c>
      <c r="CU123" s="12">
        <v>1</v>
      </c>
      <c r="CV123" s="12">
        <v>1</v>
      </c>
      <c r="CW123" s="12">
        <v>0</v>
      </c>
      <c r="CX123" s="12">
        <v>9</v>
      </c>
      <c r="CY123" s="12">
        <v>1</v>
      </c>
      <c r="CZ123" s="12">
        <v>3</v>
      </c>
      <c r="DA123" s="12">
        <v>0</v>
      </c>
      <c r="DB123" s="12">
        <v>0</v>
      </c>
      <c r="DC123" s="12">
        <v>0</v>
      </c>
      <c r="DD123" s="12">
        <v>1</v>
      </c>
      <c r="DE123" s="12">
        <v>1</v>
      </c>
      <c r="DF123" s="12">
        <v>13</v>
      </c>
      <c r="DG123" s="12">
        <v>16</v>
      </c>
      <c r="DH123" s="12">
        <v>1</v>
      </c>
      <c r="DI123" s="12">
        <v>0</v>
      </c>
      <c r="DJ123" s="12">
        <v>0</v>
      </c>
      <c r="DK123" s="12">
        <v>0</v>
      </c>
      <c r="DL123" s="12">
        <v>12</v>
      </c>
      <c r="DM123" s="12">
        <v>16</v>
      </c>
      <c r="DN123" s="12">
        <v>8</v>
      </c>
      <c r="DO123" s="12">
        <v>13</v>
      </c>
      <c r="DP123" s="12">
        <v>3</v>
      </c>
      <c r="DQ123" s="12">
        <v>4</v>
      </c>
      <c r="DR123" s="12">
        <v>3</v>
      </c>
      <c r="DS123" s="12">
        <v>5</v>
      </c>
      <c r="DT123" s="12">
        <v>10</v>
      </c>
      <c r="DU123" s="12">
        <v>24</v>
      </c>
      <c r="DV123" s="12">
        <v>0</v>
      </c>
      <c r="DW123" s="12">
        <v>0</v>
      </c>
      <c r="DX123" s="12">
        <v>85</v>
      </c>
      <c r="DY123" s="12">
        <v>20</v>
      </c>
      <c r="DZ123" s="12">
        <v>42</v>
      </c>
      <c r="EA123" s="16">
        <v>0.47619047619047616</v>
      </c>
      <c r="EB123" s="12">
        <v>12</v>
      </c>
      <c r="EC123" s="12">
        <v>28</v>
      </c>
      <c r="ED123" s="16">
        <v>0.42857142857142855</v>
      </c>
      <c r="EE123" s="12">
        <v>32</v>
      </c>
      <c r="EF123" s="12">
        <v>70</v>
      </c>
      <c r="EG123" s="16">
        <v>0.45714285714285713</v>
      </c>
      <c r="EH123" s="12">
        <v>9</v>
      </c>
      <c r="EI123" s="12">
        <v>12</v>
      </c>
      <c r="EJ123" s="16">
        <v>0.75</v>
      </c>
      <c r="EK123" s="12">
        <v>15</v>
      </c>
      <c r="EL123" s="12">
        <v>19</v>
      </c>
      <c r="EM123" s="12">
        <v>34</v>
      </c>
      <c r="EN123" s="12">
        <v>19</v>
      </c>
      <c r="EO123" s="12">
        <v>21</v>
      </c>
      <c r="EP123" s="12">
        <v>17</v>
      </c>
      <c r="EQ123" s="12">
        <v>7</v>
      </c>
      <c r="ER123" s="12">
        <v>14</v>
      </c>
      <c r="ES123" s="12">
        <v>1</v>
      </c>
      <c r="ET123" s="12">
        <v>3</v>
      </c>
      <c r="EU123" s="12">
        <v>84</v>
      </c>
      <c r="EV123" s="12">
        <v>-14</v>
      </c>
      <c r="EW123" s="12">
        <v>74</v>
      </c>
      <c r="EX123" s="12">
        <v>89</v>
      </c>
      <c r="EY123" s="12">
        <v>1</v>
      </c>
      <c r="EZ123" s="12">
        <v>7</v>
      </c>
      <c r="FA123" s="12">
        <v>10</v>
      </c>
      <c r="FB123" s="12">
        <v>2</v>
      </c>
      <c r="FC123" s="12">
        <v>4</v>
      </c>
      <c r="FD123" s="12">
        <v>3</v>
      </c>
      <c r="FE123" s="12">
        <v>1</v>
      </c>
      <c r="FF123" s="12">
        <v>3</v>
      </c>
      <c r="FG123" s="12">
        <v>0</v>
      </c>
      <c r="FH123" s="12">
        <v>2</v>
      </c>
      <c r="FI123" s="12">
        <v>1</v>
      </c>
      <c r="FJ123" s="12">
        <v>2</v>
      </c>
      <c r="FK123" s="12">
        <v>1</v>
      </c>
      <c r="FL123" s="12">
        <v>4</v>
      </c>
      <c r="FM123" s="12">
        <v>0</v>
      </c>
      <c r="FN123" s="12">
        <v>0</v>
      </c>
      <c r="FO123" s="12">
        <v>0</v>
      </c>
      <c r="FP123" s="12">
        <v>3</v>
      </c>
      <c r="FQ123" s="12">
        <v>2</v>
      </c>
      <c r="FR123" s="12">
        <v>2</v>
      </c>
      <c r="FS123" s="12">
        <v>0</v>
      </c>
      <c r="FT123" s="12">
        <v>1</v>
      </c>
      <c r="FU123" s="12">
        <v>0</v>
      </c>
      <c r="FV123" s="12">
        <v>2</v>
      </c>
      <c r="FW123" s="12">
        <v>0</v>
      </c>
      <c r="FX123" s="12">
        <v>10</v>
      </c>
      <c r="FY123" s="12">
        <v>0</v>
      </c>
      <c r="FZ123" s="12">
        <v>1</v>
      </c>
      <c r="GA123" s="12">
        <v>0</v>
      </c>
      <c r="GB123" s="12">
        <v>0</v>
      </c>
      <c r="GC123" s="12">
        <v>0</v>
      </c>
      <c r="GD123" s="12">
        <v>0</v>
      </c>
      <c r="GE123" s="12">
        <v>1</v>
      </c>
      <c r="GF123" s="12">
        <v>9</v>
      </c>
      <c r="GG123" s="12">
        <v>10</v>
      </c>
      <c r="GH123" s="12">
        <v>0</v>
      </c>
      <c r="GI123" s="12">
        <v>0</v>
      </c>
      <c r="GJ123" s="12">
        <v>0</v>
      </c>
      <c r="GK123" s="12">
        <v>0</v>
      </c>
      <c r="GL123" s="12">
        <v>13</v>
      </c>
      <c r="GM123" s="12">
        <v>22</v>
      </c>
      <c r="GN123" s="12">
        <v>7</v>
      </c>
      <c r="GO123" s="12">
        <v>16</v>
      </c>
      <c r="GP123" s="12">
        <v>0</v>
      </c>
      <c r="GQ123" s="12">
        <v>4</v>
      </c>
      <c r="GR123" s="12">
        <v>4</v>
      </c>
      <c r="GS123" s="12">
        <v>7</v>
      </c>
      <c r="GT123" s="12">
        <v>8</v>
      </c>
      <c r="GU123" s="12">
        <v>21</v>
      </c>
      <c r="GV123" s="12">
        <v>0</v>
      </c>
      <c r="GW123" s="12">
        <v>0</v>
      </c>
      <c r="GY123" s="16"/>
    </row>
    <row r="124" spans="2:207" ht="15" customHeight="1" x14ac:dyDescent="0.2">
      <c r="B124" s="12">
        <v>7</v>
      </c>
      <c r="C124" s="12" t="s">
        <v>264</v>
      </c>
      <c r="D124" s="12" t="s">
        <v>278</v>
      </c>
      <c r="E124" s="14" t="s">
        <v>266</v>
      </c>
      <c r="F124" s="14" t="s">
        <v>280</v>
      </c>
      <c r="G124" s="15">
        <v>45240</v>
      </c>
      <c r="H124" s="15" t="s">
        <v>271</v>
      </c>
      <c r="I124" s="12" t="s">
        <v>269</v>
      </c>
      <c r="J124" s="12" t="s">
        <v>272</v>
      </c>
      <c r="K124" s="12">
        <v>200</v>
      </c>
      <c r="L124" s="12">
        <v>81</v>
      </c>
      <c r="M124" s="12">
        <v>21</v>
      </c>
      <c r="N124" s="12">
        <v>39</v>
      </c>
      <c r="O124" s="16">
        <v>0.53846153846153844</v>
      </c>
      <c r="P124" s="12">
        <v>9</v>
      </c>
      <c r="Q124" s="12">
        <v>35</v>
      </c>
      <c r="R124" s="16">
        <v>0.25714285714285712</v>
      </c>
      <c r="S124" s="12">
        <v>30</v>
      </c>
      <c r="T124" s="12">
        <v>74</v>
      </c>
      <c r="U124" s="16">
        <v>0.40540540540540543</v>
      </c>
      <c r="V124" s="12">
        <v>12</v>
      </c>
      <c r="W124" s="12">
        <v>14</v>
      </c>
      <c r="X124" s="16">
        <v>0.8571428571428571</v>
      </c>
      <c r="Y124" s="12">
        <v>18</v>
      </c>
      <c r="Z124" s="12">
        <v>26</v>
      </c>
      <c r="AA124" s="12">
        <v>44</v>
      </c>
      <c r="AB124" s="12">
        <v>23</v>
      </c>
      <c r="AC124" s="12">
        <v>11</v>
      </c>
      <c r="AD124" s="12">
        <v>5</v>
      </c>
      <c r="AE124" s="12">
        <v>1</v>
      </c>
      <c r="AF124" s="12">
        <v>5</v>
      </c>
      <c r="AG124" s="12">
        <v>18</v>
      </c>
      <c r="AH124" s="12">
        <v>17</v>
      </c>
      <c r="AI124" s="17">
        <v>91</v>
      </c>
      <c r="AJ124" s="12">
        <v>-5</v>
      </c>
      <c r="AK124" s="12">
        <v>72</v>
      </c>
      <c r="AL124" s="12">
        <v>91</v>
      </c>
      <c r="AM124" s="19">
        <v>0.89010989010989006</v>
      </c>
      <c r="AN124" s="19">
        <v>1.1466666666666667</v>
      </c>
      <c r="AO124" s="18">
        <v>112.5</v>
      </c>
      <c r="AP124" s="18">
        <v>121.12676056338027</v>
      </c>
      <c r="AQ124" s="18">
        <v>-8.6267605633802731</v>
      </c>
      <c r="AR124" s="53">
        <v>0.46621621621621623</v>
      </c>
      <c r="AS124" s="53">
        <v>0.50624999999999998</v>
      </c>
      <c r="AT124" s="16">
        <v>0.25274725274725274</v>
      </c>
      <c r="AU124" s="19">
        <v>1.3913043478260869</v>
      </c>
      <c r="AV124" s="16">
        <v>0.17582417582417584</v>
      </c>
      <c r="AW124" s="19">
        <v>0.625</v>
      </c>
      <c r="AX124" s="16">
        <v>0</v>
      </c>
      <c r="AY124" s="19" t="s">
        <v>269</v>
      </c>
      <c r="AZ124" s="16">
        <v>0</v>
      </c>
      <c r="BA124" s="19" t="s">
        <v>269</v>
      </c>
      <c r="BB124" s="16">
        <v>0.38461538461538464</v>
      </c>
      <c r="BC124" s="21">
        <v>0.77142857142857146</v>
      </c>
      <c r="BD124" s="16">
        <v>6.5934065934065936E-2</v>
      </c>
      <c r="BE124" s="16">
        <v>0.12222222222222222</v>
      </c>
      <c r="BF124" s="16">
        <v>0.63888888888888884</v>
      </c>
      <c r="BG124" s="16">
        <v>0.76190476190476186</v>
      </c>
      <c r="BH124" s="16">
        <v>0.66666666666666663</v>
      </c>
      <c r="BI124" s="16">
        <v>0.16666666666666666</v>
      </c>
      <c r="BJ124" s="16">
        <v>0.25555555555555554</v>
      </c>
      <c r="BK124" s="21">
        <v>2.0909090909090908</v>
      </c>
      <c r="BL124" s="16">
        <v>0.43902439024390244</v>
      </c>
      <c r="BM124" s="16">
        <v>0.47368421052631576</v>
      </c>
      <c r="BN124" s="16">
        <v>0.47826086956521741</v>
      </c>
      <c r="BO124" s="16" t="s">
        <v>269</v>
      </c>
      <c r="BP124" s="16">
        <v>0.8666666666666667</v>
      </c>
      <c r="BQ124" s="16">
        <v>0.7857142857142857</v>
      </c>
      <c r="BR124" s="16">
        <v>0.93333333333333335</v>
      </c>
      <c r="BS124" s="16">
        <v>1</v>
      </c>
      <c r="BT124" s="16">
        <v>0.61971830985915488</v>
      </c>
      <c r="BU124" s="16">
        <v>7.0422535211267609E-2</v>
      </c>
      <c r="BV124" s="16">
        <v>1.6949152542372881E-2</v>
      </c>
      <c r="BW124" s="54">
        <v>4</v>
      </c>
      <c r="BX124" s="54">
        <v>0.61111111111111116</v>
      </c>
      <c r="BY124" s="54">
        <v>0.47058823529411764</v>
      </c>
      <c r="BZ124" s="12">
        <v>16</v>
      </c>
      <c r="CA124" s="12">
        <v>6</v>
      </c>
      <c r="CB124" s="12">
        <v>1</v>
      </c>
      <c r="CC124" s="12">
        <v>2</v>
      </c>
      <c r="CD124" s="12">
        <v>4</v>
      </c>
      <c r="CE124" s="12">
        <v>0</v>
      </c>
      <c r="CF124" s="12">
        <v>4</v>
      </c>
      <c r="CG124" s="12">
        <v>1</v>
      </c>
      <c r="CH124" s="12">
        <v>0</v>
      </c>
      <c r="CI124" s="12">
        <v>0</v>
      </c>
      <c r="CJ124" s="12">
        <v>0</v>
      </c>
      <c r="CK124" s="12">
        <v>0</v>
      </c>
      <c r="CL124" s="12">
        <v>10</v>
      </c>
      <c r="CM124" s="12">
        <v>1</v>
      </c>
      <c r="CN124" s="12">
        <v>0</v>
      </c>
      <c r="CO124" s="12">
        <v>0</v>
      </c>
      <c r="CP124" s="12">
        <v>2</v>
      </c>
      <c r="CQ124" s="12">
        <v>0</v>
      </c>
      <c r="CR124" s="12">
        <v>4</v>
      </c>
      <c r="CS124" s="12">
        <v>1</v>
      </c>
      <c r="CT124" s="12">
        <v>4</v>
      </c>
      <c r="CU124" s="12">
        <v>0</v>
      </c>
      <c r="CV124" s="12">
        <v>0</v>
      </c>
      <c r="CW124" s="12">
        <v>0</v>
      </c>
      <c r="CX124" s="12">
        <v>13</v>
      </c>
      <c r="CY124" s="12">
        <v>1</v>
      </c>
      <c r="CZ124" s="12">
        <v>2</v>
      </c>
      <c r="DA124" s="12">
        <v>1</v>
      </c>
      <c r="DB124" s="12">
        <v>0</v>
      </c>
      <c r="DC124" s="12">
        <v>0</v>
      </c>
      <c r="DD124" s="12">
        <v>2</v>
      </c>
      <c r="DE124" s="12">
        <v>2</v>
      </c>
      <c r="DF124" s="12">
        <v>10</v>
      </c>
      <c r="DG124" s="12">
        <v>12</v>
      </c>
      <c r="DH124" s="12">
        <v>0</v>
      </c>
      <c r="DI124" s="12">
        <v>0</v>
      </c>
      <c r="DJ124" s="12">
        <v>0</v>
      </c>
      <c r="DK124" s="12">
        <v>0</v>
      </c>
      <c r="DL124" s="12">
        <v>16</v>
      </c>
      <c r="DM124" s="12">
        <v>23</v>
      </c>
      <c r="DN124" s="12">
        <v>5</v>
      </c>
      <c r="DO124" s="12">
        <v>16</v>
      </c>
      <c r="DP124" s="12">
        <v>0</v>
      </c>
      <c r="DQ124" s="12">
        <v>0</v>
      </c>
      <c r="DR124" s="12">
        <v>0</v>
      </c>
      <c r="DS124" s="12">
        <v>0</v>
      </c>
      <c r="DT124" s="12">
        <v>9</v>
      </c>
      <c r="DU124" s="12">
        <v>35</v>
      </c>
      <c r="DV124" s="12">
        <v>0</v>
      </c>
      <c r="DW124" s="12">
        <v>0</v>
      </c>
      <c r="DX124" s="12">
        <v>86</v>
      </c>
      <c r="DY124" s="12">
        <v>26</v>
      </c>
      <c r="DZ124" s="12">
        <v>39</v>
      </c>
      <c r="EA124" s="16">
        <v>0.66666666666666663</v>
      </c>
      <c r="EB124" s="12">
        <v>7</v>
      </c>
      <c r="EC124" s="12">
        <v>20</v>
      </c>
      <c r="ED124" s="16">
        <v>0.35</v>
      </c>
      <c r="EE124" s="12">
        <v>33</v>
      </c>
      <c r="EF124" s="12">
        <v>59</v>
      </c>
      <c r="EG124" s="16">
        <v>0.55932203389830504</v>
      </c>
      <c r="EH124" s="12">
        <v>13</v>
      </c>
      <c r="EI124" s="12">
        <v>20</v>
      </c>
      <c r="EJ124" s="16">
        <v>0.65</v>
      </c>
      <c r="EK124" s="12">
        <v>4</v>
      </c>
      <c r="EL124" s="12">
        <v>23</v>
      </c>
      <c r="EM124" s="12">
        <v>27</v>
      </c>
      <c r="EN124" s="12">
        <v>21</v>
      </c>
      <c r="EO124" s="12">
        <v>17</v>
      </c>
      <c r="EP124" s="12">
        <v>17</v>
      </c>
      <c r="EQ124" s="12">
        <v>4</v>
      </c>
      <c r="ER124" s="12">
        <v>9</v>
      </c>
      <c r="ES124" s="12">
        <v>5</v>
      </c>
      <c r="ET124" s="12">
        <v>1</v>
      </c>
      <c r="EU124" s="12">
        <v>100</v>
      </c>
      <c r="EV124" s="12">
        <v>5</v>
      </c>
      <c r="EW124" s="12">
        <v>71</v>
      </c>
      <c r="EX124" s="12">
        <v>75</v>
      </c>
      <c r="EY124" s="12">
        <v>3</v>
      </c>
      <c r="EZ124" s="12">
        <v>14</v>
      </c>
      <c r="FA124" s="12">
        <v>5</v>
      </c>
      <c r="FB124" s="12">
        <v>2</v>
      </c>
      <c r="FC124" s="12">
        <v>4</v>
      </c>
      <c r="FD124" s="12">
        <v>1</v>
      </c>
      <c r="FE124" s="12">
        <v>0</v>
      </c>
      <c r="FF124" s="12">
        <v>1</v>
      </c>
      <c r="FG124" s="12">
        <v>0</v>
      </c>
      <c r="FH124" s="12">
        <v>1</v>
      </c>
      <c r="FI124" s="12">
        <v>0</v>
      </c>
      <c r="FJ124" s="12">
        <v>0</v>
      </c>
      <c r="FK124" s="12">
        <v>0</v>
      </c>
      <c r="FL124" s="12">
        <v>1</v>
      </c>
      <c r="FM124" s="12">
        <v>0</v>
      </c>
      <c r="FN124" s="12">
        <v>0</v>
      </c>
      <c r="FO124" s="12">
        <v>0</v>
      </c>
      <c r="FP124" s="12">
        <v>3</v>
      </c>
      <c r="FQ124" s="12">
        <v>0</v>
      </c>
      <c r="FR124" s="12">
        <v>7</v>
      </c>
      <c r="FS124" s="12">
        <v>0</v>
      </c>
      <c r="FT124" s="12">
        <v>0</v>
      </c>
      <c r="FU124" s="12">
        <v>0</v>
      </c>
      <c r="FV124" s="12">
        <v>0</v>
      </c>
      <c r="FW124" s="12">
        <v>0</v>
      </c>
      <c r="FX124" s="12">
        <v>12</v>
      </c>
      <c r="FY124" s="12">
        <v>0</v>
      </c>
      <c r="FZ124" s="12">
        <v>0</v>
      </c>
      <c r="GA124" s="12">
        <v>0</v>
      </c>
      <c r="GB124" s="12">
        <v>2</v>
      </c>
      <c r="GC124" s="12">
        <v>2</v>
      </c>
      <c r="GD124" s="12">
        <v>3</v>
      </c>
      <c r="GE124" s="12">
        <v>4</v>
      </c>
      <c r="GF124" s="12">
        <v>8</v>
      </c>
      <c r="GG124" s="12">
        <v>14</v>
      </c>
      <c r="GH124" s="12">
        <v>2</v>
      </c>
      <c r="GI124" s="12">
        <v>0</v>
      </c>
      <c r="GJ124" s="12">
        <v>0</v>
      </c>
      <c r="GK124" s="12">
        <v>0</v>
      </c>
      <c r="GL124" s="12">
        <v>9</v>
      </c>
      <c r="GM124" s="12">
        <v>12</v>
      </c>
      <c r="GN124" s="12">
        <v>8</v>
      </c>
      <c r="GO124" s="12">
        <v>13</v>
      </c>
      <c r="GP124" s="12">
        <v>9</v>
      </c>
      <c r="GQ124" s="12">
        <v>14</v>
      </c>
      <c r="GR124" s="12">
        <v>0</v>
      </c>
      <c r="GS124" s="12">
        <v>0</v>
      </c>
      <c r="GT124" s="12">
        <v>7</v>
      </c>
      <c r="GU124" s="12">
        <v>20</v>
      </c>
      <c r="GV124" s="12">
        <v>0</v>
      </c>
      <c r="GW124" s="12">
        <v>0</v>
      </c>
      <c r="GY124" s="16"/>
    </row>
    <row r="125" spans="2:207" ht="15" customHeight="1" x14ac:dyDescent="0.2">
      <c r="B125" s="12">
        <v>7</v>
      </c>
      <c r="C125" s="12" t="s">
        <v>278</v>
      </c>
      <c r="D125" s="12" t="s">
        <v>264</v>
      </c>
      <c r="E125" s="14" t="s">
        <v>280</v>
      </c>
      <c r="F125" s="14" t="s">
        <v>266</v>
      </c>
      <c r="G125" s="15">
        <v>45240</v>
      </c>
      <c r="H125" s="15" t="s">
        <v>268</v>
      </c>
      <c r="I125" s="12" t="s">
        <v>269</v>
      </c>
      <c r="J125" s="12" t="s">
        <v>270</v>
      </c>
      <c r="K125" s="12">
        <v>200</v>
      </c>
      <c r="L125" s="12">
        <v>86</v>
      </c>
      <c r="M125" s="12">
        <v>26</v>
      </c>
      <c r="N125" s="12">
        <v>39</v>
      </c>
      <c r="O125" s="16">
        <v>0.66666666666666663</v>
      </c>
      <c r="P125" s="12">
        <v>7</v>
      </c>
      <c r="Q125" s="12">
        <v>20</v>
      </c>
      <c r="R125" s="16">
        <v>0.35</v>
      </c>
      <c r="S125" s="12">
        <v>33</v>
      </c>
      <c r="T125" s="12">
        <v>59</v>
      </c>
      <c r="U125" s="16">
        <v>0.55932203389830504</v>
      </c>
      <c r="V125" s="12">
        <v>13</v>
      </c>
      <c r="W125" s="12">
        <v>20</v>
      </c>
      <c r="X125" s="16">
        <v>0.65</v>
      </c>
      <c r="Y125" s="12">
        <v>4</v>
      </c>
      <c r="Z125" s="12">
        <v>23</v>
      </c>
      <c r="AA125" s="12">
        <v>27</v>
      </c>
      <c r="AB125" s="12">
        <v>21</v>
      </c>
      <c r="AC125" s="12">
        <v>9</v>
      </c>
      <c r="AD125" s="12">
        <v>4</v>
      </c>
      <c r="AE125" s="12">
        <v>5</v>
      </c>
      <c r="AF125" s="12">
        <v>1</v>
      </c>
      <c r="AG125" s="12">
        <v>17</v>
      </c>
      <c r="AH125" s="12">
        <v>17</v>
      </c>
      <c r="AI125" s="17">
        <v>100</v>
      </c>
      <c r="AJ125" s="12">
        <v>5</v>
      </c>
      <c r="AK125" s="12">
        <v>71</v>
      </c>
      <c r="AL125" s="12">
        <v>75</v>
      </c>
      <c r="AM125" s="19">
        <v>1.1466666666666667</v>
      </c>
      <c r="AN125" s="19">
        <v>0.89010989010989006</v>
      </c>
      <c r="AO125" s="18">
        <v>121.12676056338027</v>
      </c>
      <c r="AP125" s="18">
        <v>112.5</v>
      </c>
      <c r="AQ125" s="18">
        <v>8.6267605633802731</v>
      </c>
      <c r="AR125" s="53">
        <v>0.61864406779661019</v>
      </c>
      <c r="AS125" s="53">
        <v>0.65151515151515149</v>
      </c>
      <c r="AT125" s="16">
        <v>0.16</v>
      </c>
      <c r="AU125" s="19">
        <v>1.5</v>
      </c>
      <c r="AV125" s="16">
        <v>0.17333333333333334</v>
      </c>
      <c r="AW125" s="19">
        <v>1.2307692307692308</v>
      </c>
      <c r="AX125" s="16">
        <v>0.18666666666666668</v>
      </c>
      <c r="AY125" s="19">
        <v>1.2857142857142858</v>
      </c>
      <c r="AZ125" s="16">
        <v>0</v>
      </c>
      <c r="BA125" s="19" t="s">
        <v>269</v>
      </c>
      <c r="BB125" s="16">
        <v>0.26666666666666666</v>
      </c>
      <c r="BC125" s="21">
        <v>1.05</v>
      </c>
      <c r="BD125" s="16">
        <v>9.3333333333333338E-2</v>
      </c>
      <c r="BE125" s="16">
        <v>0.12</v>
      </c>
      <c r="BF125" s="16">
        <v>0.55263157894736847</v>
      </c>
      <c r="BG125" s="16">
        <v>0.53846153846153844</v>
      </c>
      <c r="BH125" s="16">
        <v>0.7142857142857143</v>
      </c>
      <c r="BI125" s="16">
        <v>0.4</v>
      </c>
      <c r="BJ125" s="16">
        <v>0.28000000000000003</v>
      </c>
      <c r="BK125" s="21">
        <v>2.3333333333333335</v>
      </c>
      <c r="BL125" s="16">
        <v>0.13333333333333333</v>
      </c>
      <c r="BM125" s="16">
        <v>0.21428571428571427</v>
      </c>
      <c r="BN125" s="16">
        <v>6.6666666666666666E-2</v>
      </c>
      <c r="BO125" s="16">
        <v>0</v>
      </c>
      <c r="BP125" s="16">
        <v>0.56097560975609762</v>
      </c>
      <c r="BQ125" s="16">
        <v>0.52631578947368418</v>
      </c>
      <c r="BR125" s="16">
        <v>0.52173913043478259</v>
      </c>
      <c r="BS125" s="16" t="s">
        <v>269</v>
      </c>
      <c r="BT125" s="16">
        <v>0.38028169014084506</v>
      </c>
      <c r="BU125" s="16">
        <v>5.5555555555555552E-2</v>
      </c>
      <c r="BV125" s="16">
        <v>6.7567567567567571E-2</v>
      </c>
      <c r="BW125" s="54">
        <v>3</v>
      </c>
      <c r="BX125" s="54">
        <v>0.47058823529411764</v>
      </c>
      <c r="BY125" s="54">
        <v>0.6470588235294118</v>
      </c>
      <c r="BZ125" s="12">
        <v>14</v>
      </c>
      <c r="CA125" s="12">
        <v>5</v>
      </c>
      <c r="CB125" s="12">
        <v>2</v>
      </c>
      <c r="CC125" s="12">
        <v>4</v>
      </c>
      <c r="CD125" s="12">
        <v>1</v>
      </c>
      <c r="CE125" s="12">
        <v>0</v>
      </c>
      <c r="CF125" s="12">
        <v>1</v>
      </c>
      <c r="CG125" s="12">
        <v>0</v>
      </c>
      <c r="CH125" s="12">
        <v>1</v>
      </c>
      <c r="CI125" s="12">
        <v>0</v>
      </c>
      <c r="CJ125" s="12">
        <v>0</v>
      </c>
      <c r="CK125" s="12">
        <v>0</v>
      </c>
      <c r="CL125" s="12">
        <v>1</v>
      </c>
      <c r="CM125" s="12">
        <v>0</v>
      </c>
      <c r="CN125" s="12">
        <v>0</v>
      </c>
      <c r="CO125" s="12">
        <v>0</v>
      </c>
      <c r="CP125" s="12">
        <v>3</v>
      </c>
      <c r="CQ125" s="12">
        <v>0</v>
      </c>
      <c r="CR125" s="12">
        <v>7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12</v>
      </c>
      <c r="CY125" s="12">
        <v>0</v>
      </c>
      <c r="CZ125" s="12">
        <v>0</v>
      </c>
      <c r="DA125" s="12">
        <v>0</v>
      </c>
      <c r="DB125" s="12">
        <v>2</v>
      </c>
      <c r="DC125" s="12">
        <v>2</v>
      </c>
      <c r="DD125" s="12">
        <v>3</v>
      </c>
      <c r="DE125" s="12">
        <v>4</v>
      </c>
      <c r="DF125" s="12">
        <v>8</v>
      </c>
      <c r="DG125" s="12">
        <v>14</v>
      </c>
      <c r="DH125" s="12">
        <v>2</v>
      </c>
      <c r="DI125" s="12">
        <v>0</v>
      </c>
      <c r="DJ125" s="12">
        <v>0</v>
      </c>
      <c r="DK125" s="12">
        <v>0</v>
      </c>
      <c r="DL125" s="12">
        <v>9</v>
      </c>
      <c r="DM125" s="12">
        <v>12</v>
      </c>
      <c r="DN125" s="12">
        <v>8</v>
      </c>
      <c r="DO125" s="12">
        <v>13</v>
      </c>
      <c r="DP125" s="12">
        <v>9</v>
      </c>
      <c r="DQ125" s="12">
        <v>14</v>
      </c>
      <c r="DR125" s="12">
        <v>0</v>
      </c>
      <c r="DS125" s="12">
        <v>0</v>
      </c>
      <c r="DT125" s="12">
        <v>7</v>
      </c>
      <c r="DU125" s="12">
        <v>20</v>
      </c>
      <c r="DV125" s="12">
        <v>0</v>
      </c>
      <c r="DW125" s="12">
        <v>0</v>
      </c>
      <c r="DX125" s="12">
        <v>81</v>
      </c>
      <c r="DY125" s="12">
        <v>21</v>
      </c>
      <c r="DZ125" s="12">
        <v>39</v>
      </c>
      <c r="EA125" s="16">
        <v>0.53846153846153844</v>
      </c>
      <c r="EB125" s="12">
        <v>9</v>
      </c>
      <c r="EC125" s="12">
        <v>35</v>
      </c>
      <c r="ED125" s="16">
        <v>0.25714285714285712</v>
      </c>
      <c r="EE125" s="12">
        <v>30</v>
      </c>
      <c r="EF125" s="12">
        <v>74</v>
      </c>
      <c r="EG125" s="16">
        <v>0.40540540540540543</v>
      </c>
      <c r="EH125" s="12">
        <v>12</v>
      </c>
      <c r="EI125" s="12">
        <v>14</v>
      </c>
      <c r="EJ125" s="16">
        <v>0.8571428571428571</v>
      </c>
      <c r="EK125" s="12">
        <v>18</v>
      </c>
      <c r="EL125" s="12">
        <v>26</v>
      </c>
      <c r="EM125" s="12">
        <v>44</v>
      </c>
      <c r="EN125" s="12">
        <v>23</v>
      </c>
      <c r="EO125" s="12">
        <v>19</v>
      </c>
      <c r="EP125" s="12">
        <v>17</v>
      </c>
      <c r="EQ125" s="12">
        <v>5</v>
      </c>
      <c r="ER125" s="12">
        <v>11</v>
      </c>
      <c r="ES125" s="12">
        <v>1</v>
      </c>
      <c r="ET125" s="12">
        <v>5</v>
      </c>
      <c r="EU125" s="12">
        <v>90</v>
      </c>
      <c r="EV125" s="12">
        <v>-5</v>
      </c>
      <c r="EW125" s="12">
        <v>72</v>
      </c>
      <c r="EX125" s="12">
        <v>91</v>
      </c>
      <c r="EY125" s="12">
        <v>4</v>
      </c>
      <c r="EZ125" s="12">
        <v>16</v>
      </c>
      <c r="FA125" s="12">
        <v>6</v>
      </c>
      <c r="FB125" s="12">
        <v>1</v>
      </c>
      <c r="FC125" s="12">
        <v>2</v>
      </c>
      <c r="FD125" s="12">
        <v>4</v>
      </c>
      <c r="FE125" s="12">
        <v>0</v>
      </c>
      <c r="FF125" s="12">
        <v>4</v>
      </c>
      <c r="FG125" s="12">
        <v>1</v>
      </c>
      <c r="FH125" s="12">
        <v>0</v>
      </c>
      <c r="FI125" s="12">
        <v>0</v>
      </c>
      <c r="FJ125" s="12">
        <v>0</v>
      </c>
      <c r="FK125" s="12">
        <v>0</v>
      </c>
      <c r="FL125" s="12">
        <v>10</v>
      </c>
      <c r="FM125" s="12">
        <v>1</v>
      </c>
      <c r="FN125" s="12">
        <v>0</v>
      </c>
      <c r="FO125" s="12">
        <v>0</v>
      </c>
      <c r="FP125" s="12">
        <v>2</v>
      </c>
      <c r="FQ125" s="12">
        <v>0</v>
      </c>
      <c r="FR125" s="12">
        <v>4</v>
      </c>
      <c r="FS125" s="12">
        <v>1</v>
      </c>
      <c r="FT125" s="12">
        <v>4</v>
      </c>
      <c r="FU125" s="12">
        <v>0</v>
      </c>
      <c r="FV125" s="12">
        <v>0</v>
      </c>
      <c r="FW125" s="12">
        <v>0</v>
      </c>
      <c r="FX125" s="12">
        <v>13</v>
      </c>
      <c r="FY125" s="12">
        <v>1</v>
      </c>
      <c r="FZ125" s="12">
        <v>2</v>
      </c>
      <c r="GA125" s="12">
        <v>1</v>
      </c>
      <c r="GB125" s="12">
        <v>0</v>
      </c>
      <c r="GC125" s="12">
        <v>0</v>
      </c>
      <c r="GD125" s="12">
        <v>2</v>
      </c>
      <c r="GE125" s="12">
        <v>2</v>
      </c>
      <c r="GF125" s="12">
        <v>10</v>
      </c>
      <c r="GG125" s="12">
        <v>12</v>
      </c>
      <c r="GH125" s="12">
        <v>0</v>
      </c>
      <c r="GI125" s="12">
        <v>0</v>
      </c>
      <c r="GJ125" s="12">
        <v>0</v>
      </c>
      <c r="GK125" s="12">
        <v>0</v>
      </c>
      <c r="GL125" s="12">
        <v>16</v>
      </c>
      <c r="GM125" s="12">
        <v>23</v>
      </c>
      <c r="GN125" s="12">
        <v>5</v>
      </c>
      <c r="GO125" s="12">
        <v>16</v>
      </c>
      <c r="GP125" s="12">
        <v>0</v>
      </c>
      <c r="GQ125" s="12">
        <v>0</v>
      </c>
      <c r="GR125" s="12">
        <v>0</v>
      </c>
      <c r="GS125" s="12">
        <v>0</v>
      </c>
      <c r="GT125" s="12">
        <v>9</v>
      </c>
      <c r="GU125" s="12">
        <v>35</v>
      </c>
      <c r="GV125" s="12">
        <v>0</v>
      </c>
      <c r="GW125" s="12">
        <v>0</v>
      </c>
      <c r="GY125" s="16"/>
    </row>
    <row r="126" spans="2:207" ht="15" customHeight="1" x14ac:dyDescent="0.2">
      <c r="B126" s="12">
        <v>7</v>
      </c>
      <c r="C126" s="12" t="s">
        <v>301</v>
      </c>
      <c r="D126" s="12" t="s">
        <v>265</v>
      </c>
      <c r="E126" s="14" t="s">
        <v>302</v>
      </c>
      <c r="F126" s="14" t="s">
        <v>267</v>
      </c>
      <c r="G126" s="15">
        <v>45240</v>
      </c>
      <c r="H126" s="15" t="s">
        <v>268</v>
      </c>
      <c r="I126" s="12" t="s">
        <v>269</v>
      </c>
      <c r="J126" s="12" t="s">
        <v>270</v>
      </c>
      <c r="K126" s="12">
        <v>200</v>
      </c>
      <c r="L126" s="12">
        <v>80</v>
      </c>
      <c r="M126" s="12">
        <v>16</v>
      </c>
      <c r="N126" s="12">
        <v>37</v>
      </c>
      <c r="O126" s="16">
        <v>0.43243243243243246</v>
      </c>
      <c r="P126" s="12">
        <v>12</v>
      </c>
      <c r="Q126" s="12">
        <v>32</v>
      </c>
      <c r="R126" s="16">
        <v>0.375</v>
      </c>
      <c r="S126" s="12">
        <v>28</v>
      </c>
      <c r="T126" s="12">
        <v>69</v>
      </c>
      <c r="U126" s="16">
        <v>0.40579710144927539</v>
      </c>
      <c r="V126" s="12">
        <v>12</v>
      </c>
      <c r="W126" s="12">
        <v>14</v>
      </c>
      <c r="X126" s="16">
        <v>0.8571428571428571</v>
      </c>
      <c r="Y126" s="12">
        <v>13</v>
      </c>
      <c r="Z126" s="12">
        <v>22</v>
      </c>
      <c r="AA126" s="12">
        <v>35</v>
      </c>
      <c r="AB126" s="12">
        <v>18</v>
      </c>
      <c r="AC126" s="12">
        <v>7</v>
      </c>
      <c r="AD126" s="12">
        <v>10</v>
      </c>
      <c r="AE126" s="12">
        <v>1</v>
      </c>
      <c r="AF126" s="12">
        <v>3</v>
      </c>
      <c r="AG126" s="12">
        <v>15</v>
      </c>
      <c r="AH126" s="12">
        <v>13</v>
      </c>
      <c r="AI126" s="17">
        <v>89</v>
      </c>
      <c r="AJ126" s="12">
        <v>10</v>
      </c>
      <c r="AK126" s="12">
        <v>68</v>
      </c>
      <c r="AL126" s="12">
        <v>81</v>
      </c>
      <c r="AM126" s="19">
        <v>0.98765432098765427</v>
      </c>
      <c r="AN126" s="19">
        <v>0.84337349397590367</v>
      </c>
      <c r="AO126" s="18">
        <v>117.64705882352942</v>
      </c>
      <c r="AP126" s="18">
        <v>101.44927536231884</v>
      </c>
      <c r="AQ126" s="18">
        <v>16.197783461210577</v>
      </c>
      <c r="AR126" s="53">
        <v>0.49275362318840582</v>
      </c>
      <c r="AS126" s="53">
        <v>0.54054054054054057</v>
      </c>
      <c r="AT126" s="16">
        <v>3.7037037037037035E-2</v>
      </c>
      <c r="AU126" s="19">
        <v>0.66666666666666663</v>
      </c>
      <c r="AV126" s="16">
        <v>0.2839506172839506</v>
      </c>
      <c r="AW126" s="19">
        <v>0.86956521739130432</v>
      </c>
      <c r="AX126" s="16">
        <v>0.13580246913580246</v>
      </c>
      <c r="AY126" s="19">
        <v>0.90909090909090906</v>
      </c>
      <c r="AZ126" s="16">
        <v>0</v>
      </c>
      <c r="BA126" s="19" t="s">
        <v>269</v>
      </c>
      <c r="BB126" s="16">
        <v>0.39506172839506171</v>
      </c>
      <c r="BC126" s="21">
        <v>1.125</v>
      </c>
      <c r="BD126" s="16">
        <v>6.1728395061728392E-2</v>
      </c>
      <c r="BE126" s="16">
        <v>8.6419753086419748E-2</v>
      </c>
      <c r="BF126" s="16">
        <v>0.5625</v>
      </c>
      <c r="BG126" s="16">
        <v>0.3125</v>
      </c>
      <c r="BH126" s="16">
        <v>0.91666666666666663</v>
      </c>
      <c r="BI126" s="16">
        <v>0.5</v>
      </c>
      <c r="BJ126" s="16">
        <v>0.22222222222222221</v>
      </c>
      <c r="BK126" s="21">
        <v>2.5714285714285716</v>
      </c>
      <c r="BL126" s="16">
        <v>0.30952380952380953</v>
      </c>
      <c r="BM126" s="16">
        <v>0.33333333333333331</v>
      </c>
      <c r="BN126" s="16">
        <v>0.31818181818181818</v>
      </c>
      <c r="BO126" s="16">
        <v>0</v>
      </c>
      <c r="BP126" s="16">
        <v>0.61111111111111116</v>
      </c>
      <c r="BQ126" s="16">
        <v>0.39130434782608697</v>
      </c>
      <c r="BR126" s="16">
        <v>0.83333333333333337</v>
      </c>
      <c r="BS126" s="16">
        <v>1</v>
      </c>
      <c r="BT126" s="16">
        <v>0.44871794871794873</v>
      </c>
      <c r="BU126" s="16">
        <v>0.14492753623188406</v>
      </c>
      <c r="BV126" s="16">
        <v>1.6129032258064516E-2</v>
      </c>
      <c r="BW126" s="54">
        <v>5</v>
      </c>
      <c r="BX126" s="54">
        <v>0.4</v>
      </c>
      <c r="BY126" s="54">
        <v>0.53846153846153844</v>
      </c>
      <c r="BZ126" s="12">
        <v>5</v>
      </c>
      <c r="CA126" s="12">
        <v>11</v>
      </c>
      <c r="CB126" s="12">
        <v>2</v>
      </c>
      <c r="CC126" s="12">
        <v>4</v>
      </c>
      <c r="CD126" s="12">
        <v>2</v>
      </c>
      <c r="CE126" s="12">
        <v>0</v>
      </c>
      <c r="CF126" s="12">
        <v>3</v>
      </c>
      <c r="CG126" s="12">
        <v>0</v>
      </c>
      <c r="CH126" s="12">
        <v>2</v>
      </c>
      <c r="CI126" s="12">
        <v>0</v>
      </c>
      <c r="CJ126" s="12">
        <v>0</v>
      </c>
      <c r="CK126" s="12">
        <v>0</v>
      </c>
      <c r="CL126" s="12">
        <v>6</v>
      </c>
      <c r="CM126" s="12">
        <v>1</v>
      </c>
      <c r="CN126" s="12">
        <v>0</v>
      </c>
      <c r="CO126" s="12">
        <v>0</v>
      </c>
      <c r="CP126" s="12">
        <v>0</v>
      </c>
      <c r="CQ126" s="12">
        <v>0</v>
      </c>
      <c r="CR126" s="12">
        <v>6</v>
      </c>
      <c r="CS126" s="12">
        <v>0</v>
      </c>
      <c r="CT126" s="12">
        <v>3</v>
      </c>
      <c r="CU126" s="12">
        <v>0</v>
      </c>
      <c r="CV126" s="12">
        <v>0</v>
      </c>
      <c r="CW126" s="12">
        <v>0</v>
      </c>
      <c r="CX126" s="12">
        <v>10</v>
      </c>
      <c r="CY126" s="12">
        <v>0</v>
      </c>
      <c r="CZ126" s="12">
        <v>3</v>
      </c>
      <c r="DA126" s="12">
        <v>0</v>
      </c>
      <c r="DB126" s="12">
        <v>2</v>
      </c>
      <c r="DC126" s="12">
        <v>2</v>
      </c>
      <c r="DD126" s="12">
        <v>2</v>
      </c>
      <c r="DE126" s="12">
        <v>2</v>
      </c>
      <c r="DF126" s="12">
        <v>8</v>
      </c>
      <c r="DG126" s="12">
        <v>10</v>
      </c>
      <c r="DH126" s="12">
        <v>1</v>
      </c>
      <c r="DI126" s="12">
        <v>0</v>
      </c>
      <c r="DJ126" s="12">
        <v>0</v>
      </c>
      <c r="DK126" s="12">
        <v>0</v>
      </c>
      <c r="DL126" s="12">
        <v>1</v>
      </c>
      <c r="DM126" s="12">
        <v>3</v>
      </c>
      <c r="DN126" s="12">
        <v>10</v>
      </c>
      <c r="DO126" s="12">
        <v>23</v>
      </c>
      <c r="DP126" s="12">
        <v>5</v>
      </c>
      <c r="DQ126" s="12">
        <v>11</v>
      </c>
      <c r="DR126" s="12">
        <v>0</v>
      </c>
      <c r="DS126" s="12">
        <v>0</v>
      </c>
      <c r="DT126" s="12">
        <v>12</v>
      </c>
      <c r="DU126" s="12">
        <v>32</v>
      </c>
      <c r="DV126" s="12">
        <v>0</v>
      </c>
      <c r="DW126" s="12">
        <v>0</v>
      </c>
      <c r="DX126" s="12">
        <v>70</v>
      </c>
      <c r="DY126" s="12">
        <v>18</v>
      </c>
      <c r="DZ126" s="12">
        <v>39</v>
      </c>
      <c r="EA126" s="16">
        <v>0.46153846153846156</v>
      </c>
      <c r="EB126" s="12">
        <v>9</v>
      </c>
      <c r="EC126" s="12">
        <v>23</v>
      </c>
      <c r="ED126" s="16">
        <v>0.39130434782608697</v>
      </c>
      <c r="EE126" s="12">
        <v>27</v>
      </c>
      <c r="EF126" s="12">
        <v>62</v>
      </c>
      <c r="EG126" s="16">
        <v>0.43548387096774194</v>
      </c>
      <c r="EH126" s="12">
        <v>7</v>
      </c>
      <c r="EI126" s="12">
        <v>10</v>
      </c>
      <c r="EJ126" s="16">
        <v>0.7</v>
      </c>
      <c r="EK126" s="12">
        <v>14</v>
      </c>
      <c r="EL126" s="12">
        <v>29</v>
      </c>
      <c r="EM126" s="12">
        <v>43</v>
      </c>
      <c r="EN126" s="12">
        <v>15</v>
      </c>
      <c r="EO126" s="12">
        <v>15</v>
      </c>
      <c r="EP126" s="12">
        <v>15</v>
      </c>
      <c r="EQ126" s="12">
        <v>4</v>
      </c>
      <c r="ER126" s="12">
        <v>17</v>
      </c>
      <c r="ES126" s="12">
        <v>3</v>
      </c>
      <c r="ET126" s="12">
        <v>1</v>
      </c>
      <c r="EU126" s="12">
        <v>79</v>
      </c>
      <c r="EV126" s="12">
        <v>-10</v>
      </c>
      <c r="EW126" s="12">
        <v>69</v>
      </c>
      <c r="EX126" s="12">
        <v>83</v>
      </c>
      <c r="EY126" s="12">
        <v>6</v>
      </c>
      <c r="EZ126" s="12">
        <v>7</v>
      </c>
      <c r="FA126" s="12">
        <v>8</v>
      </c>
      <c r="FB126" s="12">
        <v>0</v>
      </c>
      <c r="FC126" s="12">
        <v>0</v>
      </c>
      <c r="FD126" s="12">
        <v>1</v>
      </c>
      <c r="FE126" s="12">
        <v>0</v>
      </c>
      <c r="FF126" s="12">
        <v>7</v>
      </c>
      <c r="FG126" s="12">
        <v>1</v>
      </c>
      <c r="FH126" s="12">
        <v>4</v>
      </c>
      <c r="FI126" s="12">
        <v>1</v>
      </c>
      <c r="FJ126" s="12">
        <v>0</v>
      </c>
      <c r="FK126" s="12">
        <v>0</v>
      </c>
      <c r="FL126" s="12">
        <v>2</v>
      </c>
      <c r="FM126" s="12">
        <v>0</v>
      </c>
      <c r="FN126" s="12">
        <v>0</v>
      </c>
      <c r="FO126" s="12">
        <v>0</v>
      </c>
      <c r="FP126" s="12">
        <v>0</v>
      </c>
      <c r="FQ126" s="12">
        <v>0</v>
      </c>
      <c r="FR126" s="12">
        <v>10</v>
      </c>
      <c r="FS126" s="12">
        <v>0</v>
      </c>
      <c r="FT126" s="12">
        <v>4</v>
      </c>
      <c r="FU126" s="12">
        <v>0</v>
      </c>
      <c r="FV126" s="12">
        <v>0</v>
      </c>
      <c r="FW126" s="12">
        <v>0</v>
      </c>
      <c r="FX126" s="12">
        <v>14</v>
      </c>
      <c r="FY126" s="12">
        <v>1</v>
      </c>
      <c r="FZ126" s="12">
        <v>1</v>
      </c>
      <c r="GA126" s="12">
        <v>0</v>
      </c>
      <c r="GB126" s="12">
        <v>0</v>
      </c>
      <c r="GC126" s="12">
        <v>0</v>
      </c>
      <c r="GD126" s="12">
        <v>1</v>
      </c>
      <c r="GE126" s="12">
        <v>2</v>
      </c>
      <c r="GF126" s="12">
        <v>6</v>
      </c>
      <c r="GG126" s="12">
        <v>8</v>
      </c>
      <c r="GH126" s="12">
        <v>0</v>
      </c>
      <c r="GI126" s="12">
        <v>0</v>
      </c>
      <c r="GJ126" s="12">
        <v>0</v>
      </c>
      <c r="GK126" s="12">
        <v>0</v>
      </c>
      <c r="GL126" s="12">
        <v>0</v>
      </c>
      <c r="GM126" s="12">
        <v>1</v>
      </c>
      <c r="GN126" s="12">
        <v>13</v>
      </c>
      <c r="GO126" s="12">
        <v>26</v>
      </c>
      <c r="GP126" s="12">
        <v>5</v>
      </c>
      <c r="GQ126" s="12">
        <v>12</v>
      </c>
      <c r="GR126" s="12">
        <v>0</v>
      </c>
      <c r="GS126" s="12">
        <v>0</v>
      </c>
      <c r="GT126" s="12">
        <v>9</v>
      </c>
      <c r="GU126" s="12">
        <v>23</v>
      </c>
      <c r="GV126" s="12">
        <v>0</v>
      </c>
      <c r="GW126" s="12">
        <v>0</v>
      </c>
      <c r="GY126" s="16"/>
    </row>
    <row r="127" spans="2:207" ht="15" customHeight="1" x14ac:dyDescent="0.2">
      <c r="B127" s="12">
        <v>7</v>
      </c>
      <c r="C127" s="12" t="s">
        <v>265</v>
      </c>
      <c r="D127" s="12" t="s">
        <v>301</v>
      </c>
      <c r="E127" s="14" t="s">
        <v>267</v>
      </c>
      <c r="F127" s="14" t="s">
        <v>302</v>
      </c>
      <c r="G127" s="15">
        <v>45240</v>
      </c>
      <c r="H127" s="15" t="s">
        <v>271</v>
      </c>
      <c r="I127" s="12" t="s">
        <v>269</v>
      </c>
      <c r="J127" s="12" t="s">
        <v>272</v>
      </c>
      <c r="K127" s="12">
        <v>200</v>
      </c>
      <c r="L127" s="12">
        <v>70</v>
      </c>
      <c r="M127" s="12">
        <v>18</v>
      </c>
      <c r="N127" s="12">
        <v>39</v>
      </c>
      <c r="O127" s="16">
        <v>0.46153846153846156</v>
      </c>
      <c r="P127" s="12">
        <v>9</v>
      </c>
      <c r="Q127" s="12">
        <v>23</v>
      </c>
      <c r="R127" s="16">
        <v>0.39130434782608697</v>
      </c>
      <c r="S127" s="12">
        <v>27</v>
      </c>
      <c r="T127" s="12">
        <v>62</v>
      </c>
      <c r="U127" s="16">
        <v>0.43548387096774194</v>
      </c>
      <c r="V127" s="12">
        <v>7</v>
      </c>
      <c r="W127" s="12">
        <v>10</v>
      </c>
      <c r="X127" s="16">
        <v>0.7</v>
      </c>
      <c r="Y127" s="12">
        <v>14</v>
      </c>
      <c r="Z127" s="12">
        <v>29</v>
      </c>
      <c r="AA127" s="12">
        <v>43</v>
      </c>
      <c r="AB127" s="12">
        <v>15</v>
      </c>
      <c r="AC127" s="12">
        <v>17</v>
      </c>
      <c r="AD127" s="12">
        <v>4</v>
      </c>
      <c r="AE127" s="12">
        <v>3</v>
      </c>
      <c r="AF127" s="12">
        <v>1</v>
      </c>
      <c r="AG127" s="12">
        <v>14</v>
      </c>
      <c r="AH127" s="12">
        <v>15</v>
      </c>
      <c r="AI127" s="17">
        <v>80</v>
      </c>
      <c r="AJ127" s="12">
        <v>-10</v>
      </c>
      <c r="AK127" s="12">
        <v>69</v>
      </c>
      <c r="AL127" s="12">
        <v>83</v>
      </c>
      <c r="AM127" s="19">
        <v>0.84337349397590367</v>
      </c>
      <c r="AN127" s="19">
        <v>0.98765432098765427</v>
      </c>
      <c r="AO127" s="18">
        <v>101.44927536231884</v>
      </c>
      <c r="AP127" s="18">
        <v>117.64705882352942</v>
      </c>
      <c r="AQ127" s="18">
        <v>-16.197783461210577</v>
      </c>
      <c r="AR127" s="53">
        <v>0.50806451612903225</v>
      </c>
      <c r="AS127" s="53">
        <v>0.53030303030303028</v>
      </c>
      <c r="AT127" s="16">
        <v>1.2048192771084338E-2</v>
      </c>
      <c r="AU127" s="19">
        <v>0</v>
      </c>
      <c r="AV127" s="16">
        <v>0.31325301204819278</v>
      </c>
      <c r="AW127" s="19">
        <v>1</v>
      </c>
      <c r="AX127" s="16">
        <v>0.14457831325301204</v>
      </c>
      <c r="AY127" s="19">
        <v>0.83333333333333337</v>
      </c>
      <c r="AZ127" s="16">
        <v>0</v>
      </c>
      <c r="BA127" s="19" t="s">
        <v>269</v>
      </c>
      <c r="BB127" s="16">
        <v>0.27710843373493976</v>
      </c>
      <c r="BC127" s="21">
        <v>1.173913043478261</v>
      </c>
      <c r="BD127" s="16">
        <v>4.8192771084337352E-2</v>
      </c>
      <c r="BE127" s="16">
        <v>0.20481927710843373</v>
      </c>
      <c r="BF127" s="16">
        <v>0.4838709677419355</v>
      </c>
      <c r="BG127" s="16">
        <v>0.3888888888888889</v>
      </c>
      <c r="BH127" s="16">
        <v>0.88888888888888884</v>
      </c>
      <c r="BI127" s="16">
        <v>0</v>
      </c>
      <c r="BJ127" s="16">
        <v>0.18072289156626506</v>
      </c>
      <c r="BK127" s="21">
        <v>0.88235294117647056</v>
      </c>
      <c r="BL127" s="16">
        <v>0.3888888888888889</v>
      </c>
      <c r="BM127" s="16">
        <v>0.60869565217391308</v>
      </c>
      <c r="BN127" s="16">
        <v>0.16666666666666666</v>
      </c>
      <c r="BO127" s="16">
        <v>0</v>
      </c>
      <c r="BP127" s="16">
        <v>0.69047619047619047</v>
      </c>
      <c r="BQ127" s="16">
        <v>0.66666666666666663</v>
      </c>
      <c r="BR127" s="16">
        <v>0.68181818181818177</v>
      </c>
      <c r="BS127" s="16">
        <v>1</v>
      </c>
      <c r="BT127" s="16">
        <v>0.55128205128205132</v>
      </c>
      <c r="BU127" s="16">
        <v>5.8823529411764705E-2</v>
      </c>
      <c r="BV127" s="16">
        <v>4.3478260869565216E-2</v>
      </c>
      <c r="BW127" s="54">
        <v>6</v>
      </c>
      <c r="BX127" s="54">
        <v>0.5</v>
      </c>
      <c r="BY127" s="54">
        <v>0.4</v>
      </c>
      <c r="BZ127" s="12">
        <v>7</v>
      </c>
      <c r="CA127" s="12">
        <v>8</v>
      </c>
      <c r="CB127" s="12">
        <v>0</v>
      </c>
      <c r="CC127" s="12">
        <v>0</v>
      </c>
      <c r="CD127" s="12">
        <v>1</v>
      </c>
      <c r="CE127" s="12">
        <v>0</v>
      </c>
      <c r="CF127" s="12">
        <v>7</v>
      </c>
      <c r="CG127" s="12">
        <v>1</v>
      </c>
      <c r="CH127" s="12">
        <v>4</v>
      </c>
      <c r="CI127" s="12">
        <v>1</v>
      </c>
      <c r="CJ127" s="12">
        <v>0</v>
      </c>
      <c r="CK127" s="12">
        <v>0</v>
      </c>
      <c r="CL127" s="12">
        <v>2</v>
      </c>
      <c r="CM127" s="12">
        <v>0</v>
      </c>
      <c r="CN127" s="12">
        <v>0</v>
      </c>
      <c r="CO127" s="12">
        <v>0</v>
      </c>
      <c r="CP127" s="12">
        <v>0</v>
      </c>
      <c r="CQ127" s="12">
        <v>0</v>
      </c>
      <c r="CR127" s="12">
        <v>10</v>
      </c>
      <c r="CS127" s="12">
        <v>0</v>
      </c>
      <c r="CT127" s="12">
        <v>4</v>
      </c>
      <c r="CU127" s="12">
        <v>0</v>
      </c>
      <c r="CV127" s="12">
        <v>0</v>
      </c>
      <c r="CW127" s="12">
        <v>0</v>
      </c>
      <c r="CX127" s="12">
        <v>14</v>
      </c>
      <c r="CY127" s="12">
        <v>1</v>
      </c>
      <c r="CZ127" s="12">
        <v>1</v>
      </c>
      <c r="DA127" s="12">
        <v>0</v>
      </c>
      <c r="DB127" s="12">
        <v>0</v>
      </c>
      <c r="DC127" s="12">
        <v>0</v>
      </c>
      <c r="DD127" s="12">
        <v>1</v>
      </c>
      <c r="DE127" s="12">
        <v>2</v>
      </c>
      <c r="DF127" s="12">
        <v>6</v>
      </c>
      <c r="DG127" s="12">
        <v>8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1</v>
      </c>
      <c r="DN127" s="12">
        <v>13</v>
      </c>
      <c r="DO127" s="12">
        <v>26</v>
      </c>
      <c r="DP127" s="12">
        <v>5</v>
      </c>
      <c r="DQ127" s="12">
        <v>12</v>
      </c>
      <c r="DR127" s="12">
        <v>0</v>
      </c>
      <c r="DS127" s="12">
        <v>0</v>
      </c>
      <c r="DT127" s="12">
        <v>9</v>
      </c>
      <c r="DU127" s="12">
        <v>23</v>
      </c>
      <c r="DV127" s="12">
        <v>0</v>
      </c>
      <c r="DW127" s="12">
        <v>0</v>
      </c>
      <c r="DX127" s="12">
        <v>80</v>
      </c>
      <c r="DY127" s="12">
        <v>16</v>
      </c>
      <c r="DZ127" s="12">
        <v>37</v>
      </c>
      <c r="EA127" s="16">
        <v>0.43243243243243246</v>
      </c>
      <c r="EB127" s="12">
        <v>12</v>
      </c>
      <c r="EC127" s="12">
        <v>32</v>
      </c>
      <c r="ED127" s="16">
        <v>0.375</v>
      </c>
      <c r="EE127" s="12">
        <v>28</v>
      </c>
      <c r="EF127" s="12">
        <v>69</v>
      </c>
      <c r="EG127" s="16">
        <v>0.40579710144927539</v>
      </c>
      <c r="EH127" s="12">
        <v>12</v>
      </c>
      <c r="EI127" s="12">
        <v>14</v>
      </c>
      <c r="EJ127" s="16">
        <v>0.8571428571428571</v>
      </c>
      <c r="EK127" s="12">
        <v>13</v>
      </c>
      <c r="EL127" s="12">
        <v>22</v>
      </c>
      <c r="EM127" s="12">
        <v>35</v>
      </c>
      <c r="EN127" s="12">
        <v>18</v>
      </c>
      <c r="EO127" s="12">
        <v>15</v>
      </c>
      <c r="EP127" s="12">
        <v>13</v>
      </c>
      <c r="EQ127" s="12">
        <v>10</v>
      </c>
      <c r="ER127" s="12">
        <v>7</v>
      </c>
      <c r="ES127" s="12">
        <v>1</v>
      </c>
      <c r="ET127" s="12">
        <v>3</v>
      </c>
      <c r="EU127" s="12">
        <v>89</v>
      </c>
      <c r="EV127" s="12">
        <v>10</v>
      </c>
      <c r="EW127" s="12">
        <v>68</v>
      </c>
      <c r="EX127" s="12">
        <v>81</v>
      </c>
      <c r="EY127" s="12">
        <v>5</v>
      </c>
      <c r="EZ127" s="12">
        <v>5</v>
      </c>
      <c r="FA127" s="12">
        <v>11</v>
      </c>
      <c r="FB127" s="12">
        <v>2</v>
      </c>
      <c r="FC127" s="12">
        <v>4</v>
      </c>
      <c r="FD127" s="12">
        <v>2</v>
      </c>
      <c r="FE127" s="12">
        <v>0</v>
      </c>
      <c r="FF127" s="12">
        <v>3</v>
      </c>
      <c r="FG127" s="12">
        <v>0</v>
      </c>
      <c r="FH127" s="12">
        <v>2</v>
      </c>
      <c r="FI127" s="12">
        <v>0</v>
      </c>
      <c r="FJ127" s="12">
        <v>0</v>
      </c>
      <c r="FK127" s="12">
        <v>0</v>
      </c>
      <c r="FL127" s="12">
        <v>6</v>
      </c>
      <c r="FM127" s="12">
        <v>1</v>
      </c>
      <c r="FN127" s="12">
        <v>0</v>
      </c>
      <c r="FO127" s="12">
        <v>0</v>
      </c>
      <c r="FP127" s="12">
        <v>0</v>
      </c>
      <c r="FQ127" s="12">
        <v>0</v>
      </c>
      <c r="FR127" s="12">
        <v>6</v>
      </c>
      <c r="FS127" s="12">
        <v>0</v>
      </c>
      <c r="FT127" s="12">
        <v>3</v>
      </c>
      <c r="FU127" s="12">
        <v>0</v>
      </c>
      <c r="FV127" s="12">
        <v>0</v>
      </c>
      <c r="FW127" s="12">
        <v>0</v>
      </c>
      <c r="FX127" s="12">
        <v>10</v>
      </c>
      <c r="FY127" s="12">
        <v>0</v>
      </c>
      <c r="FZ127" s="12">
        <v>3</v>
      </c>
      <c r="GA127" s="12">
        <v>0</v>
      </c>
      <c r="GB127" s="12">
        <v>2</v>
      </c>
      <c r="GC127" s="12">
        <v>2</v>
      </c>
      <c r="GD127" s="12">
        <v>2</v>
      </c>
      <c r="GE127" s="12">
        <v>2</v>
      </c>
      <c r="GF127" s="12">
        <v>8</v>
      </c>
      <c r="GG127" s="12">
        <v>10</v>
      </c>
      <c r="GH127" s="12">
        <v>1</v>
      </c>
      <c r="GI127" s="12">
        <v>0</v>
      </c>
      <c r="GJ127" s="12">
        <v>0</v>
      </c>
      <c r="GK127" s="12">
        <v>0</v>
      </c>
      <c r="GL127" s="12">
        <v>1</v>
      </c>
      <c r="GM127" s="12">
        <v>3</v>
      </c>
      <c r="GN127" s="12">
        <v>10</v>
      </c>
      <c r="GO127" s="12">
        <v>23</v>
      </c>
      <c r="GP127" s="12">
        <v>5</v>
      </c>
      <c r="GQ127" s="12">
        <v>11</v>
      </c>
      <c r="GR127" s="12">
        <v>0</v>
      </c>
      <c r="GS127" s="12">
        <v>0</v>
      </c>
      <c r="GT127" s="12">
        <v>12</v>
      </c>
      <c r="GU127" s="12">
        <v>32</v>
      </c>
      <c r="GV127" s="12">
        <v>0</v>
      </c>
      <c r="GW127" s="12">
        <v>0</v>
      </c>
      <c r="GY127" s="16"/>
    </row>
    <row r="128" spans="2:207" ht="15" customHeight="1" x14ac:dyDescent="0.2">
      <c r="B128" s="12">
        <v>8</v>
      </c>
      <c r="C128" s="12" t="s">
        <v>301</v>
      </c>
      <c r="D128" s="12" t="s">
        <v>277</v>
      </c>
      <c r="E128" s="14" t="s">
        <v>302</v>
      </c>
      <c r="F128" s="14" t="s">
        <v>279</v>
      </c>
      <c r="G128" s="15">
        <v>45244</v>
      </c>
      <c r="H128" s="15" t="s">
        <v>268</v>
      </c>
      <c r="I128" s="12" t="s">
        <v>269</v>
      </c>
      <c r="J128" s="12" t="s">
        <v>272</v>
      </c>
      <c r="K128" s="12">
        <v>200</v>
      </c>
      <c r="L128" s="12">
        <v>82</v>
      </c>
      <c r="M128" s="12">
        <v>19</v>
      </c>
      <c r="N128" s="12">
        <v>41</v>
      </c>
      <c r="O128" s="16">
        <v>0.46341463414634149</v>
      </c>
      <c r="P128" s="12">
        <v>7</v>
      </c>
      <c r="Q128" s="12">
        <v>21</v>
      </c>
      <c r="R128" s="16">
        <v>0.33333333333333331</v>
      </c>
      <c r="S128" s="12">
        <v>26</v>
      </c>
      <c r="T128" s="12">
        <v>62</v>
      </c>
      <c r="U128" s="16">
        <v>0.41935483870967744</v>
      </c>
      <c r="V128" s="12">
        <v>23</v>
      </c>
      <c r="W128" s="12">
        <v>26</v>
      </c>
      <c r="X128" s="16">
        <v>0.88461538461538458</v>
      </c>
      <c r="Y128" s="12">
        <v>14</v>
      </c>
      <c r="Z128" s="12">
        <v>23</v>
      </c>
      <c r="AA128" s="12">
        <v>37</v>
      </c>
      <c r="AB128" s="12">
        <v>11</v>
      </c>
      <c r="AC128" s="12">
        <v>10</v>
      </c>
      <c r="AD128" s="12">
        <v>4</v>
      </c>
      <c r="AE128" s="12">
        <v>0</v>
      </c>
      <c r="AF128" s="12">
        <v>3</v>
      </c>
      <c r="AG128" s="12">
        <v>16</v>
      </c>
      <c r="AH128" s="12">
        <v>22</v>
      </c>
      <c r="AI128" s="17">
        <v>88</v>
      </c>
      <c r="AJ128" s="12">
        <v>-7</v>
      </c>
      <c r="AK128" s="12">
        <v>70</v>
      </c>
      <c r="AL128" s="12">
        <v>84</v>
      </c>
      <c r="AM128" s="19">
        <v>0.97619047619047616</v>
      </c>
      <c r="AN128" s="19">
        <v>1.2027027027027026</v>
      </c>
      <c r="AO128" s="18">
        <v>117.14285714285715</v>
      </c>
      <c r="AP128" s="18">
        <v>128.98550724637681</v>
      </c>
      <c r="AQ128" s="18">
        <v>-11.842650103519659</v>
      </c>
      <c r="AR128" s="53">
        <v>0.47580645161290325</v>
      </c>
      <c r="AS128" s="53">
        <v>0.55405405405405406</v>
      </c>
      <c r="AT128" s="16">
        <v>2.3809523809523808E-2</v>
      </c>
      <c r="AU128" s="19">
        <v>0</v>
      </c>
      <c r="AV128" s="16">
        <v>0.36904761904761907</v>
      </c>
      <c r="AW128" s="19">
        <v>1.032258064516129</v>
      </c>
      <c r="AX128" s="16">
        <v>9.5238095238095233E-2</v>
      </c>
      <c r="AY128" s="19">
        <v>0.75</v>
      </c>
      <c r="AZ128" s="16">
        <v>0</v>
      </c>
      <c r="BA128" s="19" t="s">
        <v>269</v>
      </c>
      <c r="BB128" s="16">
        <v>0.25</v>
      </c>
      <c r="BC128" s="21">
        <v>1</v>
      </c>
      <c r="BD128" s="16">
        <v>0.14285714285714285</v>
      </c>
      <c r="BE128" s="16">
        <v>0.11904761904761904</v>
      </c>
      <c r="BF128" s="16">
        <v>0.28947368421052633</v>
      </c>
      <c r="BG128" s="16">
        <v>0.31578947368421051</v>
      </c>
      <c r="BH128" s="16">
        <v>0.5714285714285714</v>
      </c>
      <c r="BI128" s="16">
        <v>8.3333333333333329E-2</v>
      </c>
      <c r="BJ128" s="16">
        <v>0.13095238095238096</v>
      </c>
      <c r="BK128" s="21">
        <v>1.1000000000000001</v>
      </c>
      <c r="BL128" s="16">
        <v>0.3888888888888889</v>
      </c>
      <c r="BM128" s="16">
        <v>0.44</v>
      </c>
      <c r="BN128" s="16">
        <v>0.38461538461538464</v>
      </c>
      <c r="BO128" s="16">
        <v>1</v>
      </c>
      <c r="BP128" s="16">
        <v>0.8214285714285714</v>
      </c>
      <c r="BQ128" s="16">
        <v>0.76923076923076927</v>
      </c>
      <c r="BR128" s="16">
        <v>0.88235294117647056</v>
      </c>
      <c r="BS128" s="16" t="s">
        <v>269</v>
      </c>
      <c r="BT128" s="16">
        <v>0.578125</v>
      </c>
      <c r="BU128" s="16">
        <v>5.7971014492753624E-2</v>
      </c>
      <c r="BV128" s="16">
        <v>0</v>
      </c>
      <c r="BW128" s="54">
        <v>4</v>
      </c>
      <c r="BX128" s="54">
        <v>0.25</v>
      </c>
      <c r="BY128" s="54">
        <v>0.54545454545454541</v>
      </c>
      <c r="BZ128" s="12">
        <v>6</v>
      </c>
      <c r="CA128" s="12">
        <v>4</v>
      </c>
      <c r="CB128" s="12">
        <v>1</v>
      </c>
      <c r="CC128" s="12">
        <v>2</v>
      </c>
      <c r="CD128" s="12">
        <v>1</v>
      </c>
      <c r="CE128" s="12">
        <v>1</v>
      </c>
      <c r="CF128" s="12">
        <v>6</v>
      </c>
      <c r="CG128" s="12">
        <v>2</v>
      </c>
      <c r="CH128" s="12">
        <v>1</v>
      </c>
      <c r="CI128" s="12">
        <v>0</v>
      </c>
      <c r="CJ128" s="12">
        <v>0</v>
      </c>
      <c r="CK128" s="12">
        <v>0</v>
      </c>
      <c r="CL128" s="12">
        <v>5</v>
      </c>
      <c r="CM128" s="12">
        <v>0</v>
      </c>
      <c r="CN128" s="12">
        <v>1</v>
      </c>
      <c r="CO128" s="12">
        <v>1</v>
      </c>
      <c r="CP128" s="12">
        <v>0</v>
      </c>
      <c r="CQ128" s="12">
        <v>0</v>
      </c>
      <c r="CR128" s="12">
        <v>6</v>
      </c>
      <c r="CS128" s="12">
        <v>2</v>
      </c>
      <c r="CT128" s="12">
        <v>2</v>
      </c>
      <c r="CU128" s="12">
        <v>0</v>
      </c>
      <c r="CV128" s="12">
        <v>0</v>
      </c>
      <c r="CW128" s="12">
        <v>0</v>
      </c>
      <c r="CX128" s="12">
        <v>15</v>
      </c>
      <c r="CY128" s="12">
        <v>0</v>
      </c>
      <c r="CZ128" s="12">
        <v>0</v>
      </c>
      <c r="DA128" s="12">
        <v>0</v>
      </c>
      <c r="DB128" s="12">
        <v>2</v>
      </c>
      <c r="DC128" s="12">
        <v>2</v>
      </c>
      <c r="DD128" s="12">
        <v>0</v>
      </c>
      <c r="DE128" s="12">
        <v>0</v>
      </c>
      <c r="DF128" s="12">
        <v>21</v>
      </c>
      <c r="DG128" s="12">
        <v>24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2</v>
      </c>
      <c r="DN128" s="12">
        <v>16</v>
      </c>
      <c r="DO128" s="12">
        <v>31</v>
      </c>
      <c r="DP128" s="12">
        <v>3</v>
      </c>
      <c r="DQ128" s="12">
        <v>8</v>
      </c>
      <c r="DR128" s="12">
        <v>0</v>
      </c>
      <c r="DS128" s="12">
        <v>0</v>
      </c>
      <c r="DT128" s="12">
        <v>7</v>
      </c>
      <c r="DU128" s="12">
        <v>21</v>
      </c>
      <c r="DV128" s="12">
        <v>0</v>
      </c>
      <c r="DW128" s="12">
        <v>0</v>
      </c>
      <c r="DX128" s="12">
        <v>89</v>
      </c>
      <c r="DY128" s="12">
        <v>22</v>
      </c>
      <c r="DZ128" s="12">
        <v>34</v>
      </c>
      <c r="EA128" s="16">
        <v>0.6470588235294118</v>
      </c>
      <c r="EB128" s="12">
        <v>13</v>
      </c>
      <c r="EC128" s="12">
        <v>30</v>
      </c>
      <c r="ED128" s="16">
        <v>0.43333333333333335</v>
      </c>
      <c r="EE128" s="12">
        <v>35</v>
      </c>
      <c r="EF128" s="12">
        <v>64</v>
      </c>
      <c r="EG128" s="16">
        <v>0.546875</v>
      </c>
      <c r="EH128" s="12">
        <v>6</v>
      </c>
      <c r="EI128" s="12">
        <v>7</v>
      </c>
      <c r="EJ128" s="16">
        <v>0.8571428571428571</v>
      </c>
      <c r="EK128" s="12">
        <v>5</v>
      </c>
      <c r="EL128" s="12">
        <v>22</v>
      </c>
      <c r="EM128" s="12">
        <v>27</v>
      </c>
      <c r="EN128" s="12">
        <v>24</v>
      </c>
      <c r="EO128" s="12">
        <v>24</v>
      </c>
      <c r="EP128" s="12">
        <v>16</v>
      </c>
      <c r="EQ128" s="12">
        <v>7</v>
      </c>
      <c r="ER128" s="12">
        <v>7</v>
      </c>
      <c r="ES128" s="12">
        <v>3</v>
      </c>
      <c r="ET128" s="12">
        <v>0</v>
      </c>
      <c r="EU128" s="12">
        <v>105</v>
      </c>
      <c r="EV128" s="12">
        <v>7</v>
      </c>
      <c r="EW128" s="12">
        <v>69</v>
      </c>
      <c r="EX128" s="12">
        <v>74</v>
      </c>
      <c r="EY128" s="12">
        <v>2</v>
      </c>
      <c r="EZ128" s="12">
        <v>10</v>
      </c>
      <c r="FA128" s="12">
        <v>13</v>
      </c>
      <c r="FB128" s="12">
        <v>1</v>
      </c>
      <c r="FC128" s="12">
        <v>2</v>
      </c>
      <c r="FD128" s="12">
        <v>0</v>
      </c>
      <c r="FE128" s="12">
        <v>0</v>
      </c>
      <c r="FF128" s="12">
        <v>1</v>
      </c>
      <c r="FG128" s="12">
        <v>0</v>
      </c>
      <c r="FH128" s="12">
        <v>2</v>
      </c>
      <c r="FI128" s="12">
        <v>0</v>
      </c>
      <c r="FJ128" s="12">
        <v>0</v>
      </c>
      <c r="FK128" s="12">
        <v>0</v>
      </c>
      <c r="FL128" s="12">
        <v>2</v>
      </c>
      <c r="FM128" s="12">
        <v>0</v>
      </c>
      <c r="FN128" s="12">
        <v>0</v>
      </c>
      <c r="FO128" s="12">
        <v>0</v>
      </c>
      <c r="FP128" s="12">
        <v>1</v>
      </c>
      <c r="FQ128" s="12">
        <v>0</v>
      </c>
      <c r="FR128" s="12">
        <v>9</v>
      </c>
      <c r="FS128" s="12">
        <v>0</v>
      </c>
      <c r="FT128" s="12">
        <v>4</v>
      </c>
      <c r="FU128" s="12">
        <v>0</v>
      </c>
      <c r="FV128" s="12">
        <v>0</v>
      </c>
      <c r="FW128" s="12">
        <v>0</v>
      </c>
      <c r="FX128" s="12">
        <v>8</v>
      </c>
      <c r="FY128" s="12">
        <v>0</v>
      </c>
      <c r="FZ128" s="12">
        <v>0</v>
      </c>
      <c r="GA128" s="12">
        <v>0</v>
      </c>
      <c r="GB128" s="12">
        <v>0</v>
      </c>
      <c r="GC128" s="12">
        <v>0</v>
      </c>
      <c r="GD128" s="12">
        <v>1</v>
      </c>
      <c r="GE128" s="12">
        <v>1</v>
      </c>
      <c r="GF128" s="12">
        <v>5</v>
      </c>
      <c r="GG128" s="12">
        <v>6</v>
      </c>
      <c r="GH128" s="12">
        <v>0</v>
      </c>
      <c r="GI128" s="12">
        <v>0</v>
      </c>
      <c r="GJ128" s="12">
        <v>0</v>
      </c>
      <c r="GK128" s="12">
        <v>0</v>
      </c>
      <c r="GL128" s="12">
        <v>2</v>
      </c>
      <c r="GM128" s="12">
        <v>2</v>
      </c>
      <c r="GN128" s="12">
        <v>15</v>
      </c>
      <c r="GO128" s="12">
        <v>22</v>
      </c>
      <c r="GP128" s="12">
        <v>5</v>
      </c>
      <c r="GQ128" s="12">
        <v>10</v>
      </c>
      <c r="GR128" s="12">
        <v>0</v>
      </c>
      <c r="GS128" s="12">
        <v>0</v>
      </c>
      <c r="GT128" s="12">
        <v>13</v>
      </c>
      <c r="GU128" s="12">
        <v>30</v>
      </c>
      <c r="GV128" s="12">
        <v>0</v>
      </c>
      <c r="GW128" s="12">
        <v>0</v>
      </c>
      <c r="GY128" s="16"/>
    </row>
    <row r="129" spans="2:207" ht="15" customHeight="1" x14ac:dyDescent="0.2">
      <c r="B129" s="12">
        <v>8</v>
      </c>
      <c r="C129" s="12" t="s">
        <v>277</v>
      </c>
      <c r="D129" s="12" t="s">
        <v>301</v>
      </c>
      <c r="E129" s="14" t="s">
        <v>279</v>
      </c>
      <c r="F129" s="14" t="s">
        <v>302</v>
      </c>
      <c r="G129" s="15">
        <v>45244</v>
      </c>
      <c r="H129" s="15" t="s">
        <v>271</v>
      </c>
      <c r="I129" s="12" t="s">
        <v>269</v>
      </c>
      <c r="J129" s="12" t="s">
        <v>270</v>
      </c>
      <c r="K129" s="12">
        <v>200</v>
      </c>
      <c r="L129" s="12">
        <v>89</v>
      </c>
      <c r="M129" s="12">
        <v>22</v>
      </c>
      <c r="N129" s="12">
        <v>34</v>
      </c>
      <c r="O129" s="16">
        <v>0.6470588235294118</v>
      </c>
      <c r="P129" s="12">
        <v>13</v>
      </c>
      <c r="Q129" s="12">
        <v>30</v>
      </c>
      <c r="R129" s="16">
        <v>0.43333333333333335</v>
      </c>
      <c r="S129" s="12">
        <v>35</v>
      </c>
      <c r="T129" s="12">
        <v>64</v>
      </c>
      <c r="U129" s="16">
        <v>0.546875</v>
      </c>
      <c r="V129" s="12">
        <v>6</v>
      </c>
      <c r="W129" s="12">
        <v>7</v>
      </c>
      <c r="X129" s="16">
        <v>0.8571428571428571</v>
      </c>
      <c r="Y129" s="12">
        <v>5</v>
      </c>
      <c r="Z129" s="12">
        <v>22</v>
      </c>
      <c r="AA129" s="12">
        <v>27</v>
      </c>
      <c r="AB129" s="12">
        <v>24</v>
      </c>
      <c r="AC129" s="12">
        <v>7</v>
      </c>
      <c r="AD129" s="12">
        <v>7</v>
      </c>
      <c r="AE129" s="12">
        <v>3</v>
      </c>
      <c r="AF129" s="12">
        <v>0</v>
      </c>
      <c r="AG129" s="12">
        <v>22</v>
      </c>
      <c r="AH129" s="12">
        <v>16</v>
      </c>
      <c r="AI129" s="17">
        <v>107</v>
      </c>
      <c r="AJ129" s="12">
        <v>7</v>
      </c>
      <c r="AK129" s="12">
        <v>69</v>
      </c>
      <c r="AL129" s="12">
        <v>74</v>
      </c>
      <c r="AM129" s="19">
        <v>1.2027027027027026</v>
      </c>
      <c r="AN129" s="19">
        <v>0.97619047619047616</v>
      </c>
      <c r="AO129" s="18">
        <v>128.98550724637681</v>
      </c>
      <c r="AP129" s="18">
        <v>117.14285714285715</v>
      </c>
      <c r="AQ129" s="18">
        <v>11.842650103519659</v>
      </c>
      <c r="AR129" s="53">
        <v>0.6484375</v>
      </c>
      <c r="AS129" s="53">
        <v>0.66417910447761197</v>
      </c>
      <c r="AT129" s="16">
        <v>2.7027027027027029E-2</v>
      </c>
      <c r="AU129" s="19">
        <v>2</v>
      </c>
      <c r="AV129" s="16">
        <v>0.29729729729729731</v>
      </c>
      <c r="AW129" s="19">
        <v>1.3636363636363635</v>
      </c>
      <c r="AX129" s="16">
        <v>0.13513513513513514</v>
      </c>
      <c r="AY129" s="19">
        <v>1</v>
      </c>
      <c r="AZ129" s="16">
        <v>0</v>
      </c>
      <c r="BA129" s="19" t="s">
        <v>269</v>
      </c>
      <c r="BB129" s="16">
        <v>0.40540540540540543</v>
      </c>
      <c r="BC129" s="21">
        <v>1.3</v>
      </c>
      <c r="BD129" s="16">
        <v>4.0540540540540543E-2</v>
      </c>
      <c r="BE129" s="16">
        <v>9.45945945945946E-2</v>
      </c>
      <c r="BF129" s="16">
        <v>0.63157894736842102</v>
      </c>
      <c r="BG129" s="16">
        <v>0.45454545454545453</v>
      </c>
      <c r="BH129" s="16">
        <v>1</v>
      </c>
      <c r="BI129" s="16">
        <v>0.33333333333333331</v>
      </c>
      <c r="BJ129" s="16">
        <v>0.32432432432432434</v>
      </c>
      <c r="BK129" s="21">
        <v>3.4285714285714284</v>
      </c>
      <c r="BL129" s="16">
        <v>0.17857142857142858</v>
      </c>
      <c r="BM129" s="16">
        <v>0.23076923076923078</v>
      </c>
      <c r="BN129" s="16">
        <v>0.11764705882352941</v>
      </c>
      <c r="BO129" s="16" t="s">
        <v>269</v>
      </c>
      <c r="BP129" s="16">
        <v>0.61111111111111116</v>
      </c>
      <c r="BQ129" s="16">
        <v>0.56000000000000005</v>
      </c>
      <c r="BR129" s="16">
        <v>0.61538461538461542</v>
      </c>
      <c r="BS129" s="16">
        <v>0</v>
      </c>
      <c r="BT129" s="16">
        <v>0.421875</v>
      </c>
      <c r="BU129" s="16">
        <v>0.1</v>
      </c>
      <c r="BV129" s="16">
        <v>4.8387096774193547E-2</v>
      </c>
      <c r="BW129" s="54">
        <v>2</v>
      </c>
      <c r="BX129" s="54">
        <v>0.54545454545454541</v>
      </c>
      <c r="BY129" s="54">
        <v>0.25</v>
      </c>
      <c r="BZ129" s="12">
        <v>10</v>
      </c>
      <c r="CA129" s="12">
        <v>13</v>
      </c>
      <c r="CB129" s="12">
        <v>1</v>
      </c>
      <c r="CC129" s="12">
        <v>2</v>
      </c>
      <c r="CD129" s="12">
        <v>0</v>
      </c>
      <c r="CE129" s="12">
        <v>0</v>
      </c>
      <c r="CF129" s="12">
        <v>1</v>
      </c>
      <c r="CG129" s="12">
        <v>0</v>
      </c>
      <c r="CH129" s="12">
        <v>2</v>
      </c>
      <c r="CI129" s="12">
        <v>0</v>
      </c>
      <c r="CJ129" s="12">
        <v>0</v>
      </c>
      <c r="CK129" s="12">
        <v>0</v>
      </c>
      <c r="CL129" s="12">
        <v>2</v>
      </c>
      <c r="CM129" s="12">
        <v>0</v>
      </c>
      <c r="CN129" s="12">
        <v>0</v>
      </c>
      <c r="CO129" s="12">
        <v>0</v>
      </c>
      <c r="CP129" s="12">
        <v>1</v>
      </c>
      <c r="CQ129" s="12">
        <v>0</v>
      </c>
      <c r="CR129" s="12">
        <v>9</v>
      </c>
      <c r="CS129" s="12">
        <v>0</v>
      </c>
      <c r="CT129" s="12">
        <v>4</v>
      </c>
      <c r="CU129" s="12">
        <v>0</v>
      </c>
      <c r="CV129" s="12">
        <v>0</v>
      </c>
      <c r="CW129" s="12">
        <v>0</v>
      </c>
      <c r="CX129" s="12">
        <v>8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1</v>
      </c>
      <c r="DE129" s="12">
        <v>1</v>
      </c>
      <c r="DF129" s="12">
        <v>5</v>
      </c>
      <c r="DG129" s="12">
        <v>6</v>
      </c>
      <c r="DH129" s="12">
        <v>0</v>
      </c>
      <c r="DI129" s="12">
        <v>0</v>
      </c>
      <c r="DJ129" s="12">
        <v>0</v>
      </c>
      <c r="DK129" s="12">
        <v>0</v>
      </c>
      <c r="DL129" s="12">
        <v>2</v>
      </c>
      <c r="DM129" s="12">
        <v>2</v>
      </c>
      <c r="DN129" s="12">
        <v>15</v>
      </c>
      <c r="DO129" s="12">
        <v>22</v>
      </c>
      <c r="DP129" s="12">
        <v>5</v>
      </c>
      <c r="DQ129" s="12">
        <v>10</v>
      </c>
      <c r="DR129" s="12">
        <v>0</v>
      </c>
      <c r="DS129" s="12">
        <v>0</v>
      </c>
      <c r="DT129" s="12">
        <v>13</v>
      </c>
      <c r="DU129" s="12">
        <v>30</v>
      </c>
      <c r="DV129" s="12">
        <v>0</v>
      </c>
      <c r="DW129" s="12">
        <v>0</v>
      </c>
      <c r="DX129" s="12">
        <v>82</v>
      </c>
      <c r="DY129" s="12">
        <v>19</v>
      </c>
      <c r="DZ129" s="12">
        <v>41</v>
      </c>
      <c r="EA129" s="16">
        <v>0.46341463414634149</v>
      </c>
      <c r="EB129" s="12">
        <v>7</v>
      </c>
      <c r="EC129" s="12">
        <v>21</v>
      </c>
      <c r="ED129" s="16">
        <v>0.33333333333333331</v>
      </c>
      <c r="EE129" s="12">
        <v>26</v>
      </c>
      <c r="EF129" s="12">
        <v>62</v>
      </c>
      <c r="EG129" s="16">
        <v>0.41935483870967744</v>
      </c>
      <c r="EH129" s="12">
        <v>23</v>
      </c>
      <c r="EI129" s="12">
        <v>26</v>
      </c>
      <c r="EJ129" s="16">
        <v>0.88461538461538458</v>
      </c>
      <c r="EK129" s="12">
        <v>14</v>
      </c>
      <c r="EL129" s="12">
        <v>23</v>
      </c>
      <c r="EM129" s="12">
        <v>37</v>
      </c>
      <c r="EN129" s="12">
        <v>11</v>
      </c>
      <c r="EO129" s="12">
        <v>16</v>
      </c>
      <c r="EP129" s="12">
        <v>22</v>
      </c>
      <c r="EQ129" s="12">
        <v>4</v>
      </c>
      <c r="ER129" s="12">
        <v>10</v>
      </c>
      <c r="ES129" s="12">
        <v>0</v>
      </c>
      <c r="ET129" s="12">
        <v>3</v>
      </c>
      <c r="EU129" s="12">
        <v>88</v>
      </c>
      <c r="EV129" s="12">
        <v>-7</v>
      </c>
      <c r="EW129" s="12">
        <v>70</v>
      </c>
      <c r="EX129" s="12">
        <v>84</v>
      </c>
      <c r="EY129" s="12">
        <v>4</v>
      </c>
      <c r="EZ129" s="12">
        <v>6</v>
      </c>
      <c r="FA129" s="12">
        <v>4</v>
      </c>
      <c r="FB129" s="12">
        <v>1</v>
      </c>
      <c r="FC129" s="12">
        <v>2</v>
      </c>
      <c r="FD129" s="12">
        <v>1</v>
      </c>
      <c r="FE129" s="12">
        <v>1</v>
      </c>
      <c r="FF129" s="12">
        <v>6</v>
      </c>
      <c r="FG129" s="12">
        <v>2</v>
      </c>
      <c r="FH129" s="12">
        <v>1</v>
      </c>
      <c r="FI129" s="12">
        <v>0</v>
      </c>
      <c r="FJ129" s="12">
        <v>0</v>
      </c>
      <c r="FK129" s="12">
        <v>0</v>
      </c>
      <c r="FL129" s="12">
        <v>5</v>
      </c>
      <c r="FM129" s="12">
        <v>0</v>
      </c>
      <c r="FN129" s="12">
        <v>1</v>
      </c>
      <c r="FO129" s="12">
        <v>1</v>
      </c>
      <c r="FP129" s="12">
        <v>0</v>
      </c>
      <c r="FQ129" s="12">
        <v>0</v>
      </c>
      <c r="FR129" s="12">
        <v>6</v>
      </c>
      <c r="FS129" s="12">
        <v>2</v>
      </c>
      <c r="FT129" s="12">
        <v>2</v>
      </c>
      <c r="FU129" s="12">
        <v>0</v>
      </c>
      <c r="FV129" s="12">
        <v>0</v>
      </c>
      <c r="FW129" s="12">
        <v>0</v>
      </c>
      <c r="FX129" s="12">
        <v>15</v>
      </c>
      <c r="FY129" s="12">
        <v>0</v>
      </c>
      <c r="FZ129" s="12">
        <v>0</v>
      </c>
      <c r="GA129" s="12">
        <v>0</v>
      </c>
      <c r="GB129" s="12">
        <v>2</v>
      </c>
      <c r="GC129" s="12">
        <v>2</v>
      </c>
      <c r="GD129" s="12">
        <v>0</v>
      </c>
      <c r="GE129" s="12">
        <v>0</v>
      </c>
      <c r="GF129" s="12">
        <v>21</v>
      </c>
      <c r="GG129" s="12">
        <v>24</v>
      </c>
      <c r="GH129" s="12">
        <v>0</v>
      </c>
      <c r="GI129" s="12">
        <v>0</v>
      </c>
      <c r="GJ129" s="12">
        <v>0</v>
      </c>
      <c r="GK129" s="12">
        <v>0</v>
      </c>
      <c r="GL129" s="12">
        <v>0</v>
      </c>
      <c r="GM129" s="12">
        <v>2</v>
      </c>
      <c r="GN129" s="12">
        <v>16</v>
      </c>
      <c r="GO129" s="12">
        <v>31</v>
      </c>
      <c r="GP129" s="12">
        <v>3</v>
      </c>
      <c r="GQ129" s="12">
        <v>8</v>
      </c>
      <c r="GR129" s="12">
        <v>0</v>
      </c>
      <c r="GS129" s="12">
        <v>0</v>
      </c>
      <c r="GT129" s="12">
        <v>7</v>
      </c>
      <c r="GU129" s="12">
        <v>21</v>
      </c>
      <c r="GV129" s="12">
        <v>0</v>
      </c>
      <c r="GW129" s="12">
        <v>0</v>
      </c>
      <c r="GY129" s="16"/>
    </row>
    <row r="130" spans="2:207" ht="15" customHeight="1" x14ac:dyDescent="0.2">
      <c r="B130" s="12">
        <v>8</v>
      </c>
      <c r="C130" s="12" t="s">
        <v>273</v>
      </c>
      <c r="D130" s="12" t="s">
        <v>293</v>
      </c>
      <c r="E130" s="14" t="s">
        <v>275</v>
      </c>
      <c r="F130" s="14" t="s">
        <v>295</v>
      </c>
      <c r="G130" s="15">
        <v>45244</v>
      </c>
      <c r="H130" s="15" t="s">
        <v>268</v>
      </c>
      <c r="I130" s="12" t="s">
        <v>269</v>
      </c>
      <c r="J130" s="12" t="s">
        <v>272</v>
      </c>
      <c r="K130" s="12">
        <v>200</v>
      </c>
      <c r="L130" s="12">
        <v>74</v>
      </c>
      <c r="M130" s="12">
        <v>20</v>
      </c>
      <c r="N130" s="12">
        <v>33</v>
      </c>
      <c r="O130" s="16">
        <v>0.60606060606060608</v>
      </c>
      <c r="P130" s="12">
        <v>6</v>
      </c>
      <c r="Q130" s="12">
        <v>30</v>
      </c>
      <c r="R130" s="16">
        <v>0.2</v>
      </c>
      <c r="S130" s="12">
        <v>26</v>
      </c>
      <c r="T130" s="12">
        <v>63</v>
      </c>
      <c r="U130" s="16">
        <v>0.41269841269841268</v>
      </c>
      <c r="V130" s="12">
        <v>16</v>
      </c>
      <c r="W130" s="12">
        <v>22</v>
      </c>
      <c r="X130" s="16">
        <v>0.72727272727272729</v>
      </c>
      <c r="Y130" s="12">
        <v>12</v>
      </c>
      <c r="Z130" s="12">
        <v>24</v>
      </c>
      <c r="AA130" s="12">
        <v>36</v>
      </c>
      <c r="AB130" s="12">
        <v>17</v>
      </c>
      <c r="AC130" s="12">
        <v>7</v>
      </c>
      <c r="AD130" s="12">
        <v>5</v>
      </c>
      <c r="AE130" s="12">
        <v>8</v>
      </c>
      <c r="AF130" s="12">
        <v>3</v>
      </c>
      <c r="AG130" s="12">
        <v>21</v>
      </c>
      <c r="AH130" s="12">
        <v>20</v>
      </c>
      <c r="AI130" s="17">
        <v>86</v>
      </c>
      <c r="AJ130" s="12">
        <v>-5</v>
      </c>
      <c r="AK130" s="12">
        <v>67</v>
      </c>
      <c r="AL130" s="12">
        <v>79</v>
      </c>
      <c r="AM130" s="19">
        <v>0.93670886075949367</v>
      </c>
      <c r="AN130" s="19">
        <v>0.91860465116279066</v>
      </c>
      <c r="AO130" s="18">
        <v>110.44776119402985</v>
      </c>
      <c r="AP130" s="18">
        <v>116.1764705882353</v>
      </c>
      <c r="AQ130" s="18">
        <v>-5.7287093942054526</v>
      </c>
      <c r="AR130" s="53">
        <v>0.46031746031746029</v>
      </c>
      <c r="AS130" s="53">
        <v>0.51388888888888884</v>
      </c>
      <c r="AT130" s="16">
        <v>7.5949367088607597E-2</v>
      </c>
      <c r="AU130" s="19">
        <v>2</v>
      </c>
      <c r="AV130" s="16">
        <v>0.20253164556962025</v>
      </c>
      <c r="AW130" s="19">
        <v>1</v>
      </c>
      <c r="AX130" s="16">
        <v>0.13924050632911392</v>
      </c>
      <c r="AY130" s="19">
        <v>1.0909090909090908</v>
      </c>
      <c r="AZ130" s="16">
        <v>3.7974683544303799E-2</v>
      </c>
      <c r="BA130" s="19">
        <v>0</v>
      </c>
      <c r="BB130" s="16">
        <v>0.34177215189873417</v>
      </c>
      <c r="BC130" s="21">
        <v>0.66666666666666663</v>
      </c>
      <c r="BD130" s="16">
        <v>0.11392405063291139</v>
      </c>
      <c r="BE130" s="16">
        <v>8.8607594936708861E-2</v>
      </c>
      <c r="BF130" s="16">
        <v>0.48571428571428571</v>
      </c>
      <c r="BG130" s="16">
        <v>0.45</v>
      </c>
      <c r="BH130" s="16">
        <v>0.83333333333333337</v>
      </c>
      <c r="BI130" s="16">
        <v>0.33333333333333331</v>
      </c>
      <c r="BJ130" s="16">
        <v>0.21518987341772153</v>
      </c>
      <c r="BK130" s="21">
        <v>2.4285714285714284</v>
      </c>
      <c r="BL130" s="16">
        <v>0.33333333333333331</v>
      </c>
      <c r="BM130" s="16">
        <v>0.35714285714285715</v>
      </c>
      <c r="BN130" s="16">
        <v>0.36</v>
      </c>
      <c r="BO130" s="16" t="s">
        <v>269</v>
      </c>
      <c r="BP130" s="16">
        <v>0.5714285714285714</v>
      </c>
      <c r="BQ130" s="16">
        <v>0.375</v>
      </c>
      <c r="BR130" s="16">
        <v>0.75</v>
      </c>
      <c r="BS130" s="16">
        <v>0.5714285714285714</v>
      </c>
      <c r="BT130" s="16">
        <v>0.46153846153846156</v>
      </c>
      <c r="BU130" s="16">
        <v>7.3529411764705885E-2</v>
      </c>
      <c r="BV130" s="16">
        <v>0.12307692307692308</v>
      </c>
      <c r="BW130" s="54">
        <v>3</v>
      </c>
      <c r="BX130" s="54">
        <v>0.5714285714285714</v>
      </c>
      <c r="BY130" s="54">
        <v>0.55000000000000004</v>
      </c>
      <c r="BZ130" s="12">
        <v>9</v>
      </c>
      <c r="CA130" s="12">
        <v>5</v>
      </c>
      <c r="CB130" s="12">
        <v>3</v>
      </c>
      <c r="CC130" s="12">
        <v>6</v>
      </c>
      <c r="CD130" s="12">
        <v>0</v>
      </c>
      <c r="CE130" s="12">
        <v>0</v>
      </c>
      <c r="CF130" s="12">
        <v>2</v>
      </c>
      <c r="CG130" s="12">
        <v>1</v>
      </c>
      <c r="CH130" s="12">
        <v>2</v>
      </c>
      <c r="CI130" s="12">
        <v>0</v>
      </c>
      <c r="CJ130" s="12">
        <v>1</v>
      </c>
      <c r="CK130" s="12">
        <v>0</v>
      </c>
      <c r="CL130" s="12">
        <v>7</v>
      </c>
      <c r="CM130" s="12">
        <v>1</v>
      </c>
      <c r="CN130" s="12">
        <v>0</v>
      </c>
      <c r="CO130" s="12">
        <v>0</v>
      </c>
      <c r="CP130" s="12">
        <v>2</v>
      </c>
      <c r="CQ130" s="12">
        <v>0</v>
      </c>
      <c r="CR130" s="12">
        <v>7</v>
      </c>
      <c r="CS130" s="12">
        <v>0</v>
      </c>
      <c r="CT130" s="12">
        <v>0</v>
      </c>
      <c r="CU130" s="12">
        <v>0</v>
      </c>
      <c r="CV130" s="12">
        <v>2</v>
      </c>
      <c r="CW130" s="12">
        <v>1</v>
      </c>
      <c r="CX130" s="12">
        <v>9</v>
      </c>
      <c r="CY130" s="12">
        <v>0</v>
      </c>
      <c r="CZ130" s="12">
        <v>4</v>
      </c>
      <c r="DA130" s="12">
        <v>0</v>
      </c>
      <c r="DB130" s="12">
        <v>1</v>
      </c>
      <c r="DC130" s="12">
        <v>1</v>
      </c>
      <c r="DD130" s="12">
        <v>2</v>
      </c>
      <c r="DE130" s="12">
        <v>2</v>
      </c>
      <c r="DF130" s="12">
        <v>11</v>
      </c>
      <c r="DG130" s="12">
        <v>16</v>
      </c>
      <c r="DH130" s="12">
        <v>0</v>
      </c>
      <c r="DI130" s="12">
        <v>2</v>
      </c>
      <c r="DJ130" s="12">
        <v>3</v>
      </c>
      <c r="DK130" s="12">
        <v>0</v>
      </c>
      <c r="DL130" s="12">
        <v>6</v>
      </c>
      <c r="DM130" s="12">
        <v>6</v>
      </c>
      <c r="DN130" s="12">
        <v>8</v>
      </c>
      <c r="DO130" s="12">
        <v>16</v>
      </c>
      <c r="DP130" s="12">
        <v>6</v>
      </c>
      <c r="DQ130" s="12">
        <v>11</v>
      </c>
      <c r="DR130" s="12">
        <v>0</v>
      </c>
      <c r="DS130" s="12">
        <v>3</v>
      </c>
      <c r="DT130" s="12">
        <v>6</v>
      </c>
      <c r="DU130" s="12">
        <v>27</v>
      </c>
      <c r="DV130" s="12">
        <v>0</v>
      </c>
      <c r="DW130" s="12">
        <v>0</v>
      </c>
      <c r="DX130" s="12">
        <v>79</v>
      </c>
      <c r="DY130" s="12">
        <v>22</v>
      </c>
      <c r="DZ130" s="12">
        <v>43</v>
      </c>
      <c r="EA130" s="16">
        <v>0.51162790697674421</v>
      </c>
      <c r="EB130" s="12">
        <v>7</v>
      </c>
      <c r="EC130" s="12">
        <v>22</v>
      </c>
      <c r="ED130" s="16">
        <v>0.31818181818181818</v>
      </c>
      <c r="EE130" s="12">
        <v>29</v>
      </c>
      <c r="EF130" s="12">
        <v>65</v>
      </c>
      <c r="EG130" s="16">
        <v>0.44615384615384618</v>
      </c>
      <c r="EH130" s="12">
        <v>14</v>
      </c>
      <c r="EI130" s="12">
        <v>21</v>
      </c>
      <c r="EJ130" s="16">
        <v>0.66666666666666663</v>
      </c>
      <c r="EK130" s="12">
        <v>18</v>
      </c>
      <c r="EL130" s="12">
        <v>24</v>
      </c>
      <c r="EM130" s="12">
        <v>42</v>
      </c>
      <c r="EN130" s="12">
        <v>21</v>
      </c>
      <c r="EO130" s="12">
        <v>21</v>
      </c>
      <c r="EP130" s="12">
        <v>21</v>
      </c>
      <c r="EQ130" s="12">
        <v>3</v>
      </c>
      <c r="ER130" s="12">
        <v>12</v>
      </c>
      <c r="ES130" s="12">
        <v>3</v>
      </c>
      <c r="ET130" s="12">
        <v>8</v>
      </c>
      <c r="EU130" s="12">
        <v>85</v>
      </c>
      <c r="EV130" s="12">
        <v>5</v>
      </c>
      <c r="EW130" s="12">
        <v>68</v>
      </c>
      <c r="EX130" s="12">
        <v>86</v>
      </c>
      <c r="EY130" s="12">
        <v>3</v>
      </c>
      <c r="EZ130" s="12">
        <v>13</v>
      </c>
      <c r="FA130" s="12">
        <v>7</v>
      </c>
      <c r="FB130" s="12">
        <v>1</v>
      </c>
      <c r="FC130" s="12">
        <v>0</v>
      </c>
      <c r="FD130" s="12">
        <v>1</v>
      </c>
      <c r="FE130" s="12">
        <v>1</v>
      </c>
      <c r="FF130" s="12">
        <v>9</v>
      </c>
      <c r="FG130" s="12">
        <v>2</v>
      </c>
      <c r="FH130" s="12">
        <v>2</v>
      </c>
      <c r="FI130" s="12">
        <v>0</v>
      </c>
      <c r="FJ130" s="12">
        <v>0</v>
      </c>
      <c r="FK130" s="12">
        <v>0</v>
      </c>
      <c r="FL130" s="12">
        <v>4</v>
      </c>
      <c r="FM130" s="12">
        <v>0</v>
      </c>
      <c r="FN130" s="12">
        <v>2</v>
      </c>
      <c r="FO130" s="12">
        <v>1</v>
      </c>
      <c r="FP130" s="12">
        <v>0</v>
      </c>
      <c r="FQ130" s="12">
        <v>0</v>
      </c>
      <c r="FR130" s="12">
        <v>6</v>
      </c>
      <c r="FS130" s="12">
        <v>0</v>
      </c>
      <c r="FT130" s="12">
        <v>3</v>
      </c>
      <c r="FU130" s="12">
        <v>0</v>
      </c>
      <c r="FV130" s="12">
        <v>2</v>
      </c>
      <c r="FW130" s="12">
        <v>0</v>
      </c>
      <c r="FX130" s="12">
        <v>13</v>
      </c>
      <c r="FY130" s="12">
        <v>1</v>
      </c>
      <c r="FZ130" s="12">
        <v>0</v>
      </c>
      <c r="GA130" s="12">
        <v>0</v>
      </c>
      <c r="GB130" s="12">
        <v>0</v>
      </c>
      <c r="GC130" s="12">
        <v>0</v>
      </c>
      <c r="GD130" s="12">
        <v>0</v>
      </c>
      <c r="GE130" s="12">
        <v>3</v>
      </c>
      <c r="GF130" s="12">
        <v>14</v>
      </c>
      <c r="GG130" s="12">
        <v>18</v>
      </c>
      <c r="GH130" s="12">
        <v>0</v>
      </c>
      <c r="GI130" s="12">
        <v>0</v>
      </c>
      <c r="GJ130" s="12">
        <v>0</v>
      </c>
      <c r="GK130" s="12">
        <v>0</v>
      </c>
      <c r="GL130" s="12">
        <v>9</v>
      </c>
      <c r="GM130" s="12">
        <v>12</v>
      </c>
      <c r="GN130" s="12">
        <v>9</v>
      </c>
      <c r="GO130" s="12">
        <v>25</v>
      </c>
      <c r="GP130" s="12">
        <v>4</v>
      </c>
      <c r="GQ130" s="12">
        <v>6</v>
      </c>
      <c r="GR130" s="12">
        <v>1</v>
      </c>
      <c r="GS130" s="12">
        <v>3</v>
      </c>
      <c r="GT130" s="12">
        <v>6</v>
      </c>
      <c r="GU130" s="12">
        <v>19</v>
      </c>
      <c r="GV130" s="12">
        <v>0</v>
      </c>
      <c r="GW130" s="12">
        <v>0</v>
      </c>
      <c r="GY130" s="16"/>
    </row>
    <row r="131" spans="2:207" ht="15" customHeight="1" x14ac:dyDescent="0.2">
      <c r="B131" s="12">
        <v>8</v>
      </c>
      <c r="C131" s="12" t="s">
        <v>293</v>
      </c>
      <c r="D131" s="12" t="s">
        <v>273</v>
      </c>
      <c r="E131" s="14" t="s">
        <v>295</v>
      </c>
      <c r="F131" s="14" t="s">
        <v>275</v>
      </c>
      <c r="G131" s="15">
        <v>45244</v>
      </c>
      <c r="H131" s="15" t="s">
        <v>271</v>
      </c>
      <c r="I131" s="12" t="s">
        <v>269</v>
      </c>
      <c r="J131" s="12" t="s">
        <v>270</v>
      </c>
      <c r="K131" s="12">
        <v>200</v>
      </c>
      <c r="L131" s="12">
        <v>79</v>
      </c>
      <c r="M131" s="12">
        <v>22</v>
      </c>
      <c r="N131" s="12">
        <v>43</v>
      </c>
      <c r="O131" s="16">
        <v>0.51162790697674421</v>
      </c>
      <c r="P131" s="12">
        <v>7</v>
      </c>
      <c r="Q131" s="12">
        <v>22</v>
      </c>
      <c r="R131" s="16">
        <v>0.31818181818181818</v>
      </c>
      <c r="S131" s="12">
        <v>29</v>
      </c>
      <c r="T131" s="12">
        <v>65</v>
      </c>
      <c r="U131" s="16">
        <v>0.44615384615384618</v>
      </c>
      <c r="V131" s="12">
        <v>14</v>
      </c>
      <c r="W131" s="12">
        <v>21</v>
      </c>
      <c r="X131" s="16">
        <v>0.66666666666666663</v>
      </c>
      <c r="Y131" s="12">
        <v>18</v>
      </c>
      <c r="Z131" s="12">
        <v>24</v>
      </c>
      <c r="AA131" s="12">
        <v>42</v>
      </c>
      <c r="AB131" s="12">
        <v>21</v>
      </c>
      <c r="AC131" s="12">
        <v>12</v>
      </c>
      <c r="AD131" s="12">
        <v>3</v>
      </c>
      <c r="AE131" s="12">
        <v>3</v>
      </c>
      <c r="AF131" s="12">
        <v>8</v>
      </c>
      <c r="AG131" s="12">
        <v>21</v>
      </c>
      <c r="AH131" s="12">
        <v>21</v>
      </c>
      <c r="AI131" s="17">
        <v>85</v>
      </c>
      <c r="AJ131" s="12">
        <v>5</v>
      </c>
      <c r="AK131" s="12">
        <v>68</v>
      </c>
      <c r="AL131" s="12">
        <v>86</v>
      </c>
      <c r="AM131" s="19">
        <v>0.91860465116279066</v>
      </c>
      <c r="AN131" s="19">
        <v>0.93670886075949367</v>
      </c>
      <c r="AO131" s="18">
        <v>116.1764705882353</v>
      </c>
      <c r="AP131" s="18">
        <v>110.44776119402985</v>
      </c>
      <c r="AQ131" s="18">
        <v>5.7287093942054526</v>
      </c>
      <c r="AR131" s="53">
        <v>0.5</v>
      </c>
      <c r="AS131" s="53">
        <v>0.53378378378378377</v>
      </c>
      <c r="AT131" s="16">
        <v>0.13953488372093023</v>
      </c>
      <c r="AU131" s="19">
        <v>1.5</v>
      </c>
      <c r="AV131" s="16">
        <v>0.29069767441860467</v>
      </c>
      <c r="AW131" s="19">
        <v>0.72</v>
      </c>
      <c r="AX131" s="16">
        <v>6.9767441860465115E-2</v>
      </c>
      <c r="AY131" s="19">
        <v>1.3333333333333333</v>
      </c>
      <c r="AZ131" s="16">
        <v>3.4883720930232558E-2</v>
      </c>
      <c r="BA131" s="19">
        <v>1</v>
      </c>
      <c r="BB131" s="16">
        <v>0.22093023255813954</v>
      </c>
      <c r="BC131" s="21">
        <v>0.94736842105263153</v>
      </c>
      <c r="BD131" s="16">
        <v>0.10465116279069768</v>
      </c>
      <c r="BE131" s="16">
        <v>0.13953488372093023</v>
      </c>
      <c r="BF131" s="16">
        <v>0.55263157894736847</v>
      </c>
      <c r="BG131" s="16">
        <v>0.59090909090909094</v>
      </c>
      <c r="BH131" s="16">
        <v>1</v>
      </c>
      <c r="BI131" s="16">
        <v>0.1111111111111111</v>
      </c>
      <c r="BJ131" s="16">
        <v>0.2441860465116279</v>
      </c>
      <c r="BK131" s="21">
        <v>1.75</v>
      </c>
      <c r="BL131" s="16">
        <v>0.42857142857142855</v>
      </c>
      <c r="BM131" s="16">
        <v>0.625</v>
      </c>
      <c r="BN131" s="16">
        <v>0.25</v>
      </c>
      <c r="BO131" s="16">
        <v>0.42857142857142855</v>
      </c>
      <c r="BP131" s="16">
        <v>0.66666666666666663</v>
      </c>
      <c r="BQ131" s="16">
        <v>0.6428571428571429</v>
      </c>
      <c r="BR131" s="16">
        <v>0.64</v>
      </c>
      <c r="BS131" s="16" t="s">
        <v>269</v>
      </c>
      <c r="BT131" s="16">
        <v>0.53846153846153844</v>
      </c>
      <c r="BU131" s="16">
        <v>4.4776119402985072E-2</v>
      </c>
      <c r="BV131" s="16">
        <v>4.7619047619047616E-2</v>
      </c>
      <c r="BW131" s="54">
        <v>3</v>
      </c>
      <c r="BX131" s="54">
        <v>0.52380952380952384</v>
      </c>
      <c r="BY131" s="54">
        <v>0.5714285714285714</v>
      </c>
      <c r="BZ131" s="12">
        <v>13</v>
      </c>
      <c r="CA131" s="12">
        <v>7</v>
      </c>
      <c r="CB131" s="12">
        <v>1</v>
      </c>
      <c r="CC131" s="12">
        <v>0</v>
      </c>
      <c r="CD131" s="12">
        <v>1</v>
      </c>
      <c r="CE131" s="12">
        <v>1</v>
      </c>
      <c r="CF131" s="12">
        <v>9</v>
      </c>
      <c r="CG131" s="12">
        <v>2</v>
      </c>
      <c r="CH131" s="12">
        <v>2</v>
      </c>
      <c r="CI131" s="12">
        <v>0</v>
      </c>
      <c r="CJ131" s="12">
        <v>0</v>
      </c>
      <c r="CK131" s="12">
        <v>0</v>
      </c>
      <c r="CL131" s="12">
        <v>4</v>
      </c>
      <c r="CM131" s="12">
        <v>0</v>
      </c>
      <c r="CN131" s="12">
        <v>2</v>
      </c>
      <c r="CO131" s="12">
        <v>1</v>
      </c>
      <c r="CP131" s="12">
        <v>0</v>
      </c>
      <c r="CQ131" s="12">
        <v>0</v>
      </c>
      <c r="CR131" s="12">
        <v>6</v>
      </c>
      <c r="CS131" s="12">
        <v>0</v>
      </c>
      <c r="CT131" s="12">
        <v>3</v>
      </c>
      <c r="CU131" s="12">
        <v>0</v>
      </c>
      <c r="CV131" s="12">
        <v>2</v>
      </c>
      <c r="CW131" s="12">
        <v>0</v>
      </c>
      <c r="CX131" s="12">
        <v>13</v>
      </c>
      <c r="CY131" s="12">
        <v>1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3</v>
      </c>
      <c r="DF131" s="12">
        <v>14</v>
      </c>
      <c r="DG131" s="12">
        <v>18</v>
      </c>
      <c r="DH131" s="12">
        <v>0</v>
      </c>
      <c r="DI131" s="12">
        <v>0</v>
      </c>
      <c r="DJ131" s="12">
        <v>0</v>
      </c>
      <c r="DK131" s="12">
        <v>0</v>
      </c>
      <c r="DL131" s="12">
        <v>9</v>
      </c>
      <c r="DM131" s="12">
        <v>12</v>
      </c>
      <c r="DN131" s="12">
        <v>9</v>
      </c>
      <c r="DO131" s="12">
        <v>25</v>
      </c>
      <c r="DP131" s="12">
        <v>4</v>
      </c>
      <c r="DQ131" s="12">
        <v>6</v>
      </c>
      <c r="DR131" s="12">
        <v>1</v>
      </c>
      <c r="DS131" s="12">
        <v>3</v>
      </c>
      <c r="DT131" s="12">
        <v>6</v>
      </c>
      <c r="DU131" s="12">
        <v>19</v>
      </c>
      <c r="DV131" s="12">
        <v>0</v>
      </c>
      <c r="DW131" s="12">
        <v>0</v>
      </c>
      <c r="DX131" s="12">
        <v>74</v>
      </c>
      <c r="DY131" s="12">
        <v>20</v>
      </c>
      <c r="DZ131" s="12">
        <v>33</v>
      </c>
      <c r="EA131" s="16">
        <v>0.60606060606060608</v>
      </c>
      <c r="EB131" s="12">
        <v>6</v>
      </c>
      <c r="EC131" s="12">
        <v>30</v>
      </c>
      <c r="ED131" s="16">
        <v>0.2</v>
      </c>
      <c r="EE131" s="12">
        <v>26</v>
      </c>
      <c r="EF131" s="12">
        <v>63</v>
      </c>
      <c r="EG131" s="16">
        <v>0.41269841269841268</v>
      </c>
      <c r="EH131" s="12">
        <v>16</v>
      </c>
      <c r="EI131" s="12">
        <v>22</v>
      </c>
      <c r="EJ131" s="16">
        <v>0.72727272727272729</v>
      </c>
      <c r="EK131" s="12">
        <v>12</v>
      </c>
      <c r="EL131" s="12">
        <v>24</v>
      </c>
      <c r="EM131" s="12">
        <v>36</v>
      </c>
      <c r="EN131" s="12">
        <v>17</v>
      </c>
      <c r="EO131" s="12">
        <v>21</v>
      </c>
      <c r="EP131" s="12">
        <v>20</v>
      </c>
      <c r="EQ131" s="12">
        <v>5</v>
      </c>
      <c r="ER131" s="12">
        <v>7</v>
      </c>
      <c r="ES131" s="12">
        <v>8</v>
      </c>
      <c r="ET131" s="12">
        <v>3</v>
      </c>
      <c r="EU131" s="12">
        <v>86</v>
      </c>
      <c r="EV131" s="12">
        <v>-5</v>
      </c>
      <c r="EW131" s="12">
        <v>67</v>
      </c>
      <c r="EX131" s="12">
        <v>79</v>
      </c>
      <c r="EY131" s="12">
        <v>3</v>
      </c>
      <c r="EZ131" s="12">
        <v>9</v>
      </c>
      <c r="FA131" s="12">
        <v>5</v>
      </c>
      <c r="FB131" s="12">
        <v>3</v>
      </c>
      <c r="FC131" s="12">
        <v>6</v>
      </c>
      <c r="FD131" s="12">
        <v>0</v>
      </c>
      <c r="FE131" s="12">
        <v>0</v>
      </c>
      <c r="FF131" s="12">
        <v>2</v>
      </c>
      <c r="FG131" s="12">
        <v>1</v>
      </c>
      <c r="FH131" s="12">
        <v>2</v>
      </c>
      <c r="FI131" s="12">
        <v>0</v>
      </c>
      <c r="FJ131" s="12">
        <v>1</v>
      </c>
      <c r="FK131" s="12">
        <v>0</v>
      </c>
      <c r="FL131" s="12">
        <v>7</v>
      </c>
      <c r="FM131" s="12">
        <v>1</v>
      </c>
      <c r="FN131" s="12">
        <v>0</v>
      </c>
      <c r="FO131" s="12">
        <v>0</v>
      </c>
      <c r="FP131" s="12">
        <v>2</v>
      </c>
      <c r="FQ131" s="12">
        <v>0</v>
      </c>
      <c r="FR131" s="12">
        <v>7</v>
      </c>
      <c r="FS131" s="12">
        <v>0</v>
      </c>
      <c r="FT131" s="12">
        <v>0</v>
      </c>
      <c r="FU131" s="12">
        <v>0</v>
      </c>
      <c r="FV131" s="12">
        <v>2</v>
      </c>
      <c r="FW131" s="12">
        <v>1</v>
      </c>
      <c r="FX131" s="12">
        <v>9</v>
      </c>
      <c r="FY131" s="12">
        <v>0</v>
      </c>
      <c r="FZ131" s="12">
        <v>4</v>
      </c>
      <c r="GA131" s="12">
        <v>0</v>
      </c>
      <c r="GB131" s="12">
        <v>1</v>
      </c>
      <c r="GC131" s="12">
        <v>1</v>
      </c>
      <c r="GD131" s="12">
        <v>2</v>
      </c>
      <c r="GE131" s="12">
        <v>2</v>
      </c>
      <c r="GF131" s="12">
        <v>11</v>
      </c>
      <c r="GG131" s="12">
        <v>16</v>
      </c>
      <c r="GH131" s="12">
        <v>0</v>
      </c>
      <c r="GI131" s="12">
        <v>2</v>
      </c>
      <c r="GJ131" s="12">
        <v>3</v>
      </c>
      <c r="GK131" s="12">
        <v>0</v>
      </c>
      <c r="GL131" s="12">
        <v>6</v>
      </c>
      <c r="GM131" s="12">
        <v>6</v>
      </c>
      <c r="GN131" s="12">
        <v>8</v>
      </c>
      <c r="GO131" s="12">
        <v>16</v>
      </c>
      <c r="GP131" s="12">
        <v>6</v>
      </c>
      <c r="GQ131" s="12">
        <v>11</v>
      </c>
      <c r="GR131" s="12">
        <v>0</v>
      </c>
      <c r="GS131" s="12">
        <v>3</v>
      </c>
      <c r="GT131" s="12">
        <v>6</v>
      </c>
      <c r="GU131" s="12">
        <v>27</v>
      </c>
      <c r="GV131" s="12">
        <v>0</v>
      </c>
      <c r="GW131" s="12">
        <v>0</v>
      </c>
      <c r="GY131" s="16"/>
    </row>
    <row r="132" spans="2:207" ht="15" customHeight="1" x14ac:dyDescent="0.2">
      <c r="B132" s="12">
        <v>8</v>
      </c>
      <c r="C132" s="12" t="s">
        <v>298</v>
      </c>
      <c r="D132" s="12" t="s">
        <v>93</v>
      </c>
      <c r="E132" s="14" t="s">
        <v>300</v>
      </c>
      <c r="F132" s="14" t="s">
        <v>303</v>
      </c>
      <c r="G132" s="15">
        <v>45244</v>
      </c>
      <c r="H132" s="15" t="s">
        <v>271</v>
      </c>
      <c r="I132" s="12" t="s">
        <v>269</v>
      </c>
      <c r="J132" s="12" t="s">
        <v>270</v>
      </c>
      <c r="K132" s="12">
        <v>200</v>
      </c>
      <c r="L132" s="12">
        <v>76</v>
      </c>
      <c r="M132" s="12">
        <v>16</v>
      </c>
      <c r="N132" s="12">
        <v>27</v>
      </c>
      <c r="O132" s="16">
        <v>0.59259259259259256</v>
      </c>
      <c r="P132" s="12">
        <v>10</v>
      </c>
      <c r="Q132" s="12">
        <v>27</v>
      </c>
      <c r="R132" s="16">
        <v>0.37037037037037035</v>
      </c>
      <c r="S132" s="12">
        <v>26</v>
      </c>
      <c r="T132" s="12">
        <v>54</v>
      </c>
      <c r="U132" s="16">
        <v>0.48148148148148145</v>
      </c>
      <c r="V132" s="12">
        <v>14</v>
      </c>
      <c r="W132" s="12">
        <v>15</v>
      </c>
      <c r="X132" s="16">
        <v>0.93333333333333335</v>
      </c>
      <c r="Y132" s="12">
        <v>8</v>
      </c>
      <c r="Z132" s="12">
        <v>23</v>
      </c>
      <c r="AA132" s="12">
        <v>31</v>
      </c>
      <c r="AB132" s="12">
        <v>15</v>
      </c>
      <c r="AC132" s="12">
        <v>15</v>
      </c>
      <c r="AD132" s="12">
        <v>6</v>
      </c>
      <c r="AE132" s="12">
        <v>5</v>
      </c>
      <c r="AF132" s="12">
        <v>1</v>
      </c>
      <c r="AG132" s="12">
        <v>15</v>
      </c>
      <c r="AH132" s="12">
        <v>21</v>
      </c>
      <c r="AI132" s="17">
        <v>94</v>
      </c>
      <c r="AJ132" s="12">
        <v>3</v>
      </c>
      <c r="AK132" s="12">
        <v>68</v>
      </c>
      <c r="AL132" s="12">
        <v>76</v>
      </c>
      <c r="AM132" s="19">
        <v>1</v>
      </c>
      <c r="AN132" s="19">
        <v>0.96052631578947367</v>
      </c>
      <c r="AO132" s="18">
        <v>111.76470588235294</v>
      </c>
      <c r="AP132" s="18">
        <v>110.60606060606059</v>
      </c>
      <c r="AQ132" s="18">
        <v>1.1586452762923471</v>
      </c>
      <c r="AR132" s="53">
        <v>0.57407407407407407</v>
      </c>
      <c r="AS132" s="53">
        <v>0.62295081967213117</v>
      </c>
      <c r="AT132" s="16">
        <v>0.22368421052631579</v>
      </c>
      <c r="AU132" s="19">
        <v>1.1764705882352942</v>
      </c>
      <c r="AV132" s="16">
        <v>9.2105263157894732E-2</v>
      </c>
      <c r="AW132" s="19">
        <v>1.1428571428571428</v>
      </c>
      <c r="AX132" s="16">
        <v>3.9473684210526314E-2</v>
      </c>
      <c r="AY132" s="19">
        <v>1.3333333333333333</v>
      </c>
      <c r="AZ132" s="16">
        <v>6.5789473684210523E-2</v>
      </c>
      <c r="BA132" s="19">
        <v>1.8</v>
      </c>
      <c r="BB132" s="16">
        <v>0.28947368421052633</v>
      </c>
      <c r="BC132" s="21">
        <v>0.95454545454545459</v>
      </c>
      <c r="BD132" s="16">
        <v>9.2105263157894732E-2</v>
      </c>
      <c r="BE132" s="16">
        <v>0.19736842105263158</v>
      </c>
      <c r="BF132" s="16">
        <v>0.45454545454545453</v>
      </c>
      <c r="BG132" s="16">
        <v>0.4375</v>
      </c>
      <c r="BH132" s="16">
        <v>0.7</v>
      </c>
      <c r="BI132" s="16">
        <v>0.14285714285714285</v>
      </c>
      <c r="BJ132" s="16">
        <v>0.19736842105263158</v>
      </c>
      <c r="BK132" s="21">
        <v>1</v>
      </c>
      <c r="BL132" s="16">
        <v>0.30769230769230771</v>
      </c>
      <c r="BM132" s="16">
        <v>0.36363636363636365</v>
      </c>
      <c r="BN132" s="16">
        <v>0.31578947368421051</v>
      </c>
      <c r="BO132" s="16" t="s">
        <v>269</v>
      </c>
      <c r="BP132" s="16">
        <v>0.69696969696969702</v>
      </c>
      <c r="BQ132" s="16">
        <v>0.60869565217391308</v>
      </c>
      <c r="BR132" s="16">
        <v>0.6</v>
      </c>
      <c r="BS132" s="16">
        <v>1</v>
      </c>
      <c r="BT132" s="16">
        <v>0.52542372881355937</v>
      </c>
      <c r="BU132" s="16">
        <v>9.0909090909090912E-2</v>
      </c>
      <c r="BV132" s="16">
        <v>8.0645161290322578E-2</v>
      </c>
      <c r="BW132" s="54">
        <v>5</v>
      </c>
      <c r="BX132" s="54">
        <v>0.33333333333333331</v>
      </c>
      <c r="BY132" s="54">
        <v>0.33333333333333331</v>
      </c>
      <c r="BZ132" s="12">
        <v>7</v>
      </c>
      <c r="CA132" s="12">
        <v>7</v>
      </c>
      <c r="CB132" s="12">
        <v>1</v>
      </c>
      <c r="CC132" s="12">
        <v>2</v>
      </c>
      <c r="CD132" s="12">
        <v>2</v>
      </c>
      <c r="CE132" s="12">
        <v>1</v>
      </c>
      <c r="CF132" s="12">
        <v>1</v>
      </c>
      <c r="CG132" s="12">
        <v>0</v>
      </c>
      <c r="CH132" s="12">
        <v>0</v>
      </c>
      <c r="CI132" s="12">
        <v>0</v>
      </c>
      <c r="CJ132" s="12">
        <v>1</v>
      </c>
      <c r="CK132" s="12">
        <v>0</v>
      </c>
      <c r="CL132" s="12">
        <v>4</v>
      </c>
      <c r="CM132" s="12">
        <v>1</v>
      </c>
      <c r="CN132" s="12">
        <v>0</v>
      </c>
      <c r="CO132" s="12">
        <v>0</v>
      </c>
      <c r="CP132" s="12">
        <v>3</v>
      </c>
      <c r="CQ132" s="12">
        <v>0</v>
      </c>
      <c r="CR132" s="12">
        <v>10</v>
      </c>
      <c r="CS132" s="12">
        <v>0</v>
      </c>
      <c r="CT132" s="12">
        <v>1</v>
      </c>
      <c r="CU132" s="12">
        <v>0</v>
      </c>
      <c r="CV132" s="12">
        <v>0</v>
      </c>
      <c r="CW132" s="12">
        <v>0</v>
      </c>
      <c r="CX132" s="12">
        <v>6</v>
      </c>
      <c r="CY132" s="12">
        <v>0</v>
      </c>
      <c r="CZ132" s="12">
        <v>3</v>
      </c>
      <c r="DA132" s="12">
        <v>1</v>
      </c>
      <c r="DB132" s="12">
        <v>1</v>
      </c>
      <c r="DC132" s="12">
        <v>1</v>
      </c>
      <c r="DD132" s="12">
        <v>0</v>
      </c>
      <c r="DE132" s="12">
        <v>0</v>
      </c>
      <c r="DF132" s="12">
        <v>13</v>
      </c>
      <c r="DG132" s="12">
        <v>14</v>
      </c>
      <c r="DH132" s="12">
        <v>0</v>
      </c>
      <c r="DI132" s="12">
        <v>0</v>
      </c>
      <c r="DJ132" s="12">
        <v>0</v>
      </c>
      <c r="DK132" s="12">
        <v>0</v>
      </c>
      <c r="DL132" s="12">
        <v>10</v>
      </c>
      <c r="DM132" s="12">
        <v>17</v>
      </c>
      <c r="DN132" s="12">
        <v>4</v>
      </c>
      <c r="DO132" s="12">
        <v>7</v>
      </c>
      <c r="DP132" s="12">
        <v>2</v>
      </c>
      <c r="DQ132" s="12">
        <v>3</v>
      </c>
      <c r="DR132" s="12">
        <v>3</v>
      </c>
      <c r="DS132" s="12">
        <v>5</v>
      </c>
      <c r="DT132" s="12">
        <v>7</v>
      </c>
      <c r="DU132" s="12">
        <v>22</v>
      </c>
      <c r="DV132" s="12">
        <v>0</v>
      </c>
      <c r="DW132" s="12">
        <v>0</v>
      </c>
      <c r="DX132" s="12">
        <v>73</v>
      </c>
      <c r="DY132" s="12">
        <v>28</v>
      </c>
      <c r="DZ132" s="12">
        <v>49</v>
      </c>
      <c r="EA132" s="16">
        <v>0.5714285714285714</v>
      </c>
      <c r="EB132" s="12">
        <v>4</v>
      </c>
      <c r="EC132" s="12">
        <v>13</v>
      </c>
      <c r="ED132" s="16">
        <v>0.30769230769230771</v>
      </c>
      <c r="EE132" s="12">
        <v>32</v>
      </c>
      <c r="EF132" s="12">
        <v>62</v>
      </c>
      <c r="EG132" s="16">
        <v>0.5161290322580645</v>
      </c>
      <c r="EH132" s="12">
        <v>5</v>
      </c>
      <c r="EI132" s="12">
        <v>8</v>
      </c>
      <c r="EJ132" s="16">
        <v>0.625</v>
      </c>
      <c r="EK132" s="12">
        <v>10</v>
      </c>
      <c r="EL132" s="12">
        <v>18</v>
      </c>
      <c r="EM132" s="12">
        <v>28</v>
      </c>
      <c r="EN132" s="12">
        <v>15</v>
      </c>
      <c r="EO132" s="12">
        <v>22</v>
      </c>
      <c r="EP132" s="12">
        <v>15</v>
      </c>
      <c r="EQ132" s="12">
        <v>3</v>
      </c>
      <c r="ER132" s="12">
        <v>12</v>
      </c>
      <c r="ES132" s="12">
        <v>1</v>
      </c>
      <c r="ET132" s="12">
        <v>5</v>
      </c>
      <c r="EU132" s="12">
        <v>63</v>
      </c>
      <c r="EV132" s="12">
        <v>-3</v>
      </c>
      <c r="EW132" s="12">
        <v>66</v>
      </c>
      <c r="EX132" s="12">
        <v>76</v>
      </c>
      <c r="EY132" s="12">
        <v>5</v>
      </c>
      <c r="EZ132" s="12">
        <v>10</v>
      </c>
      <c r="FA132" s="12">
        <v>4</v>
      </c>
      <c r="FB132" s="12">
        <v>1</v>
      </c>
      <c r="FC132" s="12">
        <v>2</v>
      </c>
      <c r="FD132" s="12">
        <v>2</v>
      </c>
      <c r="FE132" s="12">
        <v>1</v>
      </c>
      <c r="FF132" s="12">
        <v>5</v>
      </c>
      <c r="FG132" s="12">
        <v>1</v>
      </c>
      <c r="FH132" s="12">
        <v>0</v>
      </c>
      <c r="FI132" s="12">
        <v>0</v>
      </c>
      <c r="FJ132" s="12">
        <v>0</v>
      </c>
      <c r="FK132" s="12">
        <v>0</v>
      </c>
      <c r="FL132" s="12">
        <v>3</v>
      </c>
      <c r="FM132" s="12">
        <v>1</v>
      </c>
      <c r="FN132" s="12">
        <v>0</v>
      </c>
      <c r="FO132" s="12">
        <v>0</v>
      </c>
      <c r="FP132" s="12">
        <v>4</v>
      </c>
      <c r="FQ132" s="12">
        <v>1</v>
      </c>
      <c r="FR132" s="12">
        <v>1</v>
      </c>
      <c r="FS132" s="12">
        <v>0</v>
      </c>
      <c r="FT132" s="12">
        <v>1</v>
      </c>
      <c r="FU132" s="12">
        <v>0</v>
      </c>
      <c r="FV132" s="12">
        <v>1</v>
      </c>
      <c r="FW132" s="12">
        <v>0</v>
      </c>
      <c r="FX132" s="12">
        <v>11</v>
      </c>
      <c r="FY132" s="12">
        <v>1</v>
      </c>
      <c r="FZ132" s="12">
        <v>0</v>
      </c>
      <c r="GA132" s="12">
        <v>0</v>
      </c>
      <c r="GB132" s="12">
        <v>1</v>
      </c>
      <c r="GC132" s="12">
        <v>1</v>
      </c>
      <c r="GD132" s="12">
        <v>1</v>
      </c>
      <c r="GE132" s="12">
        <v>3</v>
      </c>
      <c r="GF132" s="12">
        <v>3</v>
      </c>
      <c r="GG132" s="12">
        <v>4</v>
      </c>
      <c r="GH132" s="12">
        <v>0</v>
      </c>
      <c r="GI132" s="12">
        <v>0</v>
      </c>
      <c r="GJ132" s="12">
        <v>0</v>
      </c>
      <c r="GK132" s="12">
        <v>0</v>
      </c>
      <c r="GL132" s="12">
        <v>18</v>
      </c>
      <c r="GM132" s="12">
        <v>23</v>
      </c>
      <c r="GN132" s="12">
        <v>6</v>
      </c>
      <c r="GO132" s="12">
        <v>21</v>
      </c>
      <c r="GP132" s="12">
        <v>4</v>
      </c>
      <c r="GQ132" s="12">
        <v>5</v>
      </c>
      <c r="GR132" s="12">
        <v>0</v>
      </c>
      <c r="GS132" s="12">
        <v>0</v>
      </c>
      <c r="GT132" s="12">
        <v>4</v>
      </c>
      <c r="GU132" s="12">
        <v>13</v>
      </c>
      <c r="GV132" s="12">
        <v>0</v>
      </c>
      <c r="GW132" s="12">
        <v>0</v>
      </c>
      <c r="GY132" s="16"/>
    </row>
    <row r="133" spans="2:207" ht="15" customHeight="1" x14ac:dyDescent="0.2">
      <c r="B133" s="12">
        <v>8</v>
      </c>
      <c r="C133" s="12" t="s">
        <v>93</v>
      </c>
      <c r="D133" s="12" t="s">
        <v>298</v>
      </c>
      <c r="E133" s="14" t="s">
        <v>303</v>
      </c>
      <c r="F133" s="14" t="s">
        <v>300</v>
      </c>
      <c r="G133" s="15">
        <v>45244</v>
      </c>
      <c r="H133" s="15" t="s">
        <v>268</v>
      </c>
      <c r="I133" s="12" t="s">
        <v>269</v>
      </c>
      <c r="J133" s="12" t="s">
        <v>272</v>
      </c>
      <c r="K133" s="12">
        <v>200</v>
      </c>
      <c r="L133" s="12">
        <v>73</v>
      </c>
      <c r="M133" s="12">
        <v>28</v>
      </c>
      <c r="N133" s="12">
        <v>49</v>
      </c>
      <c r="O133" s="16">
        <v>0.5714285714285714</v>
      </c>
      <c r="P133" s="12">
        <v>4</v>
      </c>
      <c r="Q133" s="12">
        <v>13</v>
      </c>
      <c r="R133" s="16">
        <v>0.30769230769230771</v>
      </c>
      <c r="S133" s="12">
        <v>32</v>
      </c>
      <c r="T133" s="12">
        <v>62</v>
      </c>
      <c r="U133" s="16">
        <v>0.5161290322580645</v>
      </c>
      <c r="V133" s="12">
        <v>5</v>
      </c>
      <c r="W133" s="12">
        <v>8</v>
      </c>
      <c r="X133" s="16">
        <v>0.625</v>
      </c>
      <c r="Y133" s="12">
        <v>10</v>
      </c>
      <c r="Z133" s="12">
        <v>18</v>
      </c>
      <c r="AA133" s="12">
        <v>28</v>
      </c>
      <c r="AB133" s="12">
        <v>15</v>
      </c>
      <c r="AC133" s="12">
        <v>12</v>
      </c>
      <c r="AD133" s="12">
        <v>3</v>
      </c>
      <c r="AE133" s="12">
        <v>1</v>
      </c>
      <c r="AF133" s="12">
        <v>5</v>
      </c>
      <c r="AG133" s="12">
        <v>22</v>
      </c>
      <c r="AH133" s="12">
        <v>15</v>
      </c>
      <c r="AI133" s="17">
        <v>63</v>
      </c>
      <c r="AJ133" s="12">
        <v>-3</v>
      </c>
      <c r="AK133" s="12">
        <v>66</v>
      </c>
      <c r="AL133" s="12">
        <v>76</v>
      </c>
      <c r="AM133" s="19">
        <v>0.96052631578947367</v>
      </c>
      <c r="AN133" s="19">
        <v>1</v>
      </c>
      <c r="AO133" s="18">
        <v>110.60606060606059</v>
      </c>
      <c r="AP133" s="18">
        <v>111.76470588235294</v>
      </c>
      <c r="AQ133" s="18">
        <v>-1.1586452762923471</v>
      </c>
      <c r="AR133" s="53">
        <v>0.54838709677419351</v>
      </c>
      <c r="AS133" s="53">
        <v>0.5703125</v>
      </c>
      <c r="AT133" s="16">
        <v>0.30263157894736842</v>
      </c>
      <c r="AU133" s="19">
        <v>1.5652173913043479</v>
      </c>
      <c r="AV133" s="16">
        <v>0.27631578947368424</v>
      </c>
      <c r="AW133" s="19">
        <v>0.5714285714285714</v>
      </c>
      <c r="AX133" s="16">
        <v>6.5789473684210523E-2</v>
      </c>
      <c r="AY133" s="19">
        <v>1.6</v>
      </c>
      <c r="AZ133" s="16">
        <v>0</v>
      </c>
      <c r="BA133" s="19" t="s">
        <v>269</v>
      </c>
      <c r="BB133" s="16">
        <v>0.17105263157894737</v>
      </c>
      <c r="BC133" s="21">
        <v>0.92307692307692313</v>
      </c>
      <c r="BD133" s="16">
        <v>2.6315789473684209E-2</v>
      </c>
      <c r="BE133" s="16">
        <v>0.15789473684210525</v>
      </c>
      <c r="BF133" s="16">
        <v>0.44117647058823528</v>
      </c>
      <c r="BG133" s="16">
        <v>0.35714285714285715</v>
      </c>
      <c r="BH133" s="16">
        <v>1</v>
      </c>
      <c r="BI133" s="16">
        <v>0.5</v>
      </c>
      <c r="BJ133" s="16">
        <v>0.19736842105263158</v>
      </c>
      <c r="BK133" s="21">
        <v>1.25</v>
      </c>
      <c r="BL133" s="16">
        <v>0.30303030303030304</v>
      </c>
      <c r="BM133" s="16">
        <v>0.39130434782608697</v>
      </c>
      <c r="BN133" s="16">
        <v>0.4</v>
      </c>
      <c r="BO133" s="16">
        <v>0</v>
      </c>
      <c r="BP133" s="16">
        <v>0.69230769230769229</v>
      </c>
      <c r="BQ133" s="16">
        <v>0.63636363636363635</v>
      </c>
      <c r="BR133" s="16">
        <v>0.68421052631578949</v>
      </c>
      <c r="BS133" s="16" t="s">
        <v>269</v>
      </c>
      <c r="BT133" s="16">
        <v>0.47457627118644069</v>
      </c>
      <c r="BU133" s="16">
        <v>4.4117647058823532E-2</v>
      </c>
      <c r="BV133" s="16">
        <v>1.8518518518518517E-2</v>
      </c>
      <c r="BW133" s="54">
        <v>5</v>
      </c>
      <c r="BX133" s="54">
        <v>0.31818181818181818</v>
      </c>
      <c r="BY133" s="54">
        <v>0.33333333333333331</v>
      </c>
      <c r="BZ133" s="12">
        <v>10</v>
      </c>
      <c r="CA133" s="12">
        <v>4</v>
      </c>
      <c r="CB133" s="12">
        <v>1</v>
      </c>
      <c r="CC133" s="12">
        <v>2</v>
      </c>
      <c r="CD133" s="12">
        <v>2</v>
      </c>
      <c r="CE133" s="12">
        <v>1</v>
      </c>
      <c r="CF133" s="12">
        <v>5</v>
      </c>
      <c r="CG133" s="12">
        <v>1</v>
      </c>
      <c r="CH133" s="12">
        <v>0</v>
      </c>
      <c r="CI133" s="12">
        <v>0</v>
      </c>
      <c r="CJ133" s="12">
        <v>0</v>
      </c>
      <c r="CK133" s="12">
        <v>0</v>
      </c>
      <c r="CL133" s="12">
        <v>3</v>
      </c>
      <c r="CM133" s="12">
        <v>1</v>
      </c>
      <c r="CN133" s="12">
        <v>0</v>
      </c>
      <c r="CO133" s="12">
        <v>0</v>
      </c>
      <c r="CP133" s="12">
        <v>4</v>
      </c>
      <c r="CQ133" s="12">
        <v>1</v>
      </c>
      <c r="CR133" s="12">
        <v>1</v>
      </c>
      <c r="CS133" s="12">
        <v>0</v>
      </c>
      <c r="CT133" s="12">
        <v>1</v>
      </c>
      <c r="CU133" s="12">
        <v>0</v>
      </c>
      <c r="CV133" s="12">
        <v>1</v>
      </c>
      <c r="CW133" s="12">
        <v>0</v>
      </c>
      <c r="CX133" s="12">
        <v>11</v>
      </c>
      <c r="CY133" s="12">
        <v>1</v>
      </c>
      <c r="CZ133" s="12">
        <v>0</v>
      </c>
      <c r="DA133" s="12">
        <v>0</v>
      </c>
      <c r="DB133" s="12">
        <v>1</v>
      </c>
      <c r="DC133" s="12">
        <v>1</v>
      </c>
      <c r="DD133" s="12">
        <v>1</v>
      </c>
      <c r="DE133" s="12">
        <v>3</v>
      </c>
      <c r="DF133" s="12">
        <v>3</v>
      </c>
      <c r="DG133" s="12">
        <v>4</v>
      </c>
      <c r="DH133" s="12">
        <v>0</v>
      </c>
      <c r="DI133" s="12">
        <v>0</v>
      </c>
      <c r="DJ133" s="12">
        <v>0</v>
      </c>
      <c r="DK133" s="12">
        <v>0</v>
      </c>
      <c r="DL133" s="12">
        <v>18</v>
      </c>
      <c r="DM133" s="12">
        <v>23</v>
      </c>
      <c r="DN133" s="12">
        <v>6</v>
      </c>
      <c r="DO133" s="12">
        <v>21</v>
      </c>
      <c r="DP133" s="12">
        <v>4</v>
      </c>
      <c r="DQ133" s="12">
        <v>5</v>
      </c>
      <c r="DR133" s="12">
        <v>0</v>
      </c>
      <c r="DS133" s="12">
        <v>0</v>
      </c>
      <c r="DT133" s="12">
        <v>4</v>
      </c>
      <c r="DU133" s="12">
        <v>13</v>
      </c>
      <c r="DV133" s="12">
        <v>0</v>
      </c>
      <c r="DW133" s="12">
        <v>0</v>
      </c>
      <c r="DX133" s="12">
        <v>76</v>
      </c>
      <c r="DY133" s="12">
        <v>16</v>
      </c>
      <c r="DZ133" s="12">
        <v>27</v>
      </c>
      <c r="EA133" s="16">
        <v>0.59259259259259256</v>
      </c>
      <c r="EB133" s="12">
        <v>10</v>
      </c>
      <c r="EC133" s="12">
        <v>27</v>
      </c>
      <c r="ED133" s="16">
        <v>0.37037037037037035</v>
      </c>
      <c r="EE133" s="12">
        <v>26</v>
      </c>
      <c r="EF133" s="12">
        <v>54</v>
      </c>
      <c r="EG133" s="16">
        <v>0.48148148148148145</v>
      </c>
      <c r="EH133" s="12">
        <v>14</v>
      </c>
      <c r="EI133" s="12">
        <v>15</v>
      </c>
      <c r="EJ133" s="16">
        <v>0.93333333333333335</v>
      </c>
      <c r="EK133" s="12">
        <v>8</v>
      </c>
      <c r="EL133" s="12">
        <v>23</v>
      </c>
      <c r="EM133" s="12">
        <v>31</v>
      </c>
      <c r="EN133" s="12">
        <v>15</v>
      </c>
      <c r="EO133" s="12">
        <v>16</v>
      </c>
      <c r="EP133" s="12">
        <v>21</v>
      </c>
      <c r="EQ133" s="12">
        <v>6</v>
      </c>
      <c r="ER133" s="12">
        <v>15</v>
      </c>
      <c r="ES133" s="12">
        <v>5</v>
      </c>
      <c r="ET133" s="12">
        <v>1</v>
      </c>
      <c r="EU133" s="12">
        <v>93</v>
      </c>
      <c r="EV133" s="12">
        <v>3</v>
      </c>
      <c r="EW133" s="12">
        <v>68</v>
      </c>
      <c r="EX133" s="12">
        <v>76</v>
      </c>
      <c r="EY133" s="12">
        <v>5</v>
      </c>
      <c r="EZ133" s="12">
        <v>7</v>
      </c>
      <c r="FA133" s="12">
        <v>7</v>
      </c>
      <c r="FB133" s="12">
        <v>1</v>
      </c>
      <c r="FC133" s="12">
        <v>2</v>
      </c>
      <c r="FD133" s="12">
        <v>2</v>
      </c>
      <c r="FE133" s="12">
        <v>1</v>
      </c>
      <c r="FF133" s="12">
        <v>1</v>
      </c>
      <c r="FG133" s="12">
        <v>0</v>
      </c>
      <c r="FH133" s="12">
        <v>0</v>
      </c>
      <c r="FI133" s="12">
        <v>0</v>
      </c>
      <c r="FJ133" s="12">
        <v>1</v>
      </c>
      <c r="FK133" s="12">
        <v>0</v>
      </c>
      <c r="FL133" s="12">
        <v>4</v>
      </c>
      <c r="FM133" s="12">
        <v>1</v>
      </c>
      <c r="FN133" s="12">
        <v>0</v>
      </c>
      <c r="FO133" s="12">
        <v>0</v>
      </c>
      <c r="FP133" s="12">
        <v>3</v>
      </c>
      <c r="FQ133" s="12">
        <v>0</v>
      </c>
      <c r="FR133" s="12">
        <v>10</v>
      </c>
      <c r="FS133" s="12">
        <v>0</v>
      </c>
      <c r="FT133" s="12">
        <v>1</v>
      </c>
      <c r="FU133" s="12">
        <v>0</v>
      </c>
      <c r="FV133" s="12">
        <v>0</v>
      </c>
      <c r="FW133" s="12">
        <v>0</v>
      </c>
      <c r="FX133" s="12">
        <v>6</v>
      </c>
      <c r="FY133" s="12">
        <v>0</v>
      </c>
      <c r="FZ133" s="12">
        <v>3</v>
      </c>
      <c r="GA133" s="12">
        <v>1</v>
      </c>
      <c r="GB133" s="12">
        <v>1</v>
      </c>
      <c r="GC133" s="12">
        <v>1</v>
      </c>
      <c r="GD133" s="12">
        <v>0</v>
      </c>
      <c r="GE133" s="12">
        <v>0</v>
      </c>
      <c r="GF133" s="12">
        <v>13</v>
      </c>
      <c r="GG133" s="12">
        <v>14</v>
      </c>
      <c r="GH133" s="12">
        <v>0</v>
      </c>
      <c r="GI133" s="12">
        <v>0</v>
      </c>
      <c r="GJ133" s="12">
        <v>0</v>
      </c>
      <c r="GK133" s="12">
        <v>0</v>
      </c>
      <c r="GL133" s="12">
        <v>10</v>
      </c>
      <c r="GM133" s="12">
        <v>17</v>
      </c>
      <c r="GN133" s="12">
        <v>4</v>
      </c>
      <c r="GO133" s="12">
        <v>7</v>
      </c>
      <c r="GP133" s="12">
        <v>2</v>
      </c>
      <c r="GQ133" s="12">
        <v>3</v>
      </c>
      <c r="GR133" s="12">
        <v>3</v>
      </c>
      <c r="GS133" s="12">
        <v>5</v>
      </c>
      <c r="GT133" s="12">
        <v>7</v>
      </c>
      <c r="GU133" s="12">
        <v>22</v>
      </c>
      <c r="GV133" s="12">
        <v>0</v>
      </c>
      <c r="GW133" s="12">
        <v>0</v>
      </c>
      <c r="GY133" s="16"/>
    </row>
    <row r="134" spans="2:207" ht="15" customHeight="1" x14ac:dyDescent="0.2">
      <c r="B134" s="12">
        <v>8</v>
      </c>
      <c r="C134" s="12" t="s">
        <v>289</v>
      </c>
      <c r="D134" s="12" t="s">
        <v>285</v>
      </c>
      <c r="E134" s="14" t="s">
        <v>291</v>
      </c>
      <c r="F134" s="14" t="s">
        <v>287</v>
      </c>
      <c r="G134" s="15">
        <v>45244</v>
      </c>
      <c r="H134" s="15" t="s">
        <v>271</v>
      </c>
      <c r="I134" s="12" t="s">
        <v>269</v>
      </c>
      <c r="J134" s="12" t="s">
        <v>272</v>
      </c>
      <c r="K134" s="12">
        <v>200</v>
      </c>
      <c r="L134" s="12">
        <v>79</v>
      </c>
      <c r="M134" s="12">
        <v>17</v>
      </c>
      <c r="N134" s="12">
        <v>31</v>
      </c>
      <c r="O134" s="16">
        <v>0.54838709677419351</v>
      </c>
      <c r="P134" s="12">
        <v>12</v>
      </c>
      <c r="Q134" s="12">
        <v>29</v>
      </c>
      <c r="R134" s="16">
        <v>0.41379310344827586</v>
      </c>
      <c r="S134" s="12">
        <v>29</v>
      </c>
      <c r="T134" s="12">
        <v>60</v>
      </c>
      <c r="U134" s="16">
        <v>0.48333333333333334</v>
      </c>
      <c r="V134" s="12">
        <v>9</v>
      </c>
      <c r="W134" s="12">
        <v>16</v>
      </c>
      <c r="X134" s="16">
        <v>0.5625</v>
      </c>
      <c r="Y134" s="12">
        <v>11</v>
      </c>
      <c r="Z134" s="12">
        <v>23</v>
      </c>
      <c r="AA134" s="12">
        <v>34</v>
      </c>
      <c r="AB134" s="12">
        <v>18</v>
      </c>
      <c r="AC134" s="12">
        <v>13</v>
      </c>
      <c r="AD134" s="12">
        <v>4</v>
      </c>
      <c r="AE134" s="12">
        <v>2</v>
      </c>
      <c r="AF134" s="12">
        <v>2</v>
      </c>
      <c r="AG134" s="12">
        <v>17</v>
      </c>
      <c r="AH134" s="12">
        <v>15</v>
      </c>
      <c r="AI134" s="17">
        <v>82</v>
      </c>
      <c r="AJ134" s="12">
        <v>-7</v>
      </c>
      <c r="AK134" s="12">
        <v>68</v>
      </c>
      <c r="AL134" s="12">
        <v>80</v>
      </c>
      <c r="AM134" s="19">
        <v>0.98750000000000004</v>
      </c>
      <c r="AN134" s="19">
        <v>1.1621621621621621</v>
      </c>
      <c r="AO134" s="18">
        <v>116.1764705882353</v>
      </c>
      <c r="AP134" s="18">
        <v>128.35820895522389</v>
      </c>
      <c r="AQ134" s="18">
        <v>-12.181738366988583</v>
      </c>
      <c r="AR134" s="53">
        <v>0.58333333333333337</v>
      </c>
      <c r="AS134" s="53">
        <v>0.58955223880597019</v>
      </c>
      <c r="AT134" s="16">
        <v>0.05</v>
      </c>
      <c r="AU134" s="19">
        <v>1.5</v>
      </c>
      <c r="AV134" s="16">
        <v>0.26250000000000001</v>
      </c>
      <c r="AW134" s="19">
        <v>1.2380952380952381</v>
      </c>
      <c r="AX134" s="16">
        <v>7.4999999999999997E-2</v>
      </c>
      <c r="AY134" s="19">
        <v>0.33333333333333331</v>
      </c>
      <c r="AZ134" s="16">
        <v>3.7499999999999999E-2</v>
      </c>
      <c r="BA134" s="19">
        <v>3</v>
      </c>
      <c r="BB134" s="16">
        <v>0.32500000000000001</v>
      </c>
      <c r="BC134" s="21">
        <v>1.0384615384615385</v>
      </c>
      <c r="BD134" s="16">
        <v>8.7499999999999994E-2</v>
      </c>
      <c r="BE134" s="16">
        <v>0.16455696202531644</v>
      </c>
      <c r="BF134" s="16">
        <v>0.52941176470588236</v>
      </c>
      <c r="BG134" s="16">
        <v>0.47058823529411764</v>
      </c>
      <c r="BH134" s="16">
        <v>0.83333333333333337</v>
      </c>
      <c r="BI134" s="16">
        <v>0</v>
      </c>
      <c r="BJ134" s="16">
        <v>0.22784810126582278</v>
      </c>
      <c r="BK134" s="21">
        <v>1.3846153846153846</v>
      </c>
      <c r="BL134" s="16">
        <v>0.33333333333333331</v>
      </c>
      <c r="BM134" s="16">
        <v>0.2857142857142857</v>
      </c>
      <c r="BN134" s="16">
        <v>0.4</v>
      </c>
      <c r="BO134" s="16">
        <v>0.25</v>
      </c>
      <c r="BP134" s="16">
        <v>0.76666666666666672</v>
      </c>
      <c r="BQ134" s="16">
        <v>0.77777777777777779</v>
      </c>
      <c r="BR134" s="16">
        <v>0.75</v>
      </c>
      <c r="BS134" s="16">
        <v>1</v>
      </c>
      <c r="BT134" s="16">
        <v>0.53968253968253965</v>
      </c>
      <c r="BU134" s="16">
        <v>5.9701492537313432E-2</v>
      </c>
      <c r="BV134" s="16">
        <v>3.1746031746031744E-2</v>
      </c>
      <c r="BW134" s="54">
        <v>1</v>
      </c>
      <c r="BX134" s="54">
        <v>0.41176470588235292</v>
      </c>
      <c r="BY134" s="54">
        <v>0.6</v>
      </c>
      <c r="BZ134" s="12">
        <v>8</v>
      </c>
      <c r="CA134" s="12">
        <v>10</v>
      </c>
      <c r="CB134" s="12">
        <v>0</v>
      </c>
      <c r="CC134" s="12">
        <v>0</v>
      </c>
      <c r="CD134" s="12">
        <v>1</v>
      </c>
      <c r="CE134" s="12">
        <v>0</v>
      </c>
      <c r="CF134" s="12">
        <v>3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6</v>
      </c>
      <c r="CM134" s="12">
        <v>2</v>
      </c>
      <c r="CN134" s="12">
        <v>1</v>
      </c>
      <c r="CO134" s="12">
        <v>0</v>
      </c>
      <c r="CP134" s="12">
        <v>0</v>
      </c>
      <c r="CQ134" s="12">
        <v>0</v>
      </c>
      <c r="CR134" s="12">
        <v>10</v>
      </c>
      <c r="CS134" s="12">
        <v>0</v>
      </c>
      <c r="CT134" s="12">
        <v>3</v>
      </c>
      <c r="CU134" s="12">
        <v>1</v>
      </c>
      <c r="CV134" s="12">
        <v>0</v>
      </c>
      <c r="CW134" s="12">
        <v>0</v>
      </c>
      <c r="CX134" s="12">
        <v>9</v>
      </c>
      <c r="CY134" s="12">
        <v>0</v>
      </c>
      <c r="CZ134" s="12">
        <v>1</v>
      </c>
      <c r="DA134" s="12">
        <v>0</v>
      </c>
      <c r="DB134" s="12">
        <v>0</v>
      </c>
      <c r="DC134" s="12">
        <v>0</v>
      </c>
      <c r="DD134" s="12">
        <v>2</v>
      </c>
      <c r="DE134" s="12">
        <v>2</v>
      </c>
      <c r="DF134" s="12">
        <v>7</v>
      </c>
      <c r="DG134" s="12">
        <v>14</v>
      </c>
      <c r="DH134" s="12">
        <v>2</v>
      </c>
      <c r="DI134" s="12">
        <v>0</v>
      </c>
      <c r="DJ134" s="12">
        <v>0</v>
      </c>
      <c r="DK134" s="12">
        <v>0</v>
      </c>
      <c r="DL134" s="12">
        <v>3</v>
      </c>
      <c r="DM134" s="12">
        <v>4</v>
      </c>
      <c r="DN134" s="12">
        <v>13</v>
      </c>
      <c r="DO134" s="12">
        <v>21</v>
      </c>
      <c r="DP134" s="12">
        <v>1</v>
      </c>
      <c r="DQ134" s="12">
        <v>6</v>
      </c>
      <c r="DR134" s="12">
        <v>3</v>
      </c>
      <c r="DS134" s="12">
        <v>3</v>
      </c>
      <c r="DT134" s="12">
        <v>9</v>
      </c>
      <c r="DU134" s="12">
        <v>26</v>
      </c>
      <c r="DV134" s="12">
        <v>0</v>
      </c>
      <c r="DW134" s="12">
        <v>0</v>
      </c>
      <c r="DX134" s="12">
        <v>86</v>
      </c>
      <c r="DY134" s="12">
        <v>22</v>
      </c>
      <c r="DZ134" s="12">
        <v>39</v>
      </c>
      <c r="EA134" s="16">
        <v>0.5641025641025641</v>
      </c>
      <c r="EB134" s="12">
        <v>11</v>
      </c>
      <c r="EC134" s="12">
        <v>24</v>
      </c>
      <c r="ED134" s="16">
        <v>0.45833333333333331</v>
      </c>
      <c r="EE134" s="12">
        <v>33</v>
      </c>
      <c r="EF134" s="12">
        <v>63</v>
      </c>
      <c r="EG134" s="16">
        <v>0.52380952380952384</v>
      </c>
      <c r="EH134" s="12">
        <v>9</v>
      </c>
      <c r="EI134" s="12">
        <v>11</v>
      </c>
      <c r="EJ134" s="16">
        <v>0.81818181818181823</v>
      </c>
      <c r="EK134" s="12">
        <v>7</v>
      </c>
      <c r="EL134" s="12">
        <v>22</v>
      </c>
      <c r="EM134" s="12">
        <v>29</v>
      </c>
      <c r="EN134" s="12">
        <v>20</v>
      </c>
      <c r="EO134" s="12">
        <v>15</v>
      </c>
      <c r="EP134" s="12">
        <v>17</v>
      </c>
      <c r="EQ134" s="12">
        <v>6</v>
      </c>
      <c r="ER134" s="12">
        <v>7</v>
      </c>
      <c r="ES134" s="12">
        <v>2</v>
      </c>
      <c r="ET134" s="12">
        <v>2</v>
      </c>
      <c r="EU134" s="12">
        <v>104</v>
      </c>
      <c r="EV134" s="12">
        <v>7</v>
      </c>
      <c r="EW134" s="12">
        <v>67</v>
      </c>
      <c r="EX134" s="12">
        <v>74</v>
      </c>
      <c r="EY134" s="12">
        <v>4</v>
      </c>
      <c r="EZ134" s="12">
        <v>11</v>
      </c>
      <c r="FA134" s="12">
        <v>8</v>
      </c>
      <c r="FB134" s="12">
        <v>1</v>
      </c>
      <c r="FC134" s="12">
        <v>2</v>
      </c>
      <c r="FD134" s="12">
        <v>0</v>
      </c>
      <c r="FE134" s="12">
        <v>0</v>
      </c>
      <c r="FF134" s="12">
        <v>4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3</v>
      </c>
      <c r="FM134" s="12">
        <v>0</v>
      </c>
      <c r="FN134" s="12">
        <v>0</v>
      </c>
      <c r="FO134" s="12">
        <v>0</v>
      </c>
      <c r="FP134" s="12">
        <v>0</v>
      </c>
      <c r="FQ134" s="12">
        <v>0</v>
      </c>
      <c r="FR134" s="12">
        <v>5</v>
      </c>
      <c r="FS134" s="12">
        <v>0</v>
      </c>
      <c r="FT134" s="12">
        <v>5</v>
      </c>
      <c r="FU134" s="12">
        <v>0</v>
      </c>
      <c r="FV134" s="12">
        <v>0</v>
      </c>
      <c r="FW134" s="12">
        <v>0</v>
      </c>
      <c r="FX134" s="12">
        <v>9</v>
      </c>
      <c r="FY134" s="12">
        <v>3</v>
      </c>
      <c r="FZ134" s="12">
        <v>3</v>
      </c>
      <c r="GA134" s="12">
        <v>0</v>
      </c>
      <c r="GB134" s="12">
        <v>0</v>
      </c>
      <c r="GC134" s="12">
        <v>0</v>
      </c>
      <c r="GD134" s="12">
        <v>2</v>
      </c>
      <c r="GE134" s="12">
        <v>3</v>
      </c>
      <c r="GF134" s="12">
        <v>7</v>
      </c>
      <c r="GG134" s="12">
        <v>8</v>
      </c>
      <c r="GH134" s="12">
        <v>0</v>
      </c>
      <c r="GI134" s="12">
        <v>0</v>
      </c>
      <c r="GJ134" s="12">
        <v>0</v>
      </c>
      <c r="GK134" s="12">
        <v>0</v>
      </c>
      <c r="GL134" s="12">
        <v>10</v>
      </c>
      <c r="GM134" s="12">
        <v>10</v>
      </c>
      <c r="GN134" s="12">
        <v>11</v>
      </c>
      <c r="GO134" s="12">
        <v>25</v>
      </c>
      <c r="GP134" s="12">
        <v>1</v>
      </c>
      <c r="GQ134" s="12">
        <v>4</v>
      </c>
      <c r="GR134" s="12">
        <v>1</v>
      </c>
      <c r="GS134" s="12">
        <v>2</v>
      </c>
      <c r="GT134" s="12">
        <v>10</v>
      </c>
      <c r="GU134" s="12">
        <v>22</v>
      </c>
      <c r="GV134" s="12">
        <v>0</v>
      </c>
      <c r="GW134" s="12">
        <v>0</v>
      </c>
      <c r="GY134" s="16"/>
    </row>
    <row r="135" spans="2:207" ht="15" customHeight="1" x14ac:dyDescent="0.2">
      <c r="B135" s="12">
        <v>8</v>
      </c>
      <c r="C135" s="12" t="s">
        <v>285</v>
      </c>
      <c r="D135" s="12" t="s">
        <v>289</v>
      </c>
      <c r="E135" s="14" t="s">
        <v>287</v>
      </c>
      <c r="F135" s="14" t="s">
        <v>291</v>
      </c>
      <c r="G135" s="15">
        <v>45244</v>
      </c>
      <c r="H135" s="15" t="s">
        <v>268</v>
      </c>
      <c r="I135" s="12" t="s">
        <v>269</v>
      </c>
      <c r="J135" s="12" t="s">
        <v>270</v>
      </c>
      <c r="K135" s="12">
        <v>200</v>
      </c>
      <c r="L135" s="12">
        <v>86</v>
      </c>
      <c r="M135" s="12">
        <v>22</v>
      </c>
      <c r="N135" s="12">
        <v>39</v>
      </c>
      <c r="O135" s="16">
        <v>0.5641025641025641</v>
      </c>
      <c r="P135" s="12">
        <v>11</v>
      </c>
      <c r="Q135" s="12">
        <v>24</v>
      </c>
      <c r="R135" s="16">
        <v>0.45833333333333331</v>
      </c>
      <c r="S135" s="12">
        <v>33</v>
      </c>
      <c r="T135" s="12">
        <v>63</v>
      </c>
      <c r="U135" s="16">
        <v>0.52380952380952384</v>
      </c>
      <c r="V135" s="12">
        <v>9</v>
      </c>
      <c r="W135" s="12">
        <v>11</v>
      </c>
      <c r="X135" s="16">
        <v>0.81818181818181823</v>
      </c>
      <c r="Y135" s="12">
        <v>7</v>
      </c>
      <c r="Z135" s="12">
        <v>22</v>
      </c>
      <c r="AA135" s="12">
        <v>29</v>
      </c>
      <c r="AB135" s="12">
        <v>20</v>
      </c>
      <c r="AC135" s="12">
        <v>7</v>
      </c>
      <c r="AD135" s="12">
        <v>6</v>
      </c>
      <c r="AE135" s="12">
        <v>2</v>
      </c>
      <c r="AF135" s="12">
        <v>2</v>
      </c>
      <c r="AG135" s="12">
        <v>15</v>
      </c>
      <c r="AH135" s="12">
        <v>17</v>
      </c>
      <c r="AI135" s="17">
        <v>104</v>
      </c>
      <c r="AJ135" s="12">
        <v>7</v>
      </c>
      <c r="AK135" s="12">
        <v>67</v>
      </c>
      <c r="AL135" s="12">
        <v>74</v>
      </c>
      <c r="AM135" s="19">
        <v>1.1621621621621621</v>
      </c>
      <c r="AN135" s="19">
        <v>0.98750000000000004</v>
      </c>
      <c r="AO135" s="18">
        <v>128.35820895522389</v>
      </c>
      <c r="AP135" s="18">
        <v>116.1764705882353</v>
      </c>
      <c r="AQ135" s="18">
        <v>12.181738366988583</v>
      </c>
      <c r="AR135" s="53">
        <v>0.61111111111111116</v>
      </c>
      <c r="AS135" s="53">
        <v>0.64179104477611937</v>
      </c>
      <c r="AT135" s="16">
        <v>0.13513513513513514</v>
      </c>
      <c r="AU135" s="19">
        <v>2</v>
      </c>
      <c r="AV135" s="16">
        <v>0.33783783783783783</v>
      </c>
      <c r="AW135" s="19">
        <v>0.88</v>
      </c>
      <c r="AX135" s="16">
        <v>5.4054054054054057E-2</v>
      </c>
      <c r="AY135" s="19">
        <v>0.5</v>
      </c>
      <c r="AZ135" s="16">
        <v>2.7027027027027029E-2</v>
      </c>
      <c r="BA135" s="19">
        <v>1.5</v>
      </c>
      <c r="BB135" s="16">
        <v>0.29729729729729731</v>
      </c>
      <c r="BC135" s="21">
        <v>1.3636363636363635</v>
      </c>
      <c r="BD135" s="16">
        <v>5.4054054054054057E-2</v>
      </c>
      <c r="BE135" s="16">
        <v>9.45945945945946E-2</v>
      </c>
      <c r="BF135" s="16">
        <v>0.54054054054054057</v>
      </c>
      <c r="BG135" s="16">
        <v>0.5</v>
      </c>
      <c r="BH135" s="16">
        <v>0.72727272727272729</v>
      </c>
      <c r="BI135" s="16">
        <v>0.25</v>
      </c>
      <c r="BJ135" s="16">
        <v>0.27027027027027029</v>
      </c>
      <c r="BK135" s="21">
        <v>2.8571428571428572</v>
      </c>
      <c r="BL135" s="16">
        <v>0.23333333333333334</v>
      </c>
      <c r="BM135" s="16">
        <v>0.22222222222222221</v>
      </c>
      <c r="BN135" s="16">
        <v>0.25</v>
      </c>
      <c r="BO135" s="16">
        <v>0</v>
      </c>
      <c r="BP135" s="16">
        <v>0.66666666666666663</v>
      </c>
      <c r="BQ135" s="16">
        <v>0.7142857142857143</v>
      </c>
      <c r="BR135" s="16">
        <v>0.6</v>
      </c>
      <c r="BS135" s="16">
        <v>0.75</v>
      </c>
      <c r="BT135" s="16">
        <v>0.46031746031746029</v>
      </c>
      <c r="BU135" s="16">
        <v>8.8235294117647065E-2</v>
      </c>
      <c r="BV135" s="16">
        <v>3.3333333333333333E-2</v>
      </c>
      <c r="BW135" s="54">
        <v>4</v>
      </c>
      <c r="BX135" s="54">
        <v>0.53333333333333333</v>
      </c>
      <c r="BY135" s="54">
        <v>0.41176470588235292</v>
      </c>
      <c r="BZ135" s="12">
        <v>11</v>
      </c>
      <c r="CA135" s="12">
        <v>8</v>
      </c>
      <c r="CB135" s="12">
        <v>1</v>
      </c>
      <c r="CC135" s="12">
        <v>2</v>
      </c>
      <c r="CD135" s="12">
        <v>0</v>
      </c>
      <c r="CE135" s="12">
        <v>0</v>
      </c>
      <c r="CF135" s="12">
        <v>4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3</v>
      </c>
      <c r="CM135" s="12">
        <v>0</v>
      </c>
      <c r="CN135" s="12">
        <v>0</v>
      </c>
      <c r="CO135" s="12">
        <v>0</v>
      </c>
      <c r="CP135" s="12">
        <v>0</v>
      </c>
      <c r="CQ135" s="12">
        <v>0</v>
      </c>
      <c r="CR135" s="12">
        <v>5</v>
      </c>
      <c r="CS135" s="12">
        <v>0</v>
      </c>
      <c r="CT135" s="12">
        <v>5</v>
      </c>
      <c r="CU135" s="12">
        <v>0</v>
      </c>
      <c r="CV135" s="12">
        <v>0</v>
      </c>
      <c r="CW135" s="12">
        <v>0</v>
      </c>
      <c r="CX135" s="12">
        <v>9</v>
      </c>
      <c r="CY135" s="12">
        <v>3</v>
      </c>
      <c r="CZ135" s="12">
        <v>3</v>
      </c>
      <c r="DA135" s="12">
        <v>0</v>
      </c>
      <c r="DB135" s="12">
        <v>0</v>
      </c>
      <c r="DC135" s="12">
        <v>0</v>
      </c>
      <c r="DD135" s="12">
        <v>2</v>
      </c>
      <c r="DE135" s="12">
        <v>3</v>
      </c>
      <c r="DF135" s="12">
        <v>7</v>
      </c>
      <c r="DG135" s="12">
        <v>8</v>
      </c>
      <c r="DH135" s="12">
        <v>0</v>
      </c>
      <c r="DI135" s="12">
        <v>0</v>
      </c>
      <c r="DJ135" s="12">
        <v>0</v>
      </c>
      <c r="DK135" s="12">
        <v>0</v>
      </c>
      <c r="DL135" s="12">
        <v>10</v>
      </c>
      <c r="DM135" s="12">
        <v>10</v>
      </c>
      <c r="DN135" s="12">
        <v>11</v>
      </c>
      <c r="DO135" s="12">
        <v>25</v>
      </c>
      <c r="DP135" s="12">
        <v>1</v>
      </c>
      <c r="DQ135" s="12">
        <v>4</v>
      </c>
      <c r="DR135" s="12">
        <v>1</v>
      </c>
      <c r="DS135" s="12">
        <v>2</v>
      </c>
      <c r="DT135" s="12">
        <v>10</v>
      </c>
      <c r="DU135" s="12">
        <v>22</v>
      </c>
      <c r="DV135" s="12">
        <v>0</v>
      </c>
      <c r="DW135" s="12">
        <v>0</v>
      </c>
      <c r="DX135" s="12">
        <v>79</v>
      </c>
      <c r="DY135" s="12">
        <v>17</v>
      </c>
      <c r="DZ135" s="12">
        <v>31</v>
      </c>
      <c r="EA135" s="16">
        <v>0.54838709677419351</v>
      </c>
      <c r="EB135" s="12">
        <v>12</v>
      </c>
      <c r="EC135" s="12">
        <v>29</v>
      </c>
      <c r="ED135" s="16">
        <v>0.41379310344827586</v>
      </c>
      <c r="EE135" s="12">
        <v>29</v>
      </c>
      <c r="EF135" s="12">
        <v>60</v>
      </c>
      <c r="EG135" s="16">
        <v>0.48333333333333334</v>
      </c>
      <c r="EH135" s="12">
        <v>9</v>
      </c>
      <c r="EI135" s="12">
        <v>16</v>
      </c>
      <c r="EJ135" s="16">
        <v>0.5625</v>
      </c>
      <c r="EK135" s="12">
        <v>11</v>
      </c>
      <c r="EL135" s="12">
        <v>23</v>
      </c>
      <c r="EM135" s="12">
        <v>34</v>
      </c>
      <c r="EN135" s="12">
        <v>18</v>
      </c>
      <c r="EO135" s="12">
        <v>17</v>
      </c>
      <c r="EP135" s="12">
        <v>15</v>
      </c>
      <c r="EQ135" s="12">
        <v>4</v>
      </c>
      <c r="ER135" s="12">
        <v>13</v>
      </c>
      <c r="ES135" s="12">
        <v>2</v>
      </c>
      <c r="ET135" s="12">
        <v>2</v>
      </c>
      <c r="EU135" s="12">
        <v>82</v>
      </c>
      <c r="EV135" s="12">
        <v>-7</v>
      </c>
      <c r="EW135" s="12">
        <v>68</v>
      </c>
      <c r="EX135" s="12">
        <v>80</v>
      </c>
      <c r="EY135" s="12">
        <v>1</v>
      </c>
      <c r="EZ135" s="12">
        <v>8</v>
      </c>
      <c r="FA135" s="12">
        <v>10</v>
      </c>
      <c r="FB135" s="12">
        <v>0</v>
      </c>
      <c r="FC135" s="12">
        <v>0</v>
      </c>
      <c r="FD135" s="12">
        <v>1</v>
      </c>
      <c r="FE135" s="12">
        <v>0</v>
      </c>
      <c r="FF135" s="12">
        <v>3</v>
      </c>
      <c r="FG135" s="12">
        <v>0</v>
      </c>
      <c r="FH135" s="12">
        <v>0</v>
      </c>
      <c r="FI135" s="12">
        <v>0</v>
      </c>
      <c r="FJ135" s="12">
        <v>0</v>
      </c>
      <c r="FK135" s="12">
        <v>0</v>
      </c>
      <c r="FL135" s="12">
        <v>6</v>
      </c>
      <c r="FM135" s="12">
        <v>2</v>
      </c>
      <c r="FN135" s="12">
        <v>1</v>
      </c>
      <c r="FO135" s="12">
        <v>0</v>
      </c>
      <c r="FP135" s="12">
        <v>0</v>
      </c>
      <c r="FQ135" s="12">
        <v>0</v>
      </c>
      <c r="FR135" s="12">
        <v>10</v>
      </c>
      <c r="FS135" s="12">
        <v>0</v>
      </c>
      <c r="FT135" s="12">
        <v>3</v>
      </c>
      <c r="FU135" s="12">
        <v>1</v>
      </c>
      <c r="FV135" s="12">
        <v>0</v>
      </c>
      <c r="FW135" s="12">
        <v>0</v>
      </c>
      <c r="FX135" s="12">
        <v>9</v>
      </c>
      <c r="FY135" s="12">
        <v>0</v>
      </c>
      <c r="FZ135" s="12">
        <v>1</v>
      </c>
      <c r="GA135" s="12">
        <v>0</v>
      </c>
      <c r="GB135" s="12">
        <v>0</v>
      </c>
      <c r="GC135" s="12">
        <v>0</v>
      </c>
      <c r="GD135" s="12">
        <v>1</v>
      </c>
      <c r="GE135" s="12">
        <v>1</v>
      </c>
      <c r="GF135" s="12">
        <v>7</v>
      </c>
      <c r="GG135" s="12">
        <v>14</v>
      </c>
      <c r="GH135" s="12">
        <v>2</v>
      </c>
      <c r="GI135" s="12">
        <v>0</v>
      </c>
      <c r="GJ135" s="12">
        <v>0</v>
      </c>
      <c r="GK135" s="12">
        <v>0</v>
      </c>
      <c r="GL135" s="12">
        <v>3</v>
      </c>
      <c r="GM135" s="12">
        <v>4</v>
      </c>
      <c r="GN135" s="12">
        <v>13</v>
      </c>
      <c r="GO135" s="12">
        <v>21</v>
      </c>
      <c r="GP135" s="12">
        <v>1</v>
      </c>
      <c r="GQ135" s="12">
        <v>6</v>
      </c>
      <c r="GR135" s="12">
        <v>3</v>
      </c>
      <c r="GS135" s="12">
        <v>3</v>
      </c>
      <c r="GT135" s="12">
        <v>9</v>
      </c>
      <c r="GU135" s="12">
        <v>26</v>
      </c>
      <c r="GV135" s="12">
        <v>0</v>
      </c>
      <c r="GW135" s="12">
        <v>0</v>
      </c>
      <c r="GY135" s="16"/>
    </row>
    <row r="136" spans="2:207" ht="15" customHeight="1" x14ac:dyDescent="0.2">
      <c r="B136" s="12">
        <v>8</v>
      </c>
      <c r="C136" s="12" t="s">
        <v>264</v>
      </c>
      <c r="D136" s="12" t="s">
        <v>290</v>
      </c>
      <c r="E136" s="14" t="s">
        <v>266</v>
      </c>
      <c r="F136" s="14" t="s">
        <v>292</v>
      </c>
      <c r="G136" s="15">
        <v>45244</v>
      </c>
      <c r="H136" s="15" t="s">
        <v>268</v>
      </c>
      <c r="I136" s="12" t="s">
        <v>269</v>
      </c>
      <c r="J136" s="12" t="s">
        <v>270</v>
      </c>
      <c r="K136" s="12">
        <v>200</v>
      </c>
      <c r="L136" s="12">
        <v>87</v>
      </c>
      <c r="M136" s="12">
        <v>20</v>
      </c>
      <c r="N136" s="12">
        <v>37</v>
      </c>
      <c r="O136" s="16">
        <v>0.54054054054054057</v>
      </c>
      <c r="P136" s="12">
        <v>13</v>
      </c>
      <c r="Q136" s="12">
        <v>27</v>
      </c>
      <c r="R136" s="16">
        <v>0.48148148148148145</v>
      </c>
      <c r="S136" s="12">
        <v>33</v>
      </c>
      <c r="T136" s="12">
        <v>64</v>
      </c>
      <c r="U136" s="16">
        <v>0.515625</v>
      </c>
      <c r="V136" s="12">
        <v>8</v>
      </c>
      <c r="W136" s="12">
        <v>9</v>
      </c>
      <c r="X136" s="16">
        <v>0.88888888888888884</v>
      </c>
      <c r="Y136" s="12">
        <v>12</v>
      </c>
      <c r="Z136" s="12">
        <v>29</v>
      </c>
      <c r="AA136" s="12">
        <v>41</v>
      </c>
      <c r="AB136" s="12">
        <v>18</v>
      </c>
      <c r="AC136" s="12">
        <v>10</v>
      </c>
      <c r="AD136" s="12">
        <v>8</v>
      </c>
      <c r="AE136" s="12">
        <v>0</v>
      </c>
      <c r="AF136" s="12">
        <v>6</v>
      </c>
      <c r="AG136" s="12">
        <v>15</v>
      </c>
      <c r="AH136" s="12">
        <v>17</v>
      </c>
      <c r="AI136" s="17">
        <v>108</v>
      </c>
      <c r="AJ136" s="12">
        <v>31</v>
      </c>
      <c r="AK136" s="12">
        <v>65</v>
      </c>
      <c r="AL136" s="12">
        <v>78</v>
      </c>
      <c r="AM136" s="19">
        <v>1.1153846153846154</v>
      </c>
      <c r="AN136" s="19">
        <v>0.78873239436619713</v>
      </c>
      <c r="AO136" s="18">
        <v>133.84615384615384</v>
      </c>
      <c r="AP136" s="18">
        <v>86.15384615384616</v>
      </c>
      <c r="AQ136" s="18">
        <v>47.692307692307679</v>
      </c>
      <c r="AR136" s="53">
        <v>0.6171875</v>
      </c>
      <c r="AS136" s="53">
        <v>0.63970588235294112</v>
      </c>
      <c r="AT136" s="16">
        <v>0.14102564102564102</v>
      </c>
      <c r="AU136" s="19">
        <v>1.4545454545454546</v>
      </c>
      <c r="AV136" s="16">
        <v>0.29487179487179488</v>
      </c>
      <c r="AW136" s="19">
        <v>1.0434782608695652</v>
      </c>
      <c r="AX136" s="16">
        <v>3.8461538461538464E-2</v>
      </c>
      <c r="AY136" s="19">
        <v>0</v>
      </c>
      <c r="AZ136" s="16">
        <v>1.282051282051282E-2</v>
      </c>
      <c r="BA136" s="19">
        <v>0</v>
      </c>
      <c r="BB136" s="16">
        <v>0.33333333333333331</v>
      </c>
      <c r="BC136" s="21">
        <v>1.5</v>
      </c>
      <c r="BD136" s="16">
        <v>5.128205128205128E-2</v>
      </c>
      <c r="BE136" s="16">
        <v>0.12987012987012986</v>
      </c>
      <c r="BF136" s="16">
        <v>0.48648648648648651</v>
      </c>
      <c r="BG136" s="16">
        <v>0.5</v>
      </c>
      <c r="BH136" s="16">
        <v>0.46153846153846156</v>
      </c>
      <c r="BI136" s="16">
        <v>0.5</v>
      </c>
      <c r="BJ136" s="16">
        <v>0.23376623376623376</v>
      </c>
      <c r="BK136" s="21">
        <v>1.8</v>
      </c>
      <c r="BL136" s="16">
        <v>0.38709677419354838</v>
      </c>
      <c r="BM136" s="16">
        <v>0.44444444444444442</v>
      </c>
      <c r="BN136" s="16">
        <v>0.46666666666666667</v>
      </c>
      <c r="BO136" s="16">
        <v>0</v>
      </c>
      <c r="BP136" s="16">
        <v>0.82857142857142863</v>
      </c>
      <c r="BQ136" s="16">
        <v>0.73684210526315785</v>
      </c>
      <c r="BR136" s="16">
        <v>0.88888888888888884</v>
      </c>
      <c r="BS136" s="16">
        <v>1</v>
      </c>
      <c r="BT136" s="16">
        <v>0.62121212121212122</v>
      </c>
      <c r="BU136" s="16">
        <v>0.12307692307692308</v>
      </c>
      <c r="BV136" s="16">
        <v>0</v>
      </c>
      <c r="BW136" s="54">
        <v>6</v>
      </c>
      <c r="BX136" s="54">
        <v>0.13333333333333333</v>
      </c>
      <c r="BY136" s="54">
        <v>0.29411764705882354</v>
      </c>
      <c r="BZ136" s="12">
        <v>10</v>
      </c>
      <c r="CA136" s="12">
        <v>6</v>
      </c>
      <c r="CB136" s="12">
        <v>2</v>
      </c>
      <c r="CC136" s="12">
        <v>4</v>
      </c>
      <c r="CD136" s="12">
        <v>1</v>
      </c>
      <c r="CE136" s="12">
        <v>0</v>
      </c>
      <c r="CF136" s="12">
        <v>4</v>
      </c>
      <c r="CG136" s="12">
        <v>2</v>
      </c>
      <c r="CH136" s="12">
        <v>1</v>
      </c>
      <c r="CI136" s="12">
        <v>0</v>
      </c>
      <c r="CJ136" s="12">
        <v>0</v>
      </c>
      <c r="CK136" s="12">
        <v>0</v>
      </c>
      <c r="CL136" s="12">
        <v>6</v>
      </c>
      <c r="CM136" s="12">
        <v>1</v>
      </c>
      <c r="CN136" s="12">
        <v>0</v>
      </c>
      <c r="CO136" s="12">
        <v>0</v>
      </c>
      <c r="CP136" s="12">
        <v>1</v>
      </c>
      <c r="CQ136" s="12">
        <v>0</v>
      </c>
      <c r="CR136" s="12">
        <v>12</v>
      </c>
      <c r="CS136" s="12">
        <v>0</v>
      </c>
      <c r="CT136" s="12">
        <v>1</v>
      </c>
      <c r="CU136" s="12">
        <v>0</v>
      </c>
      <c r="CV136" s="12">
        <v>0</v>
      </c>
      <c r="CW136" s="12">
        <v>0</v>
      </c>
      <c r="CX136" s="12">
        <v>14</v>
      </c>
      <c r="CY136" s="12">
        <v>2</v>
      </c>
      <c r="CZ136" s="12">
        <v>1</v>
      </c>
      <c r="DA136" s="12">
        <v>0</v>
      </c>
      <c r="DB136" s="12">
        <v>0</v>
      </c>
      <c r="DC136" s="12">
        <v>0</v>
      </c>
      <c r="DD136" s="12">
        <v>0</v>
      </c>
      <c r="DE136" s="12">
        <v>1</v>
      </c>
      <c r="DF136" s="12">
        <v>8</v>
      </c>
      <c r="DG136" s="12">
        <v>8</v>
      </c>
      <c r="DH136" s="12">
        <v>0</v>
      </c>
      <c r="DI136" s="12">
        <v>0</v>
      </c>
      <c r="DJ136" s="12">
        <v>0</v>
      </c>
      <c r="DK136" s="12">
        <v>0</v>
      </c>
      <c r="DL136" s="12">
        <v>8</v>
      </c>
      <c r="DM136" s="12">
        <v>11</v>
      </c>
      <c r="DN136" s="12">
        <v>12</v>
      </c>
      <c r="DO136" s="12">
        <v>23</v>
      </c>
      <c r="DP136" s="12">
        <v>0</v>
      </c>
      <c r="DQ136" s="12">
        <v>3</v>
      </c>
      <c r="DR136" s="12">
        <v>0</v>
      </c>
      <c r="DS136" s="12">
        <v>1</v>
      </c>
      <c r="DT136" s="12">
        <v>13</v>
      </c>
      <c r="DU136" s="12">
        <v>26</v>
      </c>
      <c r="DV136" s="12">
        <v>0</v>
      </c>
      <c r="DW136" s="12">
        <v>0</v>
      </c>
      <c r="DX136" s="12">
        <v>56</v>
      </c>
      <c r="DY136" s="12">
        <v>15</v>
      </c>
      <c r="DZ136" s="12">
        <v>33</v>
      </c>
      <c r="EA136" s="16">
        <v>0.45454545454545453</v>
      </c>
      <c r="EB136" s="12">
        <v>8</v>
      </c>
      <c r="EC136" s="12">
        <v>24</v>
      </c>
      <c r="ED136" s="16">
        <v>0.33333333333333331</v>
      </c>
      <c r="EE136" s="12">
        <v>23</v>
      </c>
      <c r="EF136" s="12">
        <v>57</v>
      </c>
      <c r="EG136" s="16">
        <v>0.40350877192982454</v>
      </c>
      <c r="EH136" s="12">
        <v>2</v>
      </c>
      <c r="EI136" s="12">
        <v>4</v>
      </c>
      <c r="EJ136" s="16">
        <v>0.5</v>
      </c>
      <c r="EK136" s="12">
        <v>6</v>
      </c>
      <c r="EL136" s="12">
        <v>19</v>
      </c>
      <c r="EM136" s="12">
        <v>25</v>
      </c>
      <c r="EN136" s="12">
        <v>13</v>
      </c>
      <c r="EO136" s="12">
        <v>17</v>
      </c>
      <c r="EP136" s="12">
        <v>15</v>
      </c>
      <c r="EQ136" s="12">
        <v>2</v>
      </c>
      <c r="ER136" s="12">
        <v>12</v>
      </c>
      <c r="ES136" s="12">
        <v>6</v>
      </c>
      <c r="ET136" s="12">
        <v>0</v>
      </c>
      <c r="EU136" s="12">
        <v>52</v>
      </c>
      <c r="EV136" s="12">
        <v>-31</v>
      </c>
      <c r="EW136" s="12">
        <v>65</v>
      </c>
      <c r="EX136" s="12">
        <v>71</v>
      </c>
      <c r="EY136" s="12">
        <v>4</v>
      </c>
      <c r="EZ136" s="12">
        <v>7</v>
      </c>
      <c r="FA136" s="12">
        <v>6</v>
      </c>
      <c r="FB136" s="12">
        <v>0</v>
      </c>
      <c r="FC136" s="12">
        <v>0</v>
      </c>
      <c r="FD136" s="12">
        <v>0</v>
      </c>
      <c r="FE136" s="12">
        <v>0</v>
      </c>
      <c r="FF136" s="12">
        <v>3</v>
      </c>
      <c r="FG136" s="12">
        <v>0</v>
      </c>
      <c r="FH136" s="12">
        <v>1</v>
      </c>
      <c r="FI136" s="12">
        <v>1</v>
      </c>
      <c r="FJ136" s="12">
        <v>0</v>
      </c>
      <c r="FK136" s="12">
        <v>0</v>
      </c>
      <c r="FL136" s="12">
        <v>2</v>
      </c>
      <c r="FM136" s="12">
        <v>0</v>
      </c>
      <c r="FN136" s="12">
        <v>0</v>
      </c>
      <c r="FO136" s="12">
        <v>0</v>
      </c>
      <c r="FP136" s="12">
        <v>2</v>
      </c>
      <c r="FQ136" s="12">
        <v>0</v>
      </c>
      <c r="FR136" s="12">
        <v>7</v>
      </c>
      <c r="FS136" s="12">
        <v>0</v>
      </c>
      <c r="FT136" s="12">
        <v>1</v>
      </c>
      <c r="FU136" s="12">
        <v>0</v>
      </c>
      <c r="FV136" s="12">
        <v>1</v>
      </c>
      <c r="FW136" s="12">
        <v>0</v>
      </c>
      <c r="FX136" s="12">
        <v>7</v>
      </c>
      <c r="FY136" s="12">
        <v>0</v>
      </c>
      <c r="FZ136" s="12">
        <v>1</v>
      </c>
      <c r="GA136" s="12">
        <v>0</v>
      </c>
      <c r="GB136" s="12">
        <v>0</v>
      </c>
      <c r="GC136" s="12">
        <v>0</v>
      </c>
      <c r="GD136" s="12">
        <v>0</v>
      </c>
      <c r="GE136" s="12">
        <v>0</v>
      </c>
      <c r="GF136" s="12">
        <v>2</v>
      </c>
      <c r="GG136" s="12">
        <v>4</v>
      </c>
      <c r="GH136" s="12">
        <v>1</v>
      </c>
      <c r="GI136" s="12">
        <v>0</v>
      </c>
      <c r="GJ136" s="12">
        <v>0</v>
      </c>
      <c r="GK136" s="12">
        <v>0</v>
      </c>
      <c r="GL136" s="12">
        <v>2</v>
      </c>
      <c r="GM136" s="12">
        <v>3</v>
      </c>
      <c r="GN136" s="12">
        <v>10</v>
      </c>
      <c r="GO136" s="12">
        <v>25</v>
      </c>
      <c r="GP136" s="12">
        <v>3</v>
      </c>
      <c r="GQ136" s="12">
        <v>5</v>
      </c>
      <c r="GR136" s="12">
        <v>1</v>
      </c>
      <c r="GS136" s="12">
        <v>1</v>
      </c>
      <c r="GT136" s="12">
        <v>7</v>
      </c>
      <c r="GU136" s="12">
        <v>23</v>
      </c>
      <c r="GV136" s="12">
        <v>0</v>
      </c>
      <c r="GW136" s="12">
        <v>0</v>
      </c>
      <c r="GY136" s="16"/>
    </row>
    <row r="137" spans="2:207" ht="15" customHeight="1" x14ac:dyDescent="0.2">
      <c r="B137" s="12">
        <v>8</v>
      </c>
      <c r="C137" s="12" t="s">
        <v>290</v>
      </c>
      <c r="D137" s="12" t="s">
        <v>264</v>
      </c>
      <c r="E137" s="14" t="s">
        <v>292</v>
      </c>
      <c r="F137" s="14" t="s">
        <v>266</v>
      </c>
      <c r="G137" s="15">
        <v>45244</v>
      </c>
      <c r="H137" s="15" t="s">
        <v>271</v>
      </c>
      <c r="I137" s="12" t="s">
        <v>269</v>
      </c>
      <c r="J137" s="12" t="s">
        <v>272</v>
      </c>
      <c r="K137" s="12">
        <v>200</v>
      </c>
      <c r="L137" s="12">
        <v>56</v>
      </c>
      <c r="M137" s="12">
        <v>15</v>
      </c>
      <c r="N137" s="12">
        <v>33</v>
      </c>
      <c r="O137" s="16">
        <v>0.45454545454545453</v>
      </c>
      <c r="P137" s="12">
        <v>8</v>
      </c>
      <c r="Q137" s="12">
        <v>24</v>
      </c>
      <c r="R137" s="16">
        <v>0.33333333333333331</v>
      </c>
      <c r="S137" s="12">
        <v>23</v>
      </c>
      <c r="T137" s="12">
        <v>57</v>
      </c>
      <c r="U137" s="16">
        <v>0.40350877192982454</v>
      </c>
      <c r="V137" s="12">
        <v>2</v>
      </c>
      <c r="W137" s="12">
        <v>4</v>
      </c>
      <c r="X137" s="16">
        <v>0.5</v>
      </c>
      <c r="Y137" s="12">
        <v>6</v>
      </c>
      <c r="Z137" s="12">
        <v>19</v>
      </c>
      <c r="AA137" s="12">
        <v>25</v>
      </c>
      <c r="AB137" s="12">
        <v>13</v>
      </c>
      <c r="AC137" s="12">
        <v>12</v>
      </c>
      <c r="AD137" s="12">
        <v>2</v>
      </c>
      <c r="AE137" s="12">
        <v>6</v>
      </c>
      <c r="AF137" s="12">
        <v>0</v>
      </c>
      <c r="AG137" s="12">
        <v>17</v>
      </c>
      <c r="AH137" s="12">
        <v>15</v>
      </c>
      <c r="AI137" s="17">
        <v>52</v>
      </c>
      <c r="AJ137" s="12">
        <v>-31</v>
      </c>
      <c r="AK137" s="12">
        <v>65</v>
      </c>
      <c r="AL137" s="12">
        <v>71</v>
      </c>
      <c r="AM137" s="19">
        <v>0.78873239436619713</v>
      </c>
      <c r="AN137" s="19">
        <v>1.1153846153846154</v>
      </c>
      <c r="AO137" s="18">
        <v>86.15384615384616</v>
      </c>
      <c r="AP137" s="18">
        <v>133.84615384615384</v>
      </c>
      <c r="AQ137" s="18">
        <v>-47.692307692307679</v>
      </c>
      <c r="AR137" s="53">
        <v>0.47368421052631576</v>
      </c>
      <c r="AS137" s="53">
        <v>0.47457627118644069</v>
      </c>
      <c r="AT137" s="16">
        <v>4.2253521126760563E-2</v>
      </c>
      <c r="AU137" s="19">
        <v>1.3333333333333333</v>
      </c>
      <c r="AV137" s="16">
        <v>0.352112676056338</v>
      </c>
      <c r="AW137" s="19">
        <v>0.8</v>
      </c>
      <c r="AX137" s="16">
        <v>7.0422535211267609E-2</v>
      </c>
      <c r="AY137" s="19">
        <v>1.2</v>
      </c>
      <c r="AZ137" s="16">
        <v>1.4084507042253521E-2</v>
      </c>
      <c r="BA137" s="19">
        <v>3</v>
      </c>
      <c r="BB137" s="16">
        <v>0.323943661971831</v>
      </c>
      <c r="BC137" s="21">
        <v>0.91304347826086951</v>
      </c>
      <c r="BD137" s="16">
        <v>2.8169014084507043E-2</v>
      </c>
      <c r="BE137" s="16">
        <v>0.16901408450704225</v>
      </c>
      <c r="BF137" s="16">
        <v>0.54166666666666663</v>
      </c>
      <c r="BG137" s="16">
        <v>0.46666666666666667</v>
      </c>
      <c r="BH137" s="16">
        <v>0.75</v>
      </c>
      <c r="BI137" s="16">
        <v>0</v>
      </c>
      <c r="BJ137" s="16">
        <v>0.18309859154929578</v>
      </c>
      <c r="BK137" s="21">
        <v>1.0833333333333333</v>
      </c>
      <c r="BL137" s="16">
        <v>0.17142857142857143</v>
      </c>
      <c r="BM137" s="16">
        <v>0.26315789473684209</v>
      </c>
      <c r="BN137" s="16">
        <v>0.1111111111111111</v>
      </c>
      <c r="BO137" s="16">
        <v>0</v>
      </c>
      <c r="BP137" s="16">
        <v>0.61290322580645162</v>
      </c>
      <c r="BQ137" s="16">
        <v>0.55555555555555558</v>
      </c>
      <c r="BR137" s="16">
        <v>0.53333333333333333</v>
      </c>
      <c r="BS137" s="16">
        <v>1</v>
      </c>
      <c r="BT137" s="16">
        <v>0.37878787878787878</v>
      </c>
      <c r="BU137" s="16">
        <v>3.0769230769230771E-2</v>
      </c>
      <c r="BV137" s="16">
        <v>9.375E-2</v>
      </c>
      <c r="BW137" s="54">
        <v>4</v>
      </c>
      <c r="BX137" s="54">
        <v>0.29411764705882354</v>
      </c>
      <c r="BY137" s="54">
        <v>0.13333333333333333</v>
      </c>
      <c r="BZ137" s="12">
        <v>7</v>
      </c>
      <c r="CA137" s="12">
        <v>6</v>
      </c>
      <c r="CB137" s="12">
        <v>0</v>
      </c>
      <c r="CC137" s="12">
        <v>0</v>
      </c>
      <c r="CD137" s="12">
        <v>0</v>
      </c>
      <c r="CE137" s="12">
        <v>0</v>
      </c>
      <c r="CF137" s="12">
        <v>3</v>
      </c>
      <c r="CG137" s="12">
        <v>0</v>
      </c>
      <c r="CH137" s="12">
        <v>1</v>
      </c>
      <c r="CI137" s="12">
        <v>1</v>
      </c>
      <c r="CJ137" s="12">
        <v>0</v>
      </c>
      <c r="CK137" s="12">
        <v>0</v>
      </c>
      <c r="CL137" s="12">
        <v>2</v>
      </c>
      <c r="CM137" s="12">
        <v>0</v>
      </c>
      <c r="CN137" s="12">
        <v>0</v>
      </c>
      <c r="CO137" s="12">
        <v>0</v>
      </c>
      <c r="CP137" s="12">
        <v>2</v>
      </c>
      <c r="CQ137" s="12">
        <v>0</v>
      </c>
      <c r="CR137" s="12">
        <v>7</v>
      </c>
      <c r="CS137" s="12">
        <v>0</v>
      </c>
      <c r="CT137" s="12">
        <v>1</v>
      </c>
      <c r="CU137" s="12">
        <v>0</v>
      </c>
      <c r="CV137" s="12">
        <v>1</v>
      </c>
      <c r="CW137" s="12">
        <v>0</v>
      </c>
      <c r="CX137" s="12">
        <v>7</v>
      </c>
      <c r="CY137" s="12">
        <v>0</v>
      </c>
      <c r="CZ137" s="12">
        <v>1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2</v>
      </c>
      <c r="DG137" s="12">
        <v>4</v>
      </c>
      <c r="DH137" s="12">
        <v>1</v>
      </c>
      <c r="DI137" s="12">
        <v>0</v>
      </c>
      <c r="DJ137" s="12">
        <v>0</v>
      </c>
      <c r="DK137" s="12">
        <v>0</v>
      </c>
      <c r="DL137" s="12">
        <v>2</v>
      </c>
      <c r="DM137" s="12">
        <v>3</v>
      </c>
      <c r="DN137" s="12">
        <v>10</v>
      </c>
      <c r="DO137" s="12">
        <v>25</v>
      </c>
      <c r="DP137" s="12">
        <v>3</v>
      </c>
      <c r="DQ137" s="12">
        <v>5</v>
      </c>
      <c r="DR137" s="12">
        <v>1</v>
      </c>
      <c r="DS137" s="12">
        <v>1</v>
      </c>
      <c r="DT137" s="12">
        <v>7</v>
      </c>
      <c r="DU137" s="12">
        <v>23</v>
      </c>
      <c r="DV137" s="12">
        <v>0</v>
      </c>
      <c r="DW137" s="12">
        <v>0</v>
      </c>
      <c r="DX137" s="12">
        <v>87</v>
      </c>
      <c r="DY137" s="12">
        <v>20</v>
      </c>
      <c r="DZ137" s="12">
        <v>37</v>
      </c>
      <c r="EA137" s="16">
        <v>0.54054054054054057</v>
      </c>
      <c r="EB137" s="12">
        <v>13</v>
      </c>
      <c r="EC137" s="12">
        <v>27</v>
      </c>
      <c r="ED137" s="16">
        <v>0.48148148148148145</v>
      </c>
      <c r="EE137" s="12">
        <v>33</v>
      </c>
      <c r="EF137" s="12">
        <v>64</v>
      </c>
      <c r="EG137" s="16">
        <v>0.515625</v>
      </c>
      <c r="EH137" s="12">
        <v>8</v>
      </c>
      <c r="EI137" s="12">
        <v>9</v>
      </c>
      <c r="EJ137" s="16">
        <v>0.88888888888888884</v>
      </c>
      <c r="EK137" s="12">
        <v>12</v>
      </c>
      <c r="EL137" s="12">
        <v>29</v>
      </c>
      <c r="EM137" s="12">
        <v>41</v>
      </c>
      <c r="EN137" s="12">
        <v>18</v>
      </c>
      <c r="EO137" s="12">
        <v>15</v>
      </c>
      <c r="EP137" s="12">
        <v>17</v>
      </c>
      <c r="EQ137" s="12">
        <v>8</v>
      </c>
      <c r="ER137" s="12">
        <v>10</v>
      </c>
      <c r="ES137" s="12">
        <v>0</v>
      </c>
      <c r="ET137" s="12">
        <v>6</v>
      </c>
      <c r="EU137" s="12">
        <v>108</v>
      </c>
      <c r="EV137" s="12">
        <v>31</v>
      </c>
      <c r="EW137" s="12">
        <v>65</v>
      </c>
      <c r="EX137" s="12">
        <v>78</v>
      </c>
      <c r="EY137" s="12">
        <v>6</v>
      </c>
      <c r="EZ137" s="12">
        <v>10</v>
      </c>
      <c r="FA137" s="12">
        <v>6</v>
      </c>
      <c r="FB137" s="12">
        <v>2</v>
      </c>
      <c r="FC137" s="12">
        <v>4</v>
      </c>
      <c r="FD137" s="12">
        <v>1</v>
      </c>
      <c r="FE137" s="12">
        <v>0</v>
      </c>
      <c r="FF137" s="12">
        <v>4</v>
      </c>
      <c r="FG137" s="12">
        <v>2</v>
      </c>
      <c r="FH137" s="12">
        <v>1</v>
      </c>
      <c r="FI137" s="12">
        <v>0</v>
      </c>
      <c r="FJ137" s="12">
        <v>0</v>
      </c>
      <c r="FK137" s="12">
        <v>0</v>
      </c>
      <c r="FL137" s="12">
        <v>6</v>
      </c>
      <c r="FM137" s="12">
        <v>1</v>
      </c>
      <c r="FN137" s="12">
        <v>0</v>
      </c>
      <c r="FO137" s="12">
        <v>0</v>
      </c>
      <c r="FP137" s="12">
        <v>1</v>
      </c>
      <c r="FQ137" s="12">
        <v>0</v>
      </c>
      <c r="FR137" s="12">
        <v>12</v>
      </c>
      <c r="FS137" s="12">
        <v>0</v>
      </c>
      <c r="FT137" s="12">
        <v>1</v>
      </c>
      <c r="FU137" s="12">
        <v>0</v>
      </c>
      <c r="FV137" s="12">
        <v>0</v>
      </c>
      <c r="FW137" s="12">
        <v>0</v>
      </c>
      <c r="FX137" s="12">
        <v>14</v>
      </c>
      <c r="FY137" s="12">
        <v>2</v>
      </c>
      <c r="FZ137" s="12">
        <v>1</v>
      </c>
      <c r="GA137" s="12">
        <v>0</v>
      </c>
      <c r="GB137" s="12">
        <v>0</v>
      </c>
      <c r="GC137" s="12">
        <v>0</v>
      </c>
      <c r="GD137" s="12">
        <v>0</v>
      </c>
      <c r="GE137" s="12">
        <v>1</v>
      </c>
      <c r="GF137" s="12">
        <v>8</v>
      </c>
      <c r="GG137" s="12">
        <v>8</v>
      </c>
      <c r="GH137" s="12">
        <v>0</v>
      </c>
      <c r="GI137" s="12">
        <v>0</v>
      </c>
      <c r="GJ137" s="12">
        <v>0</v>
      </c>
      <c r="GK137" s="12">
        <v>0</v>
      </c>
      <c r="GL137" s="12">
        <v>8</v>
      </c>
      <c r="GM137" s="12">
        <v>11</v>
      </c>
      <c r="GN137" s="12">
        <v>12</v>
      </c>
      <c r="GO137" s="12">
        <v>23</v>
      </c>
      <c r="GP137" s="12">
        <v>0</v>
      </c>
      <c r="GQ137" s="12">
        <v>3</v>
      </c>
      <c r="GR137" s="12">
        <v>0</v>
      </c>
      <c r="GS137" s="12">
        <v>1</v>
      </c>
      <c r="GT137" s="12">
        <v>13</v>
      </c>
      <c r="GU137" s="12">
        <v>26</v>
      </c>
      <c r="GV137" s="12">
        <v>0</v>
      </c>
      <c r="GW137" s="12">
        <v>0</v>
      </c>
      <c r="GY137" s="16"/>
    </row>
    <row r="138" spans="2:207" ht="15" customHeight="1" x14ac:dyDescent="0.2">
      <c r="B138" s="12">
        <v>8</v>
      </c>
      <c r="C138" s="12" t="s">
        <v>281</v>
      </c>
      <c r="D138" s="12" t="s">
        <v>265</v>
      </c>
      <c r="E138" s="14" t="s">
        <v>283</v>
      </c>
      <c r="F138" s="14" t="s">
        <v>267</v>
      </c>
      <c r="G138" s="15">
        <v>45245</v>
      </c>
      <c r="H138" s="15" t="s">
        <v>268</v>
      </c>
      <c r="I138" s="12" t="s">
        <v>269</v>
      </c>
      <c r="J138" s="12" t="s">
        <v>272</v>
      </c>
      <c r="K138" s="12">
        <v>200</v>
      </c>
      <c r="L138" s="12">
        <v>68</v>
      </c>
      <c r="M138" s="12">
        <v>17</v>
      </c>
      <c r="N138" s="12">
        <v>33</v>
      </c>
      <c r="O138" s="16">
        <v>0.51515151515151514</v>
      </c>
      <c r="P138" s="12">
        <v>7</v>
      </c>
      <c r="Q138" s="12">
        <v>36</v>
      </c>
      <c r="R138" s="16">
        <v>0.19444444444444445</v>
      </c>
      <c r="S138" s="12">
        <v>24</v>
      </c>
      <c r="T138" s="12">
        <v>69</v>
      </c>
      <c r="U138" s="16">
        <v>0.34782608695652173</v>
      </c>
      <c r="V138" s="12">
        <v>13</v>
      </c>
      <c r="W138" s="12">
        <v>14</v>
      </c>
      <c r="X138" s="16">
        <v>0.9285714285714286</v>
      </c>
      <c r="Y138" s="12">
        <v>14</v>
      </c>
      <c r="Z138" s="12">
        <v>25</v>
      </c>
      <c r="AA138" s="12">
        <v>39</v>
      </c>
      <c r="AB138" s="12">
        <v>15</v>
      </c>
      <c r="AC138" s="12">
        <v>17</v>
      </c>
      <c r="AD138" s="12">
        <v>11</v>
      </c>
      <c r="AE138" s="12">
        <v>2</v>
      </c>
      <c r="AF138" s="12">
        <v>1</v>
      </c>
      <c r="AG138" s="12">
        <v>24</v>
      </c>
      <c r="AH138" s="12">
        <v>16</v>
      </c>
      <c r="AI138" s="17">
        <v>63</v>
      </c>
      <c r="AJ138" s="12">
        <v>-5</v>
      </c>
      <c r="AK138" s="12">
        <v>78</v>
      </c>
      <c r="AL138" s="12">
        <v>92</v>
      </c>
      <c r="AM138" s="19">
        <v>0.73913043478260865</v>
      </c>
      <c r="AN138" s="19">
        <v>0.8202247191011236</v>
      </c>
      <c r="AO138" s="18">
        <v>87.179487179487182</v>
      </c>
      <c r="AP138" s="18">
        <v>94.805194805194802</v>
      </c>
      <c r="AQ138" s="18">
        <v>-7.6257076257076193</v>
      </c>
      <c r="AR138" s="53">
        <v>0.39855072463768115</v>
      </c>
      <c r="AS138" s="53">
        <v>0.45333333333333331</v>
      </c>
      <c r="AT138" s="16">
        <v>0.15217391304347827</v>
      </c>
      <c r="AU138" s="19">
        <v>1.5714285714285714</v>
      </c>
      <c r="AV138" s="16">
        <v>0.17391304347826086</v>
      </c>
      <c r="AW138" s="19">
        <v>0.5</v>
      </c>
      <c r="AX138" s="16">
        <v>3.2608695652173912E-2</v>
      </c>
      <c r="AY138" s="19">
        <v>1.3333333333333333</v>
      </c>
      <c r="AZ138" s="16">
        <v>4.3478260869565216E-2</v>
      </c>
      <c r="BA138" s="19">
        <v>0.75</v>
      </c>
      <c r="BB138" s="16">
        <v>0.33695652173913043</v>
      </c>
      <c r="BC138" s="21">
        <v>0.58064516129032262</v>
      </c>
      <c r="BD138" s="16">
        <v>6.5217391304347824E-2</v>
      </c>
      <c r="BE138" s="16">
        <v>0.18478260869565216</v>
      </c>
      <c r="BF138" s="16">
        <v>0.5</v>
      </c>
      <c r="BG138" s="16">
        <v>0.35294117647058826</v>
      </c>
      <c r="BH138" s="16">
        <v>0.8571428571428571</v>
      </c>
      <c r="BI138" s="16">
        <v>0.5</v>
      </c>
      <c r="BJ138" s="16">
        <v>0.16304347826086957</v>
      </c>
      <c r="BK138" s="21">
        <v>0.88235294117647056</v>
      </c>
      <c r="BL138" s="16">
        <v>0.32558139534883723</v>
      </c>
      <c r="BM138" s="16">
        <v>0.35294117647058826</v>
      </c>
      <c r="BN138" s="16">
        <v>0.33333333333333331</v>
      </c>
      <c r="BO138" s="16" t="s">
        <v>269</v>
      </c>
      <c r="BP138" s="16">
        <v>0.67567567567567566</v>
      </c>
      <c r="BQ138" s="16">
        <v>0.6</v>
      </c>
      <c r="BR138" s="16">
        <v>0.75</v>
      </c>
      <c r="BS138" s="16">
        <v>1</v>
      </c>
      <c r="BT138" s="16">
        <v>0.48749999999999999</v>
      </c>
      <c r="BU138" s="16">
        <v>0.14285714285714285</v>
      </c>
      <c r="BV138" s="16">
        <v>3.2258064516129031E-2</v>
      </c>
      <c r="BW138" s="54">
        <v>8</v>
      </c>
      <c r="BX138" s="54">
        <v>0.5</v>
      </c>
      <c r="BY138" s="54">
        <v>0.4375</v>
      </c>
      <c r="BZ138" s="12">
        <v>6</v>
      </c>
      <c r="CA138" s="12">
        <v>6</v>
      </c>
      <c r="CB138" s="12">
        <v>3</v>
      </c>
      <c r="CC138" s="12">
        <v>7</v>
      </c>
      <c r="CD138" s="12">
        <v>2</v>
      </c>
      <c r="CE138" s="12">
        <v>1</v>
      </c>
      <c r="CF138" s="12">
        <v>3</v>
      </c>
      <c r="CG138" s="12">
        <v>0</v>
      </c>
      <c r="CH138" s="12">
        <v>0</v>
      </c>
      <c r="CI138" s="12">
        <v>0</v>
      </c>
      <c r="CJ138" s="12">
        <v>1</v>
      </c>
      <c r="CK138" s="12">
        <v>0</v>
      </c>
      <c r="CL138" s="12">
        <v>8</v>
      </c>
      <c r="CM138" s="12">
        <v>2</v>
      </c>
      <c r="CN138" s="12">
        <v>0</v>
      </c>
      <c r="CO138" s="12">
        <v>0</v>
      </c>
      <c r="CP138" s="12">
        <v>3</v>
      </c>
      <c r="CQ138" s="12">
        <v>0</v>
      </c>
      <c r="CR138" s="12">
        <v>11</v>
      </c>
      <c r="CS138" s="12">
        <v>0</v>
      </c>
      <c r="CT138" s="12">
        <v>1</v>
      </c>
      <c r="CU138" s="12">
        <v>0</v>
      </c>
      <c r="CV138" s="12">
        <v>2</v>
      </c>
      <c r="CW138" s="12">
        <v>0</v>
      </c>
      <c r="CX138" s="12">
        <v>7</v>
      </c>
      <c r="CY138" s="12">
        <v>0</v>
      </c>
      <c r="CZ138" s="12">
        <v>1</v>
      </c>
      <c r="DA138" s="12">
        <v>0</v>
      </c>
      <c r="DB138" s="12">
        <v>0</v>
      </c>
      <c r="DC138" s="12">
        <v>0</v>
      </c>
      <c r="DD138" s="12">
        <v>1</v>
      </c>
      <c r="DE138" s="12">
        <v>1</v>
      </c>
      <c r="DF138" s="12">
        <v>10</v>
      </c>
      <c r="DG138" s="12">
        <v>10</v>
      </c>
      <c r="DH138" s="12">
        <v>0</v>
      </c>
      <c r="DI138" s="12">
        <v>2</v>
      </c>
      <c r="DJ138" s="12">
        <v>3</v>
      </c>
      <c r="DK138" s="12">
        <v>0</v>
      </c>
      <c r="DL138" s="12">
        <v>11</v>
      </c>
      <c r="DM138" s="12">
        <v>14</v>
      </c>
      <c r="DN138" s="12">
        <v>4</v>
      </c>
      <c r="DO138" s="12">
        <v>16</v>
      </c>
      <c r="DP138" s="12">
        <v>2</v>
      </c>
      <c r="DQ138" s="12">
        <v>3</v>
      </c>
      <c r="DR138" s="12">
        <v>1</v>
      </c>
      <c r="DS138" s="12">
        <v>4</v>
      </c>
      <c r="DT138" s="12">
        <v>6</v>
      </c>
      <c r="DU138" s="12">
        <v>31</v>
      </c>
      <c r="DV138" s="12">
        <v>0</v>
      </c>
      <c r="DW138" s="12">
        <v>1</v>
      </c>
      <c r="DX138" s="12">
        <v>73</v>
      </c>
      <c r="DY138" s="12">
        <v>18</v>
      </c>
      <c r="DZ138" s="12">
        <v>42</v>
      </c>
      <c r="EA138" s="16">
        <v>0.42857142857142855</v>
      </c>
      <c r="EB138" s="12">
        <v>7</v>
      </c>
      <c r="EC138" s="12">
        <v>20</v>
      </c>
      <c r="ED138" s="16">
        <v>0.35</v>
      </c>
      <c r="EE138" s="12">
        <v>25</v>
      </c>
      <c r="EF138" s="12">
        <v>62</v>
      </c>
      <c r="EG138" s="16">
        <v>0.40322580645161288</v>
      </c>
      <c r="EH138" s="12">
        <v>16</v>
      </c>
      <c r="EI138" s="12">
        <v>24</v>
      </c>
      <c r="EJ138" s="16">
        <v>0.66666666666666663</v>
      </c>
      <c r="EK138" s="12">
        <v>12</v>
      </c>
      <c r="EL138" s="12">
        <v>29</v>
      </c>
      <c r="EM138" s="12">
        <v>41</v>
      </c>
      <c r="EN138" s="12">
        <v>12</v>
      </c>
      <c r="EO138" s="12">
        <v>16</v>
      </c>
      <c r="EP138" s="12">
        <v>23</v>
      </c>
      <c r="EQ138" s="12">
        <v>8</v>
      </c>
      <c r="ER138" s="12">
        <v>16</v>
      </c>
      <c r="ES138" s="12">
        <v>1</v>
      </c>
      <c r="ET138" s="12">
        <v>2</v>
      </c>
      <c r="EU138" s="12">
        <v>79</v>
      </c>
      <c r="EV138" s="12">
        <v>5</v>
      </c>
      <c r="EW138" s="12">
        <v>77</v>
      </c>
      <c r="EX138" s="12">
        <v>89</v>
      </c>
      <c r="EY138" s="12">
        <v>11</v>
      </c>
      <c r="EZ138" s="12">
        <v>7</v>
      </c>
      <c r="FA138" s="12">
        <v>3</v>
      </c>
      <c r="FB138" s="12">
        <v>2</v>
      </c>
      <c r="FC138" s="12">
        <v>4</v>
      </c>
      <c r="FD138" s="12">
        <v>3</v>
      </c>
      <c r="FE138" s="12">
        <v>1</v>
      </c>
      <c r="FF138" s="12">
        <v>5</v>
      </c>
      <c r="FG138" s="12">
        <v>0</v>
      </c>
      <c r="FH138" s="12">
        <v>1</v>
      </c>
      <c r="FI138" s="12">
        <v>0</v>
      </c>
      <c r="FJ138" s="12">
        <v>0</v>
      </c>
      <c r="FK138" s="12">
        <v>0</v>
      </c>
      <c r="FL138" s="12">
        <v>3</v>
      </c>
      <c r="FM138" s="12">
        <v>0</v>
      </c>
      <c r="FN138" s="12">
        <v>0</v>
      </c>
      <c r="FO138" s="12">
        <v>0</v>
      </c>
      <c r="FP138" s="12">
        <v>1</v>
      </c>
      <c r="FQ138" s="12">
        <v>0</v>
      </c>
      <c r="FR138" s="12">
        <v>8</v>
      </c>
      <c r="FS138" s="12">
        <v>1</v>
      </c>
      <c r="FT138" s="12">
        <v>1</v>
      </c>
      <c r="FU138" s="12">
        <v>0</v>
      </c>
      <c r="FV138" s="12">
        <v>2</v>
      </c>
      <c r="FW138" s="12">
        <v>0</v>
      </c>
      <c r="FX138" s="12">
        <v>17</v>
      </c>
      <c r="FY138" s="12">
        <v>3</v>
      </c>
      <c r="FZ138" s="12">
        <v>0</v>
      </c>
      <c r="GA138" s="12">
        <v>0</v>
      </c>
      <c r="GB138" s="12">
        <v>1</v>
      </c>
      <c r="GC138" s="12">
        <v>1</v>
      </c>
      <c r="GD138" s="12">
        <v>1</v>
      </c>
      <c r="GE138" s="12">
        <v>1</v>
      </c>
      <c r="GF138" s="12">
        <v>14</v>
      </c>
      <c r="GG138" s="12">
        <v>22</v>
      </c>
      <c r="GH138" s="12">
        <v>1</v>
      </c>
      <c r="GI138" s="12">
        <v>0</v>
      </c>
      <c r="GJ138" s="12">
        <v>0</v>
      </c>
      <c r="GK138" s="12">
        <v>0</v>
      </c>
      <c r="GL138" s="12">
        <v>12</v>
      </c>
      <c r="GM138" s="12">
        <v>18</v>
      </c>
      <c r="GN138" s="12">
        <v>5</v>
      </c>
      <c r="GO138" s="12">
        <v>21</v>
      </c>
      <c r="GP138" s="12">
        <v>1</v>
      </c>
      <c r="GQ138" s="12">
        <v>3</v>
      </c>
      <c r="GR138" s="12">
        <v>2</v>
      </c>
      <c r="GS138" s="12">
        <v>4</v>
      </c>
      <c r="GT138" s="12">
        <v>5</v>
      </c>
      <c r="GU138" s="12">
        <v>16</v>
      </c>
      <c r="GV138" s="12">
        <v>0</v>
      </c>
      <c r="GW138" s="12">
        <v>0</v>
      </c>
      <c r="GY138" s="16"/>
    </row>
    <row r="139" spans="2:207" ht="15" customHeight="1" x14ac:dyDescent="0.2">
      <c r="B139" s="12">
        <v>8</v>
      </c>
      <c r="C139" s="12" t="s">
        <v>265</v>
      </c>
      <c r="D139" s="12" t="s">
        <v>281</v>
      </c>
      <c r="E139" s="14" t="s">
        <v>267</v>
      </c>
      <c r="F139" s="14" t="s">
        <v>283</v>
      </c>
      <c r="G139" s="15">
        <v>45245</v>
      </c>
      <c r="H139" s="15" t="s">
        <v>271</v>
      </c>
      <c r="I139" s="12" t="s">
        <v>269</v>
      </c>
      <c r="J139" s="12" t="s">
        <v>270</v>
      </c>
      <c r="K139" s="12">
        <v>200</v>
      </c>
      <c r="L139" s="12">
        <v>73</v>
      </c>
      <c r="M139" s="12">
        <v>18</v>
      </c>
      <c r="N139" s="12">
        <v>42</v>
      </c>
      <c r="O139" s="16">
        <v>0.42857142857142855</v>
      </c>
      <c r="P139" s="12">
        <v>7</v>
      </c>
      <c r="Q139" s="12">
        <v>20</v>
      </c>
      <c r="R139" s="16">
        <v>0.35</v>
      </c>
      <c r="S139" s="12">
        <v>25</v>
      </c>
      <c r="T139" s="12">
        <v>62</v>
      </c>
      <c r="U139" s="16">
        <v>0.40322580645161288</v>
      </c>
      <c r="V139" s="12">
        <v>16</v>
      </c>
      <c r="W139" s="12">
        <v>24</v>
      </c>
      <c r="X139" s="16">
        <v>0.66666666666666663</v>
      </c>
      <c r="Y139" s="12">
        <v>12</v>
      </c>
      <c r="Z139" s="12">
        <v>29</v>
      </c>
      <c r="AA139" s="12">
        <v>41</v>
      </c>
      <c r="AB139" s="12">
        <v>12</v>
      </c>
      <c r="AC139" s="12">
        <v>16</v>
      </c>
      <c r="AD139" s="12">
        <v>8</v>
      </c>
      <c r="AE139" s="12">
        <v>1</v>
      </c>
      <c r="AF139" s="12">
        <v>2</v>
      </c>
      <c r="AG139" s="12">
        <v>16</v>
      </c>
      <c r="AH139" s="12">
        <v>23</v>
      </c>
      <c r="AI139" s="17">
        <v>79</v>
      </c>
      <c r="AJ139" s="12">
        <v>5</v>
      </c>
      <c r="AK139" s="12">
        <v>77</v>
      </c>
      <c r="AL139" s="12">
        <v>89</v>
      </c>
      <c r="AM139" s="19">
        <v>0.8202247191011236</v>
      </c>
      <c r="AN139" s="19">
        <v>0.73913043478260865</v>
      </c>
      <c r="AO139" s="18">
        <v>94.805194805194802</v>
      </c>
      <c r="AP139" s="18">
        <v>87.179487179487182</v>
      </c>
      <c r="AQ139" s="18">
        <v>7.6257076257076193</v>
      </c>
      <c r="AR139" s="53">
        <v>0.45967741935483869</v>
      </c>
      <c r="AS139" s="53">
        <v>0.5</v>
      </c>
      <c r="AT139" s="16">
        <v>0.20224719101123595</v>
      </c>
      <c r="AU139" s="19">
        <v>1.3333333333333333</v>
      </c>
      <c r="AV139" s="16">
        <v>0.23595505617977527</v>
      </c>
      <c r="AW139" s="19">
        <v>0.47619047619047616</v>
      </c>
      <c r="AX139" s="16">
        <v>3.3707865168539325E-2</v>
      </c>
      <c r="AY139" s="19">
        <v>0.66666666666666663</v>
      </c>
      <c r="AZ139" s="16">
        <v>4.49438202247191E-2</v>
      </c>
      <c r="BA139" s="19">
        <v>1.5</v>
      </c>
      <c r="BB139" s="16">
        <v>0.1797752808988764</v>
      </c>
      <c r="BC139" s="21">
        <v>0.9375</v>
      </c>
      <c r="BD139" s="16">
        <v>0.12359550561797752</v>
      </c>
      <c r="BE139" s="16">
        <v>0.1797752808988764</v>
      </c>
      <c r="BF139" s="16">
        <v>0.34285714285714286</v>
      </c>
      <c r="BG139" s="16">
        <v>0.3888888888888889</v>
      </c>
      <c r="BH139" s="16">
        <v>0.42857142857142855</v>
      </c>
      <c r="BI139" s="16">
        <v>0.2</v>
      </c>
      <c r="BJ139" s="16">
        <v>0.1348314606741573</v>
      </c>
      <c r="BK139" s="21">
        <v>0.75</v>
      </c>
      <c r="BL139" s="16">
        <v>0.32432432432432434</v>
      </c>
      <c r="BM139" s="16">
        <v>0.4</v>
      </c>
      <c r="BN139" s="16">
        <v>0.25</v>
      </c>
      <c r="BO139" s="16">
        <v>0</v>
      </c>
      <c r="BP139" s="16">
        <v>0.67441860465116277</v>
      </c>
      <c r="BQ139" s="16">
        <v>0.6470588235294118</v>
      </c>
      <c r="BR139" s="16">
        <v>0.66666666666666663</v>
      </c>
      <c r="BS139" s="16" t="s">
        <v>269</v>
      </c>
      <c r="BT139" s="16">
        <v>0.51249999999999996</v>
      </c>
      <c r="BU139" s="16">
        <v>0.10256410256410256</v>
      </c>
      <c r="BV139" s="16">
        <v>1.4492753623188406E-2</v>
      </c>
      <c r="BW139" s="54">
        <v>11</v>
      </c>
      <c r="BX139" s="54">
        <v>0.4375</v>
      </c>
      <c r="BY139" s="54">
        <v>0.52173913043478259</v>
      </c>
      <c r="BZ139" s="12">
        <v>7</v>
      </c>
      <c r="CA139" s="12">
        <v>3</v>
      </c>
      <c r="CB139" s="12">
        <v>2</v>
      </c>
      <c r="CC139" s="12">
        <v>4</v>
      </c>
      <c r="CD139" s="12">
        <v>3</v>
      </c>
      <c r="CE139" s="12">
        <v>1</v>
      </c>
      <c r="CF139" s="12">
        <v>5</v>
      </c>
      <c r="CG139" s="12">
        <v>0</v>
      </c>
      <c r="CH139" s="12">
        <v>1</v>
      </c>
      <c r="CI139" s="12">
        <v>0</v>
      </c>
      <c r="CJ139" s="12">
        <v>0</v>
      </c>
      <c r="CK139" s="12">
        <v>0</v>
      </c>
      <c r="CL139" s="12">
        <v>3</v>
      </c>
      <c r="CM139" s="12">
        <v>0</v>
      </c>
      <c r="CN139" s="12">
        <v>0</v>
      </c>
      <c r="CO139" s="12">
        <v>0</v>
      </c>
      <c r="CP139" s="12">
        <v>1</v>
      </c>
      <c r="CQ139" s="12">
        <v>0</v>
      </c>
      <c r="CR139" s="12">
        <v>8</v>
      </c>
      <c r="CS139" s="12">
        <v>1</v>
      </c>
      <c r="CT139" s="12">
        <v>1</v>
      </c>
      <c r="CU139" s="12">
        <v>0</v>
      </c>
      <c r="CV139" s="12">
        <v>2</v>
      </c>
      <c r="CW139" s="12">
        <v>0</v>
      </c>
      <c r="CX139" s="12">
        <v>17</v>
      </c>
      <c r="CY139" s="12">
        <v>3</v>
      </c>
      <c r="CZ139" s="12">
        <v>0</v>
      </c>
      <c r="DA139" s="12">
        <v>0</v>
      </c>
      <c r="DB139" s="12">
        <v>1</v>
      </c>
      <c r="DC139" s="12">
        <v>1</v>
      </c>
      <c r="DD139" s="12">
        <v>1</v>
      </c>
      <c r="DE139" s="12">
        <v>1</v>
      </c>
      <c r="DF139" s="12">
        <v>14</v>
      </c>
      <c r="DG139" s="12">
        <v>22</v>
      </c>
      <c r="DH139" s="12">
        <v>1</v>
      </c>
      <c r="DI139" s="12">
        <v>0</v>
      </c>
      <c r="DJ139" s="12">
        <v>0</v>
      </c>
      <c r="DK139" s="12">
        <v>0</v>
      </c>
      <c r="DL139" s="12">
        <v>12</v>
      </c>
      <c r="DM139" s="12">
        <v>18</v>
      </c>
      <c r="DN139" s="12">
        <v>5</v>
      </c>
      <c r="DO139" s="12">
        <v>21</v>
      </c>
      <c r="DP139" s="12">
        <v>1</v>
      </c>
      <c r="DQ139" s="12">
        <v>3</v>
      </c>
      <c r="DR139" s="12">
        <v>2</v>
      </c>
      <c r="DS139" s="12">
        <v>4</v>
      </c>
      <c r="DT139" s="12">
        <v>5</v>
      </c>
      <c r="DU139" s="12">
        <v>16</v>
      </c>
      <c r="DV139" s="12">
        <v>0</v>
      </c>
      <c r="DW139" s="12">
        <v>0</v>
      </c>
      <c r="DX139" s="12">
        <v>68</v>
      </c>
      <c r="DY139" s="12">
        <v>17</v>
      </c>
      <c r="DZ139" s="12">
        <v>33</v>
      </c>
      <c r="EA139" s="16">
        <v>0.51515151515151514</v>
      </c>
      <c r="EB139" s="12">
        <v>7</v>
      </c>
      <c r="EC139" s="12">
        <v>36</v>
      </c>
      <c r="ED139" s="16">
        <v>0.19444444444444445</v>
      </c>
      <c r="EE139" s="12">
        <v>24</v>
      </c>
      <c r="EF139" s="12">
        <v>69</v>
      </c>
      <c r="EG139" s="16">
        <v>0.34782608695652173</v>
      </c>
      <c r="EH139" s="12">
        <v>13</v>
      </c>
      <c r="EI139" s="12">
        <v>14</v>
      </c>
      <c r="EJ139" s="16">
        <v>0.9285714285714286</v>
      </c>
      <c r="EK139" s="12">
        <v>14</v>
      </c>
      <c r="EL139" s="12">
        <v>25</v>
      </c>
      <c r="EM139" s="12">
        <v>39</v>
      </c>
      <c r="EN139" s="12">
        <v>15</v>
      </c>
      <c r="EO139" s="12">
        <v>24</v>
      </c>
      <c r="EP139" s="12">
        <v>16</v>
      </c>
      <c r="EQ139" s="12">
        <v>11</v>
      </c>
      <c r="ER139" s="12">
        <v>17</v>
      </c>
      <c r="ES139" s="12">
        <v>2</v>
      </c>
      <c r="ET139" s="12">
        <v>1</v>
      </c>
      <c r="EU139" s="12">
        <v>63</v>
      </c>
      <c r="EV139" s="12">
        <v>-5</v>
      </c>
      <c r="EW139" s="12">
        <v>78</v>
      </c>
      <c r="EX139" s="12">
        <v>92</v>
      </c>
      <c r="EY139" s="12">
        <v>8</v>
      </c>
      <c r="EZ139" s="12">
        <v>6</v>
      </c>
      <c r="FA139" s="12">
        <v>6</v>
      </c>
      <c r="FB139" s="12">
        <v>3</v>
      </c>
      <c r="FC139" s="12">
        <v>7</v>
      </c>
      <c r="FD139" s="12">
        <v>2</v>
      </c>
      <c r="FE139" s="12">
        <v>1</v>
      </c>
      <c r="FF139" s="12">
        <v>3</v>
      </c>
      <c r="FG139" s="12">
        <v>0</v>
      </c>
      <c r="FH139" s="12">
        <v>0</v>
      </c>
      <c r="FI139" s="12">
        <v>0</v>
      </c>
      <c r="FJ139" s="12">
        <v>1</v>
      </c>
      <c r="FK139" s="12">
        <v>0</v>
      </c>
      <c r="FL139" s="12">
        <v>8</v>
      </c>
      <c r="FM139" s="12">
        <v>2</v>
      </c>
      <c r="FN139" s="12">
        <v>0</v>
      </c>
      <c r="FO139" s="12">
        <v>0</v>
      </c>
      <c r="FP139" s="12">
        <v>3</v>
      </c>
      <c r="FQ139" s="12">
        <v>0</v>
      </c>
      <c r="FR139" s="12">
        <v>11</v>
      </c>
      <c r="FS139" s="12">
        <v>0</v>
      </c>
      <c r="FT139" s="12">
        <v>1</v>
      </c>
      <c r="FU139" s="12">
        <v>0</v>
      </c>
      <c r="FV139" s="12">
        <v>2</v>
      </c>
      <c r="FW139" s="12">
        <v>0</v>
      </c>
      <c r="FX139" s="12">
        <v>7</v>
      </c>
      <c r="FY139" s="12">
        <v>0</v>
      </c>
      <c r="FZ139" s="12">
        <v>1</v>
      </c>
      <c r="GA139" s="12">
        <v>0</v>
      </c>
      <c r="GB139" s="12">
        <v>0</v>
      </c>
      <c r="GC139" s="12">
        <v>0</v>
      </c>
      <c r="GD139" s="12">
        <v>1</v>
      </c>
      <c r="GE139" s="12">
        <v>1</v>
      </c>
      <c r="GF139" s="12">
        <v>10</v>
      </c>
      <c r="GG139" s="12">
        <v>10</v>
      </c>
      <c r="GH139" s="12">
        <v>0</v>
      </c>
      <c r="GI139" s="12">
        <v>2</v>
      </c>
      <c r="GJ139" s="12">
        <v>3</v>
      </c>
      <c r="GK139" s="12">
        <v>0</v>
      </c>
      <c r="GL139" s="12">
        <v>11</v>
      </c>
      <c r="GM139" s="12">
        <v>14</v>
      </c>
      <c r="GN139" s="12">
        <v>4</v>
      </c>
      <c r="GO139" s="12">
        <v>16</v>
      </c>
      <c r="GP139" s="12">
        <v>2</v>
      </c>
      <c r="GQ139" s="12">
        <v>3</v>
      </c>
      <c r="GR139" s="12">
        <v>1</v>
      </c>
      <c r="GS139" s="12">
        <v>4</v>
      </c>
      <c r="GT139" s="12">
        <v>6</v>
      </c>
      <c r="GU139" s="12">
        <v>31</v>
      </c>
      <c r="GV139" s="12">
        <v>0</v>
      </c>
      <c r="GW139" s="12">
        <v>1</v>
      </c>
      <c r="GY139" s="16"/>
    </row>
    <row r="140" spans="2:207" ht="15" customHeight="1" x14ac:dyDescent="0.2">
      <c r="B140" s="12">
        <v>8</v>
      </c>
      <c r="C140" s="12" t="s">
        <v>294</v>
      </c>
      <c r="D140" s="12" t="s">
        <v>286</v>
      </c>
      <c r="E140" s="14" t="s">
        <v>296</v>
      </c>
      <c r="F140" s="14" t="s">
        <v>288</v>
      </c>
      <c r="G140" s="15">
        <v>45245</v>
      </c>
      <c r="H140" s="15" t="s">
        <v>268</v>
      </c>
      <c r="I140" s="12" t="s">
        <v>269</v>
      </c>
      <c r="J140" s="12" t="s">
        <v>270</v>
      </c>
      <c r="K140" s="12">
        <v>200</v>
      </c>
      <c r="L140" s="12">
        <v>73</v>
      </c>
      <c r="M140" s="12">
        <v>17</v>
      </c>
      <c r="N140" s="12">
        <v>29</v>
      </c>
      <c r="O140" s="16">
        <v>0.58620689655172409</v>
      </c>
      <c r="P140" s="12">
        <v>7</v>
      </c>
      <c r="Q140" s="12">
        <v>19</v>
      </c>
      <c r="R140" s="16">
        <v>0.36842105263157893</v>
      </c>
      <c r="S140" s="12">
        <v>24</v>
      </c>
      <c r="T140" s="12">
        <v>48</v>
      </c>
      <c r="U140" s="16">
        <v>0.5</v>
      </c>
      <c r="V140" s="12">
        <v>18</v>
      </c>
      <c r="W140" s="12">
        <v>31</v>
      </c>
      <c r="X140" s="16">
        <v>0.58064516129032262</v>
      </c>
      <c r="Y140" s="12">
        <v>10</v>
      </c>
      <c r="Z140" s="12">
        <v>15</v>
      </c>
      <c r="AA140" s="12">
        <v>25</v>
      </c>
      <c r="AB140" s="12">
        <v>14</v>
      </c>
      <c r="AC140" s="12">
        <v>16</v>
      </c>
      <c r="AD140" s="12">
        <v>8</v>
      </c>
      <c r="AE140" s="12">
        <v>4</v>
      </c>
      <c r="AF140" s="12">
        <v>3</v>
      </c>
      <c r="AG140" s="12">
        <v>18</v>
      </c>
      <c r="AH140" s="12">
        <v>29</v>
      </c>
      <c r="AI140" s="17">
        <v>79</v>
      </c>
      <c r="AJ140" s="12">
        <v>2</v>
      </c>
      <c r="AK140" s="12">
        <v>68</v>
      </c>
      <c r="AL140" s="12">
        <v>78</v>
      </c>
      <c r="AM140" s="19">
        <v>0.9358974358974359</v>
      </c>
      <c r="AN140" s="19">
        <v>0.88749999999999996</v>
      </c>
      <c r="AO140" s="18">
        <v>107.35294117647058</v>
      </c>
      <c r="AP140" s="18">
        <v>102.89855072463767</v>
      </c>
      <c r="AQ140" s="18">
        <v>4.4543904518329072</v>
      </c>
      <c r="AR140" s="53">
        <v>0.57291666666666663</v>
      </c>
      <c r="AS140" s="53">
        <v>0.58870967741935487</v>
      </c>
      <c r="AT140" s="16">
        <v>0.14102564102564102</v>
      </c>
      <c r="AU140" s="19">
        <v>1.6363636363636365</v>
      </c>
      <c r="AV140" s="16">
        <v>0.19230769230769232</v>
      </c>
      <c r="AW140" s="19">
        <v>0.93333333333333335</v>
      </c>
      <c r="AX140" s="16">
        <v>3.8461538461538464E-2</v>
      </c>
      <c r="AY140" s="19">
        <v>0.66666666666666663</v>
      </c>
      <c r="AZ140" s="16">
        <v>5.128205128205128E-2</v>
      </c>
      <c r="BA140" s="19">
        <v>2.25</v>
      </c>
      <c r="BB140" s="16">
        <v>0.19230769230769232</v>
      </c>
      <c r="BC140" s="21">
        <v>0.8</v>
      </c>
      <c r="BD140" s="16">
        <v>0.17948717948717949</v>
      </c>
      <c r="BE140" s="16">
        <v>0.20512820512820512</v>
      </c>
      <c r="BF140" s="16">
        <v>0.3888888888888889</v>
      </c>
      <c r="BG140" s="16">
        <v>0.41176470588235292</v>
      </c>
      <c r="BH140" s="16">
        <v>1</v>
      </c>
      <c r="BI140" s="16">
        <v>0</v>
      </c>
      <c r="BJ140" s="16">
        <v>0.17948717948717949</v>
      </c>
      <c r="BK140" s="21">
        <v>0.875</v>
      </c>
      <c r="BL140" s="16">
        <v>0.30303030303030304</v>
      </c>
      <c r="BM140" s="16">
        <v>0.53333333333333333</v>
      </c>
      <c r="BN140" s="16">
        <v>0.5</v>
      </c>
      <c r="BO140" s="16">
        <v>0</v>
      </c>
      <c r="BP140" s="16">
        <v>0.57692307692307687</v>
      </c>
      <c r="BQ140" s="16">
        <v>0.6875</v>
      </c>
      <c r="BR140" s="16">
        <v>0.36363636363636365</v>
      </c>
      <c r="BS140" s="16">
        <v>1</v>
      </c>
      <c r="BT140" s="16">
        <v>0.42372881355932202</v>
      </c>
      <c r="BU140" s="16">
        <v>0.11594202898550725</v>
      </c>
      <c r="BV140" s="16">
        <v>7.8431372549019607E-2</v>
      </c>
      <c r="BW140" s="54">
        <v>4</v>
      </c>
      <c r="BX140" s="54">
        <v>0.3888888888888889</v>
      </c>
      <c r="BY140" s="54">
        <v>0.58620689655172409</v>
      </c>
      <c r="BZ140" s="12">
        <v>7</v>
      </c>
      <c r="CA140" s="12">
        <v>7</v>
      </c>
      <c r="CB140" s="12">
        <v>0</v>
      </c>
      <c r="CC140" s="12">
        <v>0</v>
      </c>
      <c r="CD140" s="12">
        <v>1</v>
      </c>
      <c r="CE140" s="12">
        <v>1</v>
      </c>
      <c r="CF140" s="12">
        <v>4</v>
      </c>
      <c r="CG140" s="12">
        <v>2</v>
      </c>
      <c r="CH140" s="12">
        <v>0</v>
      </c>
      <c r="CI140" s="12">
        <v>0</v>
      </c>
      <c r="CJ140" s="12">
        <v>0</v>
      </c>
      <c r="CK140" s="12">
        <v>0</v>
      </c>
      <c r="CL140" s="12">
        <v>5</v>
      </c>
      <c r="CM140" s="12">
        <v>2</v>
      </c>
      <c r="CN140" s="12">
        <v>0</v>
      </c>
      <c r="CO140" s="12">
        <v>0</v>
      </c>
      <c r="CP140" s="12">
        <v>2</v>
      </c>
      <c r="CQ140" s="12">
        <v>0</v>
      </c>
      <c r="CR140" s="12">
        <v>6</v>
      </c>
      <c r="CS140" s="12">
        <v>1</v>
      </c>
      <c r="CT140" s="12">
        <v>2</v>
      </c>
      <c r="CU140" s="12">
        <v>0</v>
      </c>
      <c r="CV140" s="12">
        <v>0</v>
      </c>
      <c r="CW140" s="12">
        <v>0</v>
      </c>
      <c r="CX140" s="12">
        <v>4</v>
      </c>
      <c r="CY140" s="12">
        <v>0</v>
      </c>
      <c r="CZ140" s="12">
        <v>1</v>
      </c>
      <c r="DA140" s="12">
        <v>0</v>
      </c>
      <c r="DB140" s="12">
        <v>0</v>
      </c>
      <c r="DC140" s="12">
        <v>0</v>
      </c>
      <c r="DD140" s="12">
        <v>2</v>
      </c>
      <c r="DE140" s="12">
        <v>3</v>
      </c>
      <c r="DF140" s="12">
        <v>16</v>
      </c>
      <c r="DG140" s="12">
        <v>28</v>
      </c>
      <c r="DH140" s="12">
        <v>2</v>
      </c>
      <c r="DI140" s="12">
        <v>0</v>
      </c>
      <c r="DJ140" s="12">
        <v>0</v>
      </c>
      <c r="DK140" s="12">
        <v>0</v>
      </c>
      <c r="DL140" s="12">
        <v>9</v>
      </c>
      <c r="DM140" s="12">
        <v>11</v>
      </c>
      <c r="DN140" s="12">
        <v>7</v>
      </c>
      <c r="DO140" s="12">
        <v>15</v>
      </c>
      <c r="DP140" s="12">
        <v>1</v>
      </c>
      <c r="DQ140" s="12">
        <v>3</v>
      </c>
      <c r="DR140" s="12">
        <v>3</v>
      </c>
      <c r="DS140" s="12">
        <v>4</v>
      </c>
      <c r="DT140" s="12">
        <v>4</v>
      </c>
      <c r="DU140" s="12">
        <v>15</v>
      </c>
      <c r="DV140" s="12">
        <v>0</v>
      </c>
      <c r="DW140" s="12">
        <v>0</v>
      </c>
      <c r="DX140" s="12">
        <v>71</v>
      </c>
      <c r="DY140" s="12">
        <v>15</v>
      </c>
      <c r="DZ140" s="12">
        <v>31</v>
      </c>
      <c r="EA140" s="16">
        <v>0.4838709677419355</v>
      </c>
      <c r="EB140" s="12">
        <v>10</v>
      </c>
      <c r="EC140" s="12">
        <v>20</v>
      </c>
      <c r="ED140" s="16">
        <v>0.5</v>
      </c>
      <c r="EE140" s="12">
        <v>25</v>
      </c>
      <c r="EF140" s="12">
        <v>51</v>
      </c>
      <c r="EG140" s="16">
        <v>0.49019607843137253</v>
      </c>
      <c r="EH140" s="12">
        <v>11</v>
      </c>
      <c r="EI140" s="12">
        <v>14</v>
      </c>
      <c r="EJ140" s="16">
        <v>0.7857142857142857</v>
      </c>
      <c r="EK140" s="12">
        <v>11</v>
      </c>
      <c r="EL140" s="12">
        <v>23</v>
      </c>
      <c r="EM140" s="12">
        <v>34</v>
      </c>
      <c r="EN140" s="12">
        <v>16</v>
      </c>
      <c r="EO140" s="12">
        <v>29</v>
      </c>
      <c r="EP140" s="12">
        <v>18</v>
      </c>
      <c r="EQ140" s="12">
        <v>5</v>
      </c>
      <c r="ER140" s="12">
        <v>23</v>
      </c>
      <c r="ES140" s="12">
        <v>3</v>
      </c>
      <c r="ET140" s="12">
        <v>4</v>
      </c>
      <c r="EU140" s="12">
        <v>62</v>
      </c>
      <c r="EV140" s="12">
        <v>-2</v>
      </c>
      <c r="EW140" s="12">
        <v>69</v>
      </c>
      <c r="EX140" s="12">
        <v>80</v>
      </c>
      <c r="EY140" s="12">
        <v>2</v>
      </c>
      <c r="EZ140" s="12">
        <v>7</v>
      </c>
      <c r="FA140" s="12">
        <v>8</v>
      </c>
      <c r="FB140" s="12">
        <v>1</v>
      </c>
      <c r="FC140" s="12">
        <v>2</v>
      </c>
      <c r="FD140" s="12">
        <v>0</v>
      </c>
      <c r="FE140" s="12">
        <v>0</v>
      </c>
      <c r="FF140" s="12">
        <v>4</v>
      </c>
      <c r="FG140" s="12">
        <v>0</v>
      </c>
      <c r="FH140" s="12">
        <v>1</v>
      </c>
      <c r="FI140" s="12">
        <v>0</v>
      </c>
      <c r="FJ140" s="12">
        <v>1</v>
      </c>
      <c r="FK140" s="12">
        <v>0</v>
      </c>
      <c r="FL140" s="12">
        <v>5</v>
      </c>
      <c r="FM140" s="12">
        <v>1</v>
      </c>
      <c r="FN140" s="12">
        <v>0</v>
      </c>
      <c r="FO140" s="12">
        <v>0</v>
      </c>
      <c r="FP140" s="12">
        <v>1</v>
      </c>
      <c r="FQ140" s="12">
        <v>0</v>
      </c>
      <c r="FR140" s="12">
        <v>4</v>
      </c>
      <c r="FS140" s="12">
        <v>0</v>
      </c>
      <c r="FT140" s="12">
        <v>2</v>
      </c>
      <c r="FU140" s="12">
        <v>0</v>
      </c>
      <c r="FV140" s="12">
        <v>1</v>
      </c>
      <c r="FW140" s="12">
        <v>0</v>
      </c>
      <c r="FX140" s="12">
        <v>6</v>
      </c>
      <c r="FY140" s="12">
        <v>0</v>
      </c>
      <c r="FZ140" s="12">
        <v>8</v>
      </c>
      <c r="GA140" s="12">
        <v>0</v>
      </c>
      <c r="GB140" s="12">
        <v>1</v>
      </c>
      <c r="GC140" s="12">
        <v>1</v>
      </c>
      <c r="GD140" s="12">
        <v>1</v>
      </c>
      <c r="GE140" s="12">
        <v>1</v>
      </c>
      <c r="GF140" s="12">
        <v>9</v>
      </c>
      <c r="GG140" s="12">
        <v>12</v>
      </c>
      <c r="GH140" s="12">
        <v>1</v>
      </c>
      <c r="GI140" s="12">
        <v>0</v>
      </c>
      <c r="GJ140" s="12">
        <v>0</v>
      </c>
      <c r="GK140" s="12">
        <v>0</v>
      </c>
      <c r="GL140" s="12">
        <v>8</v>
      </c>
      <c r="GM140" s="12">
        <v>11</v>
      </c>
      <c r="GN140" s="12">
        <v>6</v>
      </c>
      <c r="GO140" s="12">
        <v>16</v>
      </c>
      <c r="GP140" s="12">
        <v>1</v>
      </c>
      <c r="GQ140" s="12">
        <v>4</v>
      </c>
      <c r="GR140" s="12">
        <v>2</v>
      </c>
      <c r="GS140" s="12">
        <v>3</v>
      </c>
      <c r="GT140" s="12">
        <v>8</v>
      </c>
      <c r="GU140" s="12">
        <v>17</v>
      </c>
      <c r="GV140" s="12">
        <v>0</v>
      </c>
      <c r="GW140" s="12">
        <v>0</v>
      </c>
      <c r="GY140" s="16"/>
    </row>
    <row r="141" spans="2:207" ht="15" customHeight="1" x14ac:dyDescent="0.2">
      <c r="B141" s="12">
        <v>8</v>
      </c>
      <c r="C141" s="12" t="s">
        <v>286</v>
      </c>
      <c r="D141" s="12" t="s">
        <v>294</v>
      </c>
      <c r="E141" s="14" t="s">
        <v>288</v>
      </c>
      <c r="F141" s="14" t="s">
        <v>296</v>
      </c>
      <c r="G141" s="15">
        <v>45245</v>
      </c>
      <c r="H141" s="15" t="s">
        <v>271</v>
      </c>
      <c r="I141" s="12" t="s">
        <v>269</v>
      </c>
      <c r="J141" s="12" t="s">
        <v>272</v>
      </c>
      <c r="K141" s="12">
        <v>200</v>
      </c>
      <c r="L141" s="12">
        <v>71</v>
      </c>
      <c r="M141" s="12">
        <v>15</v>
      </c>
      <c r="N141" s="12">
        <v>31</v>
      </c>
      <c r="O141" s="16">
        <v>0.4838709677419355</v>
      </c>
      <c r="P141" s="12">
        <v>10</v>
      </c>
      <c r="Q141" s="12">
        <v>20</v>
      </c>
      <c r="R141" s="16">
        <v>0.5</v>
      </c>
      <c r="S141" s="12">
        <v>25</v>
      </c>
      <c r="T141" s="12">
        <v>51</v>
      </c>
      <c r="U141" s="16">
        <v>0.49019607843137253</v>
      </c>
      <c r="V141" s="12">
        <v>11</v>
      </c>
      <c r="W141" s="12">
        <v>14</v>
      </c>
      <c r="X141" s="16">
        <v>0.7857142857142857</v>
      </c>
      <c r="Y141" s="12">
        <v>11</v>
      </c>
      <c r="Z141" s="12">
        <v>23</v>
      </c>
      <c r="AA141" s="12">
        <v>34</v>
      </c>
      <c r="AB141" s="12">
        <v>16</v>
      </c>
      <c r="AC141" s="12">
        <v>23</v>
      </c>
      <c r="AD141" s="12">
        <v>5</v>
      </c>
      <c r="AE141" s="12">
        <v>3</v>
      </c>
      <c r="AF141" s="12">
        <v>4</v>
      </c>
      <c r="AG141" s="12">
        <v>29</v>
      </c>
      <c r="AH141" s="12">
        <v>18</v>
      </c>
      <c r="AI141" s="17">
        <v>62</v>
      </c>
      <c r="AJ141" s="12">
        <v>-2</v>
      </c>
      <c r="AK141" s="12">
        <v>69</v>
      </c>
      <c r="AL141" s="12">
        <v>80</v>
      </c>
      <c r="AM141" s="19">
        <v>0.88749999999999996</v>
      </c>
      <c r="AN141" s="19">
        <v>0.9358974358974359</v>
      </c>
      <c r="AO141" s="18">
        <v>102.89855072463767</v>
      </c>
      <c r="AP141" s="18">
        <v>107.35294117647058</v>
      </c>
      <c r="AQ141" s="18">
        <v>-4.4543904518329072</v>
      </c>
      <c r="AR141" s="53">
        <v>0.58823529411764708</v>
      </c>
      <c r="AS141" s="53">
        <v>0.6228070175438597</v>
      </c>
      <c r="AT141" s="16">
        <v>0.13750000000000001</v>
      </c>
      <c r="AU141" s="19">
        <v>1.4545454545454546</v>
      </c>
      <c r="AV141" s="16">
        <v>0.2</v>
      </c>
      <c r="AW141" s="19">
        <v>0.75</v>
      </c>
      <c r="AX141" s="16">
        <v>0.05</v>
      </c>
      <c r="AY141" s="19">
        <v>0.5</v>
      </c>
      <c r="AZ141" s="16">
        <v>3.7499999999999999E-2</v>
      </c>
      <c r="BA141" s="19">
        <v>2</v>
      </c>
      <c r="BB141" s="16">
        <v>0.21249999999999999</v>
      </c>
      <c r="BC141" s="21">
        <v>1.411764705882353</v>
      </c>
      <c r="BD141" s="16">
        <v>7.4999999999999997E-2</v>
      </c>
      <c r="BE141" s="16">
        <v>0.28749999999999998</v>
      </c>
      <c r="BF141" s="16">
        <v>0.53333333333333333</v>
      </c>
      <c r="BG141" s="16">
        <v>0.46666666666666667</v>
      </c>
      <c r="BH141" s="16">
        <v>0.8</v>
      </c>
      <c r="BI141" s="16">
        <v>0.2</v>
      </c>
      <c r="BJ141" s="16">
        <v>0.2</v>
      </c>
      <c r="BK141" s="21">
        <v>0.69565217391304346</v>
      </c>
      <c r="BL141" s="16">
        <v>0.42307692307692307</v>
      </c>
      <c r="BM141" s="16">
        <v>0.3125</v>
      </c>
      <c r="BN141" s="16">
        <v>0.63636363636363635</v>
      </c>
      <c r="BO141" s="16">
        <v>0</v>
      </c>
      <c r="BP141" s="16">
        <v>0.69696969696969702</v>
      </c>
      <c r="BQ141" s="16">
        <v>0.46666666666666667</v>
      </c>
      <c r="BR141" s="16">
        <v>0.5</v>
      </c>
      <c r="BS141" s="16">
        <v>1</v>
      </c>
      <c r="BT141" s="16">
        <v>0.57627118644067798</v>
      </c>
      <c r="BU141" s="16">
        <v>7.3529411764705885E-2</v>
      </c>
      <c r="BV141" s="16">
        <v>6.25E-2</v>
      </c>
      <c r="BW141" s="54">
        <v>2</v>
      </c>
      <c r="BX141" s="54">
        <v>0.58620689655172409</v>
      </c>
      <c r="BY141" s="54">
        <v>0.3888888888888889</v>
      </c>
      <c r="BZ141" s="12">
        <v>7</v>
      </c>
      <c r="CA141" s="12">
        <v>8</v>
      </c>
      <c r="CB141" s="12">
        <v>1</v>
      </c>
      <c r="CC141" s="12">
        <v>2</v>
      </c>
      <c r="CD141" s="12">
        <v>0</v>
      </c>
      <c r="CE141" s="12">
        <v>0</v>
      </c>
      <c r="CF141" s="12">
        <v>4</v>
      </c>
      <c r="CG141" s="12">
        <v>0</v>
      </c>
      <c r="CH141" s="12">
        <v>1</v>
      </c>
      <c r="CI141" s="12">
        <v>0</v>
      </c>
      <c r="CJ141" s="12">
        <v>1</v>
      </c>
      <c r="CK141" s="12">
        <v>0</v>
      </c>
      <c r="CL141" s="12">
        <v>5</v>
      </c>
      <c r="CM141" s="12">
        <v>1</v>
      </c>
      <c r="CN141" s="12">
        <v>0</v>
      </c>
      <c r="CO141" s="12">
        <v>0</v>
      </c>
      <c r="CP141" s="12">
        <v>1</v>
      </c>
      <c r="CQ141" s="12">
        <v>0</v>
      </c>
      <c r="CR141" s="12">
        <v>4</v>
      </c>
      <c r="CS141" s="12">
        <v>0</v>
      </c>
      <c r="CT141" s="12">
        <v>2</v>
      </c>
      <c r="CU141" s="12">
        <v>0</v>
      </c>
      <c r="CV141" s="12">
        <v>1</v>
      </c>
      <c r="CW141" s="12">
        <v>0</v>
      </c>
      <c r="CX141" s="12">
        <v>6</v>
      </c>
      <c r="CY141" s="12">
        <v>0</v>
      </c>
      <c r="CZ141" s="12">
        <v>8</v>
      </c>
      <c r="DA141" s="12">
        <v>0</v>
      </c>
      <c r="DB141" s="12">
        <v>1</v>
      </c>
      <c r="DC141" s="12">
        <v>1</v>
      </c>
      <c r="DD141" s="12">
        <v>1</v>
      </c>
      <c r="DE141" s="12">
        <v>1</v>
      </c>
      <c r="DF141" s="12">
        <v>9</v>
      </c>
      <c r="DG141" s="12">
        <v>12</v>
      </c>
      <c r="DH141" s="12">
        <v>1</v>
      </c>
      <c r="DI141" s="12">
        <v>0</v>
      </c>
      <c r="DJ141" s="12">
        <v>0</v>
      </c>
      <c r="DK141" s="12">
        <v>0</v>
      </c>
      <c r="DL141" s="12">
        <v>8</v>
      </c>
      <c r="DM141" s="12">
        <v>11</v>
      </c>
      <c r="DN141" s="12">
        <v>6</v>
      </c>
      <c r="DO141" s="12">
        <v>16</v>
      </c>
      <c r="DP141" s="12">
        <v>1</v>
      </c>
      <c r="DQ141" s="12">
        <v>4</v>
      </c>
      <c r="DR141" s="12">
        <v>2</v>
      </c>
      <c r="DS141" s="12">
        <v>3</v>
      </c>
      <c r="DT141" s="12">
        <v>8</v>
      </c>
      <c r="DU141" s="12">
        <v>17</v>
      </c>
      <c r="DV141" s="12">
        <v>0</v>
      </c>
      <c r="DW141" s="12">
        <v>0</v>
      </c>
      <c r="DX141" s="12">
        <v>73</v>
      </c>
      <c r="DY141" s="12">
        <v>17</v>
      </c>
      <c r="DZ141" s="12">
        <v>29</v>
      </c>
      <c r="EA141" s="16">
        <v>0.58620689655172409</v>
      </c>
      <c r="EB141" s="12">
        <v>7</v>
      </c>
      <c r="EC141" s="12">
        <v>19</v>
      </c>
      <c r="ED141" s="16">
        <v>0.36842105263157893</v>
      </c>
      <c r="EE141" s="12">
        <v>24</v>
      </c>
      <c r="EF141" s="12">
        <v>48</v>
      </c>
      <c r="EG141" s="16">
        <v>0.5</v>
      </c>
      <c r="EH141" s="12">
        <v>18</v>
      </c>
      <c r="EI141" s="12">
        <v>31</v>
      </c>
      <c r="EJ141" s="16">
        <v>0.58064516129032262</v>
      </c>
      <c r="EK141" s="12">
        <v>10</v>
      </c>
      <c r="EL141" s="12">
        <v>15</v>
      </c>
      <c r="EM141" s="12">
        <v>25</v>
      </c>
      <c r="EN141" s="12">
        <v>14</v>
      </c>
      <c r="EO141" s="12">
        <v>19</v>
      </c>
      <c r="EP141" s="12">
        <v>29</v>
      </c>
      <c r="EQ141" s="12">
        <v>8</v>
      </c>
      <c r="ER141" s="12">
        <v>16</v>
      </c>
      <c r="ES141" s="12">
        <v>4</v>
      </c>
      <c r="ET141" s="12">
        <v>3</v>
      </c>
      <c r="EU141" s="12">
        <v>78</v>
      </c>
      <c r="EV141" s="12">
        <v>2</v>
      </c>
      <c r="EW141" s="12">
        <v>68</v>
      </c>
      <c r="EX141" s="12">
        <v>78</v>
      </c>
      <c r="EY141" s="12">
        <v>4</v>
      </c>
      <c r="EZ141" s="12">
        <v>7</v>
      </c>
      <c r="FA141" s="12">
        <v>7</v>
      </c>
      <c r="FB141" s="12">
        <v>0</v>
      </c>
      <c r="FC141" s="12">
        <v>0</v>
      </c>
      <c r="FD141" s="12">
        <v>1</v>
      </c>
      <c r="FE141" s="12">
        <v>1</v>
      </c>
      <c r="FF141" s="12">
        <v>4</v>
      </c>
      <c r="FG141" s="12">
        <v>2</v>
      </c>
      <c r="FH141" s="12">
        <v>0</v>
      </c>
      <c r="FI141" s="12">
        <v>0</v>
      </c>
      <c r="FJ141" s="12">
        <v>0</v>
      </c>
      <c r="FK141" s="12">
        <v>0</v>
      </c>
      <c r="FL141" s="12">
        <v>5</v>
      </c>
      <c r="FM141" s="12">
        <v>2</v>
      </c>
      <c r="FN141" s="12">
        <v>0</v>
      </c>
      <c r="FO141" s="12">
        <v>0</v>
      </c>
      <c r="FP141" s="12">
        <v>2</v>
      </c>
      <c r="FQ141" s="12">
        <v>0</v>
      </c>
      <c r="FR141" s="12">
        <v>6</v>
      </c>
      <c r="FS141" s="12">
        <v>1</v>
      </c>
      <c r="FT141" s="12">
        <v>2</v>
      </c>
      <c r="FU141" s="12">
        <v>0</v>
      </c>
      <c r="FV141" s="12">
        <v>0</v>
      </c>
      <c r="FW141" s="12">
        <v>0</v>
      </c>
      <c r="FX141" s="12">
        <v>4</v>
      </c>
      <c r="FY141" s="12">
        <v>0</v>
      </c>
      <c r="FZ141" s="12">
        <v>1</v>
      </c>
      <c r="GA141" s="12">
        <v>0</v>
      </c>
      <c r="GB141" s="12">
        <v>0</v>
      </c>
      <c r="GC141" s="12">
        <v>0</v>
      </c>
      <c r="GD141" s="12">
        <v>2</v>
      </c>
      <c r="GE141" s="12">
        <v>3</v>
      </c>
      <c r="GF141" s="12">
        <v>16</v>
      </c>
      <c r="GG141" s="12">
        <v>28</v>
      </c>
      <c r="GH141" s="12">
        <v>2</v>
      </c>
      <c r="GI141" s="12">
        <v>0</v>
      </c>
      <c r="GJ141" s="12">
        <v>0</v>
      </c>
      <c r="GK141" s="12">
        <v>0</v>
      </c>
      <c r="GL141" s="12">
        <v>9</v>
      </c>
      <c r="GM141" s="12">
        <v>11</v>
      </c>
      <c r="GN141" s="12">
        <v>7</v>
      </c>
      <c r="GO141" s="12">
        <v>15</v>
      </c>
      <c r="GP141" s="12">
        <v>1</v>
      </c>
      <c r="GQ141" s="12">
        <v>3</v>
      </c>
      <c r="GR141" s="12">
        <v>3</v>
      </c>
      <c r="GS141" s="12">
        <v>4</v>
      </c>
      <c r="GT141" s="12">
        <v>4</v>
      </c>
      <c r="GU141" s="12">
        <v>15</v>
      </c>
      <c r="GV141" s="12">
        <v>0</v>
      </c>
      <c r="GW141" s="12">
        <v>0</v>
      </c>
      <c r="GY141" s="16"/>
    </row>
    <row r="142" spans="2:207" ht="15" customHeight="1" x14ac:dyDescent="0.2">
      <c r="B142" s="12">
        <v>8</v>
      </c>
      <c r="C142" s="12" t="s">
        <v>282</v>
      </c>
      <c r="D142" s="12" t="s">
        <v>274</v>
      </c>
      <c r="E142" s="14" t="s">
        <v>284</v>
      </c>
      <c r="F142" s="14" t="s">
        <v>276</v>
      </c>
      <c r="G142" s="15">
        <v>45245</v>
      </c>
      <c r="H142" s="15" t="s">
        <v>268</v>
      </c>
      <c r="I142" s="12" t="s">
        <v>269</v>
      </c>
      <c r="J142" s="12" t="s">
        <v>270</v>
      </c>
      <c r="K142" s="12">
        <v>200</v>
      </c>
      <c r="L142" s="12">
        <v>94</v>
      </c>
      <c r="M142" s="12">
        <v>21</v>
      </c>
      <c r="N142" s="12">
        <v>39</v>
      </c>
      <c r="O142" s="16">
        <v>0.53846153846153844</v>
      </c>
      <c r="P142" s="12">
        <v>13</v>
      </c>
      <c r="Q142" s="12">
        <v>28</v>
      </c>
      <c r="R142" s="16">
        <v>0.4642857142857143</v>
      </c>
      <c r="S142" s="12">
        <v>34</v>
      </c>
      <c r="T142" s="12">
        <v>67</v>
      </c>
      <c r="U142" s="16">
        <v>0.5074626865671642</v>
      </c>
      <c r="V142" s="12">
        <v>13</v>
      </c>
      <c r="W142" s="12">
        <v>16</v>
      </c>
      <c r="X142" s="16">
        <v>0.8125</v>
      </c>
      <c r="Y142" s="12">
        <v>13</v>
      </c>
      <c r="Z142" s="12">
        <v>26</v>
      </c>
      <c r="AA142" s="12">
        <v>39</v>
      </c>
      <c r="AB142" s="12">
        <v>16</v>
      </c>
      <c r="AC142" s="12">
        <v>9</v>
      </c>
      <c r="AD142" s="12">
        <v>7</v>
      </c>
      <c r="AE142" s="12">
        <v>1</v>
      </c>
      <c r="AF142" s="12">
        <v>4</v>
      </c>
      <c r="AG142" s="12">
        <v>25</v>
      </c>
      <c r="AH142" s="12">
        <v>23</v>
      </c>
      <c r="AI142" s="17">
        <v>106</v>
      </c>
      <c r="AJ142" s="12">
        <v>9</v>
      </c>
      <c r="AK142" s="12">
        <v>68</v>
      </c>
      <c r="AL142" s="12">
        <v>82</v>
      </c>
      <c r="AM142" s="19">
        <v>1.1463414634146341</v>
      </c>
      <c r="AN142" s="19">
        <v>1.1486486486486487</v>
      </c>
      <c r="AO142" s="18">
        <v>138.23529411764704</v>
      </c>
      <c r="AP142" s="18">
        <v>121.42857142857142</v>
      </c>
      <c r="AQ142" s="18">
        <v>16.806722689075627</v>
      </c>
      <c r="AR142" s="53">
        <v>0.60447761194029848</v>
      </c>
      <c r="AS142" s="53">
        <v>0.64383561643835618</v>
      </c>
      <c r="AT142" s="16">
        <v>0.10975609756097561</v>
      </c>
      <c r="AU142" s="19">
        <v>1.5555555555555556</v>
      </c>
      <c r="AV142" s="16">
        <v>0.25609756097560976</v>
      </c>
      <c r="AW142" s="19">
        <v>0.95238095238095233</v>
      </c>
      <c r="AX142" s="16">
        <v>0.10975609756097561</v>
      </c>
      <c r="AY142" s="19">
        <v>0.88888888888888884</v>
      </c>
      <c r="AZ142" s="16">
        <v>2.4390243902439025E-2</v>
      </c>
      <c r="BA142" s="19">
        <v>1.5</v>
      </c>
      <c r="BB142" s="16">
        <v>0.31707317073170732</v>
      </c>
      <c r="BC142" s="21">
        <v>1.3846153846153846</v>
      </c>
      <c r="BD142" s="16">
        <v>7.3170731707317069E-2</v>
      </c>
      <c r="BE142" s="16">
        <v>0.1111111111111111</v>
      </c>
      <c r="BF142" s="16">
        <v>0.4</v>
      </c>
      <c r="BG142" s="16">
        <v>0.2857142857142857</v>
      </c>
      <c r="BH142" s="16">
        <v>0.69230769230769229</v>
      </c>
      <c r="BI142" s="16">
        <v>0.16666666666666666</v>
      </c>
      <c r="BJ142" s="16">
        <v>0.19753086419753085</v>
      </c>
      <c r="BK142" s="21">
        <v>1.7777777777777777</v>
      </c>
      <c r="BL142" s="16">
        <v>0.37142857142857144</v>
      </c>
      <c r="BM142" s="16">
        <v>0.35</v>
      </c>
      <c r="BN142" s="16">
        <v>0.46666666666666667</v>
      </c>
      <c r="BO142" s="16">
        <v>0</v>
      </c>
      <c r="BP142" s="16">
        <v>0.89655172413793105</v>
      </c>
      <c r="BQ142" s="16">
        <v>1</v>
      </c>
      <c r="BR142" s="16">
        <v>0.875</v>
      </c>
      <c r="BS142" s="16">
        <v>0</v>
      </c>
      <c r="BT142" s="16">
        <v>0.609375</v>
      </c>
      <c r="BU142" s="16">
        <v>0.1</v>
      </c>
      <c r="BV142" s="16">
        <v>1.7241379310344827E-2</v>
      </c>
      <c r="BW142" s="54">
        <v>6</v>
      </c>
      <c r="BX142" s="54">
        <v>0.56000000000000005</v>
      </c>
      <c r="BY142" s="54">
        <v>0.43478260869565216</v>
      </c>
      <c r="BZ142" s="12">
        <v>6</v>
      </c>
      <c r="CA142" s="12">
        <v>9</v>
      </c>
      <c r="CB142" s="12">
        <v>1</v>
      </c>
      <c r="CC142" s="12">
        <v>0</v>
      </c>
      <c r="CD142" s="12">
        <v>1</v>
      </c>
      <c r="CE142" s="12">
        <v>1</v>
      </c>
      <c r="CF142" s="12">
        <v>4</v>
      </c>
      <c r="CG142" s="12">
        <v>0</v>
      </c>
      <c r="CH142" s="12">
        <v>1</v>
      </c>
      <c r="CI142" s="12">
        <v>0</v>
      </c>
      <c r="CJ142" s="12">
        <v>0</v>
      </c>
      <c r="CK142" s="12">
        <v>0</v>
      </c>
      <c r="CL142" s="12">
        <v>7</v>
      </c>
      <c r="CM142" s="12">
        <v>0</v>
      </c>
      <c r="CN142" s="12">
        <v>0</v>
      </c>
      <c r="CO142" s="12">
        <v>0</v>
      </c>
      <c r="CP142" s="12">
        <v>0</v>
      </c>
      <c r="CQ142" s="12">
        <v>0</v>
      </c>
      <c r="CR142" s="12">
        <v>6</v>
      </c>
      <c r="CS142" s="12">
        <v>0</v>
      </c>
      <c r="CT142" s="12">
        <v>4</v>
      </c>
      <c r="CU142" s="12">
        <v>0</v>
      </c>
      <c r="CV142" s="12">
        <v>1</v>
      </c>
      <c r="CW142" s="12">
        <v>0</v>
      </c>
      <c r="CX142" s="12">
        <v>13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3</v>
      </c>
      <c r="DE142" s="12">
        <v>4</v>
      </c>
      <c r="DF142" s="12">
        <v>10</v>
      </c>
      <c r="DG142" s="12">
        <v>12</v>
      </c>
      <c r="DH142" s="12">
        <v>0</v>
      </c>
      <c r="DI142" s="12">
        <v>0</v>
      </c>
      <c r="DJ142" s="12">
        <v>0</v>
      </c>
      <c r="DK142" s="12">
        <v>0</v>
      </c>
      <c r="DL142" s="12">
        <v>7</v>
      </c>
      <c r="DM142" s="12">
        <v>9</v>
      </c>
      <c r="DN142" s="12">
        <v>10</v>
      </c>
      <c r="DO142" s="12">
        <v>21</v>
      </c>
      <c r="DP142" s="12">
        <v>4</v>
      </c>
      <c r="DQ142" s="12">
        <v>9</v>
      </c>
      <c r="DR142" s="12">
        <v>1</v>
      </c>
      <c r="DS142" s="12">
        <v>2</v>
      </c>
      <c r="DT142" s="12">
        <v>12</v>
      </c>
      <c r="DU142" s="12">
        <v>26</v>
      </c>
      <c r="DV142" s="12">
        <v>0</v>
      </c>
      <c r="DW142" s="12">
        <v>0</v>
      </c>
      <c r="DX142" s="12">
        <v>85</v>
      </c>
      <c r="DY142" s="12">
        <v>21</v>
      </c>
      <c r="DZ142" s="12">
        <v>31</v>
      </c>
      <c r="EA142" s="16">
        <v>0.67741935483870963</v>
      </c>
      <c r="EB142" s="12">
        <v>8</v>
      </c>
      <c r="EC142" s="12">
        <v>27</v>
      </c>
      <c r="ED142" s="16">
        <v>0.29629629629629628</v>
      </c>
      <c r="EE142" s="12">
        <v>29</v>
      </c>
      <c r="EF142" s="12">
        <v>58</v>
      </c>
      <c r="EG142" s="16">
        <v>0.5</v>
      </c>
      <c r="EH142" s="12">
        <v>19</v>
      </c>
      <c r="EI142" s="12">
        <v>23</v>
      </c>
      <c r="EJ142" s="16">
        <v>0.82608695652173914</v>
      </c>
      <c r="EK142" s="12">
        <v>3</v>
      </c>
      <c r="EL142" s="12">
        <v>22</v>
      </c>
      <c r="EM142" s="12">
        <v>25</v>
      </c>
      <c r="EN142" s="12">
        <v>15</v>
      </c>
      <c r="EO142" s="12">
        <v>23</v>
      </c>
      <c r="EP142" s="12">
        <v>25</v>
      </c>
      <c r="EQ142" s="12">
        <v>3</v>
      </c>
      <c r="ER142" s="12">
        <v>8</v>
      </c>
      <c r="ES142" s="12">
        <v>4</v>
      </c>
      <c r="ET142" s="12">
        <v>1</v>
      </c>
      <c r="EU142" s="12">
        <v>92</v>
      </c>
      <c r="EV142" s="12">
        <v>-9</v>
      </c>
      <c r="EW142" s="12">
        <v>70</v>
      </c>
      <c r="EX142" s="12">
        <v>74</v>
      </c>
      <c r="EY142" s="12">
        <v>3</v>
      </c>
      <c r="EZ142" s="12">
        <v>6</v>
      </c>
      <c r="FA142" s="12">
        <v>7</v>
      </c>
      <c r="FB142" s="12">
        <v>2</v>
      </c>
      <c r="FC142" s="12">
        <v>4</v>
      </c>
      <c r="FD142" s="12">
        <v>0</v>
      </c>
      <c r="FE142" s="12">
        <v>0</v>
      </c>
      <c r="FF142" s="12">
        <v>0</v>
      </c>
      <c r="FG142" s="12">
        <v>0</v>
      </c>
      <c r="FH142" s="12">
        <v>0</v>
      </c>
      <c r="FI142" s="12">
        <v>0</v>
      </c>
      <c r="FJ142" s="12">
        <v>0</v>
      </c>
      <c r="FK142" s="12">
        <v>0</v>
      </c>
      <c r="FL142" s="12">
        <v>2</v>
      </c>
      <c r="FM142" s="12">
        <v>0</v>
      </c>
      <c r="FN142" s="12">
        <v>1</v>
      </c>
      <c r="FO142" s="12">
        <v>1</v>
      </c>
      <c r="FP142" s="12">
        <v>1</v>
      </c>
      <c r="FQ142" s="12">
        <v>0</v>
      </c>
      <c r="FR142" s="12">
        <v>7</v>
      </c>
      <c r="FS142" s="12">
        <v>0</v>
      </c>
      <c r="FT142" s="12">
        <v>4</v>
      </c>
      <c r="FU142" s="12">
        <v>1</v>
      </c>
      <c r="FV142" s="12">
        <v>1</v>
      </c>
      <c r="FW142" s="12">
        <v>0</v>
      </c>
      <c r="FX142" s="12">
        <v>6</v>
      </c>
      <c r="FY142" s="12">
        <v>1</v>
      </c>
      <c r="FZ142" s="12">
        <v>3</v>
      </c>
      <c r="GA142" s="12">
        <v>0</v>
      </c>
      <c r="GB142" s="12">
        <v>1</v>
      </c>
      <c r="GC142" s="12">
        <v>1</v>
      </c>
      <c r="GD142" s="12">
        <v>4</v>
      </c>
      <c r="GE142" s="12">
        <v>6</v>
      </c>
      <c r="GF142" s="12">
        <v>14</v>
      </c>
      <c r="GG142" s="12">
        <v>16</v>
      </c>
      <c r="GH142" s="12">
        <v>0</v>
      </c>
      <c r="GI142" s="12">
        <v>0</v>
      </c>
      <c r="GJ142" s="12">
        <v>0</v>
      </c>
      <c r="GK142" s="12">
        <v>0</v>
      </c>
      <c r="GL142" s="12">
        <v>2</v>
      </c>
      <c r="GM142" s="12">
        <v>2</v>
      </c>
      <c r="GN142" s="12">
        <v>16</v>
      </c>
      <c r="GO142" s="12">
        <v>22</v>
      </c>
      <c r="GP142" s="12">
        <v>3</v>
      </c>
      <c r="GQ142" s="12">
        <v>7</v>
      </c>
      <c r="GR142" s="12">
        <v>2</v>
      </c>
      <c r="GS142" s="12">
        <v>4</v>
      </c>
      <c r="GT142" s="12">
        <v>6</v>
      </c>
      <c r="GU142" s="12">
        <v>22</v>
      </c>
      <c r="GV142" s="12">
        <v>0</v>
      </c>
      <c r="GW142" s="12">
        <v>1</v>
      </c>
      <c r="GY142" s="16"/>
    </row>
    <row r="143" spans="2:207" ht="15" customHeight="1" x14ac:dyDescent="0.2">
      <c r="B143" s="12">
        <v>8</v>
      </c>
      <c r="C143" s="12" t="s">
        <v>274</v>
      </c>
      <c r="D143" s="12" t="s">
        <v>282</v>
      </c>
      <c r="E143" s="14" t="s">
        <v>276</v>
      </c>
      <c r="F143" s="14" t="s">
        <v>284</v>
      </c>
      <c r="G143" s="15">
        <v>45245</v>
      </c>
      <c r="H143" s="15" t="s">
        <v>271</v>
      </c>
      <c r="I143" s="12" t="s">
        <v>269</v>
      </c>
      <c r="J143" s="12" t="s">
        <v>272</v>
      </c>
      <c r="K143" s="12">
        <v>200</v>
      </c>
      <c r="L143" s="12">
        <v>85</v>
      </c>
      <c r="M143" s="12">
        <v>21</v>
      </c>
      <c r="N143" s="12">
        <v>31</v>
      </c>
      <c r="O143" s="16">
        <v>0.67741935483870963</v>
      </c>
      <c r="P143" s="12">
        <v>8</v>
      </c>
      <c r="Q143" s="12">
        <v>27</v>
      </c>
      <c r="R143" s="16">
        <v>0.29629629629629628</v>
      </c>
      <c r="S143" s="12">
        <v>29</v>
      </c>
      <c r="T143" s="12">
        <v>58</v>
      </c>
      <c r="U143" s="16">
        <v>0.5</v>
      </c>
      <c r="V143" s="12">
        <v>19</v>
      </c>
      <c r="W143" s="12">
        <v>23</v>
      </c>
      <c r="X143" s="16">
        <v>0.82608695652173914</v>
      </c>
      <c r="Y143" s="12">
        <v>3</v>
      </c>
      <c r="Z143" s="12">
        <v>22</v>
      </c>
      <c r="AA143" s="12">
        <v>25</v>
      </c>
      <c r="AB143" s="12">
        <v>15</v>
      </c>
      <c r="AC143" s="12">
        <v>8</v>
      </c>
      <c r="AD143" s="12">
        <v>3</v>
      </c>
      <c r="AE143" s="12">
        <v>4</v>
      </c>
      <c r="AF143" s="12">
        <v>1</v>
      </c>
      <c r="AG143" s="12">
        <v>23</v>
      </c>
      <c r="AH143" s="12">
        <v>25</v>
      </c>
      <c r="AI143" s="17">
        <v>92</v>
      </c>
      <c r="AJ143" s="12">
        <v>-9</v>
      </c>
      <c r="AK143" s="12">
        <v>70</v>
      </c>
      <c r="AL143" s="12">
        <v>74</v>
      </c>
      <c r="AM143" s="19">
        <v>1.1486486486486487</v>
      </c>
      <c r="AN143" s="19">
        <v>1.1463414634146341</v>
      </c>
      <c r="AO143" s="18">
        <v>121.42857142857142</v>
      </c>
      <c r="AP143" s="18">
        <v>138.23529411764704</v>
      </c>
      <c r="AQ143" s="18">
        <v>-16.806722689075627</v>
      </c>
      <c r="AR143" s="53">
        <v>0.56896551724137934</v>
      </c>
      <c r="AS143" s="53">
        <v>0.64393939393939392</v>
      </c>
      <c r="AT143" s="16">
        <v>2.7027027027027029E-2</v>
      </c>
      <c r="AU143" s="19">
        <v>2</v>
      </c>
      <c r="AV143" s="16">
        <v>0.29729729729729731</v>
      </c>
      <c r="AW143" s="19">
        <v>1.4545454545454546</v>
      </c>
      <c r="AX143" s="16">
        <v>9.45945945945946E-2</v>
      </c>
      <c r="AY143" s="19">
        <v>0.8571428571428571</v>
      </c>
      <c r="AZ143" s="16">
        <v>5.4054054054054057E-2</v>
      </c>
      <c r="BA143" s="19">
        <v>1.5</v>
      </c>
      <c r="BB143" s="16">
        <v>0.29729729729729731</v>
      </c>
      <c r="BC143" s="21">
        <v>0.81818181818181823</v>
      </c>
      <c r="BD143" s="16">
        <v>0.10810810810810811</v>
      </c>
      <c r="BE143" s="16">
        <v>0.1095890410958904</v>
      </c>
      <c r="BF143" s="16">
        <v>0.40540540540540543</v>
      </c>
      <c r="BG143" s="16">
        <v>0.2857142857142857</v>
      </c>
      <c r="BH143" s="16">
        <v>0.875</v>
      </c>
      <c r="BI143" s="16">
        <v>0.25</v>
      </c>
      <c r="BJ143" s="16">
        <v>0.20547945205479451</v>
      </c>
      <c r="BK143" s="21">
        <v>1.875</v>
      </c>
      <c r="BL143" s="16">
        <v>0.10344827586206896</v>
      </c>
      <c r="BM143" s="16">
        <v>0</v>
      </c>
      <c r="BN143" s="16">
        <v>0.125</v>
      </c>
      <c r="BO143" s="16">
        <v>1</v>
      </c>
      <c r="BP143" s="16">
        <v>0.62857142857142856</v>
      </c>
      <c r="BQ143" s="16">
        <v>0.65</v>
      </c>
      <c r="BR143" s="16">
        <v>0.53333333333333333</v>
      </c>
      <c r="BS143" s="16">
        <v>1</v>
      </c>
      <c r="BT143" s="16">
        <v>0.390625</v>
      </c>
      <c r="BU143" s="16">
        <v>4.4117647058823532E-2</v>
      </c>
      <c r="BV143" s="16">
        <v>5.9701492537313432E-2</v>
      </c>
      <c r="BW143" s="54">
        <v>3</v>
      </c>
      <c r="BX143" s="54">
        <v>0.43478260869565216</v>
      </c>
      <c r="BY143" s="54">
        <v>0.56000000000000005</v>
      </c>
      <c r="BZ143" s="12">
        <v>6</v>
      </c>
      <c r="CA143" s="12">
        <v>7</v>
      </c>
      <c r="CB143" s="12">
        <v>2</v>
      </c>
      <c r="CC143" s="12">
        <v>4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2</v>
      </c>
      <c r="CM143" s="12">
        <v>0</v>
      </c>
      <c r="CN143" s="12">
        <v>1</v>
      </c>
      <c r="CO143" s="12">
        <v>1</v>
      </c>
      <c r="CP143" s="12">
        <v>1</v>
      </c>
      <c r="CQ143" s="12">
        <v>0</v>
      </c>
      <c r="CR143" s="12">
        <v>7</v>
      </c>
      <c r="CS143" s="12">
        <v>0</v>
      </c>
      <c r="CT143" s="12">
        <v>4</v>
      </c>
      <c r="CU143" s="12">
        <v>1</v>
      </c>
      <c r="CV143" s="12">
        <v>1</v>
      </c>
      <c r="CW143" s="12">
        <v>0</v>
      </c>
      <c r="CX143" s="12">
        <v>6</v>
      </c>
      <c r="CY143" s="12">
        <v>1</v>
      </c>
      <c r="CZ143" s="12">
        <v>3</v>
      </c>
      <c r="DA143" s="12">
        <v>0</v>
      </c>
      <c r="DB143" s="12">
        <v>1</v>
      </c>
      <c r="DC143" s="12">
        <v>1</v>
      </c>
      <c r="DD143" s="12">
        <v>4</v>
      </c>
      <c r="DE143" s="12">
        <v>6</v>
      </c>
      <c r="DF143" s="12">
        <v>14</v>
      </c>
      <c r="DG143" s="12">
        <v>16</v>
      </c>
      <c r="DH143" s="12">
        <v>0</v>
      </c>
      <c r="DI143" s="12">
        <v>0</v>
      </c>
      <c r="DJ143" s="12">
        <v>0</v>
      </c>
      <c r="DK143" s="12">
        <v>0</v>
      </c>
      <c r="DL143" s="12">
        <v>2</v>
      </c>
      <c r="DM143" s="12">
        <v>2</v>
      </c>
      <c r="DN143" s="12">
        <v>16</v>
      </c>
      <c r="DO143" s="12">
        <v>22</v>
      </c>
      <c r="DP143" s="12">
        <v>3</v>
      </c>
      <c r="DQ143" s="12">
        <v>7</v>
      </c>
      <c r="DR143" s="12">
        <v>2</v>
      </c>
      <c r="DS143" s="12">
        <v>4</v>
      </c>
      <c r="DT143" s="12">
        <v>6</v>
      </c>
      <c r="DU143" s="12">
        <v>22</v>
      </c>
      <c r="DV143" s="12">
        <v>0</v>
      </c>
      <c r="DW143" s="12">
        <v>1</v>
      </c>
      <c r="DX143" s="12">
        <v>94</v>
      </c>
      <c r="DY143" s="12">
        <v>21</v>
      </c>
      <c r="DZ143" s="12">
        <v>39</v>
      </c>
      <c r="EA143" s="16">
        <v>0.53846153846153844</v>
      </c>
      <c r="EB143" s="12">
        <v>13</v>
      </c>
      <c r="EC143" s="12">
        <v>28</v>
      </c>
      <c r="ED143" s="16">
        <v>0.4642857142857143</v>
      </c>
      <c r="EE143" s="12">
        <v>34</v>
      </c>
      <c r="EF143" s="12">
        <v>67</v>
      </c>
      <c r="EG143" s="16">
        <v>0.5074626865671642</v>
      </c>
      <c r="EH143" s="12">
        <v>13</v>
      </c>
      <c r="EI143" s="12">
        <v>16</v>
      </c>
      <c r="EJ143" s="16">
        <v>0.8125</v>
      </c>
      <c r="EK143" s="12">
        <v>13</v>
      </c>
      <c r="EL143" s="12">
        <v>26</v>
      </c>
      <c r="EM143" s="12">
        <v>39</v>
      </c>
      <c r="EN143" s="12">
        <v>16</v>
      </c>
      <c r="EO143" s="12">
        <v>26</v>
      </c>
      <c r="EP143" s="12">
        <v>23</v>
      </c>
      <c r="EQ143" s="12">
        <v>7</v>
      </c>
      <c r="ER143" s="12">
        <v>9</v>
      </c>
      <c r="ES143" s="12">
        <v>1</v>
      </c>
      <c r="ET143" s="12">
        <v>4</v>
      </c>
      <c r="EU143" s="12">
        <v>105</v>
      </c>
      <c r="EV143" s="12">
        <v>9</v>
      </c>
      <c r="EW143" s="12">
        <v>68</v>
      </c>
      <c r="EX143" s="12">
        <v>82</v>
      </c>
      <c r="EY143" s="12">
        <v>6</v>
      </c>
      <c r="EZ143" s="12">
        <v>6</v>
      </c>
      <c r="FA143" s="12">
        <v>9</v>
      </c>
      <c r="FB143" s="12">
        <v>1</v>
      </c>
      <c r="FC143" s="12">
        <v>0</v>
      </c>
      <c r="FD143" s="12">
        <v>1</v>
      </c>
      <c r="FE143" s="12">
        <v>1</v>
      </c>
      <c r="FF143" s="12">
        <v>4</v>
      </c>
      <c r="FG143" s="12">
        <v>0</v>
      </c>
      <c r="FH143" s="12">
        <v>1</v>
      </c>
      <c r="FI143" s="12">
        <v>0</v>
      </c>
      <c r="FJ143" s="12">
        <v>0</v>
      </c>
      <c r="FK143" s="12">
        <v>0</v>
      </c>
      <c r="FL143" s="12">
        <v>7</v>
      </c>
      <c r="FM143" s="12">
        <v>0</v>
      </c>
      <c r="FN143" s="12">
        <v>0</v>
      </c>
      <c r="FO143" s="12">
        <v>0</v>
      </c>
      <c r="FP143" s="12">
        <v>0</v>
      </c>
      <c r="FQ143" s="12">
        <v>0</v>
      </c>
      <c r="FR143" s="12">
        <v>6</v>
      </c>
      <c r="FS143" s="12">
        <v>0</v>
      </c>
      <c r="FT143" s="12">
        <v>4</v>
      </c>
      <c r="FU143" s="12">
        <v>0</v>
      </c>
      <c r="FV143" s="12">
        <v>1</v>
      </c>
      <c r="FW143" s="12">
        <v>0</v>
      </c>
      <c r="FX143" s="12">
        <v>13</v>
      </c>
      <c r="FY143" s="12">
        <v>0</v>
      </c>
      <c r="FZ143" s="12">
        <v>0</v>
      </c>
      <c r="GA143" s="12">
        <v>0</v>
      </c>
      <c r="GB143" s="12">
        <v>0</v>
      </c>
      <c r="GC143" s="12">
        <v>0</v>
      </c>
      <c r="GD143" s="12">
        <v>3</v>
      </c>
      <c r="GE143" s="12">
        <v>4</v>
      </c>
      <c r="GF143" s="12">
        <v>10</v>
      </c>
      <c r="GG143" s="12">
        <v>12</v>
      </c>
      <c r="GH143" s="12">
        <v>0</v>
      </c>
      <c r="GI143" s="12">
        <v>0</v>
      </c>
      <c r="GJ143" s="12">
        <v>0</v>
      </c>
      <c r="GK143" s="12">
        <v>0</v>
      </c>
      <c r="GL143" s="12">
        <v>7</v>
      </c>
      <c r="GM143" s="12">
        <v>9</v>
      </c>
      <c r="GN143" s="12">
        <v>10</v>
      </c>
      <c r="GO143" s="12">
        <v>21</v>
      </c>
      <c r="GP143" s="12">
        <v>4</v>
      </c>
      <c r="GQ143" s="12">
        <v>9</v>
      </c>
      <c r="GR143" s="12">
        <v>1</v>
      </c>
      <c r="GS143" s="12">
        <v>2</v>
      </c>
      <c r="GT143" s="12">
        <v>12</v>
      </c>
      <c r="GU143" s="12">
        <v>26</v>
      </c>
      <c r="GV143" s="12">
        <v>0</v>
      </c>
      <c r="GW143" s="12">
        <v>0</v>
      </c>
      <c r="GY143" s="16"/>
    </row>
    <row r="144" spans="2:207" ht="15" customHeight="1" x14ac:dyDescent="0.2">
      <c r="B144" s="12">
        <v>8</v>
      </c>
      <c r="C144" s="12" t="s">
        <v>297</v>
      </c>
      <c r="D144" s="12" t="s">
        <v>278</v>
      </c>
      <c r="E144" s="14" t="s">
        <v>299</v>
      </c>
      <c r="F144" s="14" t="s">
        <v>280</v>
      </c>
      <c r="G144" s="15">
        <v>45245</v>
      </c>
      <c r="H144" s="15" t="s">
        <v>268</v>
      </c>
      <c r="I144" s="12" t="s">
        <v>269</v>
      </c>
      <c r="J144" s="12" t="s">
        <v>270</v>
      </c>
      <c r="K144" s="12">
        <v>200</v>
      </c>
      <c r="L144" s="12">
        <v>94</v>
      </c>
      <c r="M144" s="12">
        <v>19</v>
      </c>
      <c r="N144" s="12">
        <v>33</v>
      </c>
      <c r="O144" s="16">
        <v>0.5757575757575758</v>
      </c>
      <c r="P144" s="12">
        <v>14</v>
      </c>
      <c r="Q144" s="12">
        <v>30</v>
      </c>
      <c r="R144" s="16">
        <v>0.46666666666666667</v>
      </c>
      <c r="S144" s="12">
        <v>33</v>
      </c>
      <c r="T144" s="12">
        <v>63</v>
      </c>
      <c r="U144" s="16">
        <v>0.52380952380952384</v>
      </c>
      <c r="V144" s="12">
        <v>14</v>
      </c>
      <c r="W144" s="12">
        <v>14</v>
      </c>
      <c r="X144" s="16">
        <v>1</v>
      </c>
      <c r="Y144" s="12">
        <v>6</v>
      </c>
      <c r="Z144" s="12">
        <v>34</v>
      </c>
      <c r="AA144" s="12">
        <v>40</v>
      </c>
      <c r="AB144" s="12">
        <v>19</v>
      </c>
      <c r="AC144" s="12">
        <v>14</v>
      </c>
      <c r="AD144" s="12">
        <v>8</v>
      </c>
      <c r="AE144" s="12">
        <v>2</v>
      </c>
      <c r="AF144" s="12">
        <v>3</v>
      </c>
      <c r="AG144" s="12">
        <v>17</v>
      </c>
      <c r="AH144" s="12">
        <v>14</v>
      </c>
      <c r="AI144" s="17">
        <v>113</v>
      </c>
      <c r="AJ144" s="12">
        <v>23</v>
      </c>
      <c r="AK144" s="12">
        <v>76</v>
      </c>
      <c r="AL144" s="12">
        <v>82</v>
      </c>
      <c r="AM144" s="19">
        <v>1.1463414634146341</v>
      </c>
      <c r="AN144" s="19">
        <v>0.78888888888888886</v>
      </c>
      <c r="AO144" s="18">
        <v>123.68421052631579</v>
      </c>
      <c r="AP144" s="18">
        <v>91.025641025641022</v>
      </c>
      <c r="AQ144" s="18">
        <v>32.658569500674773</v>
      </c>
      <c r="AR144" s="53">
        <v>0.63492063492063489</v>
      </c>
      <c r="AS144" s="53">
        <v>0.69117647058823528</v>
      </c>
      <c r="AT144" s="16">
        <v>6.097560975609756E-2</v>
      </c>
      <c r="AU144" s="19">
        <v>1.6</v>
      </c>
      <c r="AV144" s="16">
        <v>0.23170731707317074</v>
      </c>
      <c r="AW144" s="19">
        <v>1.0526315789473684</v>
      </c>
      <c r="AX144" s="16">
        <v>0.10975609756097561</v>
      </c>
      <c r="AY144" s="19">
        <v>1.1111111111111112</v>
      </c>
      <c r="AZ144" s="16">
        <v>2.4390243902439025E-2</v>
      </c>
      <c r="BA144" s="19">
        <v>3</v>
      </c>
      <c r="BB144" s="16">
        <v>0.34146341463414637</v>
      </c>
      <c r="BC144" s="21">
        <v>1.2857142857142858</v>
      </c>
      <c r="BD144" s="16">
        <v>6.097560975609756E-2</v>
      </c>
      <c r="BE144" s="16">
        <v>0.17073170731707318</v>
      </c>
      <c r="BF144" s="16">
        <v>0.5</v>
      </c>
      <c r="BG144" s="16">
        <v>0.42105263157894735</v>
      </c>
      <c r="BH144" s="16">
        <v>0.7142857142857143</v>
      </c>
      <c r="BI144" s="16">
        <v>0.2</v>
      </c>
      <c r="BJ144" s="16">
        <v>0.23170731707317074</v>
      </c>
      <c r="BK144" s="21">
        <v>1.3571428571428572</v>
      </c>
      <c r="BL144" s="16">
        <v>0.20689655172413793</v>
      </c>
      <c r="BM144" s="16">
        <v>0.125</v>
      </c>
      <c r="BN144" s="16">
        <v>0.33333333333333331</v>
      </c>
      <c r="BO144" s="16" t="s">
        <v>269</v>
      </c>
      <c r="BP144" s="16">
        <v>0.73913043478260865</v>
      </c>
      <c r="BQ144" s="16">
        <v>0.76</v>
      </c>
      <c r="BR144" s="16">
        <v>0.7</v>
      </c>
      <c r="BS144" s="16">
        <v>1</v>
      </c>
      <c r="BT144" s="16">
        <v>0.53333333333333333</v>
      </c>
      <c r="BU144" s="16">
        <v>0.10256410256410256</v>
      </c>
      <c r="BV144" s="16">
        <v>2.8169014084507043E-2</v>
      </c>
      <c r="BW144" s="54">
        <v>8</v>
      </c>
      <c r="BX144" s="54">
        <v>0.41176470588235292</v>
      </c>
      <c r="BY144" s="54">
        <v>0.5</v>
      </c>
      <c r="BZ144" s="12">
        <v>8</v>
      </c>
      <c r="CA144" s="12">
        <v>10</v>
      </c>
      <c r="CB144" s="12">
        <v>1</v>
      </c>
      <c r="CC144" s="12">
        <v>2</v>
      </c>
      <c r="CD144" s="12">
        <v>1</v>
      </c>
      <c r="CE144" s="12">
        <v>1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5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18</v>
      </c>
      <c r="CS144" s="12">
        <v>1</v>
      </c>
      <c r="CT144" s="12">
        <v>0</v>
      </c>
      <c r="CU144" s="12">
        <v>0</v>
      </c>
      <c r="CV144" s="12">
        <v>0</v>
      </c>
      <c r="CW144" s="12">
        <v>0</v>
      </c>
      <c r="CX144" s="12">
        <v>14</v>
      </c>
      <c r="CY144" s="12">
        <v>0</v>
      </c>
      <c r="CZ144" s="12">
        <v>2</v>
      </c>
      <c r="DA144" s="12">
        <v>0</v>
      </c>
      <c r="DB144" s="12">
        <v>2</v>
      </c>
      <c r="DC144" s="12">
        <v>2</v>
      </c>
      <c r="DD144" s="12">
        <v>2</v>
      </c>
      <c r="DE144" s="12">
        <v>2</v>
      </c>
      <c r="DF144" s="12">
        <v>10</v>
      </c>
      <c r="DG144" s="12">
        <v>10</v>
      </c>
      <c r="DH144" s="12">
        <v>0</v>
      </c>
      <c r="DI144" s="12">
        <v>0</v>
      </c>
      <c r="DJ144" s="12">
        <v>0</v>
      </c>
      <c r="DK144" s="12">
        <v>0</v>
      </c>
      <c r="DL144" s="12">
        <v>4</v>
      </c>
      <c r="DM144" s="12">
        <v>5</v>
      </c>
      <c r="DN144" s="12">
        <v>10</v>
      </c>
      <c r="DO144" s="12">
        <v>19</v>
      </c>
      <c r="DP144" s="12">
        <v>5</v>
      </c>
      <c r="DQ144" s="12">
        <v>9</v>
      </c>
      <c r="DR144" s="12">
        <v>2</v>
      </c>
      <c r="DS144" s="12">
        <v>2</v>
      </c>
      <c r="DT144" s="12">
        <v>12</v>
      </c>
      <c r="DU144" s="12">
        <v>28</v>
      </c>
      <c r="DV144" s="12">
        <v>0</v>
      </c>
      <c r="DW144" s="12">
        <v>0</v>
      </c>
      <c r="DX144" s="12">
        <v>71</v>
      </c>
      <c r="DY144" s="12">
        <v>15</v>
      </c>
      <c r="DZ144" s="12">
        <v>40</v>
      </c>
      <c r="EA144" s="16">
        <v>0.375</v>
      </c>
      <c r="EB144" s="12">
        <v>11</v>
      </c>
      <c r="EC144" s="12">
        <v>31</v>
      </c>
      <c r="ED144" s="16">
        <v>0.35483870967741937</v>
      </c>
      <c r="EE144" s="12">
        <v>26</v>
      </c>
      <c r="EF144" s="12">
        <v>71</v>
      </c>
      <c r="EG144" s="16">
        <v>0.36619718309859156</v>
      </c>
      <c r="EH144" s="12">
        <v>8</v>
      </c>
      <c r="EI144" s="12">
        <v>13</v>
      </c>
      <c r="EJ144" s="16">
        <v>0.61538461538461542</v>
      </c>
      <c r="EK144" s="12">
        <v>12</v>
      </c>
      <c r="EL144" s="12">
        <v>23</v>
      </c>
      <c r="EM144" s="12">
        <v>35</v>
      </c>
      <c r="EN144" s="12">
        <v>16</v>
      </c>
      <c r="EO144" s="12">
        <v>16</v>
      </c>
      <c r="EP144" s="12">
        <v>17</v>
      </c>
      <c r="EQ144" s="12">
        <v>5</v>
      </c>
      <c r="ER144" s="12">
        <v>13</v>
      </c>
      <c r="ES144" s="12">
        <v>3</v>
      </c>
      <c r="ET144" s="12">
        <v>2</v>
      </c>
      <c r="EU144" s="12">
        <v>66</v>
      </c>
      <c r="EV144" s="12">
        <v>-23</v>
      </c>
      <c r="EW144" s="12">
        <v>78</v>
      </c>
      <c r="EX144" s="12">
        <v>90</v>
      </c>
      <c r="EY144" s="12">
        <v>6</v>
      </c>
      <c r="EZ144" s="12">
        <v>5</v>
      </c>
      <c r="FA144" s="12">
        <v>9</v>
      </c>
      <c r="FB144" s="12">
        <v>2</v>
      </c>
      <c r="FC144" s="12">
        <v>2</v>
      </c>
      <c r="FD144" s="12">
        <v>0</v>
      </c>
      <c r="FE144" s="12">
        <v>0</v>
      </c>
      <c r="FF144" s="12">
        <v>5</v>
      </c>
      <c r="FG144" s="12">
        <v>0</v>
      </c>
      <c r="FH144" s="12">
        <v>1</v>
      </c>
      <c r="FI144" s="12">
        <v>0</v>
      </c>
      <c r="FJ144" s="12">
        <v>0</v>
      </c>
      <c r="FK144" s="12">
        <v>0</v>
      </c>
      <c r="FL144" s="12">
        <v>6</v>
      </c>
      <c r="FM144" s="12">
        <v>0</v>
      </c>
      <c r="FN144" s="12">
        <v>0</v>
      </c>
      <c r="FO144" s="12">
        <v>0</v>
      </c>
      <c r="FP144" s="12">
        <v>0</v>
      </c>
      <c r="FQ144" s="12">
        <v>0</v>
      </c>
      <c r="FR144" s="12">
        <v>9</v>
      </c>
      <c r="FS144" s="12">
        <v>1</v>
      </c>
      <c r="FT144" s="12">
        <v>4</v>
      </c>
      <c r="FU144" s="12">
        <v>0</v>
      </c>
      <c r="FV144" s="12">
        <v>0</v>
      </c>
      <c r="FW144" s="12">
        <v>0</v>
      </c>
      <c r="FX144" s="12">
        <v>10</v>
      </c>
      <c r="FY144" s="12">
        <v>0</v>
      </c>
      <c r="FZ144" s="12">
        <v>0</v>
      </c>
      <c r="GA144" s="12">
        <v>0</v>
      </c>
      <c r="GB144" s="12">
        <v>0</v>
      </c>
      <c r="GC144" s="12">
        <v>0</v>
      </c>
      <c r="GD144" s="12">
        <v>1</v>
      </c>
      <c r="GE144" s="12">
        <v>1</v>
      </c>
      <c r="GF144" s="12">
        <v>7</v>
      </c>
      <c r="GG144" s="12">
        <v>12</v>
      </c>
      <c r="GH144" s="12">
        <v>2</v>
      </c>
      <c r="GI144" s="12">
        <v>0</v>
      </c>
      <c r="GJ144" s="12">
        <v>0</v>
      </c>
      <c r="GK144" s="12">
        <v>0</v>
      </c>
      <c r="GL144" s="12">
        <v>3</v>
      </c>
      <c r="GM144" s="12">
        <v>3</v>
      </c>
      <c r="GN144" s="12">
        <v>11</v>
      </c>
      <c r="GO144" s="12">
        <v>35</v>
      </c>
      <c r="GP144" s="12">
        <v>1</v>
      </c>
      <c r="GQ144" s="12">
        <v>2</v>
      </c>
      <c r="GR144" s="12">
        <v>2</v>
      </c>
      <c r="GS144" s="12">
        <v>2</v>
      </c>
      <c r="GT144" s="12">
        <v>9</v>
      </c>
      <c r="GU144" s="12">
        <v>29</v>
      </c>
      <c r="GV144" s="12">
        <v>0</v>
      </c>
      <c r="GW144" s="12">
        <v>0</v>
      </c>
      <c r="GY144" s="16"/>
    </row>
    <row r="145" spans="2:207" ht="15" customHeight="1" x14ac:dyDescent="0.2">
      <c r="B145" s="12">
        <v>8</v>
      </c>
      <c r="C145" s="12" t="s">
        <v>278</v>
      </c>
      <c r="D145" s="12" t="s">
        <v>297</v>
      </c>
      <c r="E145" s="14" t="s">
        <v>280</v>
      </c>
      <c r="F145" s="14" t="s">
        <v>299</v>
      </c>
      <c r="G145" s="15">
        <v>45245</v>
      </c>
      <c r="H145" s="15" t="s">
        <v>271</v>
      </c>
      <c r="I145" s="12" t="s">
        <v>269</v>
      </c>
      <c r="J145" s="12" t="s">
        <v>272</v>
      </c>
      <c r="K145" s="12">
        <v>200</v>
      </c>
      <c r="L145" s="12">
        <v>71</v>
      </c>
      <c r="M145" s="12">
        <v>15</v>
      </c>
      <c r="N145" s="12">
        <v>40</v>
      </c>
      <c r="O145" s="16">
        <v>0.375</v>
      </c>
      <c r="P145" s="12">
        <v>11</v>
      </c>
      <c r="Q145" s="12">
        <v>31</v>
      </c>
      <c r="R145" s="16">
        <v>0.35483870967741937</v>
      </c>
      <c r="S145" s="12">
        <v>26</v>
      </c>
      <c r="T145" s="12">
        <v>71</v>
      </c>
      <c r="U145" s="16">
        <v>0.36619718309859156</v>
      </c>
      <c r="V145" s="12">
        <v>8</v>
      </c>
      <c r="W145" s="12">
        <v>13</v>
      </c>
      <c r="X145" s="16">
        <v>0.61538461538461542</v>
      </c>
      <c r="Y145" s="12">
        <v>12</v>
      </c>
      <c r="Z145" s="12">
        <v>23</v>
      </c>
      <c r="AA145" s="12">
        <v>35</v>
      </c>
      <c r="AB145" s="12">
        <v>16</v>
      </c>
      <c r="AC145" s="12">
        <v>13</v>
      </c>
      <c r="AD145" s="12">
        <v>5</v>
      </c>
      <c r="AE145" s="12">
        <v>3</v>
      </c>
      <c r="AF145" s="12">
        <v>2</v>
      </c>
      <c r="AG145" s="12">
        <v>15</v>
      </c>
      <c r="AH145" s="12">
        <v>17</v>
      </c>
      <c r="AI145" s="17">
        <v>67</v>
      </c>
      <c r="AJ145" s="12">
        <v>-23</v>
      </c>
      <c r="AK145" s="12">
        <v>78</v>
      </c>
      <c r="AL145" s="12">
        <v>90</v>
      </c>
      <c r="AM145" s="19">
        <v>0.78888888888888886</v>
      </c>
      <c r="AN145" s="19">
        <v>1.1463414634146341</v>
      </c>
      <c r="AO145" s="18">
        <v>91.025641025641022</v>
      </c>
      <c r="AP145" s="18">
        <v>123.68421052631579</v>
      </c>
      <c r="AQ145" s="18">
        <v>-32.658569500674773</v>
      </c>
      <c r="AR145" s="53">
        <v>0.44366197183098594</v>
      </c>
      <c r="AS145" s="53">
        <v>0.46103896103896103</v>
      </c>
      <c r="AT145" s="16">
        <v>3.3333333333333333E-2</v>
      </c>
      <c r="AU145" s="19">
        <v>2</v>
      </c>
      <c r="AV145" s="16">
        <v>0.3888888888888889</v>
      </c>
      <c r="AW145" s="19">
        <v>0.62857142857142856</v>
      </c>
      <c r="AX145" s="16">
        <v>2.2222222222222223E-2</v>
      </c>
      <c r="AY145" s="19">
        <v>1</v>
      </c>
      <c r="AZ145" s="16">
        <v>2.2222222222222223E-2</v>
      </c>
      <c r="BA145" s="19">
        <v>3</v>
      </c>
      <c r="BB145" s="16">
        <v>0.32222222222222224</v>
      </c>
      <c r="BC145" s="21">
        <v>0.93103448275862066</v>
      </c>
      <c r="BD145" s="16">
        <v>6.6666666666666666E-2</v>
      </c>
      <c r="BE145" s="16">
        <v>0.14444444444444443</v>
      </c>
      <c r="BF145" s="16">
        <v>0.53333333333333333</v>
      </c>
      <c r="BG145" s="16">
        <v>0.33333333333333331</v>
      </c>
      <c r="BH145" s="16">
        <v>0.81818181818181823</v>
      </c>
      <c r="BI145" s="16">
        <v>0.5</v>
      </c>
      <c r="BJ145" s="16">
        <v>0.17777777777777778</v>
      </c>
      <c r="BK145" s="21">
        <v>1.2307692307692308</v>
      </c>
      <c r="BL145" s="16">
        <v>0.2608695652173913</v>
      </c>
      <c r="BM145" s="16">
        <v>0.24</v>
      </c>
      <c r="BN145" s="16">
        <v>0.3</v>
      </c>
      <c r="BO145" s="16">
        <v>0</v>
      </c>
      <c r="BP145" s="16">
        <v>0.7931034482758621</v>
      </c>
      <c r="BQ145" s="16">
        <v>0.875</v>
      </c>
      <c r="BR145" s="16">
        <v>0.66666666666666663</v>
      </c>
      <c r="BS145" s="16" t="s">
        <v>269</v>
      </c>
      <c r="BT145" s="16">
        <v>0.46666666666666667</v>
      </c>
      <c r="BU145" s="16">
        <v>6.5789473684210523E-2</v>
      </c>
      <c r="BV145" s="16">
        <v>4.7619047619047616E-2</v>
      </c>
      <c r="BW145" s="54">
        <v>6</v>
      </c>
      <c r="BX145" s="54">
        <v>0.46666666666666667</v>
      </c>
      <c r="BY145" s="54">
        <v>0.41176470588235292</v>
      </c>
      <c r="BZ145" s="12">
        <v>5</v>
      </c>
      <c r="CA145" s="12">
        <v>9</v>
      </c>
      <c r="CB145" s="12">
        <v>2</v>
      </c>
      <c r="CC145" s="12">
        <v>2</v>
      </c>
      <c r="CD145" s="12">
        <v>0</v>
      </c>
      <c r="CE145" s="12">
        <v>0</v>
      </c>
      <c r="CF145" s="12">
        <v>5</v>
      </c>
      <c r="CG145" s="12">
        <v>0</v>
      </c>
      <c r="CH145" s="12">
        <v>1</v>
      </c>
      <c r="CI145" s="12">
        <v>0</v>
      </c>
      <c r="CJ145" s="12">
        <v>0</v>
      </c>
      <c r="CK145" s="12">
        <v>0</v>
      </c>
      <c r="CL145" s="12">
        <v>6</v>
      </c>
      <c r="CM145" s="12">
        <v>0</v>
      </c>
      <c r="CN145" s="12">
        <v>0</v>
      </c>
      <c r="CO145" s="12">
        <v>0</v>
      </c>
      <c r="CP145" s="12">
        <v>0</v>
      </c>
      <c r="CQ145" s="12">
        <v>0</v>
      </c>
      <c r="CR145" s="12">
        <v>9</v>
      </c>
      <c r="CS145" s="12">
        <v>1</v>
      </c>
      <c r="CT145" s="12">
        <v>4</v>
      </c>
      <c r="CU145" s="12">
        <v>0</v>
      </c>
      <c r="CV145" s="12">
        <v>0</v>
      </c>
      <c r="CW145" s="12">
        <v>0</v>
      </c>
      <c r="CX145" s="12">
        <v>10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1</v>
      </c>
      <c r="DE145" s="12">
        <v>1</v>
      </c>
      <c r="DF145" s="12">
        <v>7</v>
      </c>
      <c r="DG145" s="12">
        <v>12</v>
      </c>
      <c r="DH145" s="12">
        <v>2</v>
      </c>
      <c r="DI145" s="12">
        <v>0</v>
      </c>
      <c r="DJ145" s="12">
        <v>0</v>
      </c>
      <c r="DK145" s="12">
        <v>0</v>
      </c>
      <c r="DL145" s="12">
        <v>3</v>
      </c>
      <c r="DM145" s="12">
        <v>3</v>
      </c>
      <c r="DN145" s="12">
        <v>11</v>
      </c>
      <c r="DO145" s="12">
        <v>35</v>
      </c>
      <c r="DP145" s="12">
        <v>1</v>
      </c>
      <c r="DQ145" s="12">
        <v>2</v>
      </c>
      <c r="DR145" s="12">
        <v>2</v>
      </c>
      <c r="DS145" s="12">
        <v>2</v>
      </c>
      <c r="DT145" s="12">
        <v>9</v>
      </c>
      <c r="DU145" s="12">
        <v>29</v>
      </c>
      <c r="DV145" s="12">
        <v>0</v>
      </c>
      <c r="DW145" s="12">
        <v>0</v>
      </c>
      <c r="DX145" s="12">
        <v>94</v>
      </c>
      <c r="DY145" s="12">
        <v>19</v>
      </c>
      <c r="DZ145" s="12">
        <v>33</v>
      </c>
      <c r="EA145" s="16">
        <v>0.5757575757575758</v>
      </c>
      <c r="EB145" s="12">
        <v>14</v>
      </c>
      <c r="EC145" s="12">
        <v>30</v>
      </c>
      <c r="ED145" s="16">
        <v>0.46666666666666667</v>
      </c>
      <c r="EE145" s="12">
        <v>33</v>
      </c>
      <c r="EF145" s="12">
        <v>63</v>
      </c>
      <c r="EG145" s="16">
        <v>0.52380952380952384</v>
      </c>
      <c r="EH145" s="12">
        <v>14</v>
      </c>
      <c r="EI145" s="12">
        <v>14</v>
      </c>
      <c r="EJ145" s="16">
        <v>1</v>
      </c>
      <c r="EK145" s="12">
        <v>6</v>
      </c>
      <c r="EL145" s="12">
        <v>34</v>
      </c>
      <c r="EM145" s="12">
        <v>40</v>
      </c>
      <c r="EN145" s="12">
        <v>19</v>
      </c>
      <c r="EO145" s="12">
        <v>17</v>
      </c>
      <c r="EP145" s="12">
        <v>14</v>
      </c>
      <c r="EQ145" s="12">
        <v>8</v>
      </c>
      <c r="ER145" s="12">
        <v>14</v>
      </c>
      <c r="ES145" s="12">
        <v>2</v>
      </c>
      <c r="ET145" s="12">
        <v>3</v>
      </c>
      <c r="EU145" s="12">
        <v>113</v>
      </c>
      <c r="EV145" s="12">
        <v>23</v>
      </c>
      <c r="EW145" s="12">
        <v>76</v>
      </c>
      <c r="EX145" s="12">
        <v>82</v>
      </c>
      <c r="EY145" s="12">
        <v>8</v>
      </c>
      <c r="EZ145" s="12">
        <v>8</v>
      </c>
      <c r="FA145" s="12">
        <v>10</v>
      </c>
      <c r="FB145" s="12">
        <v>1</v>
      </c>
      <c r="FC145" s="12">
        <v>2</v>
      </c>
      <c r="FD145" s="12">
        <v>1</v>
      </c>
      <c r="FE145" s="12">
        <v>1</v>
      </c>
      <c r="FF145" s="12">
        <v>0</v>
      </c>
      <c r="FG145" s="12">
        <v>0</v>
      </c>
      <c r="FH145" s="12">
        <v>0</v>
      </c>
      <c r="FI145" s="12">
        <v>0</v>
      </c>
      <c r="FJ145" s="12">
        <v>0</v>
      </c>
      <c r="FK145" s="12">
        <v>0</v>
      </c>
      <c r="FL145" s="12">
        <v>5</v>
      </c>
      <c r="FM145" s="12">
        <v>0</v>
      </c>
      <c r="FN145" s="12">
        <v>0</v>
      </c>
      <c r="FO145" s="12">
        <v>0</v>
      </c>
      <c r="FP145" s="12">
        <v>0</v>
      </c>
      <c r="FQ145" s="12">
        <v>0</v>
      </c>
      <c r="FR145" s="12">
        <v>18</v>
      </c>
      <c r="FS145" s="12">
        <v>1</v>
      </c>
      <c r="FT145" s="12">
        <v>0</v>
      </c>
      <c r="FU145" s="12">
        <v>0</v>
      </c>
      <c r="FV145" s="12">
        <v>0</v>
      </c>
      <c r="FW145" s="12">
        <v>0</v>
      </c>
      <c r="FX145" s="12">
        <v>14</v>
      </c>
      <c r="FY145" s="12">
        <v>0</v>
      </c>
      <c r="FZ145" s="12">
        <v>2</v>
      </c>
      <c r="GA145" s="12">
        <v>0</v>
      </c>
      <c r="GB145" s="12">
        <v>2</v>
      </c>
      <c r="GC145" s="12">
        <v>2</v>
      </c>
      <c r="GD145" s="12">
        <v>2</v>
      </c>
      <c r="GE145" s="12">
        <v>2</v>
      </c>
      <c r="GF145" s="12">
        <v>10</v>
      </c>
      <c r="GG145" s="12">
        <v>10</v>
      </c>
      <c r="GH145" s="12">
        <v>0</v>
      </c>
      <c r="GI145" s="12">
        <v>0</v>
      </c>
      <c r="GJ145" s="12">
        <v>0</v>
      </c>
      <c r="GK145" s="12">
        <v>0</v>
      </c>
      <c r="GL145" s="12">
        <v>4</v>
      </c>
      <c r="GM145" s="12">
        <v>5</v>
      </c>
      <c r="GN145" s="12">
        <v>10</v>
      </c>
      <c r="GO145" s="12">
        <v>19</v>
      </c>
      <c r="GP145" s="12">
        <v>5</v>
      </c>
      <c r="GQ145" s="12">
        <v>9</v>
      </c>
      <c r="GR145" s="12">
        <v>2</v>
      </c>
      <c r="GS145" s="12">
        <v>2</v>
      </c>
      <c r="GT145" s="12">
        <v>12</v>
      </c>
      <c r="GU145" s="12">
        <v>28</v>
      </c>
      <c r="GV145" s="12">
        <v>0</v>
      </c>
      <c r="GW145" s="12">
        <v>0</v>
      </c>
      <c r="GY145" s="16"/>
    </row>
    <row r="146" spans="2:207" ht="15" customHeight="1" x14ac:dyDescent="0.2">
      <c r="B146" s="12">
        <v>9</v>
      </c>
      <c r="C146" s="12" t="s">
        <v>290</v>
      </c>
      <c r="D146" s="12" t="s">
        <v>273</v>
      </c>
      <c r="E146" s="14" t="s">
        <v>292</v>
      </c>
      <c r="F146" s="14" t="s">
        <v>275</v>
      </c>
      <c r="G146" s="15">
        <v>45246</v>
      </c>
      <c r="H146" s="15" t="s">
        <v>271</v>
      </c>
      <c r="I146" s="12" t="s">
        <v>269</v>
      </c>
      <c r="J146" s="12" t="s">
        <v>272</v>
      </c>
      <c r="K146" s="12">
        <v>200</v>
      </c>
      <c r="L146" s="12">
        <v>73</v>
      </c>
      <c r="M146" s="12">
        <v>11</v>
      </c>
      <c r="N146" s="12">
        <v>27</v>
      </c>
      <c r="O146" s="16">
        <v>0.40740740740740738</v>
      </c>
      <c r="P146" s="12">
        <v>11</v>
      </c>
      <c r="Q146" s="12">
        <v>28</v>
      </c>
      <c r="R146" s="16">
        <v>0.39285714285714285</v>
      </c>
      <c r="S146" s="12">
        <v>22</v>
      </c>
      <c r="T146" s="12">
        <v>55</v>
      </c>
      <c r="U146" s="16">
        <v>0.4</v>
      </c>
      <c r="V146" s="12">
        <v>18</v>
      </c>
      <c r="W146" s="12">
        <v>24</v>
      </c>
      <c r="X146" s="16">
        <v>0.75</v>
      </c>
      <c r="Y146" s="12">
        <v>8</v>
      </c>
      <c r="Z146" s="12">
        <v>25</v>
      </c>
      <c r="AA146" s="12">
        <v>33</v>
      </c>
      <c r="AB146" s="12">
        <v>14</v>
      </c>
      <c r="AC146" s="12">
        <v>16</v>
      </c>
      <c r="AD146" s="12">
        <v>3</v>
      </c>
      <c r="AE146" s="12">
        <v>3</v>
      </c>
      <c r="AF146" s="12">
        <v>3</v>
      </c>
      <c r="AG146" s="12">
        <v>22</v>
      </c>
      <c r="AH146" s="12">
        <v>27</v>
      </c>
      <c r="AI146" s="17">
        <v>73</v>
      </c>
      <c r="AJ146" s="12">
        <v>-5</v>
      </c>
      <c r="AK146" s="12">
        <v>75</v>
      </c>
      <c r="AL146" s="12">
        <v>83</v>
      </c>
      <c r="AM146" s="19">
        <v>0.87951807228915657</v>
      </c>
      <c r="AN146" s="19">
        <v>0.8125</v>
      </c>
      <c r="AO146" s="18">
        <v>97.333333333333343</v>
      </c>
      <c r="AP146" s="18">
        <v>105.40540540540539</v>
      </c>
      <c r="AQ146" s="18">
        <v>-8.0720720720720465</v>
      </c>
      <c r="AR146" s="53">
        <v>0.5</v>
      </c>
      <c r="AS146" s="53">
        <v>0.54477611940298509</v>
      </c>
      <c r="AT146" s="16">
        <v>3.614457831325301E-2</v>
      </c>
      <c r="AU146" s="19">
        <v>1.3333333333333333</v>
      </c>
      <c r="AV146" s="16">
        <v>0.16867469879518071</v>
      </c>
      <c r="AW146" s="19">
        <v>0.8571428571428571</v>
      </c>
      <c r="AX146" s="16">
        <v>0.12048192771084337</v>
      </c>
      <c r="AY146" s="19">
        <v>0.6</v>
      </c>
      <c r="AZ146" s="16">
        <v>0</v>
      </c>
      <c r="BA146" s="19" t="s">
        <v>269</v>
      </c>
      <c r="BB146" s="16">
        <v>0.31325301204819278</v>
      </c>
      <c r="BC146" s="21">
        <v>1.2692307692307692</v>
      </c>
      <c r="BD146" s="16">
        <v>0.14457831325301204</v>
      </c>
      <c r="BE146" s="16">
        <v>0.19277108433734941</v>
      </c>
      <c r="BF146" s="16">
        <v>0.42424242424242425</v>
      </c>
      <c r="BG146" s="16">
        <v>0.54545454545454541</v>
      </c>
      <c r="BH146" s="16">
        <v>0.54545454545454541</v>
      </c>
      <c r="BI146" s="16">
        <v>0.18181818181818182</v>
      </c>
      <c r="BJ146" s="16">
        <v>0.16867469879518071</v>
      </c>
      <c r="BK146" s="21">
        <v>0.875</v>
      </c>
      <c r="BL146" s="16">
        <v>0.25806451612903225</v>
      </c>
      <c r="BM146" s="16">
        <v>0.125</v>
      </c>
      <c r="BN146" s="16">
        <v>0.4</v>
      </c>
      <c r="BO146" s="16">
        <v>0</v>
      </c>
      <c r="BP146" s="16">
        <v>0.53191489361702127</v>
      </c>
      <c r="BQ146" s="16">
        <v>0.45161290322580644</v>
      </c>
      <c r="BR146" s="16">
        <v>0.6</v>
      </c>
      <c r="BS146" s="16" t="s">
        <v>269</v>
      </c>
      <c r="BT146" s="16">
        <v>0.42307692307692307</v>
      </c>
      <c r="BU146" s="16">
        <v>4.0540540540540543E-2</v>
      </c>
      <c r="BV146" s="16">
        <v>3.9473684210526314E-2</v>
      </c>
      <c r="BW146" s="54">
        <v>4</v>
      </c>
      <c r="BX146" s="54">
        <v>0.36363636363636365</v>
      </c>
      <c r="BY146" s="54">
        <v>0.44444444444444442</v>
      </c>
      <c r="BZ146" s="12">
        <v>6</v>
      </c>
      <c r="CA146" s="12">
        <v>6</v>
      </c>
      <c r="CB146" s="12">
        <v>2</v>
      </c>
      <c r="CC146" s="12">
        <v>4</v>
      </c>
      <c r="CD146" s="12">
        <v>0</v>
      </c>
      <c r="CE146" s="12">
        <v>0</v>
      </c>
      <c r="CF146" s="12">
        <v>2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6</v>
      </c>
      <c r="CM146" s="12">
        <v>0</v>
      </c>
      <c r="CN146" s="12">
        <v>0</v>
      </c>
      <c r="CO146" s="12">
        <v>0</v>
      </c>
      <c r="CP146" s="12">
        <v>2</v>
      </c>
      <c r="CQ146" s="12">
        <v>1</v>
      </c>
      <c r="CR146" s="12">
        <v>10</v>
      </c>
      <c r="CS146" s="12">
        <v>0</v>
      </c>
      <c r="CT146" s="12">
        <v>1</v>
      </c>
      <c r="CU146" s="12">
        <v>0</v>
      </c>
      <c r="CV146" s="12">
        <v>0</v>
      </c>
      <c r="CW146" s="12">
        <v>0</v>
      </c>
      <c r="CX146" s="12">
        <v>11</v>
      </c>
      <c r="CY146" s="12">
        <v>1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18</v>
      </c>
      <c r="DG146" s="12">
        <v>24</v>
      </c>
      <c r="DH146" s="12">
        <v>1</v>
      </c>
      <c r="DI146" s="12">
        <v>0</v>
      </c>
      <c r="DJ146" s="12">
        <v>0</v>
      </c>
      <c r="DK146" s="12">
        <v>0</v>
      </c>
      <c r="DL146" s="12">
        <v>2</v>
      </c>
      <c r="DM146" s="12">
        <v>3</v>
      </c>
      <c r="DN146" s="12">
        <v>6</v>
      </c>
      <c r="DO146" s="12">
        <v>14</v>
      </c>
      <c r="DP146" s="12">
        <v>3</v>
      </c>
      <c r="DQ146" s="12">
        <v>10</v>
      </c>
      <c r="DR146" s="12">
        <v>0</v>
      </c>
      <c r="DS146" s="12">
        <v>0</v>
      </c>
      <c r="DT146" s="12">
        <v>11</v>
      </c>
      <c r="DU146" s="12">
        <v>26</v>
      </c>
      <c r="DV146" s="12">
        <v>0</v>
      </c>
      <c r="DW146" s="12">
        <v>2</v>
      </c>
      <c r="DX146" s="12">
        <v>78</v>
      </c>
      <c r="DY146" s="12">
        <v>24</v>
      </c>
      <c r="DZ146" s="12">
        <v>52</v>
      </c>
      <c r="EA146" s="16">
        <v>0.46153846153846156</v>
      </c>
      <c r="EB146" s="12">
        <v>5</v>
      </c>
      <c r="EC146" s="12">
        <v>24</v>
      </c>
      <c r="ED146" s="16">
        <v>0.20833333333333334</v>
      </c>
      <c r="EE146" s="12">
        <v>29</v>
      </c>
      <c r="EF146" s="12">
        <v>76</v>
      </c>
      <c r="EG146" s="16">
        <v>0.38157894736842107</v>
      </c>
      <c r="EH146" s="12">
        <v>15</v>
      </c>
      <c r="EI146" s="12">
        <v>17</v>
      </c>
      <c r="EJ146" s="16">
        <v>0.88235294117647056</v>
      </c>
      <c r="EK146" s="12">
        <v>22</v>
      </c>
      <c r="EL146" s="12">
        <v>23</v>
      </c>
      <c r="EM146" s="12">
        <v>45</v>
      </c>
      <c r="EN146" s="12">
        <v>12</v>
      </c>
      <c r="EO146" s="12">
        <v>29</v>
      </c>
      <c r="EP146" s="12">
        <v>22</v>
      </c>
      <c r="EQ146" s="12">
        <v>10</v>
      </c>
      <c r="ER146" s="12">
        <v>12</v>
      </c>
      <c r="ES146" s="12">
        <v>3</v>
      </c>
      <c r="ET146" s="12">
        <v>3</v>
      </c>
      <c r="EU146" s="12">
        <v>77</v>
      </c>
      <c r="EV146" s="12">
        <v>5</v>
      </c>
      <c r="EW146" s="12">
        <v>74</v>
      </c>
      <c r="EX146" s="12">
        <v>96</v>
      </c>
      <c r="EY146" s="12">
        <v>4</v>
      </c>
      <c r="EZ146" s="12">
        <v>8</v>
      </c>
      <c r="FA146" s="12">
        <v>4</v>
      </c>
      <c r="FB146" s="12">
        <v>0</v>
      </c>
      <c r="FC146" s="12">
        <v>0</v>
      </c>
      <c r="FD146" s="12">
        <v>2</v>
      </c>
      <c r="FE146" s="12">
        <v>0</v>
      </c>
      <c r="FF146" s="12">
        <v>12</v>
      </c>
      <c r="FG146" s="12">
        <v>2</v>
      </c>
      <c r="FH146" s="12">
        <v>1</v>
      </c>
      <c r="FI146" s="12">
        <v>0</v>
      </c>
      <c r="FJ146" s="12">
        <v>0</v>
      </c>
      <c r="FK146" s="12">
        <v>0</v>
      </c>
      <c r="FL146" s="12">
        <v>7</v>
      </c>
      <c r="FM146" s="12">
        <v>1</v>
      </c>
      <c r="FN146" s="12">
        <v>0</v>
      </c>
      <c r="FO146" s="12">
        <v>0</v>
      </c>
      <c r="FP146" s="12">
        <v>1</v>
      </c>
      <c r="FQ146" s="12">
        <v>0</v>
      </c>
      <c r="FR146" s="12">
        <v>6</v>
      </c>
      <c r="FS146" s="12">
        <v>0</v>
      </c>
      <c r="FT146" s="12">
        <v>7</v>
      </c>
      <c r="FU146" s="12">
        <v>0</v>
      </c>
      <c r="FV146" s="12">
        <v>0</v>
      </c>
      <c r="FW146" s="12">
        <v>0</v>
      </c>
      <c r="FX146" s="12">
        <v>8</v>
      </c>
      <c r="FY146" s="12">
        <v>1</v>
      </c>
      <c r="FZ146" s="12">
        <v>1</v>
      </c>
      <c r="GA146" s="12">
        <v>0</v>
      </c>
      <c r="GB146" s="12">
        <v>0</v>
      </c>
      <c r="GC146" s="12">
        <v>0</v>
      </c>
      <c r="GD146" s="12">
        <v>0</v>
      </c>
      <c r="GE146" s="12">
        <v>0</v>
      </c>
      <c r="GF146" s="12">
        <v>14</v>
      </c>
      <c r="GG146" s="12">
        <v>16</v>
      </c>
      <c r="GH146" s="12">
        <v>0</v>
      </c>
      <c r="GI146" s="12">
        <v>0</v>
      </c>
      <c r="GJ146" s="12">
        <v>0</v>
      </c>
      <c r="GK146" s="12">
        <v>0</v>
      </c>
      <c r="GL146" s="12">
        <v>5</v>
      </c>
      <c r="GM146" s="12">
        <v>9</v>
      </c>
      <c r="GN146" s="12">
        <v>18</v>
      </c>
      <c r="GO146" s="12">
        <v>40</v>
      </c>
      <c r="GP146" s="12">
        <v>1</v>
      </c>
      <c r="GQ146" s="12">
        <v>3</v>
      </c>
      <c r="GR146" s="12">
        <v>0</v>
      </c>
      <c r="GS146" s="12">
        <v>0</v>
      </c>
      <c r="GT146" s="12">
        <v>5</v>
      </c>
      <c r="GU146" s="12">
        <v>24</v>
      </c>
      <c r="GV146" s="12">
        <v>0</v>
      </c>
      <c r="GW146" s="12">
        <v>0</v>
      </c>
      <c r="GY146" s="16"/>
    </row>
    <row r="147" spans="2:207" ht="15" customHeight="1" x14ac:dyDescent="0.2">
      <c r="B147" s="12">
        <v>9</v>
      </c>
      <c r="C147" s="12" t="s">
        <v>273</v>
      </c>
      <c r="D147" s="12" t="s">
        <v>290</v>
      </c>
      <c r="E147" s="14" t="s">
        <v>275</v>
      </c>
      <c r="F147" s="14" t="s">
        <v>292</v>
      </c>
      <c r="G147" s="15">
        <v>45246</v>
      </c>
      <c r="H147" s="15" t="s">
        <v>268</v>
      </c>
      <c r="I147" s="12" t="s">
        <v>269</v>
      </c>
      <c r="J147" s="12" t="s">
        <v>270</v>
      </c>
      <c r="K147" s="12">
        <v>200</v>
      </c>
      <c r="L147" s="12">
        <v>78</v>
      </c>
      <c r="M147" s="12">
        <v>24</v>
      </c>
      <c r="N147" s="12">
        <v>52</v>
      </c>
      <c r="O147" s="16">
        <v>0.46153846153846156</v>
      </c>
      <c r="P147" s="12">
        <v>5</v>
      </c>
      <c r="Q147" s="12">
        <v>24</v>
      </c>
      <c r="R147" s="16">
        <v>0.20833333333333334</v>
      </c>
      <c r="S147" s="12">
        <v>29</v>
      </c>
      <c r="T147" s="12">
        <v>76</v>
      </c>
      <c r="U147" s="16">
        <v>0.38157894736842107</v>
      </c>
      <c r="V147" s="12">
        <v>15</v>
      </c>
      <c r="W147" s="12">
        <v>17</v>
      </c>
      <c r="X147" s="16">
        <v>0.88235294117647056</v>
      </c>
      <c r="Y147" s="12">
        <v>22</v>
      </c>
      <c r="Z147" s="12">
        <v>23</v>
      </c>
      <c r="AA147" s="12">
        <v>45</v>
      </c>
      <c r="AB147" s="12">
        <v>12</v>
      </c>
      <c r="AC147" s="12">
        <v>12</v>
      </c>
      <c r="AD147" s="12">
        <v>10</v>
      </c>
      <c r="AE147" s="12">
        <v>3</v>
      </c>
      <c r="AF147" s="12">
        <v>3</v>
      </c>
      <c r="AG147" s="12">
        <v>27</v>
      </c>
      <c r="AH147" s="12">
        <v>22</v>
      </c>
      <c r="AI147" s="17">
        <v>79</v>
      </c>
      <c r="AJ147" s="12">
        <v>5</v>
      </c>
      <c r="AK147" s="12">
        <v>74</v>
      </c>
      <c r="AL147" s="12">
        <v>96</v>
      </c>
      <c r="AM147" s="19">
        <v>0.8125</v>
      </c>
      <c r="AN147" s="19">
        <v>0.87951807228915657</v>
      </c>
      <c r="AO147" s="18">
        <v>105.40540540540539</v>
      </c>
      <c r="AP147" s="18">
        <v>97.333333333333343</v>
      </c>
      <c r="AQ147" s="18">
        <v>8.0720720720720465</v>
      </c>
      <c r="AR147" s="53">
        <v>0.41447368421052633</v>
      </c>
      <c r="AS147" s="53">
        <v>0.4642857142857143</v>
      </c>
      <c r="AT147" s="16">
        <v>9.375E-2</v>
      </c>
      <c r="AU147" s="19">
        <v>1.1111111111111112</v>
      </c>
      <c r="AV147" s="16">
        <v>0.41666666666666669</v>
      </c>
      <c r="AW147" s="19">
        <v>0.9</v>
      </c>
      <c r="AX147" s="16">
        <v>3.125E-2</v>
      </c>
      <c r="AY147" s="19">
        <v>0.66666666666666663</v>
      </c>
      <c r="AZ147" s="16">
        <v>0</v>
      </c>
      <c r="BA147" s="19" t="s">
        <v>269</v>
      </c>
      <c r="BB147" s="16">
        <v>0.25</v>
      </c>
      <c r="BC147" s="21">
        <v>0.625</v>
      </c>
      <c r="BD147" s="16">
        <v>8.3333333333333329E-2</v>
      </c>
      <c r="BE147" s="16">
        <v>0.125</v>
      </c>
      <c r="BF147" s="16">
        <v>0.32432432432432434</v>
      </c>
      <c r="BG147" s="16">
        <v>0.33333333333333331</v>
      </c>
      <c r="BH147" s="16">
        <v>0.8</v>
      </c>
      <c r="BI147" s="16">
        <v>0</v>
      </c>
      <c r="BJ147" s="16">
        <v>0.125</v>
      </c>
      <c r="BK147" s="21">
        <v>1</v>
      </c>
      <c r="BL147" s="16">
        <v>0.46808510638297873</v>
      </c>
      <c r="BM147" s="16">
        <v>0.54838709677419351</v>
      </c>
      <c r="BN147" s="16">
        <v>0.4</v>
      </c>
      <c r="BO147" s="16" t="s">
        <v>269</v>
      </c>
      <c r="BP147" s="16">
        <v>0.74193548387096775</v>
      </c>
      <c r="BQ147" s="16">
        <v>0.875</v>
      </c>
      <c r="BR147" s="16">
        <v>0.6</v>
      </c>
      <c r="BS147" s="16">
        <v>1</v>
      </c>
      <c r="BT147" s="16">
        <v>0.57692307692307687</v>
      </c>
      <c r="BU147" s="16">
        <v>0.13333333333333333</v>
      </c>
      <c r="BV147" s="16">
        <v>5.4545454545454543E-2</v>
      </c>
      <c r="BW147" s="54">
        <v>4</v>
      </c>
      <c r="BX147" s="54">
        <v>0.44444444444444442</v>
      </c>
      <c r="BY147" s="54">
        <v>0.40909090909090912</v>
      </c>
      <c r="BZ147" s="12">
        <v>8</v>
      </c>
      <c r="CA147" s="12">
        <v>4</v>
      </c>
      <c r="CB147" s="12">
        <v>0</v>
      </c>
      <c r="CC147" s="12">
        <v>0</v>
      </c>
      <c r="CD147" s="12">
        <v>2</v>
      </c>
      <c r="CE147" s="12">
        <v>0</v>
      </c>
      <c r="CF147" s="12">
        <v>12</v>
      </c>
      <c r="CG147" s="12">
        <v>2</v>
      </c>
      <c r="CH147" s="12">
        <v>1</v>
      </c>
      <c r="CI147" s="12">
        <v>0</v>
      </c>
      <c r="CJ147" s="12">
        <v>0</v>
      </c>
      <c r="CK147" s="12">
        <v>0</v>
      </c>
      <c r="CL147" s="12">
        <v>7</v>
      </c>
      <c r="CM147" s="12">
        <v>1</v>
      </c>
      <c r="CN147" s="12">
        <v>0</v>
      </c>
      <c r="CO147" s="12">
        <v>0</v>
      </c>
      <c r="CP147" s="12">
        <v>1</v>
      </c>
      <c r="CQ147" s="12">
        <v>0</v>
      </c>
      <c r="CR147" s="12">
        <v>6</v>
      </c>
      <c r="CS147" s="12">
        <v>0</v>
      </c>
      <c r="CT147" s="12">
        <v>7</v>
      </c>
      <c r="CU147" s="12">
        <v>0</v>
      </c>
      <c r="CV147" s="12">
        <v>0</v>
      </c>
      <c r="CW147" s="12">
        <v>0</v>
      </c>
      <c r="CX147" s="12">
        <v>8</v>
      </c>
      <c r="CY147" s="12">
        <v>1</v>
      </c>
      <c r="CZ147" s="12">
        <v>1</v>
      </c>
      <c r="DA147" s="12">
        <v>0</v>
      </c>
      <c r="DB147" s="12">
        <v>0</v>
      </c>
      <c r="DC147" s="12">
        <v>0</v>
      </c>
      <c r="DD147" s="12">
        <v>1</v>
      </c>
      <c r="DE147" s="12">
        <v>1</v>
      </c>
      <c r="DF147" s="12">
        <v>14</v>
      </c>
      <c r="DG147" s="12">
        <v>16</v>
      </c>
      <c r="DH147" s="12">
        <v>0</v>
      </c>
      <c r="DI147" s="12">
        <v>0</v>
      </c>
      <c r="DJ147" s="12">
        <v>0</v>
      </c>
      <c r="DK147" s="12">
        <v>0</v>
      </c>
      <c r="DL147" s="12">
        <v>5</v>
      </c>
      <c r="DM147" s="12">
        <v>9</v>
      </c>
      <c r="DN147" s="12">
        <v>18</v>
      </c>
      <c r="DO147" s="12">
        <v>40</v>
      </c>
      <c r="DP147" s="12">
        <v>1</v>
      </c>
      <c r="DQ147" s="12">
        <v>3</v>
      </c>
      <c r="DR147" s="12">
        <v>0</v>
      </c>
      <c r="DS147" s="12">
        <v>0</v>
      </c>
      <c r="DT147" s="12">
        <v>5</v>
      </c>
      <c r="DU147" s="12">
        <v>24</v>
      </c>
      <c r="DV147" s="12">
        <v>0</v>
      </c>
      <c r="DW147" s="12">
        <v>0</v>
      </c>
      <c r="DX147" s="12">
        <v>73</v>
      </c>
      <c r="DY147" s="12">
        <v>11</v>
      </c>
      <c r="DZ147" s="12">
        <v>27</v>
      </c>
      <c r="EA147" s="16">
        <v>0.40740740740740738</v>
      </c>
      <c r="EB147" s="12">
        <v>11</v>
      </c>
      <c r="EC147" s="12">
        <v>28</v>
      </c>
      <c r="ED147" s="16">
        <v>0.39285714285714285</v>
      </c>
      <c r="EE147" s="12">
        <v>22</v>
      </c>
      <c r="EF147" s="12">
        <v>55</v>
      </c>
      <c r="EG147" s="16">
        <v>0.4</v>
      </c>
      <c r="EH147" s="12">
        <v>18</v>
      </c>
      <c r="EI147" s="12">
        <v>24</v>
      </c>
      <c r="EJ147" s="16">
        <v>0.75</v>
      </c>
      <c r="EK147" s="12">
        <v>8</v>
      </c>
      <c r="EL147" s="12">
        <v>25</v>
      </c>
      <c r="EM147" s="12">
        <v>33</v>
      </c>
      <c r="EN147" s="12">
        <v>14</v>
      </c>
      <c r="EO147" s="12">
        <v>24</v>
      </c>
      <c r="EP147" s="12">
        <v>27</v>
      </c>
      <c r="EQ147" s="12">
        <v>3</v>
      </c>
      <c r="ER147" s="12">
        <v>16</v>
      </c>
      <c r="ES147" s="12">
        <v>3</v>
      </c>
      <c r="ET147" s="12">
        <v>3</v>
      </c>
      <c r="EU147" s="12">
        <v>71</v>
      </c>
      <c r="EV147" s="12">
        <v>-5</v>
      </c>
      <c r="EW147" s="12">
        <v>75</v>
      </c>
      <c r="EX147" s="12">
        <v>83</v>
      </c>
      <c r="EY147" s="12">
        <v>4</v>
      </c>
      <c r="EZ147" s="12">
        <v>6</v>
      </c>
      <c r="FA147" s="12">
        <v>6</v>
      </c>
      <c r="FB147" s="12">
        <v>2</v>
      </c>
      <c r="FC147" s="12">
        <v>4</v>
      </c>
      <c r="FD147" s="12">
        <v>0</v>
      </c>
      <c r="FE147" s="12">
        <v>0</v>
      </c>
      <c r="FF147" s="12">
        <v>2</v>
      </c>
      <c r="FG147" s="12">
        <v>0</v>
      </c>
      <c r="FH147" s="12">
        <v>0</v>
      </c>
      <c r="FI147" s="12">
        <v>0</v>
      </c>
      <c r="FJ147" s="12">
        <v>0</v>
      </c>
      <c r="FK147" s="12">
        <v>0</v>
      </c>
      <c r="FL147" s="12">
        <v>6</v>
      </c>
      <c r="FM147" s="12">
        <v>0</v>
      </c>
      <c r="FN147" s="12">
        <v>0</v>
      </c>
      <c r="FO147" s="12">
        <v>0</v>
      </c>
      <c r="FP147" s="12">
        <v>2</v>
      </c>
      <c r="FQ147" s="12">
        <v>1</v>
      </c>
      <c r="FR147" s="12">
        <v>10</v>
      </c>
      <c r="FS147" s="12">
        <v>0</v>
      </c>
      <c r="FT147" s="12">
        <v>1</v>
      </c>
      <c r="FU147" s="12">
        <v>0</v>
      </c>
      <c r="FV147" s="12">
        <v>0</v>
      </c>
      <c r="FW147" s="12">
        <v>0</v>
      </c>
      <c r="FX147" s="12">
        <v>11</v>
      </c>
      <c r="FY147" s="12">
        <v>1</v>
      </c>
      <c r="FZ147" s="12">
        <v>0</v>
      </c>
      <c r="GA147" s="12">
        <v>0</v>
      </c>
      <c r="GB147" s="12">
        <v>0</v>
      </c>
      <c r="GC147" s="12">
        <v>0</v>
      </c>
      <c r="GD147" s="12">
        <v>0</v>
      </c>
      <c r="GE147" s="12">
        <v>0</v>
      </c>
      <c r="GF147" s="12">
        <v>18</v>
      </c>
      <c r="GG147" s="12">
        <v>24</v>
      </c>
      <c r="GH147" s="12">
        <v>1</v>
      </c>
      <c r="GI147" s="12">
        <v>0</v>
      </c>
      <c r="GJ147" s="12">
        <v>0</v>
      </c>
      <c r="GK147" s="12">
        <v>0</v>
      </c>
      <c r="GL147" s="12">
        <v>2</v>
      </c>
      <c r="GM147" s="12">
        <v>3</v>
      </c>
      <c r="GN147" s="12">
        <v>6</v>
      </c>
      <c r="GO147" s="12">
        <v>14</v>
      </c>
      <c r="GP147" s="12">
        <v>3</v>
      </c>
      <c r="GQ147" s="12">
        <v>10</v>
      </c>
      <c r="GR147" s="12">
        <v>0</v>
      </c>
      <c r="GS147" s="12">
        <v>0</v>
      </c>
      <c r="GT147" s="12">
        <v>11</v>
      </c>
      <c r="GU147" s="12">
        <v>26</v>
      </c>
      <c r="GV147" s="12">
        <v>0</v>
      </c>
      <c r="GW147" s="12">
        <v>2</v>
      </c>
      <c r="GY147" s="16"/>
    </row>
    <row r="148" spans="2:207" ht="15" customHeight="1" x14ac:dyDescent="0.2">
      <c r="B148" s="12">
        <v>9</v>
      </c>
      <c r="C148" s="12" t="s">
        <v>264</v>
      </c>
      <c r="D148" s="12" t="s">
        <v>293</v>
      </c>
      <c r="E148" s="14" t="s">
        <v>266</v>
      </c>
      <c r="F148" s="14" t="s">
        <v>295</v>
      </c>
      <c r="G148" s="15">
        <v>45246</v>
      </c>
      <c r="H148" s="15" t="s">
        <v>271</v>
      </c>
      <c r="I148" s="12" t="s">
        <v>269</v>
      </c>
      <c r="J148" s="12" t="s">
        <v>272</v>
      </c>
      <c r="K148" s="12">
        <v>200</v>
      </c>
      <c r="L148" s="12">
        <v>83</v>
      </c>
      <c r="M148" s="12">
        <v>15</v>
      </c>
      <c r="N148" s="12">
        <v>33</v>
      </c>
      <c r="O148" s="16">
        <v>0.45454545454545453</v>
      </c>
      <c r="P148" s="12">
        <v>15</v>
      </c>
      <c r="Q148" s="12">
        <v>33</v>
      </c>
      <c r="R148" s="16">
        <v>0.45454545454545453</v>
      </c>
      <c r="S148" s="12">
        <v>30</v>
      </c>
      <c r="T148" s="12">
        <v>66</v>
      </c>
      <c r="U148" s="16">
        <v>0.45454545454545453</v>
      </c>
      <c r="V148" s="12">
        <v>8</v>
      </c>
      <c r="W148" s="12">
        <v>11</v>
      </c>
      <c r="X148" s="16">
        <v>0.72727272727272729</v>
      </c>
      <c r="Y148" s="12">
        <v>11</v>
      </c>
      <c r="Z148" s="12">
        <v>20</v>
      </c>
      <c r="AA148" s="12">
        <v>31</v>
      </c>
      <c r="AB148" s="12">
        <v>14</v>
      </c>
      <c r="AC148" s="12">
        <v>10</v>
      </c>
      <c r="AD148" s="12">
        <v>7</v>
      </c>
      <c r="AE148" s="12">
        <v>2</v>
      </c>
      <c r="AF148" s="12">
        <v>5</v>
      </c>
      <c r="AG148" s="12">
        <v>25</v>
      </c>
      <c r="AH148" s="12">
        <v>18</v>
      </c>
      <c r="AI148" s="17">
        <v>76</v>
      </c>
      <c r="AJ148" s="12">
        <v>-5</v>
      </c>
      <c r="AK148" s="12">
        <v>69</v>
      </c>
      <c r="AL148" s="12">
        <v>80</v>
      </c>
      <c r="AM148" s="19">
        <v>1.0375000000000001</v>
      </c>
      <c r="AN148" s="19">
        <v>1.095435684647303</v>
      </c>
      <c r="AO148" s="18">
        <v>120.28985507246377</v>
      </c>
      <c r="AP148" s="18">
        <v>129.41176470588235</v>
      </c>
      <c r="AQ148" s="18">
        <v>-9.1219096334185821</v>
      </c>
      <c r="AR148" s="53">
        <v>0.56818181818181823</v>
      </c>
      <c r="AS148" s="53">
        <v>0.59285714285714286</v>
      </c>
      <c r="AT148" s="16">
        <v>0.13750000000000001</v>
      </c>
      <c r="AU148" s="19">
        <v>1.2727272727272727</v>
      </c>
      <c r="AV148" s="16">
        <v>0.27500000000000002</v>
      </c>
      <c r="AW148" s="19">
        <v>0.72727272727272729</v>
      </c>
      <c r="AX148" s="16">
        <v>0</v>
      </c>
      <c r="AY148" s="19" t="s">
        <v>269</v>
      </c>
      <c r="AZ148" s="16">
        <v>0.05</v>
      </c>
      <c r="BA148" s="19">
        <v>3</v>
      </c>
      <c r="BB148" s="16">
        <v>0.36249999999999999</v>
      </c>
      <c r="BC148" s="21">
        <v>1.1379310344827587</v>
      </c>
      <c r="BD148" s="16">
        <v>0.05</v>
      </c>
      <c r="BE148" s="16">
        <v>0.125</v>
      </c>
      <c r="BF148" s="16">
        <v>0.42424242424242425</v>
      </c>
      <c r="BG148" s="16">
        <v>0.46666666666666667</v>
      </c>
      <c r="BH148" s="16">
        <v>0.46666666666666667</v>
      </c>
      <c r="BI148" s="16">
        <v>0</v>
      </c>
      <c r="BJ148" s="16">
        <v>0.17499999999999999</v>
      </c>
      <c r="BK148" s="21">
        <v>1.4</v>
      </c>
      <c r="BL148" s="16">
        <v>0.28947368421052633</v>
      </c>
      <c r="BM148" s="16">
        <v>0.47826086956521741</v>
      </c>
      <c r="BN148" s="16">
        <v>0.19047619047619047</v>
      </c>
      <c r="BO148" s="16">
        <v>0</v>
      </c>
      <c r="BP148" s="16">
        <v>0.625</v>
      </c>
      <c r="BQ148" s="16">
        <v>0.38461538461538464</v>
      </c>
      <c r="BR148" s="16">
        <v>0.83333333333333337</v>
      </c>
      <c r="BS148" s="16">
        <v>0.75</v>
      </c>
      <c r="BT148" s="16">
        <v>0.44285714285714284</v>
      </c>
      <c r="BU148" s="16">
        <v>0.10294117647058823</v>
      </c>
      <c r="BV148" s="16">
        <v>3.3333333333333333E-2</v>
      </c>
      <c r="BW148" s="54">
        <v>3</v>
      </c>
      <c r="BX148" s="54">
        <v>0.49333333333333335</v>
      </c>
      <c r="BY148" s="54">
        <v>0.3888888888888889</v>
      </c>
      <c r="BZ148" s="12">
        <v>7</v>
      </c>
      <c r="CA148" s="12">
        <v>7</v>
      </c>
      <c r="CB148" s="12">
        <v>0</v>
      </c>
      <c r="CC148" s="12">
        <v>0</v>
      </c>
      <c r="CD148" s="12">
        <v>0</v>
      </c>
      <c r="CE148" s="12">
        <v>0</v>
      </c>
      <c r="CF148" s="12">
        <v>7</v>
      </c>
      <c r="CG148" s="12">
        <v>4</v>
      </c>
      <c r="CH148" s="12">
        <v>0</v>
      </c>
      <c r="CI148" s="12">
        <v>0</v>
      </c>
      <c r="CJ148" s="12">
        <v>0</v>
      </c>
      <c r="CK148" s="12">
        <v>0</v>
      </c>
      <c r="CL148" s="12">
        <v>4</v>
      </c>
      <c r="CM148" s="12">
        <v>0</v>
      </c>
      <c r="CN148" s="12">
        <v>0</v>
      </c>
      <c r="CO148" s="12">
        <v>0</v>
      </c>
      <c r="CP148" s="12">
        <v>0</v>
      </c>
      <c r="CQ148" s="12">
        <v>0</v>
      </c>
      <c r="CR148" s="12">
        <v>3</v>
      </c>
      <c r="CS148" s="12">
        <v>0</v>
      </c>
      <c r="CT148" s="12">
        <v>2</v>
      </c>
      <c r="CU148" s="12">
        <v>0</v>
      </c>
      <c r="CV148" s="12">
        <v>3</v>
      </c>
      <c r="CW148" s="12">
        <v>0</v>
      </c>
      <c r="CX148" s="12">
        <v>9</v>
      </c>
      <c r="CY148" s="12">
        <v>3</v>
      </c>
      <c r="CZ148" s="12">
        <v>3</v>
      </c>
      <c r="DA148" s="12">
        <v>0</v>
      </c>
      <c r="DB148" s="12">
        <v>0</v>
      </c>
      <c r="DC148" s="12">
        <v>0</v>
      </c>
      <c r="DD148" s="12">
        <v>3</v>
      </c>
      <c r="DE148" s="12">
        <v>3</v>
      </c>
      <c r="DF148" s="12">
        <v>5</v>
      </c>
      <c r="DG148" s="12">
        <v>8</v>
      </c>
      <c r="DH148" s="12">
        <v>1</v>
      </c>
      <c r="DI148" s="12">
        <v>0</v>
      </c>
      <c r="DJ148" s="12">
        <v>0</v>
      </c>
      <c r="DK148" s="12">
        <v>0</v>
      </c>
      <c r="DL148" s="12">
        <v>7</v>
      </c>
      <c r="DM148" s="12">
        <v>11</v>
      </c>
      <c r="DN148" s="12">
        <v>8</v>
      </c>
      <c r="DO148" s="12">
        <v>22</v>
      </c>
      <c r="DP148" s="12">
        <v>0</v>
      </c>
      <c r="DQ148" s="12">
        <v>0</v>
      </c>
      <c r="DR148" s="12">
        <v>4</v>
      </c>
      <c r="DS148" s="12">
        <v>4</v>
      </c>
      <c r="DT148" s="12">
        <v>11</v>
      </c>
      <c r="DU148" s="12">
        <v>29</v>
      </c>
      <c r="DV148" s="12">
        <v>0</v>
      </c>
      <c r="DW148" s="12">
        <v>0</v>
      </c>
      <c r="DX148" s="12">
        <v>88</v>
      </c>
      <c r="DY148" s="12">
        <v>17</v>
      </c>
      <c r="DZ148" s="12">
        <v>30</v>
      </c>
      <c r="EA148" s="16">
        <v>0.56666666666666665</v>
      </c>
      <c r="EB148" s="12">
        <v>13</v>
      </c>
      <c r="EC148" s="12">
        <v>30</v>
      </c>
      <c r="ED148" s="16">
        <v>0.43333333333333335</v>
      </c>
      <c r="EE148" s="12">
        <v>30</v>
      </c>
      <c r="EF148" s="12">
        <v>60</v>
      </c>
      <c r="EG148" s="16">
        <v>0.5</v>
      </c>
      <c r="EH148" s="12">
        <v>15</v>
      </c>
      <c r="EI148" s="12">
        <v>24</v>
      </c>
      <c r="EJ148" s="16">
        <v>0.625</v>
      </c>
      <c r="EK148" s="12">
        <v>12</v>
      </c>
      <c r="EL148" s="12">
        <v>27</v>
      </c>
      <c r="EM148" s="12">
        <v>39</v>
      </c>
      <c r="EN148" s="12">
        <v>26</v>
      </c>
      <c r="EO148" s="12">
        <v>18</v>
      </c>
      <c r="EP148" s="12">
        <v>24</v>
      </c>
      <c r="EQ148" s="12">
        <v>3</v>
      </c>
      <c r="ER148" s="12">
        <v>11</v>
      </c>
      <c r="ES148" s="12">
        <v>5</v>
      </c>
      <c r="ET148" s="12">
        <v>2</v>
      </c>
      <c r="EU148" s="12">
        <v>115</v>
      </c>
      <c r="EV148" s="12">
        <v>5</v>
      </c>
      <c r="EW148" s="12">
        <v>68</v>
      </c>
      <c r="EX148" s="12">
        <v>80.333333333333329</v>
      </c>
      <c r="EY148" s="12">
        <v>5</v>
      </c>
      <c r="EZ148" s="12">
        <v>11</v>
      </c>
      <c r="FA148" s="12">
        <v>12</v>
      </c>
      <c r="FB148" s="12">
        <v>3</v>
      </c>
      <c r="FC148" s="12">
        <v>4</v>
      </c>
      <c r="FD148" s="12">
        <v>3</v>
      </c>
      <c r="FE148" s="12">
        <v>0</v>
      </c>
      <c r="FF148" s="12">
        <v>4</v>
      </c>
      <c r="FG148" s="12">
        <v>0</v>
      </c>
      <c r="FH148" s="12">
        <v>1</v>
      </c>
      <c r="FI148" s="12">
        <v>0</v>
      </c>
      <c r="FJ148" s="12">
        <v>0</v>
      </c>
      <c r="FK148" s="12">
        <v>0</v>
      </c>
      <c r="FL148" s="12">
        <v>3</v>
      </c>
      <c r="FM148" s="12">
        <v>0</v>
      </c>
      <c r="FN148" s="12">
        <v>1</v>
      </c>
      <c r="FO148" s="12">
        <v>0</v>
      </c>
      <c r="FP148" s="12">
        <v>4</v>
      </c>
      <c r="FQ148" s="12">
        <v>0</v>
      </c>
      <c r="FR148" s="12">
        <v>7</v>
      </c>
      <c r="FS148" s="12">
        <v>1</v>
      </c>
      <c r="FT148" s="12">
        <v>0</v>
      </c>
      <c r="FU148" s="12">
        <v>0</v>
      </c>
      <c r="FV148" s="12">
        <v>0</v>
      </c>
      <c r="FW148" s="12">
        <v>0</v>
      </c>
      <c r="FX148" s="12">
        <v>14</v>
      </c>
      <c r="FY148" s="12">
        <v>3</v>
      </c>
      <c r="FZ148" s="12">
        <v>2</v>
      </c>
      <c r="GA148" s="12">
        <v>0</v>
      </c>
      <c r="GB148" s="12">
        <v>0</v>
      </c>
      <c r="GC148" s="12">
        <v>1</v>
      </c>
      <c r="GD148" s="12">
        <v>2</v>
      </c>
      <c r="GE148" s="12">
        <v>3</v>
      </c>
      <c r="GF148" s="12">
        <v>11</v>
      </c>
      <c r="GG148" s="12">
        <v>18</v>
      </c>
      <c r="GH148" s="12">
        <v>1</v>
      </c>
      <c r="GI148" s="12">
        <v>1</v>
      </c>
      <c r="GJ148" s="12">
        <v>1</v>
      </c>
      <c r="GK148" s="12">
        <v>0</v>
      </c>
      <c r="GL148" s="12">
        <v>13</v>
      </c>
      <c r="GM148" s="12">
        <v>16</v>
      </c>
      <c r="GN148" s="12">
        <v>2</v>
      </c>
      <c r="GO148" s="12">
        <v>9</v>
      </c>
      <c r="GP148" s="12">
        <v>2</v>
      </c>
      <c r="GQ148" s="12">
        <v>5</v>
      </c>
      <c r="GR148" s="12">
        <v>4</v>
      </c>
      <c r="GS148" s="12">
        <v>7</v>
      </c>
      <c r="GT148" s="12">
        <v>9</v>
      </c>
      <c r="GU148" s="12">
        <v>23</v>
      </c>
      <c r="GV148" s="12">
        <v>0</v>
      </c>
      <c r="GW148" s="12">
        <v>0</v>
      </c>
      <c r="GY148" s="16"/>
    </row>
    <row r="149" spans="2:207" ht="15" customHeight="1" x14ac:dyDescent="0.2">
      <c r="B149" s="12">
        <v>9</v>
      </c>
      <c r="C149" s="12" t="s">
        <v>293</v>
      </c>
      <c r="D149" s="12" t="s">
        <v>264</v>
      </c>
      <c r="E149" s="14" t="s">
        <v>295</v>
      </c>
      <c r="F149" s="14" t="s">
        <v>266</v>
      </c>
      <c r="G149" s="15">
        <v>45246</v>
      </c>
      <c r="H149" s="15" t="s">
        <v>268</v>
      </c>
      <c r="I149" s="12" t="s">
        <v>269</v>
      </c>
      <c r="J149" s="12" t="s">
        <v>270</v>
      </c>
      <c r="K149" s="12">
        <v>200</v>
      </c>
      <c r="L149" s="12">
        <v>88</v>
      </c>
      <c r="M149" s="12">
        <v>17</v>
      </c>
      <c r="N149" s="12">
        <v>30</v>
      </c>
      <c r="O149" s="16">
        <v>0.56666666666666665</v>
      </c>
      <c r="P149" s="12">
        <v>13</v>
      </c>
      <c r="Q149" s="12">
        <v>30</v>
      </c>
      <c r="R149" s="16">
        <v>0.43333333333333335</v>
      </c>
      <c r="S149" s="12">
        <v>30</v>
      </c>
      <c r="T149" s="12">
        <v>60</v>
      </c>
      <c r="U149" s="16">
        <v>0.5</v>
      </c>
      <c r="V149" s="12">
        <v>15</v>
      </c>
      <c r="W149" s="12">
        <v>24</v>
      </c>
      <c r="X149" s="16">
        <v>0.625</v>
      </c>
      <c r="Y149" s="12">
        <v>12</v>
      </c>
      <c r="Z149" s="12">
        <v>27</v>
      </c>
      <c r="AA149" s="12">
        <v>39</v>
      </c>
      <c r="AB149" s="12">
        <v>26</v>
      </c>
      <c r="AC149" s="12">
        <v>11</v>
      </c>
      <c r="AD149" s="12">
        <v>3</v>
      </c>
      <c r="AE149" s="12">
        <v>5</v>
      </c>
      <c r="AF149" s="12">
        <v>2</v>
      </c>
      <c r="AG149" s="12">
        <v>18</v>
      </c>
      <c r="AH149" s="12">
        <v>24</v>
      </c>
      <c r="AI149" s="17">
        <v>115</v>
      </c>
      <c r="AJ149" s="12">
        <v>5</v>
      </c>
      <c r="AK149" s="12">
        <v>68</v>
      </c>
      <c r="AL149" s="12">
        <v>80.333333333333329</v>
      </c>
      <c r="AM149" s="19">
        <v>1.095435684647303</v>
      </c>
      <c r="AN149" s="19">
        <v>1.0375000000000001</v>
      </c>
      <c r="AO149" s="18">
        <v>129.41176470588235</v>
      </c>
      <c r="AP149" s="18">
        <v>120.28985507246377</v>
      </c>
      <c r="AQ149" s="18">
        <v>9.1219096334185821</v>
      </c>
      <c r="AR149" s="53">
        <v>0.60833333333333328</v>
      </c>
      <c r="AS149" s="53">
        <v>0.63461538461538469</v>
      </c>
      <c r="AT149" s="16">
        <v>0.19917012448132781</v>
      </c>
      <c r="AU149" s="19">
        <v>1.625</v>
      </c>
      <c r="AV149" s="16">
        <v>0.11203319502074689</v>
      </c>
      <c r="AW149" s="19">
        <v>0.44444444444444442</v>
      </c>
      <c r="AX149" s="16">
        <v>6.2240663900414939E-2</v>
      </c>
      <c r="AY149" s="19">
        <v>0.8</v>
      </c>
      <c r="AZ149" s="16">
        <v>8.7136929460580922E-2</v>
      </c>
      <c r="BA149" s="19">
        <v>1.7142857142857142</v>
      </c>
      <c r="BB149" s="16">
        <v>0.28630705394190875</v>
      </c>
      <c r="BC149" s="21">
        <v>1.173913043478261</v>
      </c>
      <c r="BD149" s="16">
        <v>0.1161825726141079</v>
      </c>
      <c r="BE149" s="16">
        <v>0.13750000000000001</v>
      </c>
      <c r="BF149" s="16">
        <v>0.67826086956521736</v>
      </c>
      <c r="BG149" s="16">
        <v>0.6470588235294118</v>
      </c>
      <c r="BH149" s="16">
        <v>0.92307692307692313</v>
      </c>
      <c r="BI149" s="16">
        <v>0.36</v>
      </c>
      <c r="BJ149" s="16">
        <v>0.32500000000000001</v>
      </c>
      <c r="BK149" s="21">
        <v>2.3636363636363638</v>
      </c>
      <c r="BL149" s="16">
        <v>0.375</v>
      </c>
      <c r="BM149" s="16">
        <v>0.61538461538461542</v>
      </c>
      <c r="BN149" s="16">
        <v>0.16666666666666666</v>
      </c>
      <c r="BO149" s="16">
        <v>0.25</v>
      </c>
      <c r="BP149" s="16">
        <v>0.71052631578947367</v>
      </c>
      <c r="BQ149" s="16">
        <v>0.52173913043478259</v>
      </c>
      <c r="BR149" s="16">
        <v>0.80952380952380953</v>
      </c>
      <c r="BS149" s="16">
        <v>1</v>
      </c>
      <c r="BT149" s="16">
        <v>0.55714285714285716</v>
      </c>
      <c r="BU149" s="16">
        <v>4.3478260869565216E-2</v>
      </c>
      <c r="BV149" s="16">
        <v>7.575757575757576E-2</v>
      </c>
      <c r="BW149" s="54">
        <v>5</v>
      </c>
      <c r="BX149" s="54">
        <v>0.3888888888888889</v>
      </c>
      <c r="BY149" s="54">
        <v>0.55555555555555558</v>
      </c>
      <c r="BZ149" s="12">
        <v>11</v>
      </c>
      <c r="CA149" s="12">
        <v>12</v>
      </c>
      <c r="CB149" s="12">
        <v>3</v>
      </c>
      <c r="CC149" s="12">
        <v>4</v>
      </c>
      <c r="CD149" s="12">
        <v>3</v>
      </c>
      <c r="CE149" s="12">
        <v>0</v>
      </c>
      <c r="CF149" s="12">
        <v>4</v>
      </c>
      <c r="CG149" s="12">
        <v>0</v>
      </c>
      <c r="CH149" s="12">
        <v>1</v>
      </c>
      <c r="CI149" s="12">
        <v>0</v>
      </c>
      <c r="CJ149" s="12">
        <v>0</v>
      </c>
      <c r="CK149" s="12">
        <v>0</v>
      </c>
      <c r="CL149" s="12">
        <v>3</v>
      </c>
      <c r="CM149" s="12">
        <v>0</v>
      </c>
      <c r="CN149" s="12">
        <v>1</v>
      </c>
      <c r="CO149" s="12">
        <v>0</v>
      </c>
      <c r="CP149" s="12">
        <v>4</v>
      </c>
      <c r="CQ149" s="12">
        <v>0</v>
      </c>
      <c r="CR149" s="12">
        <v>7</v>
      </c>
      <c r="CS149" s="12">
        <v>1</v>
      </c>
      <c r="CT149" s="12">
        <v>0</v>
      </c>
      <c r="CU149" s="12">
        <v>0</v>
      </c>
      <c r="CV149" s="12">
        <v>0</v>
      </c>
      <c r="CW149" s="12">
        <v>0</v>
      </c>
      <c r="CX149" s="12">
        <v>14</v>
      </c>
      <c r="CY149" s="12">
        <v>3</v>
      </c>
      <c r="CZ149" s="12">
        <v>2</v>
      </c>
      <c r="DA149" s="12">
        <v>0</v>
      </c>
      <c r="DB149" s="12">
        <v>0</v>
      </c>
      <c r="DC149" s="12">
        <v>1</v>
      </c>
      <c r="DD149" s="12">
        <v>3</v>
      </c>
      <c r="DE149" s="12">
        <v>4</v>
      </c>
      <c r="DF149" s="12">
        <v>11</v>
      </c>
      <c r="DG149" s="12">
        <v>18</v>
      </c>
      <c r="DH149" s="12">
        <v>1</v>
      </c>
      <c r="DI149" s="12">
        <v>1</v>
      </c>
      <c r="DJ149" s="12">
        <v>1</v>
      </c>
      <c r="DK149" s="12">
        <v>0</v>
      </c>
      <c r="DL149" s="12">
        <v>13</v>
      </c>
      <c r="DM149" s="12">
        <v>16</v>
      </c>
      <c r="DN149" s="12">
        <v>2</v>
      </c>
      <c r="DO149" s="12">
        <v>9</v>
      </c>
      <c r="DP149" s="12">
        <v>2</v>
      </c>
      <c r="DQ149" s="12">
        <v>5</v>
      </c>
      <c r="DR149" s="12">
        <v>4</v>
      </c>
      <c r="DS149" s="12">
        <v>7</v>
      </c>
      <c r="DT149" s="12">
        <v>9</v>
      </c>
      <c r="DU149" s="12">
        <v>23</v>
      </c>
      <c r="DV149" s="12">
        <v>0</v>
      </c>
      <c r="DW149" s="12">
        <v>0</v>
      </c>
      <c r="DX149" s="12">
        <v>83</v>
      </c>
      <c r="DY149" s="12">
        <v>15</v>
      </c>
      <c r="DZ149" s="12">
        <v>33</v>
      </c>
      <c r="EA149" s="16">
        <v>0.45454545454545453</v>
      </c>
      <c r="EB149" s="12">
        <v>15</v>
      </c>
      <c r="EC149" s="12">
        <v>33</v>
      </c>
      <c r="ED149" s="16">
        <v>0.45454545454545453</v>
      </c>
      <c r="EE149" s="12">
        <v>30</v>
      </c>
      <c r="EF149" s="12">
        <v>66</v>
      </c>
      <c r="EG149" s="16">
        <v>0.45454545454545453</v>
      </c>
      <c r="EH149" s="12">
        <v>8</v>
      </c>
      <c r="EI149" s="12">
        <v>11</v>
      </c>
      <c r="EJ149" s="16">
        <v>0.72727272727272729</v>
      </c>
      <c r="EK149" s="12">
        <v>11</v>
      </c>
      <c r="EL149" s="12">
        <v>20</v>
      </c>
      <c r="EM149" s="12">
        <v>31</v>
      </c>
      <c r="EN149" s="12">
        <v>14</v>
      </c>
      <c r="EO149" s="12">
        <v>25</v>
      </c>
      <c r="EP149" s="12">
        <v>18</v>
      </c>
      <c r="EQ149" s="12">
        <v>7</v>
      </c>
      <c r="ER149" s="12">
        <v>10</v>
      </c>
      <c r="ES149" s="12">
        <v>2</v>
      </c>
      <c r="ET149" s="12">
        <v>5</v>
      </c>
      <c r="EU149" s="12">
        <v>76</v>
      </c>
      <c r="EV149" s="12">
        <v>-5</v>
      </c>
      <c r="EW149" s="12">
        <v>69</v>
      </c>
      <c r="EX149" s="12">
        <v>80</v>
      </c>
      <c r="EY149" s="12">
        <v>3</v>
      </c>
      <c r="EZ149" s="12">
        <v>7</v>
      </c>
      <c r="FA149" s="12">
        <v>7</v>
      </c>
      <c r="FB149" s="12">
        <v>0</v>
      </c>
      <c r="FC149" s="12">
        <v>0</v>
      </c>
      <c r="FD149" s="12">
        <v>0</v>
      </c>
      <c r="FE149" s="12">
        <v>0</v>
      </c>
      <c r="FF149" s="12">
        <v>7</v>
      </c>
      <c r="FG149" s="12">
        <v>4</v>
      </c>
      <c r="FH149" s="12">
        <v>0</v>
      </c>
      <c r="FI149" s="12">
        <v>0</v>
      </c>
      <c r="FJ149" s="12">
        <v>0</v>
      </c>
      <c r="FK149" s="12">
        <v>0</v>
      </c>
      <c r="FL149" s="12">
        <v>4</v>
      </c>
      <c r="FM149" s="12">
        <v>0</v>
      </c>
      <c r="FN149" s="12">
        <v>0</v>
      </c>
      <c r="FO149" s="12">
        <v>0</v>
      </c>
      <c r="FP149" s="12">
        <v>0</v>
      </c>
      <c r="FQ149" s="12">
        <v>0</v>
      </c>
      <c r="FR149" s="12">
        <v>3</v>
      </c>
      <c r="FS149" s="12">
        <v>0</v>
      </c>
      <c r="FT149" s="12">
        <v>2</v>
      </c>
      <c r="FU149" s="12">
        <v>0</v>
      </c>
      <c r="FV149" s="12">
        <v>3</v>
      </c>
      <c r="FW149" s="12">
        <v>0</v>
      </c>
      <c r="FX149" s="12">
        <v>9</v>
      </c>
      <c r="FY149" s="12">
        <v>3</v>
      </c>
      <c r="FZ149" s="12">
        <v>3</v>
      </c>
      <c r="GA149" s="12">
        <v>0</v>
      </c>
      <c r="GB149" s="12">
        <v>0</v>
      </c>
      <c r="GC149" s="12">
        <v>0</v>
      </c>
      <c r="GD149" s="12">
        <v>3</v>
      </c>
      <c r="GE149" s="12">
        <v>3</v>
      </c>
      <c r="GF149" s="12">
        <v>5</v>
      </c>
      <c r="GG149" s="12">
        <v>8</v>
      </c>
      <c r="GH149" s="12">
        <v>1</v>
      </c>
      <c r="GI149" s="12">
        <v>0</v>
      </c>
      <c r="GJ149" s="12">
        <v>0</v>
      </c>
      <c r="GK149" s="12">
        <v>0</v>
      </c>
      <c r="GL149" s="12">
        <v>7</v>
      </c>
      <c r="GM149" s="12">
        <v>11</v>
      </c>
      <c r="GN149" s="12">
        <v>8</v>
      </c>
      <c r="GO149" s="12">
        <v>22</v>
      </c>
      <c r="GP149" s="12">
        <v>0</v>
      </c>
      <c r="GQ149" s="12">
        <v>0</v>
      </c>
      <c r="GR149" s="12">
        <v>4</v>
      </c>
      <c r="GS149" s="12">
        <v>4</v>
      </c>
      <c r="GT149" s="12">
        <v>11</v>
      </c>
      <c r="GU149" s="12">
        <v>29</v>
      </c>
      <c r="GV149" s="12">
        <v>0</v>
      </c>
      <c r="GW149" s="12">
        <v>0</v>
      </c>
      <c r="GY149" s="16"/>
    </row>
    <row r="150" spans="2:207" ht="15" customHeight="1" x14ac:dyDescent="0.2">
      <c r="B150" s="12">
        <v>9</v>
      </c>
      <c r="C150" s="12" t="s">
        <v>277</v>
      </c>
      <c r="D150" s="12" t="s">
        <v>289</v>
      </c>
      <c r="E150" s="14" t="s">
        <v>279</v>
      </c>
      <c r="F150" s="14" t="s">
        <v>291</v>
      </c>
      <c r="G150" s="15">
        <v>45246</v>
      </c>
      <c r="H150" s="15" t="s">
        <v>271</v>
      </c>
      <c r="I150" s="12" t="s">
        <v>269</v>
      </c>
      <c r="J150" s="12" t="s">
        <v>272</v>
      </c>
      <c r="K150" s="12">
        <v>200</v>
      </c>
      <c r="L150" s="12">
        <v>76</v>
      </c>
      <c r="M150" s="12">
        <v>20</v>
      </c>
      <c r="N150" s="12">
        <v>31</v>
      </c>
      <c r="O150" s="16">
        <v>0.64516129032258063</v>
      </c>
      <c r="P150" s="12">
        <v>7</v>
      </c>
      <c r="Q150" s="12">
        <v>25</v>
      </c>
      <c r="R150" s="16">
        <v>0.28000000000000003</v>
      </c>
      <c r="S150" s="12">
        <v>27</v>
      </c>
      <c r="T150" s="12">
        <v>56</v>
      </c>
      <c r="U150" s="16">
        <v>0.48214285714285715</v>
      </c>
      <c r="V150" s="12">
        <v>15</v>
      </c>
      <c r="W150" s="12">
        <v>21</v>
      </c>
      <c r="X150" s="16">
        <v>0.7142857142857143</v>
      </c>
      <c r="Y150" s="12">
        <v>5</v>
      </c>
      <c r="Z150" s="12">
        <v>19</v>
      </c>
      <c r="AA150" s="12">
        <v>24</v>
      </c>
      <c r="AB150" s="12">
        <v>16</v>
      </c>
      <c r="AC150" s="12">
        <v>8</v>
      </c>
      <c r="AD150" s="12">
        <v>6</v>
      </c>
      <c r="AE150" s="12">
        <v>1</v>
      </c>
      <c r="AF150" s="12">
        <v>0</v>
      </c>
      <c r="AG150" s="12">
        <v>19</v>
      </c>
      <c r="AH150" s="12">
        <v>23</v>
      </c>
      <c r="AI150" s="17">
        <v>84</v>
      </c>
      <c r="AJ150" s="12">
        <v>-16</v>
      </c>
      <c r="AK150" s="12">
        <v>67</v>
      </c>
      <c r="AL150" s="12">
        <v>73</v>
      </c>
      <c r="AM150" s="19">
        <v>1.0410958904109588</v>
      </c>
      <c r="AN150" s="19">
        <v>1.2777777777777777</v>
      </c>
      <c r="AO150" s="18">
        <v>113.43283582089552</v>
      </c>
      <c r="AP150" s="18">
        <v>137.31343283582089</v>
      </c>
      <c r="AQ150" s="18">
        <v>-23.880597014925371</v>
      </c>
      <c r="AR150" s="53">
        <v>0.5446428571428571</v>
      </c>
      <c r="AS150" s="53">
        <v>0.58461538461538465</v>
      </c>
      <c r="AT150" s="16">
        <v>0.1095890410958904</v>
      </c>
      <c r="AU150" s="19">
        <v>1.75</v>
      </c>
      <c r="AV150" s="16">
        <v>0.24657534246575341</v>
      </c>
      <c r="AW150" s="19">
        <v>1.2222222222222223</v>
      </c>
      <c r="AX150" s="16">
        <v>6.8493150684931503E-2</v>
      </c>
      <c r="AY150" s="19">
        <v>0.8</v>
      </c>
      <c r="AZ150" s="16">
        <v>1.3698630136986301E-2</v>
      </c>
      <c r="BA150" s="19">
        <v>3</v>
      </c>
      <c r="BB150" s="16">
        <v>0.32876712328767121</v>
      </c>
      <c r="BC150" s="21">
        <v>0.75</v>
      </c>
      <c r="BD150" s="16">
        <v>0.12328767123287671</v>
      </c>
      <c r="BE150" s="16">
        <v>0.1111111111111111</v>
      </c>
      <c r="BF150" s="16">
        <v>0.45714285714285713</v>
      </c>
      <c r="BG150" s="16">
        <v>0.45</v>
      </c>
      <c r="BH150" s="16">
        <v>0.8571428571428571</v>
      </c>
      <c r="BI150" s="16">
        <v>0.125</v>
      </c>
      <c r="BJ150" s="16">
        <v>0.22222222222222221</v>
      </c>
      <c r="BK150" s="21">
        <v>2</v>
      </c>
      <c r="BL150" s="16">
        <v>0.15625</v>
      </c>
      <c r="BM150" s="16">
        <v>0.1</v>
      </c>
      <c r="BN150" s="16">
        <v>0.3</v>
      </c>
      <c r="BO150" s="16">
        <v>0</v>
      </c>
      <c r="BP150" s="16">
        <v>0.79166666666666663</v>
      </c>
      <c r="BQ150" s="16">
        <v>0.7</v>
      </c>
      <c r="BR150" s="16">
        <v>0.8571428571428571</v>
      </c>
      <c r="BS150" s="16">
        <v>1</v>
      </c>
      <c r="BT150" s="16">
        <v>0.42857142857142855</v>
      </c>
      <c r="BU150" s="16">
        <v>8.9552238805970144E-2</v>
      </c>
      <c r="BV150" s="16">
        <v>1.8181818181818181E-2</v>
      </c>
      <c r="BW150" s="54">
        <v>4</v>
      </c>
      <c r="BX150" s="54">
        <v>0.47368421052631576</v>
      </c>
      <c r="BY150" s="54">
        <v>0.52173913043478259</v>
      </c>
      <c r="BZ150" s="12">
        <v>9</v>
      </c>
      <c r="CA150" s="12">
        <v>6</v>
      </c>
      <c r="CB150" s="12">
        <v>1</v>
      </c>
      <c r="CC150" s="12">
        <v>2</v>
      </c>
      <c r="CD150" s="12">
        <v>0</v>
      </c>
      <c r="CE150" s="12">
        <v>0</v>
      </c>
      <c r="CF150" s="12">
        <v>1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4</v>
      </c>
      <c r="CM150" s="12">
        <v>2</v>
      </c>
      <c r="CN150" s="12">
        <v>0</v>
      </c>
      <c r="CO150" s="12">
        <v>0</v>
      </c>
      <c r="CP150" s="12">
        <v>2</v>
      </c>
      <c r="CQ150" s="12">
        <v>0</v>
      </c>
      <c r="CR150" s="12">
        <v>3</v>
      </c>
      <c r="CS150" s="12">
        <v>0</v>
      </c>
      <c r="CT150" s="12">
        <v>2</v>
      </c>
      <c r="CU150" s="12">
        <v>0</v>
      </c>
      <c r="CV150" s="12">
        <v>1</v>
      </c>
      <c r="CW150" s="12">
        <v>1</v>
      </c>
      <c r="CX150" s="12">
        <v>8</v>
      </c>
      <c r="CY150" s="12">
        <v>2</v>
      </c>
      <c r="CZ150" s="12">
        <v>3</v>
      </c>
      <c r="DA150" s="12">
        <v>0</v>
      </c>
      <c r="DB150" s="12">
        <v>0</v>
      </c>
      <c r="DC150" s="12">
        <v>0</v>
      </c>
      <c r="DD150" s="12">
        <v>3</v>
      </c>
      <c r="DE150" s="12">
        <v>3</v>
      </c>
      <c r="DF150" s="12">
        <v>12</v>
      </c>
      <c r="DG150" s="12">
        <v>18</v>
      </c>
      <c r="DH150" s="12">
        <v>1</v>
      </c>
      <c r="DI150" s="12">
        <v>0</v>
      </c>
      <c r="DJ150" s="12">
        <v>0</v>
      </c>
      <c r="DK150" s="12">
        <v>0</v>
      </c>
      <c r="DL150" s="12">
        <v>7</v>
      </c>
      <c r="DM150" s="12">
        <v>8</v>
      </c>
      <c r="DN150" s="12">
        <v>11</v>
      </c>
      <c r="DO150" s="12">
        <v>18</v>
      </c>
      <c r="DP150" s="12">
        <v>2</v>
      </c>
      <c r="DQ150" s="12">
        <v>5</v>
      </c>
      <c r="DR150" s="12">
        <v>1</v>
      </c>
      <c r="DS150" s="12">
        <v>1</v>
      </c>
      <c r="DT150" s="12">
        <v>6</v>
      </c>
      <c r="DU150" s="12">
        <v>24</v>
      </c>
      <c r="DV150" s="12">
        <v>0</v>
      </c>
      <c r="DW150" s="12">
        <v>0</v>
      </c>
      <c r="DX150" s="12">
        <v>92</v>
      </c>
      <c r="DY150" s="12">
        <v>20</v>
      </c>
      <c r="DZ150" s="12">
        <v>31</v>
      </c>
      <c r="EA150" s="16">
        <v>0.64516129032258063</v>
      </c>
      <c r="EB150" s="12">
        <v>13</v>
      </c>
      <c r="EC150" s="12">
        <v>24</v>
      </c>
      <c r="ED150" s="16">
        <v>0.54166666666666663</v>
      </c>
      <c r="EE150" s="12">
        <v>33</v>
      </c>
      <c r="EF150" s="12">
        <v>55</v>
      </c>
      <c r="EG150" s="16">
        <v>0.6</v>
      </c>
      <c r="EH150" s="12">
        <v>13</v>
      </c>
      <c r="EI150" s="12">
        <v>17</v>
      </c>
      <c r="EJ150" s="16">
        <v>0.76470588235294112</v>
      </c>
      <c r="EK150" s="12">
        <v>5</v>
      </c>
      <c r="EL150" s="12">
        <v>27</v>
      </c>
      <c r="EM150" s="12">
        <v>32</v>
      </c>
      <c r="EN150" s="12">
        <v>21</v>
      </c>
      <c r="EO150" s="12">
        <v>23</v>
      </c>
      <c r="EP150" s="12">
        <v>19</v>
      </c>
      <c r="EQ150" s="12">
        <v>1</v>
      </c>
      <c r="ER150" s="12">
        <v>10</v>
      </c>
      <c r="ES150" s="12">
        <v>0</v>
      </c>
      <c r="ET150" s="12">
        <v>1</v>
      </c>
      <c r="EU150" s="12">
        <v>105</v>
      </c>
      <c r="EV150" s="12">
        <v>16</v>
      </c>
      <c r="EW150" s="12">
        <v>67</v>
      </c>
      <c r="EX150" s="12">
        <v>72</v>
      </c>
      <c r="EY150" s="12">
        <v>5</v>
      </c>
      <c r="EZ150" s="12">
        <v>9</v>
      </c>
      <c r="FA150" s="12">
        <v>11</v>
      </c>
      <c r="FB150" s="12">
        <v>1</v>
      </c>
      <c r="FC150" s="12">
        <v>0</v>
      </c>
      <c r="FD150" s="12">
        <v>1</v>
      </c>
      <c r="FE150" s="12">
        <v>0</v>
      </c>
      <c r="FF150" s="12">
        <v>2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2</v>
      </c>
      <c r="FM150" s="12">
        <v>0</v>
      </c>
      <c r="FN150" s="12">
        <v>0</v>
      </c>
      <c r="FO150" s="12">
        <v>0</v>
      </c>
      <c r="FP150" s="12">
        <v>1</v>
      </c>
      <c r="FQ150" s="12">
        <v>0</v>
      </c>
      <c r="FR150" s="12">
        <v>5</v>
      </c>
      <c r="FS150" s="12">
        <v>0</v>
      </c>
      <c r="FT150" s="12">
        <v>3</v>
      </c>
      <c r="FU150" s="12">
        <v>0</v>
      </c>
      <c r="FV150" s="12">
        <v>0</v>
      </c>
      <c r="FW150" s="12">
        <v>0</v>
      </c>
      <c r="FX150" s="12">
        <v>14</v>
      </c>
      <c r="FY150" s="12">
        <v>0</v>
      </c>
      <c r="FZ150" s="12">
        <v>4</v>
      </c>
      <c r="GA150" s="12">
        <v>0</v>
      </c>
      <c r="GB150" s="12">
        <v>0</v>
      </c>
      <c r="GC150" s="12">
        <v>0</v>
      </c>
      <c r="GD150" s="12">
        <v>2</v>
      </c>
      <c r="GE150" s="12">
        <v>2</v>
      </c>
      <c r="GF150" s="12">
        <v>9</v>
      </c>
      <c r="GG150" s="12">
        <v>12</v>
      </c>
      <c r="GH150" s="12">
        <v>0</v>
      </c>
      <c r="GI150" s="12">
        <v>2</v>
      </c>
      <c r="GJ150" s="12">
        <v>3</v>
      </c>
      <c r="GK150" s="12">
        <v>0</v>
      </c>
      <c r="GL150" s="12">
        <v>10</v>
      </c>
      <c r="GM150" s="12">
        <v>13</v>
      </c>
      <c r="GN150" s="12">
        <v>4</v>
      </c>
      <c r="GO150" s="12">
        <v>10</v>
      </c>
      <c r="GP150" s="12">
        <v>6</v>
      </c>
      <c r="GQ150" s="12">
        <v>8</v>
      </c>
      <c r="GR150" s="12">
        <v>3</v>
      </c>
      <c r="GS150" s="12">
        <v>4</v>
      </c>
      <c r="GT150" s="12">
        <v>10</v>
      </c>
      <c r="GU150" s="12">
        <v>20</v>
      </c>
      <c r="GV150" s="12">
        <v>0</v>
      </c>
      <c r="GW150" s="12">
        <v>0</v>
      </c>
      <c r="GY150" s="16"/>
    </row>
    <row r="151" spans="2:207" ht="15" customHeight="1" x14ac:dyDescent="0.2">
      <c r="B151" s="12">
        <v>9</v>
      </c>
      <c r="C151" s="12" t="s">
        <v>289</v>
      </c>
      <c r="D151" s="12" t="s">
        <v>277</v>
      </c>
      <c r="E151" s="14" t="s">
        <v>291</v>
      </c>
      <c r="F151" s="14" t="s">
        <v>279</v>
      </c>
      <c r="G151" s="15">
        <v>45246</v>
      </c>
      <c r="H151" s="15" t="s">
        <v>268</v>
      </c>
      <c r="I151" s="12" t="s">
        <v>269</v>
      </c>
      <c r="J151" s="12" t="s">
        <v>270</v>
      </c>
      <c r="K151" s="12">
        <v>200</v>
      </c>
      <c r="L151" s="12">
        <v>92</v>
      </c>
      <c r="M151" s="12">
        <v>20</v>
      </c>
      <c r="N151" s="12">
        <v>31</v>
      </c>
      <c r="O151" s="16">
        <v>0.64516129032258063</v>
      </c>
      <c r="P151" s="12">
        <v>13</v>
      </c>
      <c r="Q151" s="12">
        <v>24</v>
      </c>
      <c r="R151" s="16">
        <v>0.54166666666666663</v>
      </c>
      <c r="S151" s="12">
        <v>33</v>
      </c>
      <c r="T151" s="12">
        <v>55</v>
      </c>
      <c r="U151" s="16">
        <v>0.6</v>
      </c>
      <c r="V151" s="12">
        <v>13</v>
      </c>
      <c r="W151" s="12">
        <v>17</v>
      </c>
      <c r="X151" s="16">
        <v>0.76470588235294112</v>
      </c>
      <c r="Y151" s="12">
        <v>5</v>
      </c>
      <c r="Z151" s="12">
        <v>27</v>
      </c>
      <c r="AA151" s="12">
        <v>32</v>
      </c>
      <c r="AB151" s="12">
        <v>21</v>
      </c>
      <c r="AC151" s="12">
        <v>10</v>
      </c>
      <c r="AD151" s="12">
        <v>1</v>
      </c>
      <c r="AE151" s="12">
        <v>0</v>
      </c>
      <c r="AF151" s="12">
        <v>1</v>
      </c>
      <c r="AG151" s="12">
        <v>23</v>
      </c>
      <c r="AH151" s="12">
        <v>19</v>
      </c>
      <c r="AI151" s="17">
        <v>105</v>
      </c>
      <c r="AJ151" s="12">
        <v>16</v>
      </c>
      <c r="AK151" s="12">
        <v>67</v>
      </c>
      <c r="AL151" s="12">
        <v>72</v>
      </c>
      <c r="AM151" s="19">
        <v>1.2777777777777777</v>
      </c>
      <c r="AN151" s="19">
        <v>1.0410958904109588</v>
      </c>
      <c r="AO151" s="18">
        <v>137.31343283582089</v>
      </c>
      <c r="AP151" s="18">
        <v>113.43283582089552</v>
      </c>
      <c r="AQ151" s="18">
        <v>23.880597014925371</v>
      </c>
      <c r="AR151" s="53">
        <v>0.71818181818181814</v>
      </c>
      <c r="AS151" s="53">
        <v>0.74193548387096775</v>
      </c>
      <c r="AT151" s="16">
        <v>0.18055555555555555</v>
      </c>
      <c r="AU151" s="19">
        <v>1.5384615384615385</v>
      </c>
      <c r="AV151" s="16">
        <v>0.1388888888888889</v>
      </c>
      <c r="AW151" s="19">
        <v>0.8</v>
      </c>
      <c r="AX151" s="16">
        <v>0.1111111111111111</v>
      </c>
      <c r="AY151" s="19">
        <v>1.5</v>
      </c>
      <c r="AZ151" s="16">
        <v>5.5555555555555552E-2</v>
      </c>
      <c r="BA151" s="19">
        <v>2.25</v>
      </c>
      <c r="BB151" s="16">
        <v>0.27777777777777779</v>
      </c>
      <c r="BC151" s="21">
        <v>1.5</v>
      </c>
      <c r="BD151" s="16">
        <v>9.7222222222222224E-2</v>
      </c>
      <c r="BE151" s="16">
        <v>0.1388888888888889</v>
      </c>
      <c r="BF151" s="16">
        <v>0.52500000000000002</v>
      </c>
      <c r="BG151" s="16">
        <v>0.45</v>
      </c>
      <c r="BH151" s="16">
        <v>0.84615384615384615</v>
      </c>
      <c r="BI151" s="16">
        <v>0.14285714285714285</v>
      </c>
      <c r="BJ151" s="16">
        <v>0.29166666666666669</v>
      </c>
      <c r="BK151" s="21">
        <v>2.1</v>
      </c>
      <c r="BL151" s="16">
        <v>0.20833333333333334</v>
      </c>
      <c r="BM151" s="16">
        <v>0.3</v>
      </c>
      <c r="BN151" s="16">
        <v>0.14285714285714285</v>
      </c>
      <c r="BO151" s="16">
        <v>0</v>
      </c>
      <c r="BP151" s="16">
        <v>0.84375</v>
      </c>
      <c r="BQ151" s="16">
        <v>0.9</v>
      </c>
      <c r="BR151" s="16">
        <v>0.7</v>
      </c>
      <c r="BS151" s="16">
        <v>1</v>
      </c>
      <c r="BT151" s="16">
        <v>0.5714285714285714</v>
      </c>
      <c r="BU151" s="16">
        <v>1.4925373134328358E-2</v>
      </c>
      <c r="BV151" s="16">
        <v>0</v>
      </c>
      <c r="BW151" s="54">
        <v>5</v>
      </c>
      <c r="BX151" s="54">
        <v>0.52173913043478259</v>
      </c>
      <c r="BY151" s="54">
        <v>0.47368421052631576</v>
      </c>
      <c r="BZ151" s="12">
        <v>9</v>
      </c>
      <c r="CA151" s="12">
        <v>11</v>
      </c>
      <c r="CB151" s="12">
        <v>1</v>
      </c>
      <c r="CC151" s="12">
        <v>0</v>
      </c>
      <c r="CD151" s="12">
        <v>1</v>
      </c>
      <c r="CE151" s="12">
        <v>0</v>
      </c>
      <c r="CF151" s="12">
        <v>2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2</v>
      </c>
      <c r="CM151" s="12">
        <v>0</v>
      </c>
      <c r="CN151" s="12">
        <v>0</v>
      </c>
      <c r="CO151" s="12">
        <v>0</v>
      </c>
      <c r="CP151" s="12">
        <v>1</v>
      </c>
      <c r="CQ151" s="12">
        <v>0</v>
      </c>
      <c r="CR151" s="12">
        <v>5</v>
      </c>
      <c r="CS151" s="12">
        <v>0</v>
      </c>
      <c r="CT151" s="12">
        <v>3</v>
      </c>
      <c r="CU151" s="12">
        <v>0</v>
      </c>
      <c r="CV151" s="12">
        <v>0</v>
      </c>
      <c r="CW151" s="12">
        <v>0</v>
      </c>
      <c r="CX151" s="12">
        <v>14</v>
      </c>
      <c r="CY151" s="12">
        <v>0</v>
      </c>
      <c r="CZ151" s="12">
        <v>4</v>
      </c>
      <c r="DA151" s="12">
        <v>0</v>
      </c>
      <c r="DB151" s="12">
        <v>0</v>
      </c>
      <c r="DC151" s="12">
        <v>0</v>
      </c>
      <c r="DD151" s="12">
        <v>2</v>
      </c>
      <c r="DE151" s="12">
        <v>2</v>
      </c>
      <c r="DF151" s="12">
        <v>9</v>
      </c>
      <c r="DG151" s="12">
        <v>12</v>
      </c>
      <c r="DH151" s="12">
        <v>0</v>
      </c>
      <c r="DI151" s="12">
        <v>2</v>
      </c>
      <c r="DJ151" s="12">
        <v>3</v>
      </c>
      <c r="DK151" s="12">
        <v>0</v>
      </c>
      <c r="DL151" s="12">
        <v>10</v>
      </c>
      <c r="DM151" s="12">
        <v>13</v>
      </c>
      <c r="DN151" s="12">
        <v>4</v>
      </c>
      <c r="DO151" s="12">
        <v>10</v>
      </c>
      <c r="DP151" s="12">
        <v>6</v>
      </c>
      <c r="DQ151" s="12">
        <v>8</v>
      </c>
      <c r="DR151" s="12">
        <v>3</v>
      </c>
      <c r="DS151" s="12">
        <v>4</v>
      </c>
      <c r="DT151" s="12">
        <v>10</v>
      </c>
      <c r="DU151" s="12">
        <v>20</v>
      </c>
      <c r="DV151" s="12">
        <v>0</v>
      </c>
      <c r="DW151" s="12">
        <v>0</v>
      </c>
      <c r="DX151" s="12">
        <v>76</v>
      </c>
      <c r="DY151" s="12">
        <v>20</v>
      </c>
      <c r="DZ151" s="12">
        <v>31</v>
      </c>
      <c r="EA151" s="16">
        <v>0.64516129032258063</v>
      </c>
      <c r="EB151" s="12">
        <v>7</v>
      </c>
      <c r="EC151" s="12">
        <v>25</v>
      </c>
      <c r="ED151" s="16">
        <v>0.28000000000000003</v>
      </c>
      <c r="EE151" s="12">
        <v>27</v>
      </c>
      <c r="EF151" s="12">
        <v>56</v>
      </c>
      <c r="EG151" s="16">
        <v>0.48214285714285715</v>
      </c>
      <c r="EH151" s="12">
        <v>15</v>
      </c>
      <c r="EI151" s="12">
        <v>21</v>
      </c>
      <c r="EJ151" s="16">
        <v>0.7142857142857143</v>
      </c>
      <c r="EK151" s="12">
        <v>5</v>
      </c>
      <c r="EL151" s="12">
        <v>19</v>
      </c>
      <c r="EM151" s="12">
        <v>24</v>
      </c>
      <c r="EN151" s="12">
        <v>16</v>
      </c>
      <c r="EO151" s="12">
        <v>19</v>
      </c>
      <c r="EP151" s="12">
        <v>23</v>
      </c>
      <c r="EQ151" s="12">
        <v>6</v>
      </c>
      <c r="ER151" s="12">
        <v>8</v>
      </c>
      <c r="ES151" s="12">
        <v>1</v>
      </c>
      <c r="ET151" s="12">
        <v>0</v>
      </c>
      <c r="EU151" s="12">
        <v>84</v>
      </c>
      <c r="EV151" s="12">
        <v>-16</v>
      </c>
      <c r="EW151" s="12">
        <v>67</v>
      </c>
      <c r="EX151" s="12">
        <v>73</v>
      </c>
      <c r="EY151" s="12">
        <v>4</v>
      </c>
      <c r="EZ151" s="12">
        <v>9</v>
      </c>
      <c r="FA151" s="12">
        <v>6</v>
      </c>
      <c r="FB151" s="12">
        <v>1</v>
      </c>
      <c r="FC151" s="12">
        <v>2</v>
      </c>
      <c r="FD151" s="12">
        <v>0</v>
      </c>
      <c r="FE151" s="12">
        <v>0</v>
      </c>
      <c r="FF151" s="12">
        <v>1</v>
      </c>
      <c r="FG151" s="12">
        <v>0</v>
      </c>
      <c r="FH151" s="12">
        <v>0</v>
      </c>
      <c r="FI151" s="12">
        <v>0</v>
      </c>
      <c r="FJ151" s="12">
        <v>0</v>
      </c>
      <c r="FK151" s="12">
        <v>0</v>
      </c>
      <c r="FL151" s="12">
        <v>4</v>
      </c>
      <c r="FM151" s="12">
        <v>2</v>
      </c>
      <c r="FN151" s="12">
        <v>0</v>
      </c>
      <c r="FO151" s="12">
        <v>0</v>
      </c>
      <c r="FP151" s="12">
        <v>2</v>
      </c>
      <c r="FQ151" s="12">
        <v>0</v>
      </c>
      <c r="FR151" s="12">
        <v>3</v>
      </c>
      <c r="FS151" s="12">
        <v>0</v>
      </c>
      <c r="FT151" s="12">
        <v>2</v>
      </c>
      <c r="FU151" s="12">
        <v>0</v>
      </c>
      <c r="FV151" s="12">
        <v>1</v>
      </c>
      <c r="FW151" s="12">
        <v>1</v>
      </c>
      <c r="FX151" s="12">
        <v>8</v>
      </c>
      <c r="FY151" s="12">
        <v>2</v>
      </c>
      <c r="FZ151" s="12">
        <v>3</v>
      </c>
      <c r="GA151" s="12">
        <v>0</v>
      </c>
      <c r="GB151" s="12">
        <v>0</v>
      </c>
      <c r="GC151" s="12">
        <v>0</v>
      </c>
      <c r="GD151" s="12">
        <v>3</v>
      </c>
      <c r="GE151" s="12">
        <v>3</v>
      </c>
      <c r="GF151" s="12">
        <v>12</v>
      </c>
      <c r="GG151" s="12">
        <v>18</v>
      </c>
      <c r="GH151" s="12">
        <v>1</v>
      </c>
      <c r="GI151" s="12">
        <v>0</v>
      </c>
      <c r="GJ151" s="12">
        <v>0</v>
      </c>
      <c r="GK151" s="12">
        <v>0</v>
      </c>
      <c r="GL151" s="12">
        <v>7</v>
      </c>
      <c r="GM151" s="12">
        <v>8</v>
      </c>
      <c r="GN151" s="12">
        <v>11</v>
      </c>
      <c r="GO151" s="12">
        <v>18</v>
      </c>
      <c r="GP151" s="12">
        <v>2</v>
      </c>
      <c r="GQ151" s="12">
        <v>5</v>
      </c>
      <c r="GR151" s="12">
        <v>1</v>
      </c>
      <c r="GS151" s="12">
        <v>1</v>
      </c>
      <c r="GT151" s="12">
        <v>6</v>
      </c>
      <c r="GU151" s="12">
        <v>24</v>
      </c>
      <c r="GV151" s="12">
        <v>0</v>
      </c>
      <c r="GW151" s="12">
        <v>0</v>
      </c>
      <c r="GY151" s="16"/>
    </row>
    <row r="152" spans="2:207" ht="15" customHeight="1" x14ac:dyDescent="0.2">
      <c r="B152" s="12">
        <v>9</v>
      </c>
      <c r="C152" s="12" t="s">
        <v>301</v>
      </c>
      <c r="D152" s="12" t="s">
        <v>298</v>
      </c>
      <c r="E152" s="14" t="s">
        <v>302</v>
      </c>
      <c r="F152" s="14" t="s">
        <v>300</v>
      </c>
      <c r="G152" s="15">
        <v>45246</v>
      </c>
      <c r="H152" s="15" t="s">
        <v>271</v>
      </c>
      <c r="I152" s="12" t="s">
        <v>269</v>
      </c>
      <c r="J152" s="12" t="s">
        <v>272</v>
      </c>
      <c r="K152" s="12">
        <v>200</v>
      </c>
      <c r="L152" s="12">
        <v>73</v>
      </c>
      <c r="M152" s="12">
        <v>19</v>
      </c>
      <c r="N152" s="12">
        <v>49</v>
      </c>
      <c r="O152" s="16">
        <v>0.38775510204081631</v>
      </c>
      <c r="P152" s="12">
        <v>8</v>
      </c>
      <c r="Q152" s="12">
        <v>24</v>
      </c>
      <c r="R152" s="16">
        <v>0.33333333333333331</v>
      </c>
      <c r="S152" s="12">
        <v>27</v>
      </c>
      <c r="T152" s="12">
        <v>73</v>
      </c>
      <c r="U152" s="16">
        <v>0.36986301369863012</v>
      </c>
      <c r="V152" s="12">
        <v>11</v>
      </c>
      <c r="W152" s="12">
        <v>11</v>
      </c>
      <c r="X152" s="16">
        <v>1</v>
      </c>
      <c r="Y152" s="12">
        <v>11</v>
      </c>
      <c r="Z152" s="12">
        <v>22</v>
      </c>
      <c r="AA152" s="12">
        <v>33</v>
      </c>
      <c r="AB152" s="12">
        <v>17</v>
      </c>
      <c r="AC152" s="12">
        <v>8</v>
      </c>
      <c r="AD152" s="12">
        <v>8</v>
      </c>
      <c r="AE152" s="12">
        <v>0</v>
      </c>
      <c r="AF152" s="12">
        <v>8</v>
      </c>
      <c r="AG152" s="12">
        <v>21</v>
      </c>
      <c r="AH152" s="12">
        <v>18</v>
      </c>
      <c r="AI152" s="17">
        <v>66</v>
      </c>
      <c r="AJ152" s="12">
        <v>-18</v>
      </c>
      <c r="AK152" s="12">
        <v>73</v>
      </c>
      <c r="AL152" s="12">
        <v>85</v>
      </c>
      <c r="AM152" s="19">
        <v>0.85882352941176465</v>
      </c>
      <c r="AN152" s="19">
        <v>1.1973684210526316</v>
      </c>
      <c r="AO152" s="18">
        <v>100</v>
      </c>
      <c r="AP152" s="18">
        <v>128.16901408450704</v>
      </c>
      <c r="AQ152" s="18">
        <v>-28.16901408450704</v>
      </c>
      <c r="AR152" s="53">
        <v>0.42465753424657532</v>
      </c>
      <c r="AS152" s="53">
        <v>0.47402597402597402</v>
      </c>
      <c r="AT152" s="16">
        <v>0.29411764705882354</v>
      </c>
      <c r="AU152" s="19">
        <v>1.2</v>
      </c>
      <c r="AV152" s="16">
        <v>0.22352941176470589</v>
      </c>
      <c r="AW152" s="19">
        <v>0.42105263157894735</v>
      </c>
      <c r="AX152" s="16">
        <v>5.8823529411764705E-2</v>
      </c>
      <c r="AY152" s="19">
        <v>0</v>
      </c>
      <c r="AZ152" s="16">
        <v>2.3529411764705882E-2</v>
      </c>
      <c r="BA152" s="19">
        <v>0</v>
      </c>
      <c r="BB152" s="16">
        <v>0.25882352941176473</v>
      </c>
      <c r="BC152" s="21">
        <v>1.0909090909090908</v>
      </c>
      <c r="BD152" s="16">
        <v>4.7058823529411764E-2</v>
      </c>
      <c r="BE152" s="16">
        <v>9.5238095238095233E-2</v>
      </c>
      <c r="BF152" s="16">
        <v>0.54838709677419351</v>
      </c>
      <c r="BG152" s="16">
        <v>0.47368421052631576</v>
      </c>
      <c r="BH152" s="16">
        <v>0.875</v>
      </c>
      <c r="BI152" s="16">
        <v>0.25</v>
      </c>
      <c r="BJ152" s="16">
        <v>0.20238095238095238</v>
      </c>
      <c r="BK152" s="21">
        <v>2.125</v>
      </c>
      <c r="BL152" s="16">
        <v>0.24444444444444444</v>
      </c>
      <c r="BM152" s="16">
        <v>0.27586206896551724</v>
      </c>
      <c r="BN152" s="16">
        <v>0.27777777777777779</v>
      </c>
      <c r="BO152" s="16" t="s">
        <v>269</v>
      </c>
      <c r="BP152" s="16">
        <v>0.81481481481481477</v>
      </c>
      <c r="BQ152" s="16">
        <v>0.75</v>
      </c>
      <c r="BR152" s="16">
        <v>0.80769230769230771</v>
      </c>
      <c r="BS152" s="16">
        <v>1</v>
      </c>
      <c r="BT152" s="16">
        <v>0.45833333333333331</v>
      </c>
      <c r="BU152" s="16">
        <v>0.11267605633802817</v>
      </c>
      <c r="BV152" s="16">
        <v>0</v>
      </c>
      <c r="BW152" s="54">
        <v>5</v>
      </c>
      <c r="BX152" s="54">
        <v>0.47619047619047616</v>
      </c>
      <c r="BY152" s="54">
        <v>0.3888888888888889</v>
      </c>
      <c r="BZ152" s="12">
        <v>9</v>
      </c>
      <c r="CA152" s="12">
        <v>7</v>
      </c>
      <c r="CB152" s="12">
        <v>1</v>
      </c>
      <c r="CC152" s="12">
        <v>2</v>
      </c>
      <c r="CD152" s="12">
        <v>2</v>
      </c>
      <c r="CE152" s="12">
        <v>0</v>
      </c>
      <c r="CF152" s="12">
        <v>3</v>
      </c>
      <c r="CG152" s="12">
        <v>1</v>
      </c>
      <c r="CH152" s="12">
        <v>2</v>
      </c>
      <c r="CI152" s="12">
        <v>0</v>
      </c>
      <c r="CJ152" s="12">
        <v>2</v>
      </c>
      <c r="CK152" s="12">
        <v>1</v>
      </c>
      <c r="CL152" s="12">
        <v>2</v>
      </c>
      <c r="CM152" s="12">
        <v>0</v>
      </c>
      <c r="CN152" s="12">
        <v>0</v>
      </c>
      <c r="CO152" s="12">
        <v>0</v>
      </c>
      <c r="CP152" s="12">
        <v>2</v>
      </c>
      <c r="CQ152" s="12">
        <v>0</v>
      </c>
      <c r="CR152" s="12">
        <v>1</v>
      </c>
      <c r="CS152" s="12">
        <v>0</v>
      </c>
      <c r="CT152" s="12">
        <v>0</v>
      </c>
      <c r="CU152" s="12">
        <v>0</v>
      </c>
      <c r="CV152" s="12">
        <v>4</v>
      </c>
      <c r="CW152" s="12">
        <v>1</v>
      </c>
      <c r="CX152" s="12">
        <v>14</v>
      </c>
      <c r="CY152" s="12">
        <v>2</v>
      </c>
      <c r="CZ152" s="12">
        <v>1</v>
      </c>
      <c r="DA152" s="12">
        <v>0</v>
      </c>
      <c r="DB152" s="12">
        <v>0</v>
      </c>
      <c r="DC152" s="12">
        <v>0</v>
      </c>
      <c r="DD152" s="12">
        <v>3</v>
      </c>
      <c r="DE152" s="12">
        <v>3</v>
      </c>
      <c r="DF152" s="12">
        <v>8</v>
      </c>
      <c r="DG152" s="12">
        <v>8</v>
      </c>
      <c r="DH152" s="12">
        <v>0</v>
      </c>
      <c r="DI152" s="12">
        <v>0</v>
      </c>
      <c r="DJ152" s="12">
        <v>0</v>
      </c>
      <c r="DK152" s="12">
        <v>0</v>
      </c>
      <c r="DL152" s="12">
        <v>15</v>
      </c>
      <c r="DM152" s="12">
        <v>25</v>
      </c>
      <c r="DN152" s="12">
        <v>4</v>
      </c>
      <c r="DO152" s="12">
        <v>19</v>
      </c>
      <c r="DP152" s="12">
        <v>0</v>
      </c>
      <c r="DQ152" s="12">
        <v>5</v>
      </c>
      <c r="DR152" s="12">
        <v>0</v>
      </c>
      <c r="DS152" s="12">
        <v>2</v>
      </c>
      <c r="DT152" s="12">
        <v>8</v>
      </c>
      <c r="DU152" s="12">
        <v>22</v>
      </c>
      <c r="DV152" s="12">
        <v>0</v>
      </c>
      <c r="DW152" s="12">
        <v>0</v>
      </c>
      <c r="DX152" s="12">
        <v>91</v>
      </c>
      <c r="DY152" s="12">
        <v>18</v>
      </c>
      <c r="DZ152" s="12">
        <v>21</v>
      </c>
      <c r="EA152" s="16">
        <v>0.8571428571428571</v>
      </c>
      <c r="EB152" s="12">
        <v>12</v>
      </c>
      <c r="EC152" s="12">
        <v>34</v>
      </c>
      <c r="ED152" s="16">
        <v>0.35294117647058826</v>
      </c>
      <c r="EE152" s="12">
        <v>30</v>
      </c>
      <c r="EF152" s="12">
        <v>55</v>
      </c>
      <c r="EG152" s="16">
        <v>0.54545454545454541</v>
      </c>
      <c r="EH152" s="12">
        <v>19</v>
      </c>
      <c r="EI152" s="12">
        <v>20</v>
      </c>
      <c r="EJ152" s="16">
        <v>0.95</v>
      </c>
      <c r="EK152" s="12">
        <v>5</v>
      </c>
      <c r="EL152" s="12">
        <v>34</v>
      </c>
      <c r="EM152" s="12">
        <v>39</v>
      </c>
      <c r="EN152" s="12">
        <v>27</v>
      </c>
      <c r="EO152" s="12">
        <v>18</v>
      </c>
      <c r="EP152" s="12">
        <v>21</v>
      </c>
      <c r="EQ152" s="12">
        <v>3</v>
      </c>
      <c r="ER152" s="12">
        <v>12</v>
      </c>
      <c r="ES152" s="12">
        <v>8</v>
      </c>
      <c r="ET152" s="12">
        <v>0</v>
      </c>
      <c r="EU152" s="12">
        <v>133</v>
      </c>
      <c r="EV152" s="12">
        <v>18</v>
      </c>
      <c r="EW152" s="12">
        <v>71</v>
      </c>
      <c r="EX152" s="12">
        <v>76</v>
      </c>
      <c r="EY152" s="12">
        <v>6</v>
      </c>
      <c r="EZ152" s="12">
        <v>11</v>
      </c>
      <c r="FA152" s="12">
        <v>11</v>
      </c>
      <c r="FB152" s="12">
        <v>5</v>
      </c>
      <c r="FC152" s="12">
        <v>10</v>
      </c>
      <c r="FD152" s="12">
        <v>0</v>
      </c>
      <c r="FE152" s="12">
        <v>0</v>
      </c>
      <c r="FF152" s="12">
        <v>1</v>
      </c>
      <c r="FG152" s="12">
        <v>0</v>
      </c>
      <c r="FH152" s="12">
        <v>0</v>
      </c>
      <c r="FI152" s="12">
        <v>0</v>
      </c>
      <c r="FJ152" s="12">
        <v>0</v>
      </c>
      <c r="FK152" s="12">
        <v>0</v>
      </c>
      <c r="FL152" s="12">
        <v>4</v>
      </c>
      <c r="FM152" s="12">
        <v>1</v>
      </c>
      <c r="FN152" s="12">
        <v>0</v>
      </c>
      <c r="FO152" s="12">
        <v>0</v>
      </c>
      <c r="FP152" s="12">
        <v>7</v>
      </c>
      <c r="FQ152" s="12">
        <v>0</v>
      </c>
      <c r="FR152" s="12">
        <v>12</v>
      </c>
      <c r="FS152" s="12">
        <v>0</v>
      </c>
      <c r="FT152" s="12">
        <v>2</v>
      </c>
      <c r="FU152" s="12">
        <v>0</v>
      </c>
      <c r="FV152" s="12">
        <v>0</v>
      </c>
      <c r="FW152" s="12">
        <v>0</v>
      </c>
      <c r="FX152" s="12">
        <v>12</v>
      </c>
      <c r="FY152" s="12">
        <v>1</v>
      </c>
      <c r="FZ152" s="12">
        <v>0</v>
      </c>
      <c r="GA152" s="12">
        <v>0</v>
      </c>
      <c r="GB152" s="12">
        <v>0</v>
      </c>
      <c r="GC152" s="12">
        <v>0</v>
      </c>
      <c r="GD152" s="12">
        <v>0</v>
      </c>
      <c r="GE152" s="12">
        <v>1</v>
      </c>
      <c r="GF152" s="12">
        <v>18</v>
      </c>
      <c r="GG152" s="12">
        <v>18</v>
      </c>
      <c r="GH152" s="12">
        <v>0</v>
      </c>
      <c r="GI152" s="12">
        <v>0</v>
      </c>
      <c r="GJ152" s="12">
        <v>0</v>
      </c>
      <c r="GK152" s="12">
        <v>0</v>
      </c>
      <c r="GL152" s="12">
        <v>16</v>
      </c>
      <c r="GM152" s="12">
        <v>17</v>
      </c>
      <c r="GN152" s="12">
        <v>2</v>
      </c>
      <c r="GO152" s="12">
        <v>4</v>
      </c>
      <c r="GP152" s="12">
        <v>0</v>
      </c>
      <c r="GQ152" s="12">
        <v>0</v>
      </c>
      <c r="GR152" s="12">
        <v>5</v>
      </c>
      <c r="GS152" s="12">
        <v>9</v>
      </c>
      <c r="GT152" s="12">
        <v>7</v>
      </c>
      <c r="GU152" s="12">
        <v>25</v>
      </c>
      <c r="GV152" s="12">
        <v>0</v>
      </c>
      <c r="GW152" s="12">
        <v>0</v>
      </c>
      <c r="GY152" s="16"/>
    </row>
    <row r="153" spans="2:207" ht="15" customHeight="1" x14ac:dyDescent="0.2">
      <c r="B153" s="12">
        <v>9</v>
      </c>
      <c r="C153" s="12" t="s">
        <v>298</v>
      </c>
      <c r="D153" s="12" t="s">
        <v>301</v>
      </c>
      <c r="E153" s="14" t="s">
        <v>300</v>
      </c>
      <c r="F153" s="14" t="s">
        <v>302</v>
      </c>
      <c r="G153" s="15">
        <v>45246</v>
      </c>
      <c r="H153" s="15" t="s">
        <v>268</v>
      </c>
      <c r="I153" s="12" t="s">
        <v>269</v>
      </c>
      <c r="J153" s="12" t="s">
        <v>270</v>
      </c>
      <c r="K153" s="12">
        <v>200</v>
      </c>
      <c r="L153" s="12">
        <v>91</v>
      </c>
      <c r="M153" s="12">
        <v>18</v>
      </c>
      <c r="N153" s="12">
        <v>21</v>
      </c>
      <c r="O153" s="16">
        <v>0.8571428571428571</v>
      </c>
      <c r="P153" s="12">
        <v>12</v>
      </c>
      <c r="Q153" s="12">
        <v>34</v>
      </c>
      <c r="R153" s="16">
        <v>0.35294117647058826</v>
      </c>
      <c r="S153" s="12">
        <v>30</v>
      </c>
      <c r="T153" s="12">
        <v>55</v>
      </c>
      <c r="U153" s="16">
        <v>0.54545454545454541</v>
      </c>
      <c r="V153" s="12">
        <v>19</v>
      </c>
      <c r="W153" s="12">
        <v>20</v>
      </c>
      <c r="X153" s="16">
        <v>0.95</v>
      </c>
      <c r="Y153" s="12">
        <v>5</v>
      </c>
      <c r="Z153" s="12">
        <v>34</v>
      </c>
      <c r="AA153" s="12">
        <v>39</v>
      </c>
      <c r="AB153" s="12">
        <v>27</v>
      </c>
      <c r="AC153" s="12">
        <v>12</v>
      </c>
      <c r="AD153" s="12">
        <v>3</v>
      </c>
      <c r="AE153" s="12">
        <v>8</v>
      </c>
      <c r="AF153" s="12">
        <v>0</v>
      </c>
      <c r="AG153" s="12">
        <v>18</v>
      </c>
      <c r="AH153" s="12">
        <v>21</v>
      </c>
      <c r="AI153" s="17">
        <v>133</v>
      </c>
      <c r="AJ153" s="12">
        <v>18</v>
      </c>
      <c r="AK153" s="12">
        <v>71</v>
      </c>
      <c r="AL153" s="12">
        <v>76</v>
      </c>
      <c r="AM153" s="19">
        <v>1.1973684210526316</v>
      </c>
      <c r="AN153" s="19">
        <v>0.85882352941176465</v>
      </c>
      <c r="AO153" s="18">
        <v>128.16901408450704</v>
      </c>
      <c r="AP153" s="18">
        <v>100</v>
      </c>
      <c r="AQ153" s="18">
        <v>28.16901408450704</v>
      </c>
      <c r="AR153" s="53">
        <v>0.65454545454545454</v>
      </c>
      <c r="AS153" s="53">
        <v>0.7109375</v>
      </c>
      <c r="AT153" s="16">
        <v>0.22368421052631579</v>
      </c>
      <c r="AU153" s="19">
        <v>1.8823529411764706</v>
      </c>
      <c r="AV153" s="16">
        <v>5.2631578947368418E-2</v>
      </c>
      <c r="AW153" s="19">
        <v>1</v>
      </c>
      <c r="AX153" s="16">
        <v>0</v>
      </c>
      <c r="AY153" s="19" t="s">
        <v>269</v>
      </c>
      <c r="AZ153" s="16">
        <v>0.11842105263157894</v>
      </c>
      <c r="BA153" s="19">
        <v>1.6666666666666667</v>
      </c>
      <c r="BB153" s="16">
        <v>0.32894736842105265</v>
      </c>
      <c r="BC153" s="21">
        <v>0.84</v>
      </c>
      <c r="BD153" s="16">
        <v>0.11842105263157894</v>
      </c>
      <c r="BE153" s="16">
        <v>0.15789473684210525</v>
      </c>
      <c r="BF153" s="16">
        <v>0.69230769230769229</v>
      </c>
      <c r="BG153" s="16">
        <v>0.61111111111111116</v>
      </c>
      <c r="BH153" s="16">
        <v>0.91666666666666663</v>
      </c>
      <c r="BI153" s="16">
        <v>0.55555555555555558</v>
      </c>
      <c r="BJ153" s="16">
        <v>0.35526315789473684</v>
      </c>
      <c r="BK153" s="21">
        <v>2.25</v>
      </c>
      <c r="BL153" s="16">
        <v>0.18518518518518517</v>
      </c>
      <c r="BM153" s="16">
        <v>0.25</v>
      </c>
      <c r="BN153" s="16">
        <v>0.19230769230769232</v>
      </c>
      <c r="BO153" s="16">
        <v>0</v>
      </c>
      <c r="BP153" s="16">
        <v>0.75555555555555554</v>
      </c>
      <c r="BQ153" s="16">
        <v>0.72413793103448276</v>
      </c>
      <c r="BR153" s="16">
        <v>0.72222222222222221</v>
      </c>
      <c r="BS153" s="16" t="s">
        <v>269</v>
      </c>
      <c r="BT153" s="16">
        <v>0.54166666666666663</v>
      </c>
      <c r="BU153" s="16">
        <v>4.1095890410958902E-2</v>
      </c>
      <c r="BV153" s="16">
        <v>0.1095890410958904</v>
      </c>
      <c r="BW153" s="54">
        <v>6</v>
      </c>
      <c r="BX153" s="54">
        <v>0.3888888888888889</v>
      </c>
      <c r="BY153" s="54">
        <v>0.52380952380952384</v>
      </c>
      <c r="BZ153" s="12">
        <v>11</v>
      </c>
      <c r="CA153" s="12">
        <v>11</v>
      </c>
      <c r="CB153" s="12">
        <v>5</v>
      </c>
      <c r="CC153" s="12">
        <v>10</v>
      </c>
      <c r="CD153" s="12">
        <v>0</v>
      </c>
      <c r="CE153" s="12">
        <v>0</v>
      </c>
      <c r="CF153" s="12">
        <v>1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4</v>
      </c>
      <c r="CM153" s="12">
        <v>1</v>
      </c>
      <c r="CN153" s="12">
        <v>0</v>
      </c>
      <c r="CO153" s="12">
        <v>0</v>
      </c>
      <c r="CP153" s="12">
        <v>7</v>
      </c>
      <c r="CQ153" s="12">
        <v>0</v>
      </c>
      <c r="CR153" s="12">
        <v>12</v>
      </c>
      <c r="CS153" s="12">
        <v>0</v>
      </c>
      <c r="CT153" s="12">
        <v>2</v>
      </c>
      <c r="CU153" s="12">
        <v>0</v>
      </c>
      <c r="CV153" s="12">
        <v>0</v>
      </c>
      <c r="CW153" s="12">
        <v>0</v>
      </c>
      <c r="CX153" s="12">
        <v>12</v>
      </c>
      <c r="CY153" s="12">
        <v>1</v>
      </c>
      <c r="CZ153" s="12">
        <v>0</v>
      </c>
      <c r="DA153" s="12">
        <v>0</v>
      </c>
      <c r="DB153" s="12">
        <v>0</v>
      </c>
      <c r="DC153" s="12">
        <v>0</v>
      </c>
      <c r="DD153" s="12">
        <v>1</v>
      </c>
      <c r="DE153" s="12">
        <v>2</v>
      </c>
      <c r="DF153" s="12">
        <v>18</v>
      </c>
      <c r="DG153" s="12">
        <v>18</v>
      </c>
      <c r="DH153" s="12">
        <v>0</v>
      </c>
      <c r="DI153" s="12">
        <v>0</v>
      </c>
      <c r="DJ153" s="12">
        <v>0</v>
      </c>
      <c r="DK153" s="12">
        <v>0</v>
      </c>
      <c r="DL153" s="12">
        <v>16</v>
      </c>
      <c r="DM153" s="12">
        <v>17</v>
      </c>
      <c r="DN153" s="12">
        <v>2</v>
      </c>
      <c r="DO153" s="12">
        <v>4</v>
      </c>
      <c r="DP153" s="12">
        <v>0</v>
      </c>
      <c r="DQ153" s="12">
        <v>0</v>
      </c>
      <c r="DR153" s="12">
        <v>5</v>
      </c>
      <c r="DS153" s="12">
        <v>9</v>
      </c>
      <c r="DT153" s="12">
        <v>7</v>
      </c>
      <c r="DU153" s="12">
        <v>25</v>
      </c>
      <c r="DV153" s="12">
        <v>0</v>
      </c>
      <c r="DW153" s="12">
        <v>0</v>
      </c>
      <c r="DX153" s="12">
        <v>73</v>
      </c>
      <c r="DY153" s="12">
        <v>19</v>
      </c>
      <c r="DZ153" s="12">
        <v>49</v>
      </c>
      <c r="EA153" s="16">
        <v>0.38775510204081631</v>
      </c>
      <c r="EB153" s="12">
        <v>8</v>
      </c>
      <c r="EC153" s="12">
        <v>24</v>
      </c>
      <c r="ED153" s="16">
        <v>0.33333333333333331</v>
      </c>
      <c r="EE153" s="12">
        <v>27</v>
      </c>
      <c r="EF153" s="12">
        <v>73</v>
      </c>
      <c r="EG153" s="16">
        <v>0.36986301369863012</v>
      </c>
      <c r="EH153" s="12">
        <v>11</v>
      </c>
      <c r="EI153" s="12">
        <v>11</v>
      </c>
      <c r="EJ153" s="16">
        <v>1</v>
      </c>
      <c r="EK153" s="12">
        <v>11</v>
      </c>
      <c r="EL153" s="12">
        <v>22</v>
      </c>
      <c r="EM153" s="12">
        <v>33</v>
      </c>
      <c r="EN153" s="12">
        <v>17</v>
      </c>
      <c r="EO153" s="12">
        <v>21</v>
      </c>
      <c r="EP153" s="12">
        <v>18</v>
      </c>
      <c r="EQ153" s="12">
        <v>8</v>
      </c>
      <c r="ER153" s="12">
        <v>8</v>
      </c>
      <c r="ES153" s="12">
        <v>0</v>
      </c>
      <c r="ET153" s="12">
        <v>8</v>
      </c>
      <c r="EU153" s="12">
        <v>66</v>
      </c>
      <c r="EV153" s="12">
        <v>-18</v>
      </c>
      <c r="EW153" s="12">
        <v>73</v>
      </c>
      <c r="EX153" s="12">
        <v>85</v>
      </c>
      <c r="EY153" s="12">
        <v>5</v>
      </c>
      <c r="EZ153" s="12">
        <v>9</v>
      </c>
      <c r="FA153" s="12">
        <v>7</v>
      </c>
      <c r="FB153" s="12">
        <v>1</v>
      </c>
      <c r="FC153" s="12">
        <v>2</v>
      </c>
      <c r="FD153" s="12">
        <v>2</v>
      </c>
      <c r="FE153" s="12">
        <v>0</v>
      </c>
      <c r="FF153" s="12">
        <v>3</v>
      </c>
      <c r="FG153" s="12">
        <v>1</v>
      </c>
      <c r="FH153" s="12">
        <v>2</v>
      </c>
      <c r="FI153" s="12">
        <v>0</v>
      </c>
      <c r="FJ153" s="12">
        <v>2</v>
      </c>
      <c r="FK153" s="12">
        <v>1</v>
      </c>
      <c r="FL153" s="12">
        <v>2</v>
      </c>
      <c r="FM153" s="12">
        <v>0</v>
      </c>
      <c r="FN153" s="12">
        <v>0</v>
      </c>
      <c r="FO153" s="12">
        <v>0</v>
      </c>
      <c r="FP153" s="12">
        <v>2</v>
      </c>
      <c r="FQ153" s="12">
        <v>0</v>
      </c>
      <c r="FR153" s="12">
        <v>1</v>
      </c>
      <c r="FS153" s="12">
        <v>0</v>
      </c>
      <c r="FT153" s="12">
        <v>0</v>
      </c>
      <c r="FU153" s="12">
        <v>0</v>
      </c>
      <c r="FV153" s="12">
        <v>4</v>
      </c>
      <c r="FW153" s="12">
        <v>1</v>
      </c>
      <c r="FX153" s="12">
        <v>14</v>
      </c>
      <c r="FY153" s="12">
        <v>2</v>
      </c>
      <c r="FZ153" s="12">
        <v>1</v>
      </c>
      <c r="GA153" s="12">
        <v>0</v>
      </c>
      <c r="GB153" s="12">
        <v>0</v>
      </c>
      <c r="GC153" s="12">
        <v>0</v>
      </c>
      <c r="GD153" s="12">
        <v>3</v>
      </c>
      <c r="GE153" s="12">
        <v>3</v>
      </c>
      <c r="GF153" s="12">
        <v>8</v>
      </c>
      <c r="GG153" s="12">
        <v>8</v>
      </c>
      <c r="GH153" s="12">
        <v>0</v>
      </c>
      <c r="GI153" s="12">
        <v>0</v>
      </c>
      <c r="GJ153" s="12">
        <v>0</v>
      </c>
      <c r="GK153" s="12">
        <v>0</v>
      </c>
      <c r="GL153" s="12">
        <v>15</v>
      </c>
      <c r="GM153" s="12">
        <v>25</v>
      </c>
      <c r="GN153" s="12">
        <v>4</v>
      </c>
      <c r="GO153" s="12">
        <v>19</v>
      </c>
      <c r="GP153" s="12">
        <v>0</v>
      </c>
      <c r="GQ153" s="12">
        <v>5</v>
      </c>
      <c r="GR153" s="12">
        <v>0</v>
      </c>
      <c r="GS153" s="12">
        <v>2</v>
      </c>
      <c r="GT153" s="12">
        <v>8</v>
      </c>
      <c r="GU153" s="12">
        <v>22</v>
      </c>
      <c r="GV153" s="12">
        <v>0</v>
      </c>
      <c r="GW153" s="12">
        <v>0</v>
      </c>
      <c r="GY153" s="16"/>
    </row>
    <row r="154" spans="2:207" ht="15" customHeight="1" x14ac:dyDescent="0.2">
      <c r="B154" s="12">
        <v>9</v>
      </c>
      <c r="C154" s="12" t="s">
        <v>282</v>
      </c>
      <c r="D154" s="12" t="s">
        <v>286</v>
      </c>
      <c r="E154" s="14" t="s">
        <v>284</v>
      </c>
      <c r="F154" s="14" t="s">
        <v>288</v>
      </c>
      <c r="G154" s="15">
        <v>45247</v>
      </c>
      <c r="H154" s="15" t="s">
        <v>271</v>
      </c>
      <c r="I154" s="12" t="s">
        <v>269</v>
      </c>
      <c r="J154" s="12" t="s">
        <v>272</v>
      </c>
      <c r="K154" s="12">
        <v>200</v>
      </c>
      <c r="L154" s="12">
        <v>73</v>
      </c>
      <c r="M154" s="12">
        <v>23</v>
      </c>
      <c r="N154" s="12">
        <v>47</v>
      </c>
      <c r="O154" s="16">
        <v>0.48936170212765956</v>
      </c>
      <c r="P154" s="12">
        <v>8</v>
      </c>
      <c r="Q154" s="12">
        <v>21</v>
      </c>
      <c r="R154" s="16">
        <v>0.38095238095238093</v>
      </c>
      <c r="S154" s="12">
        <v>31</v>
      </c>
      <c r="T154" s="12">
        <v>68</v>
      </c>
      <c r="U154" s="16">
        <v>0.45588235294117646</v>
      </c>
      <c r="V154" s="12">
        <v>3</v>
      </c>
      <c r="W154" s="12">
        <v>4</v>
      </c>
      <c r="X154" s="16">
        <v>0.75</v>
      </c>
      <c r="Y154" s="12">
        <v>11</v>
      </c>
      <c r="Z154" s="12">
        <v>28</v>
      </c>
      <c r="AA154" s="12">
        <v>39</v>
      </c>
      <c r="AB154" s="12">
        <v>17</v>
      </c>
      <c r="AC154" s="12">
        <v>10</v>
      </c>
      <c r="AD154" s="12">
        <v>5</v>
      </c>
      <c r="AE154" s="12">
        <v>4</v>
      </c>
      <c r="AF154" s="12">
        <v>1</v>
      </c>
      <c r="AG154" s="12">
        <v>11</v>
      </c>
      <c r="AH154" s="12">
        <v>12</v>
      </c>
      <c r="AI154" s="17">
        <v>90</v>
      </c>
      <c r="AJ154" s="12">
        <v>-1</v>
      </c>
      <c r="AK154" s="12">
        <v>68</v>
      </c>
      <c r="AL154" s="12">
        <v>79</v>
      </c>
      <c r="AM154" s="19">
        <v>0.92405063291139244</v>
      </c>
      <c r="AN154" s="19">
        <v>0.98666666666666669</v>
      </c>
      <c r="AO154" s="18">
        <v>107.35294117647058</v>
      </c>
      <c r="AP154" s="18">
        <v>107.24637681159422</v>
      </c>
      <c r="AQ154" s="18">
        <v>0.10656436487636256</v>
      </c>
      <c r="AR154" s="53">
        <v>0.51470588235294112</v>
      </c>
      <c r="AS154" s="53">
        <v>0.52898550724637683</v>
      </c>
      <c r="AT154" s="16">
        <v>0.13924050632911392</v>
      </c>
      <c r="AU154" s="19">
        <v>2</v>
      </c>
      <c r="AV154" s="16">
        <v>0.189873417721519</v>
      </c>
      <c r="AW154" s="19">
        <v>0.4</v>
      </c>
      <c r="AX154" s="16">
        <v>0.26582278481012656</v>
      </c>
      <c r="AY154" s="19">
        <v>0.8571428571428571</v>
      </c>
      <c r="AZ154" s="16">
        <v>6.3291139240506333E-2</v>
      </c>
      <c r="BA154" s="19">
        <v>0</v>
      </c>
      <c r="BB154" s="16">
        <v>0.20253164556962025</v>
      </c>
      <c r="BC154" s="21">
        <v>1.5</v>
      </c>
      <c r="BD154" s="16">
        <v>1.2658227848101266E-2</v>
      </c>
      <c r="BE154" s="16">
        <v>0.12658227848101267</v>
      </c>
      <c r="BF154" s="16">
        <v>0.53125</v>
      </c>
      <c r="BG154" s="16">
        <v>0.52173913043478259</v>
      </c>
      <c r="BH154" s="16">
        <v>0.625</v>
      </c>
      <c r="BI154" s="16">
        <v>0</v>
      </c>
      <c r="BJ154" s="16">
        <v>0.21518987341772153</v>
      </c>
      <c r="BK154" s="21">
        <v>1.7</v>
      </c>
      <c r="BL154" s="16">
        <v>0.29729729729729731</v>
      </c>
      <c r="BM154" s="16">
        <v>0.30434782608695654</v>
      </c>
      <c r="BN154" s="16">
        <v>0.2857142857142857</v>
      </c>
      <c r="BO154" s="16">
        <v>0</v>
      </c>
      <c r="BP154" s="16">
        <v>0.82352941176470584</v>
      </c>
      <c r="BQ154" s="16">
        <v>0.76470588235294112</v>
      </c>
      <c r="BR154" s="16">
        <v>0.83333333333333337</v>
      </c>
      <c r="BS154" s="16">
        <v>1</v>
      </c>
      <c r="BT154" s="16">
        <v>0.54929577464788737</v>
      </c>
      <c r="BU154" s="16">
        <v>7.2463768115942032E-2</v>
      </c>
      <c r="BV154" s="16">
        <v>6.6666666666666666E-2</v>
      </c>
      <c r="BW154" s="54">
        <v>7</v>
      </c>
      <c r="BX154" s="54">
        <v>0.54545454545454541</v>
      </c>
      <c r="BY154" s="54">
        <v>0.25</v>
      </c>
      <c r="BZ154" s="12">
        <v>12</v>
      </c>
      <c r="CA154" s="12">
        <v>5</v>
      </c>
      <c r="CB154" s="12">
        <v>0</v>
      </c>
      <c r="CC154" s="12">
        <v>0</v>
      </c>
      <c r="CD154" s="12">
        <v>0</v>
      </c>
      <c r="CE154" s="12">
        <v>0</v>
      </c>
      <c r="CF154" s="12">
        <v>4</v>
      </c>
      <c r="CG154" s="12">
        <v>0</v>
      </c>
      <c r="CH154" s="12">
        <v>3</v>
      </c>
      <c r="CI154" s="12">
        <v>0</v>
      </c>
      <c r="CJ154" s="12">
        <v>3</v>
      </c>
      <c r="CK154" s="12">
        <v>0</v>
      </c>
      <c r="CL154" s="12">
        <v>1</v>
      </c>
      <c r="CM154" s="12">
        <v>0</v>
      </c>
      <c r="CN154" s="12">
        <v>0</v>
      </c>
      <c r="CO154" s="12">
        <v>0</v>
      </c>
      <c r="CP154" s="12">
        <v>1</v>
      </c>
      <c r="CQ154" s="12">
        <v>0</v>
      </c>
      <c r="CR154" s="12">
        <v>8</v>
      </c>
      <c r="CS154" s="12">
        <v>1</v>
      </c>
      <c r="CT154" s="12">
        <v>3</v>
      </c>
      <c r="CU154" s="12">
        <v>0</v>
      </c>
      <c r="CV154" s="12">
        <v>2</v>
      </c>
      <c r="CW154" s="12">
        <v>0</v>
      </c>
      <c r="CX154" s="12">
        <v>12</v>
      </c>
      <c r="CY154" s="12">
        <v>1</v>
      </c>
      <c r="CZ154" s="12">
        <v>2</v>
      </c>
      <c r="DA154" s="12">
        <v>0</v>
      </c>
      <c r="DB154" s="12">
        <v>0</v>
      </c>
      <c r="DC154" s="12">
        <v>0</v>
      </c>
      <c r="DD154" s="12">
        <v>1</v>
      </c>
      <c r="DE154" s="12">
        <v>2</v>
      </c>
      <c r="DF154" s="12">
        <v>2</v>
      </c>
      <c r="DG154" s="12">
        <v>2</v>
      </c>
      <c r="DH154" s="12">
        <v>0</v>
      </c>
      <c r="DI154" s="12">
        <v>0</v>
      </c>
      <c r="DJ154" s="12">
        <v>0</v>
      </c>
      <c r="DK154" s="12">
        <v>0</v>
      </c>
      <c r="DL154" s="12">
        <v>11</v>
      </c>
      <c r="DM154" s="12">
        <v>11</v>
      </c>
      <c r="DN154" s="12">
        <v>3</v>
      </c>
      <c r="DO154" s="12">
        <v>15</v>
      </c>
      <c r="DP154" s="12">
        <v>9</v>
      </c>
      <c r="DQ154" s="12">
        <v>21</v>
      </c>
      <c r="DR154" s="12">
        <v>0</v>
      </c>
      <c r="DS154" s="12">
        <v>5</v>
      </c>
      <c r="DT154" s="12">
        <v>8</v>
      </c>
      <c r="DU154" s="12">
        <v>16</v>
      </c>
      <c r="DV154" s="12">
        <v>0</v>
      </c>
      <c r="DW154" s="12">
        <v>0</v>
      </c>
      <c r="DX154" s="12">
        <v>74</v>
      </c>
      <c r="DY154" s="12">
        <v>14</v>
      </c>
      <c r="DZ154" s="12">
        <v>30</v>
      </c>
      <c r="EA154" s="16">
        <v>0.46666666666666667</v>
      </c>
      <c r="EB154" s="12">
        <v>13</v>
      </c>
      <c r="EC154" s="12">
        <v>30</v>
      </c>
      <c r="ED154" s="16">
        <v>0.43333333333333335</v>
      </c>
      <c r="EE154" s="12">
        <v>27</v>
      </c>
      <c r="EF154" s="12">
        <v>60</v>
      </c>
      <c r="EG154" s="16">
        <v>0.45</v>
      </c>
      <c r="EH154" s="12">
        <v>7</v>
      </c>
      <c r="EI154" s="12">
        <v>13</v>
      </c>
      <c r="EJ154" s="16">
        <v>0.53846153846153844</v>
      </c>
      <c r="EK154" s="12">
        <v>6</v>
      </c>
      <c r="EL154" s="12">
        <v>26</v>
      </c>
      <c r="EM154" s="12">
        <v>32</v>
      </c>
      <c r="EN154" s="12">
        <v>14</v>
      </c>
      <c r="EO154" s="12">
        <v>12</v>
      </c>
      <c r="EP154" s="12">
        <v>11</v>
      </c>
      <c r="EQ154" s="12">
        <v>5</v>
      </c>
      <c r="ER154" s="12">
        <v>9</v>
      </c>
      <c r="ES154" s="12">
        <v>1</v>
      </c>
      <c r="ET154" s="12">
        <v>4</v>
      </c>
      <c r="EU154" s="12">
        <v>73</v>
      </c>
      <c r="EV154" s="12">
        <v>1</v>
      </c>
      <c r="EW154" s="12">
        <v>69</v>
      </c>
      <c r="EX154" s="12">
        <v>75</v>
      </c>
      <c r="EY154" s="12">
        <v>8</v>
      </c>
      <c r="EZ154" s="12">
        <v>4</v>
      </c>
      <c r="FA154" s="12">
        <v>8</v>
      </c>
      <c r="FB154" s="12">
        <v>2</v>
      </c>
      <c r="FC154" s="12">
        <v>5</v>
      </c>
      <c r="FD154" s="12">
        <v>2</v>
      </c>
      <c r="FE154" s="12">
        <v>0</v>
      </c>
      <c r="FF154" s="12">
        <v>1</v>
      </c>
      <c r="FG154" s="12">
        <v>0</v>
      </c>
      <c r="FH154" s="12">
        <v>1</v>
      </c>
      <c r="FI154" s="12">
        <v>0</v>
      </c>
      <c r="FJ154" s="12">
        <v>0</v>
      </c>
      <c r="FK154" s="12">
        <v>0</v>
      </c>
      <c r="FL154" s="12">
        <v>2</v>
      </c>
      <c r="FM154" s="12">
        <v>1</v>
      </c>
      <c r="FN154" s="12">
        <v>0</v>
      </c>
      <c r="FO154" s="12">
        <v>0</v>
      </c>
      <c r="FP154" s="12">
        <v>0</v>
      </c>
      <c r="FQ154" s="12">
        <v>0</v>
      </c>
      <c r="FR154" s="12">
        <v>8</v>
      </c>
      <c r="FS154" s="12">
        <v>0</v>
      </c>
      <c r="FT154" s="12">
        <v>8</v>
      </c>
      <c r="FU154" s="12">
        <v>0</v>
      </c>
      <c r="FV154" s="12">
        <v>2</v>
      </c>
      <c r="FW154" s="12">
        <v>1</v>
      </c>
      <c r="FX154" s="12">
        <v>7</v>
      </c>
      <c r="FY154" s="12">
        <v>0</v>
      </c>
      <c r="FZ154" s="12">
        <v>1</v>
      </c>
      <c r="GA154" s="12">
        <v>0</v>
      </c>
      <c r="GB154" s="12">
        <v>0</v>
      </c>
      <c r="GC154" s="12">
        <v>0</v>
      </c>
      <c r="GD154" s="12">
        <v>0</v>
      </c>
      <c r="GE154" s="12">
        <v>0</v>
      </c>
      <c r="GF154" s="12">
        <v>5</v>
      </c>
      <c r="GG154" s="12">
        <v>10</v>
      </c>
      <c r="GH154" s="12">
        <v>1</v>
      </c>
      <c r="GI154" s="12">
        <v>2</v>
      </c>
      <c r="GJ154" s="12">
        <v>3</v>
      </c>
      <c r="GK154" s="12">
        <v>0</v>
      </c>
      <c r="GL154" s="12">
        <v>10</v>
      </c>
      <c r="GM154" s="12">
        <v>13</v>
      </c>
      <c r="GN154" s="12">
        <v>3</v>
      </c>
      <c r="GO154" s="12">
        <v>12</v>
      </c>
      <c r="GP154" s="12">
        <v>1</v>
      </c>
      <c r="GQ154" s="12">
        <v>5</v>
      </c>
      <c r="GR154" s="12">
        <v>2</v>
      </c>
      <c r="GS154" s="12">
        <v>4</v>
      </c>
      <c r="GT154" s="12">
        <v>11</v>
      </c>
      <c r="GU154" s="12">
        <v>25</v>
      </c>
      <c r="GV154" s="12">
        <v>0</v>
      </c>
      <c r="GW154" s="12">
        <v>1</v>
      </c>
      <c r="GY154" s="16"/>
    </row>
    <row r="155" spans="2:207" ht="15" customHeight="1" x14ac:dyDescent="0.2">
      <c r="B155" s="12">
        <v>9</v>
      </c>
      <c r="C155" s="12" t="s">
        <v>286</v>
      </c>
      <c r="D155" s="12" t="s">
        <v>282</v>
      </c>
      <c r="E155" s="14" t="s">
        <v>288</v>
      </c>
      <c r="F155" s="14" t="s">
        <v>284</v>
      </c>
      <c r="G155" s="15">
        <v>45247</v>
      </c>
      <c r="H155" s="15" t="s">
        <v>268</v>
      </c>
      <c r="I155" s="12" t="s">
        <v>269</v>
      </c>
      <c r="J155" s="12" t="s">
        <v>270</v>
      </c>
      <c r="K155" s="12">
        <v>200</v>
      </c>
      <c r="L155" s="12">
        <v>74</v>
      </c>
      <c r="M155" s="12">
        <v>14</v>
      </c>
      <c r="N155" s="12">
        <v>30</v>
      </c>
      <c r="O155" s="16">
        <v>0.46666666666666667</v>
      </c>
      <c r="P155" s="12">
        <v>13</v>
      </c>
      <c r="Q155" s="12">
        <v>30</v>
      </c>
      <c r="R155" s="16">
        <v>0.43333333333333335</v>
      </c>
      <c r="S155" s="12">
        <v>27</v>
      </c>
      <c r="T155" s="12">
        <v>60</v>
      </c>
      <c r="U155" s="16">
        <v>0.45</v>
      </c>
      <c r="V155" s="12">
        <v>7</v>
      </c>
      <c r="W155" s="12">
        <v>13</v>
      </c>
      <c r="X155" s="16">
        <v>0.53846153846153844</v>
      </c>
      <c r="Y155" s="12">
        <v>6</v>
      </c>
      <c r="Z155" s="12">
        <v>26</v>
      </c>
      <c r="AA155" s="12">
        <v>32</v>
      </c>
      <c r="AB155" s="12">
        <v>14</v>
      </c>
      <c r="AC155" s="12">
        <v>9</v>
      </c>
      <c r="AD155" s="12">
        <v>5</v>
      </c>
      <c r="AE155" s="12">
        <v>1</v>
      </c>
      <c r="AF155" s="12">
        <v>4</v>
      </c>
      <c r="AG155" s="12">
        <v>12</v>
      </c>
      <c r="AH155" s="12">
        <v>11</v>
      </c>
      <c r="AI155" s="17">
        <v>73</v>
      </c>
      <c r="AJ155" s="12">
        <v>1</v>
      </c>
      <c r="AK155" s="12">
        <v>69</v>
      </c>
      <c r="AL155" s="12">
        <v>75</v>
      </c>
      <c r="AM155" s="19">
        <v>0.98666666666666669</v>
      </c>
      <c r="AN155" s="19">
        <v>0.92405063291139244</v>
      </c>
      <c r="AO155" s="18">
        <v>107.24637681159422</v>
      </c>
      <c r="AP155" s="18">
        <v>107.35294117647058</v>
      </c>
      <c r="AQ155" s="18">
        <v>-0.10656436487636256</v>
      </c>
      <c r="AR155" s="53">
        <v>0.55833333333333335</v>
      </c>
      <c r="AS155" s="53">
        <v>0.56060606060606055</v>
      </c>
      <c r="AT155" s="16">
        <v>0.17333333333333334</v>
      </c>
      <c r="AU155" s="19">
        <v>1.5384615384615385</v>
      </c>
      <c r="AV155" s="16">
        <v>0.16</v>
      </c>
      <c r="AW155" s="19">
        <v>0.5</v>
      </c>
      <c r="AX155" s="16">
        <v>6.6666666666666666E-2</v>
      </c>
      <c r="AY155" s="19">
        <v>0.4</v>
      </c>
      <c r="AZ155" s="16">
        <v>5.3333333333333337E-2</v>
      </c>
      <c r="BA155" s="19">
        <v>1.5</v>
      </c>
      <c r="BB155" s="16">
        <v>0.33333333333333331</v>
      </c>
      <c r="BC155" s="21">
        <v>1.32</v>
      </c>
      <c r="BD155" s="16">
        <v>0.08</v>
      </c>
      <c r="BE155" s="16">
        <v>0.12</v>
      </c>
      <c r="BF155" s="16">
        <v>0.4375</v>
      </c>
      <c r="BG155" s="16">
        <v>0.2857142857142857</v>
      </c>
      <c r="BH155" s="16">
        <v>0.61538461538461542</v>
      </c>
      <c r="BI155" s="16">
        <v>0.4</v>
      </c>
      <c r="BJ155" s="16">
        <v>0.18666666666666668</v>
      </c>
      <c r="BK155" s="21">
        <v>1.5555555555555556</v>
      </c>
      <c r="BL155" s="16">
        <v>0.17647058823529413</v>
      </c>
      <c r="BM155" s="16">
        <v>0.23529411764705882</v>
      </c>
      <c r="BN155" s="16">
        <v>0.16666666666666666</v>
      </c>
      <c r="BO155" s="16">
        <v>0</v>
      </c>
      <c r="BP155" s="16">
        <v>0.70270270270270274</v>
      </c>
      <c r="BQ155" s="16">
        <v>0.69565217391304346</v>
      </c>
      <c r="BR155" s="16">
        <v>0.7142857142857143</v>
      </c>
      <c r="BS155" s="16">
        <v>1</v>
      </c>
      <c r="BT155" s="16">
        <v>0.45070422535211269</v>
      </c>
      <c r="BU155" s="16">
        <v>7.3529411764705885E-2</v>
      </c>
      <c r="BV155" s="16">
        <v>1.4705882352941176E-2</v>
      </c>
      <c r="BW155" s="54">
        <v>8</v>
      </c>
      <c r="BX155" s="54">
        <v>0.25</v>
      </c>
      <c r="BY155" s="54">
        <v>0.54545454545454541</v>
      </c>
      <c r="BZ155" s="12">
        <v>4</v>
      </c>
      <c r="CA155" s="12">
        <v>8</v>
      </c>
      <c r="CB155" s="12">
        <v>2</v>
      </c>
      <c r="CC155" s="12">
        <v>5</v>
      </c>
      <c r="CD155" s="12">
        <v>2</v>
      </c>
      <c r="CE155" s="12">
        <v>0</v>
      </c>
      <c r="CF155" s="12">
        <v>1</v>
      </c>
      <c r="CG155" s="12">
        <v>0</v>
      </c>
      <c r="CH155" s="12">
        <v>1</v>
      </c>
      <c r="CI155" s="12">
        <v>0</v>
      </c>
      <c r="CJ155" s="12">
        <v>0</v>
      </c>
      <c r="CK155" s="12">
        <v>0</v>
      </c>
      <c r="CL155" s="12">
        <v>2</v>
      </c>
      <c r="CM155" s="12">
        <v>1</v>
      </c>
      <c r="CN155" s="12">
        <v>0</v>
      </c>
      <c r="CO155" s="12">
        <v>0</v>
      </c>
      <c r="CP155" s="12">
        <v>0</v>
      </c>
      <c r="CQ155" s="12">
        <v>0</v>
      </c>
      <c r="CR155" s="12">
        <v>8</v>
      </c>
      <c r="CS155" s="12">
        <v>0</v>
      </c>
      <c r="CT155" s="12">
        <v>8</v>
      </c>
      <c r="CU155" s="12">
        <v>0</v>
      </c>
      <c r="CV155" s="12">
        <v>2</v>
      </c>
      <c r="CW155" s="12">
        <v>1</v>
      </c>
      <c r="CX155" s="12">
        <v>7</v>
      </c>
      <c r="CY155" s="12">
        <v>0</v>
      </c>
      <c r="CZ155" s="12">
        <v>1</v>
      </c>
      <c r="DA155" s="12">
        <v>0</v>
      </c>
      <c r="DB155" s="12">
        <v>0</v>
      </c>
      <c r="DC155" s="12">
        <v>0</v>
      </c>
      <c r="DD155" s="12">
        <v>0</v>
      </c>
      <c r="DE155" s="12">
        <v>0</v>
      </c>
      <c r="DF155" s="12">
        <v>5</v>
      </c>
      <c r="DG155" s="12">
        <v>10</v>
      </c>
      <c r="DH155" s="12">
        <v>1</v>
      </c>
      <c r="DI155" s="12">
        <v>2</v>
      </c>
      <c r="DJ155" s="12">
        <v>3</v>
      </c>
      <c r="DK155" s="12">
        <v>0</v>
      </c>
      <c r="DL155" s="12">
        <v>10</v>
      </c>
      <c r="DM155" s="12">
        <v>13</v>
      </c>
      <c r="DN155" s="12">
        <v>3</v>
      </c>
      <c r="DO155" s="12">
        <v>12</v>
      </c>
      <c r="DP155" s="12">
        <v>1</v>
      </c>
      <c r="DQ155" s="12">
        <v>5</v>
      </c>
      <c r="DR155" s="12">
        <v>2</v>
      </c>
      <c r="DS155" s="12">
        <v>4</v>
      </c>
      <c r="DT155" s="12">
        <v>11</v>
      </c>
      <c r="DU155" s="12">
        <v>25</v>
      </c>
      <c r="DV155" s="12">
        <v>0</v>
      </c>
      <c r="DW155" s="12">
        <v>1</v>
      </c>
      <c r="DX155" s="12">
        <v>73</v>
      </c>
      <c r="DY155" s="12">
        <v>23</v>
      </c>
      <c r="DZ155" s="12">
        <v>47</v>
      </c>
      <c r="EA155" s="16">
        <v>0.48936170212765956</v>
      </c>
      <c r="EB155" s="12">
        <v>8</v>
      </c>
      <c r="EC155" s="12">
        <v>21</v>
      </c>
      <c r="ED155" s="16">
        <v>0.38095238095238093</v>
      </c>
      <c r="EE155" s="12">
        <v>31</v>
      </c>
      <c r="EF155" s="12">
        <v>68</v>
      </c>
      <c r="EG155" s="16">
        <v>0.45588235294117646</v>
      </c>
      <c r="EH155" s="12">
        <v>3</v>
      </c>
      <c r="EI155" s="12">
        <v>4</v>
      </c>
      <c r="EJ155" s="16">
        <v>0.75</v>
      </c>
      <c r="EK155" s="12">
        <v>11</v>
      </c>
      <c r="EL155" s="12">
        <v>28</v>
      </c>
      <c r="EM155" s="12">
        <v>39</v>
      </c>
      <c r="EN155" s="12">
        <v>17</v>
      </c>
      <c r="EO155" s="12">
        <v>11</v>
      </c>
      <c r="EP155" s="12">
        <v>12</v>
      </c>
      <c r="EQ155" s="12">
        <v>5</v>
      </c>
      <c r="ER155" s="12">
        <v>10</v>
      </c>
      <c r="ES155" s="12">
        <v>4</v>
      </c>
      <c r="ET155" s="12">
        <v>1</v>
      </c>
      <c r="EU155" s="12">
        <v>90</v>
      </c>
      <c r="EV155" s="12">
        <v>-1</v>
      </c>
      <c r="EW155" s="12">
        <v>68</v>
      </c>
      <c r="EX155" s="12">
        <v>79</v>
      </c>
      <c r="EY155" s="12">
        <v>7</v>
      </c>
      <c r="EZ155" s="12">
        <v>12</v>
      </c>
      <c r="FA155" s="12">
        <v>5</v>
      </c>
      <c r="FB155" s="12">
        <v>0</v>
      </c>
      <c r="FC155" s="12">
        <v>0</v>
      </c>
      <c r="FD155" s="12">
        <v>0</v>
      </c>
      <c r="FE155" s="12">
        <v>0</v>
      </c>
      <c r="FF155" s="12">
        <v>4</v>
      </c>
      <c r="FG155" s="12">
        <v>0</v>
      </c>
      <c r="FH155" s="12">
        <v>3</v>
      </c>
      <c r="FI155" s="12">
        <v>0</v>
      </c>
      <c r="FJ155" s="12">
        <v>3</v>
      </c>
      <c r="FK155" s="12">
        <v>0</v>
      </c>
      <c r="FL155" s="12">
        <v>1</v>
      </c>
      <c r="FM155" s="12">
        <v>0</v>
      </c>
      <c r="FN155" s="12">
        <v>0</v>
      </c>
      <c r="FO155" s="12">
        <v>0</v>
      </c>
      <c r="FP155" s="12">
        <v>1</v>
      </c>
      <c r="FQ155" s="12">
        <v>0</v>
      </c>
      <c r="FR155" s="12">
        <v>8</v>
      </c>
      <c r="FS155" s="12">
        <v>1</v>
      </c>
      <c r="FT155" s="12">
        <v>3</v>
      </c>
      <c r="FU155" s="12">
        <v>0</v>
      </c>
      <c r="FV155" s="12">
        <v>2</v>
      </c>
      <c r="FW155" s="12">
        <v>0</v>
      </c>
      <c r="FX155" s="12">
        <v>12</v>
      </c>
      <c r="FY155" s="12">
        <v>1</v>
      </c>
      <c r="FZ155" s="12">
        <v>2</v>
      </c>
      <c r="GA155" s="12">
        <v>0</v>
      </c>
      <c r="GB155" s="12">
        <v>0</v>
      </c>
      <c r="GC155" s="12">
        <v>0</v>
      </c>
      <c r="GD155" s="12">
        <v>1</v>
      </c>
      <c r="GE155" s="12">
        <v>2</v>
      </c>
      <c r="GF155" s="12">
        <v>2</v>
      </c>
      <c r="GG155" s="12">
        <v>2</v>
      </c>
      <c r="GH155" s="12">
        <v>0</v>
      </c>
      <c r="GI155" s="12">
        <v>0</v>
      </c>
      <c r="GJ155" s="12">
        <v>0</v>
      </c>
      <c r="GK155" s="12">
        <v>0</v>
      </c>
      <c r="GL155" s="12">
        <v>11</v>
      </c>
      <c r="GM155" s="12">
        <v>11</v>
      </c>
      <c r="GN155" s="12">
        <v>3</v>
      </c>
      <c r="GO155" s="12">
        <v>15</v>
      </c>
      <c r="GP155" s="12">
        <v>9</v>
      </c>
      <c r="GQ155" s="12">
        <v>21</v>
      </c>
      <c r="GR155" s="12">
        <v>0</v>
      </c>
      <c r="GS155" s="12">
        <v>5</v>
      </c>
      <c r="GT155" s="12">
        <v>8</v>
      </c>
      <c r="GU155" s="12">
        <v>16</v>
      </c>
      <c r="GV155" s="12">
        <v>0</v>
      </c>
      <c r="GW155" s="12">
        <v>0</v>
      </c>
      <c r="GY155" s="16"/>
    </row>
    <row r="156" spans="2:207" ht="15" customHeight="1" x14ac:dyDescent="0.2">
      <c r="B156" s="12">
        <v>9</v>
      </c>
      <c r="C156" s="12" t="s">
        <v>297</v>
      </c>
      <c r="D156" s="12" t="s">
        <v>265</v>
      </c>
      <c r="E156" s="14" t="s">
        <v>299</v>
      </c>
      <c r="F156" s="14" t="s">
        <v>267</v>
      </c>
      <c r="G156" s="15">
        <v>45247</v>
      </c>
      <c r="H156" s="15" t="s">
        <v>271</v>
      </c>
      <c r="I156" s="12" t="s">
        <v>269</v>
      </c>
      <c r="J156" s="12" t="s">
        <v>270</v>
      </c>
      <c r="K156" s="12">
        <v>200</v>
      </c>
      <c r="L156" s="12">
        <v>88</v>
      </c>
      <c r="M156" s="12">
        <v>12</v>
      </c>
      <c r="N156" s="12">
        <v>25</v>
      </c>
      <c r="O156" s="16">
        <v>0.48</v>
      </c>
      <c r="P156" s="12">
        <v>16</v>
      </c>
      <c r="Q156" s="12">
        <v>36</v>
      </c>
      <c r="R156" s="16">
        <v>0.44444444444444442</v>
      </c>
      <c r="S156" s="12">
        <v>28</v>
      </c>
      <c r="T156" s="12">
        <v>61</v>
      </c>
      <c r="U156" s="16">
        <v>0.45901639344262296</v>
      </c>
      <c r="V156" s="12">
        <v>16</v>
      </c>
      <c r="W156" s="12">
        <v>18</v>
      </c>
      <c r="X156" s="16">
        <v>0.88888888888888884</v>
      </c>
      <c r="Y156" s="12">
        <v>6</v>
      </c>
      <c r="Z156" s="12">
        <v>29</v>
      </c>
      <c r="AA156" s="12">
        <v>35</v>
      </c>
      <c r="AB156" s="12">
        <v>23</v>
      </c>
      <c r="AC156" s="12">
        <v>8</v>
      </c>
      <c r="AD156" s="12">
        <v>2</v>
      </c>
      <c r="AE156" s="12">
        <v>2</v>
      </c>
      <c r="AF156" s="12">
        <v>0</v>
      </c>
      <c r="AG156" s="12">
        <v>20</v>
      </c>
      <c r="AH156" s="12">
        <v>16</v>
      </c>
      <c r="AI156" s="17">
        <v>103</v>
      </c>
      <c r="AJ156" s="12">
        <v>7</v>
      </c>
      <c r="AK156" s="12">
        <v>70</v>
      </c>
      <c r="AL156" s="12">
        <v>76</v>
      </c>
      <c r="AM156" s="19">
        <v>1.1578947368421053</v>
      </c>
      <c r="AN156" s="19">
        <v>1.0253164556962024</v>
      </c>
      <c r="AO156" s="18">
        <v>125.71428571428571</v>
      </c>
      <c r="AP156" s="18">
        <v>115.71428571428572</v>
      </c>
      <c r="AQ156" s="18">
        <v>9.9999999999999858</v>
      </c>
      <c r="AR156" s="53">
        <v>0.5901639344262295</v>
      </c>
      <c r="AS156" s="53">
        <v>0.6470588235294118</v>
      </c>
      <c r="AT156" s="16">
        <v>0.11842105263157894</v>
      </c>
      <c r="AU156" s="19">
        <v>1.3333333333333333</v>
      </c>
      <c r="AV156" s="16">
        <v>0.13157894736842105</v>
      </c>
      <c r="AW156" s="19">
        <v>0.6</v>
      </c>
      <c r="AX156" s="16">
        <v>7.8947368421052627E-2</v>
      </c>
      <c r="AY156" s="19">
        <v>1</v>
      </c>
      <c r="AZ156" s="16">
        <v>7.8947368421052627E-2</v>
      </c>
      <c r="BA156" s="19">
        <v>1.5</v>
      </c>
      <c r="BB156" s="16">
        <v>0.39473684210526316</v>
      </c>
      <c r="BC156" s="21">
        <v>1.3</v>
      </c>
      <c r="BD156" s="16">
        <v>9.2105263157894732E-2</v>
      </c>
      <c r="BE156" s="16">
        <v>0.10526315789473684</v>
      </c>
      <c r="BF156" s="16">
        <v>0.65714285714285714</v>
      </c>
      <c r="BG156" s="16">
        <v>0.5</v>
      </c>
      <c r="BH156" s="16">
        <v>0.8125</v>
      </c>
      <c r="BI156" s="16">
        <v>0.5714285714285714</v>
      </c>
      <c r="BJ156" s="16">
        <v>0.30263157894736842</v>
      </c>
      <c r="BK156" s="21">
        <v>2.875</v>
      </c>
      <c r="BL156" s="16">
        <v>0.17647058823529413</v>
      </c>
      <c r="BM156" s="16">
        <v>0.15384615384615385</v>
      </c>
      <c r="BN156" s="16">
        <v>0.20833333333333334</v>
      </c>
      <c r="BO156" s="16">
        <v>0</v>
      </c>
      <c r="BP156" s="16">
        <v>0.76315789473684215</v>
      </c>
      <c r="BQ156" s="16">
        <v>0.84615384615384615</v>
      </c>
      <c r="BR156" s="16">
        <v>0.54545454545454541</v>
      </c>
      <c r="BS156" s="16">
        <v>0.66666666666666663</v>
      </c>
      <c r="BT156" s="16">
        <v>0.4861111111111111</v>
      </c>
      <c r="BU156" s="16">
        <v>2.8571428571428571E-2</v>
      </c>
      <c r="BV156" s="16">
        <v>3.0303030303030304E-2</v>
      </c>
      <c r="BW156" s="54">
        <v>5</v>
      </c>
      <c r="BX156" s="54">
        <v>0.4</v>
      </c>
      <c r="BY156" s="54">
        <v>0.5</v>
      </c>
      <c r="BZ156" s="12">
        <v>6</v>
      </c>
      <c r="CA156" s="12">
        <v>13</v>
      </c>
      <c r="CB156" s="12">
        <v>4</v>
      </c>
      <c r="CC156" s="12">
        <v>6</v>
      </c>
      <c r="CD156" s="12">
        <v>0</v>
      </c>
      <c r="CE156" s="12">
        <v>0</v>
      </c>
      <c r="CF156" s="12">
        <v>1</v>
      </c>
      <c r="CG156" s="12">
        <v>0</v>
      </c>
      <c r="CH156" s="12">
        <v>1</v>
      </c>
      <c r="CI156" s="12">
        <v>0</v>
      </c>
      <c r="CJ156" s="12">
        <v>1</v>
      </c>
      <c r="CK156" s="12">
        <v>0</v>
      </c>
      <c r="CL156" s="12">
        <v>3</v>
      </c>
      <c r="CM156" s="12">
        <v>1</v>
      </c>
      <c r="CN156" s="12">
        <v>0</v>
      </c>
      <c r="CO156" s="12">
        <v>0</v>
      </c>
      <c r="CP156" s="12">
        <v>3</v>
      </c>
      <c r="CQ156" s="12">
        <v>0</v>
      </c>
      <c r="CR156" s="12">
        <v>11</v>
      </c>
      <c r="CS156" s="12">
        <v>1</v>
      </c>
      <c r="CT156" s="12">
        <v>7</v>
      </c>
      <c r="CU156" s="12">
        <v>0</v>
      </c>
      <c r="CV156" s="12">
        <v>0</v>
      </c>
      <c r="CW156" s="12">
        <v>0</v>
      </c>
      <c r="CX156" s="12">
        <v>6</v>
      </c>
      <c r="CY156" s="12">
        <v>0</v>
      </c>
      <c r="CZ156" s="12">
        <v>2</v>
      </c>
      <c r="DA156" s="12">
        <v>0</v>
      </c>
      <c r="DB156" s="12">
        <v>2</v>
      </c>
      <c r="DC156" s="12">
        <v>2</v>
      </c>
      <c r="DD156" s="12">
        <v>1</v>
      </c>
      <c r="DE156" s="12">
        <v>1</v>
      </c>
      <c r="DF156" s="12">
        <v>10</v>
      </c>
      <c r="DG156" s="12">
        <v>12</v>
      </c>
      <c r="DH156" s="12">
        <v>0</v>
      </c>
      <c r="DI156" s="12">
        <v>3</v>
      </c>
      <c r="DJ156" s="12">
        <v>3</v>
      </c>
      <c r="DK156" s="12">
        <v>0</v>
      </c>
      <c r="DL156" s="12">
        <v>6</v>
      </c>
      <c r="DM156" s="12">
        <v>9</v>
      </c>
      <c r="DN156" s="12">
        <v>3</v>
      </c>
      <c r="DO156" s="12">
        <v>10</v>
      </c>
      <c r="DP156" s="12">
        <v>3</v>
      </c>
      <c r="DQ156" s="12">
        <v>6</v>
      </c>
      <c r="DR156" s="12">
        <v>3</v>
      </c>
      <c r="DS156" s="12">
        <v>6</v>
      </c>
      <c r="DT156" s="12">
        <v>13</v>
      </c>
      <c r="DU156" s="12">
        <v>30</v>
      </c>
      <c r="DV156" s="12">
        <v>0</v>
      </c>
      <c r="DW156" s="12">
        <v>0</v>
      </c>
      <c r="DX156" s="12">
        <v>81</v>
      </c>
      <c r="DY156" s="12">
        <v>22</v>
      </c>
      <c r="DZ156" s="12">
        <v>47</v>
      </c>
      <c r="EA156" s="16">
        <v>0.46808510638297873</v>
      </c>
      <c r="EB156" s="12">
        <v>9</v>
      </c>
      <c r="EC156" s="12">
        <v>19</v>
      </c>
      <c r="ED156" s="16">
        <v>0.47368421052631576</v>
      </c>
      <c r="EE156" s="12">
        <v>31</v>
      </c>
      <c r="EF156" s="12">
        <v>66</v>
      </c>
      <c r="EG156" s="16">
        <v>0.46969696969696972</v>
      </c>
      <c r="EH156" s="12">
        <v>10</v>
      </c>
      <c r="EI156" s="12">
        <v>15</v>
      </c>
      <c r="EJ156" s="16">
        <v>0.66666666666666663</v>
      </c>
      <c r="EK156" s="12">
        <v>9</v>
      </c>
      <c r="EL156" s="12">
        <v>28</v>
      </c>
      <c r="EM156" s="12">
        <v>37</v>
      </c>
      <c r="EN156" s="12">
        <v>18</v>
      </c>
      <c r="EO156" s="12">
        <v>18</v>
      </c>
      <c r="EP156" s="12">
        <v>19</v>
      </c>
      <c r="EQ156" s="12">
        <v>3</v>
      </c>
      <c r="ER156" s="12">
        <v>7</v>
      </c>
      <c r="ES156" s="12">
        <v>0</v>
      </c>
      <c r="ET156" s="12">
        <v>2</v>
      </c>
      <c r="EU156" s="12">
        <v>91</v>
      </c>
      <c r="EV156" s="12">
        <v>-7</v>
      </c>
      <c r="EW156" s="12">
        <v>70</v>
      </c>
      <c r="EX156" s="12">
        <v>79</v>
      </c>
      <c r="EY156" s="12">
        <v>4</v>
      </c>
      <c r="EZ156" s="12">
        <v>10</v>
      </c>
      <c r="FA156" s="12">
        <v>7</v>
      </c>
      <c r="FB156" s="12">
        <v>1</v>
      </c>
      <c r="FC156" s="12">
        <v>2</v>
      </c>
      <c r="FD156" s="12">
        <v>0</v>
      </c>
      <c r="FE156" s="12">
        <v>0</v>
      </c>
      <c r="FF156" s="12">
        <v>3</v>
      </c>
      <c r="FG156" s="12">
        <v>0</v>
      </c>
      <c r="FH156" s="12">
        <v>1</v>
      </c>
      <c r="FI156" s="12">
        <v>0</v>
      </c>
      <c r="FJ156" s="12">
        <v>1</v>
      </c>
      <c r="FK156" s="12">
        <v>1</v>
      </c>
      <c r="FL156" s="12">
        <v>3</v>
      </c>
      <c r="FM156" s="12">
        <v>0</v>
      </c>
      <c r="FN156" s="12">
        <v>1</v>
      </c>
      <c r="FO156" s="12">
        <v>0</v>
      </c>
      <c r="FP156" s="12">
        <v>3</v>
      </c>
      <c r="FQ156" s="12">
        <v>0</v>
      </c>
      <c r="FR156" s="12">
        <v>5</v>
      </c>
      <c r="FS156" s="12">
        <v>1</v>
      </c>
      <c r="FT156" s="12">
        <v>2</v>
      </c>
      <c r="FU156" s="12">
        <v>0</v>
      </c>
      <c r="FV156" s="12">
        <v>2</v>
      </c>
      <c r="FW156" s="12">
        <v>0</v>
      </c>
      <c r="FX156" s="12">
        <v>14</v>
      </c>
      <c r="FY156" s="12">
        <v>3</v>
      </c>
      <c r="FZ156" s="12">
        <v>2</v>
      </c>
      <c r="GA156" s="12">
        <v>0</v>
      </c>
      <c r="GB156" s="12">
        <v>1</v>
      </c>
      <c r="GC156" s="12">
        <v>1</v>
      </c>
      <c r="GD156" s="12">
        <v>1</v>
      </c>
      <c r="GE156" s="12">
        <v>2</v>
      </c>
      <c r="GF156" s="12">
        <v>8</v>
      </c>
      <c r="GG156" s="12">
        <v>12</v>
      </c>
      <c r="GH156" s="12">
        <v>1</v>
      </c>
      <c r="GI156" s="12">
        <v>0</v>
      </c>
      <c r="GJ156" s="12">
        <v>0</v>
      </c>
      <c r="GK156" s="12">
        <v>0</v>
      </c>
      <c r="GL156" s="12">
        <v>12</v>
      </c>
      <c r="GM156" s="12">
        <v>15</v>
      </c>
      <c r="GN156" s="12">
        <v>9</v>
      </c>
      <c r="GO156" s="12">
        <v>23</v>
      </c>
      <c r="GP156" s="12">
        <v>1</v>
      </c>
      <c r="GQ156" s="12">
        <v>9</v>
      </c>
      <c r="GR156" s="12">
        <v>5</v>
      </c>
      <c r="GS156" s="12">
        <v>6</v>
      </c>
      <c r="GT156" s="12">
        <v>4</v>
      </c>
      <c r="GU156" s="12">
        <v>13</v>
      </c>
      <c r="GV156" s="12">
        <v>0</v>
      </c>
      <c r="GW156" s="12">
        <v>0</v>
      </c>
      <c r="GY156" s="16"/>
    </row>
    <row r="157" spans="2:207" ht="15" customHeight="1" x14ac:dyDescent="0.2">
      <c r="B157" s="12">
        <v>9</v>
      </c>
      <c r="C157" s="12" t="s">
        <v>265</v>
      </c>
      <c r="D157" s="12" t="s">
        <v>297</v>
      </c>
      <c r="E157" s="14" t="s">
        <v>267</v>
      </c>
      <c r="F157" s="14" t="s">
        <v>299</v>
      </c>
      <c r="G157" s="15">
        <v>45247</v>
      </c>
      <c r="H157" s="15" t="s">
        <v>268</v>
      </c>
      <c r="I157" s="12" t="s">
        <v>269</v>
      </c>
      <c r="J157" s="12" t="s">
        <v>272</v>
      </c>
      <c r="K157" s="12">
        <v>200</v>
      </c>
      <c r="L157" s="12">
        <v>81</v>
      </c>
      <c r="M157" s="12">
        <v>22</v>
      </c>
      <c r="N157" s="12">
        <v>47</v>
      </c>
      <c r="O157" s="16">
        <v>0.46808510638297873</v>
      </c>
      <c r="P157" s="12">
        <v>9</v>
      </c>
      <c r="Q157" s="12">
        <v>19</v>
      </c>
      <c r="R157" s="16">
        <v>0.47368421052631576</v>
      </c>
      <c r="S157" s="12">
        <v>31</v>
      </c>
      <c r="T157" s="12">
        <v>66</v>
      </c>
      <c r="U157" s="16">
        <v>0.46969696969696972</v>
      </c>
      <c r="V157" s="12">
        <v>10</v>
      </c>
      <c r="W157" s="12">
        <v>15</v>
      </c>
      <c r="X157" s="16">
        <v>0.66666666666666663</v>
      </c>
      <c r="Y157" s="12">
        <v>9</v>
      </c>
      <c r="Z157" s="12">
        <v>28</v>
      </c>
      <c r="AA157" s="12">
        <v>37</v>
      </c>
      <c r="AB157" s="12">
        <v>18</v>
      </c>
      <c r="AC157" s="12">
        <v>7</v>
      </c>
      <c r="AD157" s="12">
        <v>3</v>
      </c>
      <c r="AE157" s="12">
        <v>0</v>
      </c>
      <c r="AF157" s="12">
        <v>2</v>
      </c>
      <c r="AG157" s="12">
        <v>16</v>
      </c>
      <c r="AH157" s="12">
        <v>19</v>
      </c>
      <c r="AI157" s="17">
        <v>93</v>
      </c>
      <c r="AJ157" s="12">
        <v>-7</v>
      </c>
      <c r="AK157" s="12">
        <v>70</v>
      </c>
      <c r="AL157" s="12">
        <v>79</v>
      </c>
      <c r="AM157" s="19">
        <v>1.0253164556962024</v>
      </c>
      <c r="AN157" s="19">
        <v>1.1578947368421053</v>
      </c>
      <c r="AO157" s="18">
        <v>115.71428571428572</v>
      </c>
      <c r="AP157" s="18">
        <v>125.71428571428571</v>
      </c>
      <c r="AQ157" s="18">
        <v>-9.9999999999999858</v>
      </c>
      <c r="AR157" s="53">
        <v>0.53787878787878785</v>
      </c>
      <c r="AS157" s="53">
        <v>0.5625</v>
      </c>
      <c r="AT157" s="16">
        <v>0.189873417721519</v>
      </c>
      <c r="AU157" s="19">
        <v>1.6</v>
      </c>
      <c r="AV157" s="16">
        <v>0.29113924050632911</v>
      </c>
      <c r="AW157" s="19">
        <v>0.78260869565217395</v>
      </c>
      <c r="AX157" s="16">
        <v>0.11392405063291139</v>
      </c>
      <c r="AY157" s="19">
        <v>0.22222222222222221</v>
      </c>
      <c r="AZ157" s="16">
        <v>7.5949367088607597E-2</v>
      </c>
      <c r="BA157" s="19">
        <v>2.5</v>
      </c>
      <c r="BB157" s="16">
        <v>0.16455696202531644</v>
      </c>
      <c r="BC157" s="21">
        <v>0.92307692307692313</v>
      </c>
      <c r="BD157" s="16">
        <v>7.5949367088607597E-2</v>
      </c>
      <c r="BE157" s="16">
        <v>8.8607594936708861E-2</v>
      </c>
      <c r="BF157" s="16">
        <v>0.5</v>
      </c>
      <c r="BG157" s="16">
        <v>0.45454545454545453</v>
      </c>
      <c r="BH157" s="16">
        <v>0.77777777777777779</v>
      </c>
      <c r="BI157" s="16">
        <v>0.2</v>
      </c>
      <c r="BJ157" s="16">
        <v>0.22784810126582278</v>
      </c>
      <c r="BK157" s="21">
        <v>2.5714285714285716</v>
      </c>
      <c r="BL157" s="16">
        <v>0.23684210526315788</v>
      </c>
      <c r="BM157" s="16">
        <v>0.15384615384615385</v>
      </c>
      <c r="BN157" s="16">
        <v>0.45454545454545453</v>
      </c>
      <c r="BO157" s="16">
        <v>0.33333333333333331</v>
      </c>
      <c r="BP157" s="16">
        <v>0.82352941176470584</v>
      </c>
      <c r="BQ157" s="16">
        <v>0.84615384615384615</v>
      </c>
      <c r="BR157" s="16">
        <v>0.79166666666666663</v>
      </c>
      <c r="BS157" s="16">
        <v>1</v>
      </c>
      <c r="BT157" s="16">
        <v>0.51388888888888884</v>
      </c>
      <c r="BU157" s="16">
        <v>4.2857142857142858E-2</v>
      </c>
      <c r="BV157" s="16">
        <v>0</v>
      </c>
      <c r="BW157" s="54">
        <v>4</v>
      </c>
      <c r="BX157" s="54">
        <v>0.4375</v>
      </c>
      <c r="BY157" s="54">
        <v>0.42105263157894735</v>
      </c>
      <c r="BZ157" s="12">
        <v>10</v>
      </c>
      <c r="CA157" s="12">
        <v>7</v>
      </c>
      <c r="CB157" s="12">
        <v>1</v>
      </c>
      <c r="CC157" s="12">
        <v>2</v>
      </c>
      <c r="CD157" s="12">
        <v>0</v>
      </c>
      <c r="CE157" s="12">
        <v>0</v>
      </c>
      <c r="CF157" s="12">
        <v>3</v>
      </c>
      <c r="CG157" s="12">
        <v>0</v>
      </c>
      <c r="CH157" s="12">
        <v>1</v>
      </c>
      <c r="CI157" s="12">
        <v>0</v>
      </c>
      <c r="CJ157" s="12">
        <v>1</v>
      </c>
      <c r="CK157" s="12">
        <v>1</v>
      </c>
      <c r="CL157" s="12">
        <v>3</v>
      </c>
      <c r="CM157" s="12">
        <v>0</v>
      </c>
      <c r="CN157" s="12">
        <v>1</v>
      </c>
      <c r="CO157" s="12">
        <v>0</v>
      </c>
      <c r="CP157" s="12">
        <v>3</v>
      </c>
      <c r="CQ157" s="12">
        <v>0</v>
      </c>
      <c r="CR157" s="12">
        <v>5</v>
      </c>
      <c r="CS157" s="12">
        <v>1</v>
      </c>
      <c r="CT157" s="12">
        <v>2</v>
      </c>
      <c r="CU157" s="12">
        <v>0</v>
      </c>
      <c r="CV157" s="12">
        <v>2</v>
      </c>
      <c r="CW157" s="12">
        <v>0</v>
      </c>
      <c r="CX157" s="12">
        <v>14</v>
      </c>
      <c r="CY157" s="12">
        <v>3</v>
      </c>
      <c r="CZ157" s="12">
        <v>2</v>
      </c>
      <c r="DA157" s="12">
        <v>0</v>
      </c>
      <c r="DB157" s="12">
        <v>1</v>
      </c>
      <c r="DC157" s="12">
        <v>1</v>
      </c>
      <c r="DD157" s="12">
        <v>1</v>
      </c>
      <c r="DE157" s="12">
        <v>2</v>
      </c>
      <c r="DF157" s="12">
        <v>8</v>
      </c>
      <c r="DG157" s="12">
        <v>12</v>
      </c>
      <c r="DH157" s="12">
        <v>1</v>
      </c>
      <c r="DI157" s="12">
        <v>0</v>
      </c>
      <c r="DJ157" s="12">
        <v>0</v>
      </c>
      <c r="DK157" s="12">
        <v>0</v>
      </c>
      <c r="DL157" s="12">
        <v>12</v>
      </c>
      <c r="DM157" s="12">
        <v>15</v>
      </c>
      <c r="DN157" s="12">
        <v>9</v>
      </c>
      <c r="DO157" s="12">
        <v>23</v>
      </c>
      <c r="DP157" s="12">
        <v>1</v>
      </c>
      <c r="DQ157" s="12">
        <v>9</v>
      </c>
      <c r="DR157" s="12">
        <v>5</v>
      </c>
      <c r="DS157" s="12">
        <v>6</v>
      </c>
      <c r="DT157" s="12">
        <v>4</v>
      </c>
      <c r="DU157" s="12">
        <v>13</v>
      </c>
      <c r="DV157" s="12">
        <v>0</v>
      </c>
      <c r="DW157" s="12">
        <v>0</v>
      </c>
      <c r="DX157" s="12">
        <v>88</v>
      </c>
      <c r="DY157" s="12">
        <v>12</v>
      </c>
      <c r="DZ157" s="12">
        <v>25</v>
      </c>
      <c r="EA157" s="16">
        <v>0.48</v>
      </c>
      <c r="EB157" s="12">
        <v>16</v>
      </c>
      <c r="EC157" s="12">
        <v>36</v>
      </c>
      <c r="ED157" s="16">
        <v>0.44444444444444442</v>
      </c>
      <c r="EE157" s="12">
        <v>28</v>
      </c>
      <c r="EF157" s="12">
        <v>61</v>
      </c>
      <c r="EG157" s="16">
        <v>0.45901639344262296</v>
      </c>
      <c r="EH157" s="12">
        <v>16</v>
      </c>
      <c r="EI157" s="12">
        <v>18</v>
      </c>
      <c r="EJ157" s="16">
        <v>0.88888888888888884</v>
      </c>
      <c r="EK157" s="12">
        <v>6</v>
      </c>
      <c r="EL157" s="12">
        <v>29</v>
      </c>
      <c r="EM157" s="12">
        <v>35</v>
      </c>
      <c r="EN157" s="12">
        <v>23</v>
      </c>
      <c r="EO157" s="12">
        <v>20</v>
      </c>
      <c r="EP157" s="12">
        <v>16</v>
      </c>
      <c r="EQ157" s="12">
        <v>2</v>
      </c>
      <c r="ER157" s="12">
        <v>8</v>
      </c>
      <c r="ES157" s="12">
        <v>2</v>
      </c>
      <c r="ET157" s="12">
        <v>0</v>
      </c>
      <c r="EU157" s="12">
        <v>103</v>
      </c>
      <c r="EV157" s="12">
        <v>7</v>
      </c>
      <c r="EW157" s="12">
        <v>70</v>
      </c>
      <c r="EX157" s="12">
        <v>76</v>
      </c>
      <c r="EY157" s="12">
        <v>5</v>
      </c>
      <c r="EZ157" s="12">
        <v>6</v>
      </c>
      <c r="FA157" s="12">
        <v>13</v>
      </c>
      <c r="FB157" s="12">
        <v>4</v>
      </c>
      <c r="FC157" s="12">
        <v>6</v>
      </c>
      <c r="FD157" s="12">
        <v>0</v>
      </c>
      <c r="FE157" s="12">
        <v>0</v>
      </c>
      <c r="FF157" s="12">
        <v>1</v>
      </c>
      <c r="FG157" s="12">
        <v>0</v>
      </c>
      <c r="FH157" s="12">
        <v>1</v>
      </c>
      <c r="FI157" s="12">
        <v>0</v>
      </c>
      <c r="FJ157" s="12">
        <v>1</v>
      </c>
      <c r="FK157" s="12">
        <v>0</v>
      </c>
      <c r="FL157" s="12">
        <v>3</v>
      </c>
      <c r="FM157" s="12">
        <v>1</v>
      </c>
      <c r="FN157" s="12">
        <v>0</v>
      </c>
      <c r="FO157" s="12">
        <v>0</v>
      </c>
      <c r="FP157" s="12">
        <v>3</v>
      </c>
      <c r="FQ157" s="12">
        <v>0</v>
      </c>
      <c r="FR157" s="12">
        <v>11</v>
      </c>
      <c r="FS157" s="12">
        <v>1</v>
      </c>
      <c r="FT157" s="12">
        <v>7</v>
      </c>
      <c r="FU157" s="12">
        <v>0</v>
      </c>
      <c r="FV157" s="12">
        <v>0</v>
      </c>
      <c r="FW157" s="12">
        <v>0</v>
      </c>
      <c r="FX157" s="12">
        <v>6</v>
      </c>
      <c r="FY157" s="12">
        <v>0</v>
      </c>
      <c r="FZ157" s="12">
        <v>2</v>
      </c>
      <c r="GA157" s="12">
        <v>0</v>
      </c>
      <c r="GB157" s="12">
        <v>2</v>
      </c>
      <c r="GC157" s="12">
        <v>2</v>
      </c>
      <c r="GD157" s="12">
        <v>0</v>
      </c>
      <c r="GE157" s="12">
        <v>0</v>
      </c>
      <c r="GF157" s="12">
        <v>10</v>
      </c>
      <c r="GG157" s="12">
        <v>12</v>
      </c>
      <c r="GH157" s="12">
        <v>0</v>
      </c>
      <c r="GI157" s="12">
        <v>3</v>
      </c>
      <c r="GJ157" s="12">
        <v>3</v>
      </c>
      <c r="GK157" s="12">
        <v>0</v>
      </c>
      <c r="GL157" s="12">
        <v>6</v>
      </c>
      <c r="GM157" s="12">
        <v>9</v>
      </c>
      <c r="GN157" s="12">
        <v>3</v>
      </c>
      <c r="GO157" s="12">
        <v>10</v>
      </c>
      <c r="GP157" s="12">
        <v>3</v>
      </c>
      <c r="GQ157" s="12">
        <v>6</v>
      </c>
      <c r="GR157" s="12">
        <v>3</v>
      </c>
      <c r="GS157" s="12">
        <v>6</v>
      </c>
      <c r="GT157" s="12">
        <v>13</v>
      </c>
      <c r="GU157" s="12">
        <v>30</v>
      </c>
      <c r="GV157" s="12">
        <v>0</v>
      </c>
      <c r="GW157" s="12">
        <v>0</v>
      </c>
      <c r="GY157" s="16"/>
    </row>
    <row r="158" spans="2:207" ht="15" customHeight="1" x14ac:dyDescent="0.2">
      <c r="B158" s="12">
        <v>9</v>
      </c>
      <c r="C158" s="12" t="s">
        <v>294</v>
      </c>
      <c r="D158" s="12" t="s">
        <v>285</v>
      </c>
      <c r="E158" s="14" t="s">
        <v>296</v>
      </c>
      <c r="F158" s="14" t="s">
        <v>287</v>
      </c>
      <c r="G158" s="15">
        <v>45247</v>
      </c>
      <c r="H158" s="15" t="s">
        <v>268</v>
      </c>
      <c r="I158" s="12" t="s">
        <v>269</v>
      </c>
      <c r="J158" s="12" t="s">
        <v>270</v>
      </c>
      <c r="K158" s="12">
        <v>200</v>
      </c>
      <c r="L158" s="12">
        <v>90</v>
      </c>
      <c r="M158" s="12">
        <v>22</v>
      </c>
      <c r="N158" s="12">
        <v>38</v>
      </c>
      <c r="O158" s="16">
        <v>0.57894736842105265</v>
      </c>
      <c r="P158" s="12">
        <v>7</v>
      </c>
      <c r="Q158" s="12">
        <v>24</v>
      </c>
      <c r="R158" s="16">
        <v>0.29166666666666669</v>
      </c>
      <c r="S158" s="12">
        <v>29</v>
      </c>
      <c r="T158" s="12">
        <v>62</v>
      </c>
      <c r="U158" s="16">
        <v>0.46774193548387094</v>
      </c>
      <c r="V158" s="12">
        <v>25</v>
      </c>
      <c r="W158" s="12">
        <v>27</v>
      </c>
      <c r="X158" s="16">
        <v>0.92592592592592593</v>
      </c>
      <c r="Y158" s="12">
        <v>11</v>
      </c>
      <c r="Z158" s="12">
        <v>26</v>
      </c>
      <c r="AA158" s="12">
        <v>37</v>
      </c>
      <c r="AB158" s="12">
        <v>17</v>
      </c>
      <c r="AC158" s="12">
        <v>8</v>
      </c>
      <c r="AD158" s="12">
        <v>8</v>
      </c>
      <c r="AE158" s="12">
        <v>2</v>
      </c>
      <c r="AF158" s="12">
        <v>6</v>
      </c>
      <c r="AG158" s="12">
        <v>17</v>
      </c>
      <c r="AH158" s="12">
        <v>24</v>
      </c>
      <c r="AI158" s="17">
        <v>112</v>
      </c>
      <c r="AJ158" s="12">
        <v>14</v>
      </c>
      <c r="AK158" s="12">
        <v>70</v>
      </c>
      <c r="AL158" s="12">
        <v>81</v>
      </c>
      <c r="AM158" s="19">
        <v>1.1111111111111112</v>
      </c>
      <c r="AN158" s="19">
        <v>0.92682926829268297</v>
      </c>
      <c r="AO158" s="18">
        <v>128.57142857142858</v>
      </c>
      <c r="AP158" s="18">
        <v>107.04225352112675</v>
      </c>
      <c r="AQ158" s="18">
        <v>21.529175050301831</v>
      </c>
      <c r="AR158" s="53">
        <v>0.52419354838709675</v>
      </c>
      <c r="AS158" s="53">
        <v>0.61643835616438358</v>
      </c>
      <c r="AT158" s="16">
        <v>0.22222222222222221</v>
      </c>
      <c r="AU158" s="19">
        <v>1.5555555555555556</v>
      </c>
      <c r="AV158" s="16">
        <v>0.1728395061728395</v>
      </c>
      <c r="AW158" s="19">
        <v>0.5714285714285714</v>
      </c>
      <c r="AX158" s="16">
        <v>7.407407407407407E-2</v>
      </c>
      <c r="AY158" s="19">
        <v>1.3333333333333333</v>
      </c>
      <c r="AZ158" s="16">
        <v>4.9382716049382713E-2</v>
      </c>
      <c r="BA158" s="19">
        <v>1.5</v>
      </c>
      <c r="BB158" s="16">
        <v>0.24691358024691357</v>
      </c>
      <c r="BC158" s="21">
        <v>0.75</v>
      </c>
      <c r="BD158" s="16">
        <v>0.13580246913580246</v>
      </c>
      <c r="BE158" s="16">
        <v>9.8765432098765427E-2</v>
      </c>
      <c r="BF158" s="16">
        <v>0.42499999999999999</v>
      </c>
      <c r="BG158" s="16">
        <v>0.40909090909090912</v>
      </c>
      <c r="BH158" s="16">
        <v>0.7142857142857143</v>
      </c>
      <c r="BI158" s="16">
        <v>0.27272727272727271</v>
      </c>
      <c r="BJ158" s="16">
        <v>0.20987654320987653</v>
      </c>
      <c r="BK158" s="21">
        <v>2.125</v>
      </c>
      <c r="BL158" s="16">
        <v>0.33333333333333331</v>
      </c>
      <c r="BM158" s="16">
        <v>0.47368421052631576</v>
      </c>
      <c r="BN158" s="16">
        <v>0.26315789473684209</v>
      </c>
      <c r="BO158" s="16" t="s">
        <v>269</v>
      </c>
      <c r="BP158" s="16">
        <v>0.70270270270270274</v>
      </c>
      <c r="BQ158" s="16">
        <v>0.5</v>
      </c>
      <c r="BR158" s="16">
        <v>0.75</v>
      </c>
      <c r="BS158" s="16">
        <v>1</v>
      </c>
      <c r="BT158" s="16">
        <v>0.52857142857142858</v>
      </c>
      <c r="BU158" s="16">
        <v>0.11267605633802817</v>
      </c>
      <c r="BV158" s="16">
        <v>3.0769230769230771E-2</v>
      </c>
      <c r="BW158" s="54">
        <v>4</v>
      </c>
      <c r="BX158" s="54">
        <v>0.52941176470588236</v>
      </c>
      <c r="BY158" s="54">
        <v>0.625</v>
      </c>
      <c r="BZ158" s="12">
        <v>9</v>
      </c>
      <c r="CA158" s="12">
        <v>5</v>
      </c>
      <c r="CB158" s="12">
        <v>3</v>
      </c>
      <c r="CC158" s="12">
        <v>6</v>
      </c>
      <c r="CD158" s="12">
        <v>3</v>
      </c>
      <c r="CE158" s="12">
        <v>0</v>
      </c>
      <c r="CF158" s="12">
        <v>4</v>
      </c>
      <c r="CG158" s="12">
        <v>2</v>
      </c>
      <c r="CH158" s="12">
        <v>0</v>
      </c>
      <c r="CI158" s="12">
        <v>0</v>
      </c>
      <c r="CJ158" s="12">
        <v>0</v>
      </c>
      <c r="CK158" s="12">
        <v>0</v>
      </c>
      <c r="CL158" s="12">
        <v>4</v>
      </c>
      <c r="CM158" s="12">
        <v>1</v>
      </c>
      <c r="CN158" s="12">
        <v>0</v>
      </c>
      <c r="CO158" s="12">
        <v>0</v>
      </c>
      <c r="CP158" s="12">
        <v>2</v>
      </c>
      <c r="CQ158" s="12">
        <v>0</v>
      </c>
      <c r="CR158" s="12">
        <v>4</v>
      </c>
      <c r="CS158" s="12">
        <v>0</v>
      </c>
      <c r="CT158" s="12">
        <v>2</v>
      </c>
      <c r="CU158" s="12">
        <v>0</v>
      </c>
      <c r="CV158" s="12">
        <v>3</v>
      </c>
      <c r="CW158" s="12">
        <v>0</v>
      </c>
      <c r="CX158" s="12">
        <v>12</v>
      </c>
      <c r="CY158" s="12">
        <v>0</v>
      </c>
      <c r="CZ158" s="12">
        <v>3</v>
      </c>
      <c r="DA158" s="12">
        <v>0</v>
      </c>
      <c r="DB158" s="12">
        <v>1</v>
      </c>
      <c r="DC158" s="12">
        <v>1</v>
      </c>
      <c r="DD158" s="12">
        <v>4</v>
      </c>
      <c r="DE158" s="12">
        <v>4</v>
      </c>
      <c r="DF158" s="12">
        <v>20</v>
      </c>
      <c r="DG158" s="12">
        <v>22</v>
      </c>
      <c r="DH158" s="12">
        <v>0</v>
      </c>
      <c r="DI158" s="12">
        <v>0</v>
      </c>
      <c r="DJ158" s="12">
        <v>0</v>
      </c>
      <c r="DK158" s="12">
        <v>0</v>
      </c>
      <c r="DL158" s="12">
        <v>14</v>
      </c>
      <c r="DM158" s="12">
        <v>18</v>
      </c>
      <c r="DN158" s="12">
        <v>4</v>
      </c>
      <c r="DO158" s="12">
        <v>14</v>
      </c>
      <c r="DP158" s="12">
        <v>4</v>
      </c>
      <c r="DQ158" s="12">
        <v>6</v>
      </c>
      <c r="DR158" s="12">
        <v>2</v>
      </c>
      <c r="DS158" s="12">
        <v>4</v>
      </c>
      <c r="DT158" s="12">
        <v>5</v>
      </c>
      <c r="DU158" s="12">
        <v>20</v>
      </c>
      <c r="DV158" s="12">
        <v>0</v>
      </c>
      <c r="DW158" s="12">
        <v>0</v>
      </c>
      <c r="DX158" s="12">
        <v>76</v>
      </c>
      <c r="DY158" s="12">
        <v>21</v>
      </c>
      <c r="DZ158" s="12">
        <v>36</v>
      </c>
      <c r="EA158" s="16">
        <v>0.58333333333333337</v>
      </c>
      <c r="EB158" s="12">
        <v>8</v>
      </c>
      <c r="EC158" s="12">
        <v>29</v>
      </c>
      <c r="ED158" s="16">
        <v>0.27586206896551724</v>
      </c>
      <c r="EE158" s="12">
        <v>29</v>
      </c>
      <c r="EF158" s="12">
        <v>65</v>
      </c>
      <c r="EG158" s="16">
        <v>0.44615384615384618</v>
      </c>
      <c r="EH158" s="12">
        <v>10</v>
      </c>
      <c r="EI158" s="12">
        <v>16</v>
      </c>
      <c r="EJ158" s="16">
        <v>0.625</v>
      </c>
      <c r="EK158" s="12">
        <v>11</v>
      </c>
      <c r="EL158" s="12">
        <v>22</v>
      </c>
      <c r="EM158" s="12">
        <v>33</v>
      </c>
      <c r="EN158" s="12">
        <v>14</v>
      </c>
      <c r="EO158" s="12">
        <v>25</v>
      </c>
      <c r="EP158" s="12">
        <v>17</v>
      </c>
      <c r="EQ158" s="12">
        <v>3</v>
      </c>
      <c r="ER158" s="12">
        <v>11</v>
      </c>
      <c r="ES158" s="12">
        <v>6</v>
      </c>
      <c r="ET158" s="12">
        <v>2</v>
      </c>
      <c r="EU158" s="12">
        <v>69</v>
      </c>
      <c r="EV158" s="12">
        <v>-14</v>
      </c>
      <c r="EW158" s="12">
        <v>71</v>
      </c>
      <c r="EX158" s="12">
        <v>82</v>
      </c>
      <c r="EY158" s="12">
        <v>2</v>
      </c>
      <c r="EZ158" s="12">
        <v>8</v>
      </c>
      <c r="FA158" s="12">
        <v>6</v>
      </c>
      <c r="FB158" s="12">
        <v>0</v>
      </c>
      <c r="FC158" s="12">
        <v>0</v>
      </c>
      <c r="FD158" s="12">
        <v>3</v>
      </c>
      <c r="FE158" s="12">
        <v>1</v>
      </c>
      <c r="FF158" s="12">
        <v>1</v>
      </c>
      <c r="FG158" s="12">
        <v>1</v>
      </c>
      <c r="FH158" s="12">
        <v>2</v>
      </c>
      <c r="FI158" s="12">
        <v>0</v>
      </c>
      <c r="FJ158" s="12">
        <v>0</v>
      </c>
      <c r="FK158" s="12">
        <v>0</v>
      </c>
      <c r="FL158" s="12">
        <v>5</v>
      </c>
      <c r="FM158" s="12">
        <v>0</v>
      </c>
      <c r="FN158" s="12">
        <v>0</v>
      </c>
      <c r="FO158" s="12">
        <v>0</v>
      </c>
      <c r="FP158" s="12">
        <v>1</v>
      </c>
      <c r="FQ158" s="12">
        <v>0</v>
      </c>
      <c r="FR158" s="12">
        <v>6</v>
      </c>
      <c r="FS158" s="12">
        <v>0</v>
      </c>
      <c r="FT158" s="12">
        <v>2</v>
      </c>
      <c r="FU158" s="12">
        <v>1</v>
      </c>
      <c r="FV158" s="12">
        <v>2</v>
      </c>
      <c r="FW158" s="12">
        <v>0</v>
      </c>
      <c r="FX158" s="12">
        <v>11</v>
      </c>
      <c r="FY158" s="12">
        <v>1</v>
      </c>
      <c r="FZ158" s="12">
        <v>0</v>
      </c>
      <c r="GA158" s="12">
        <v>0</v>
      </c>
      <c r="GB158" s="12">
        <v>1</v>
      </c>
      <c r="GC158" s="12">
        <v>1</v>
      </c>
      <c r="GD158" s="12">
        <v>1</v>
      </c>
      <c r="GE158" s="12">
        <v>3</v>
      </c>
      <c r="GF158" s="12">
        <v>8</v>
      </c>
      <c r="GG158" s="12">
        <v>12</v>
      </c>
      <c r="GH158" s="12">
        <v>1</v>
      </c>
      <c r="GI158" s="12">
        <v>0</v>
      </c>
      <c r="GJ158" s="12">
        <v>0</v>
      </c>
      <c r="GK158" s="12">
        <v>0</v>
      </c>
      <c r="GL158" s="12">
        <v>15</v>
      </c>
      <c r="GM158" s="12">
        <v>20</v>
      </c>
      <c r="GN158" s="12">
        <v>2</v>
      </c>
      <c r="GO158" s="12">
        <v>7</v>
      </c>
      <c r="GP158" s="12">
        <v>4</v>
      </c>
      <c r="GQ158" s="12">
        <v>9</v>
      </c>
      <c r="GR158" s="12">
        <v>0</v>
      </c>
      <c r="GS158" s="12">
        <v>3</v>
      </c>
      <c r="GT158" s="12">
        <v>8</v>
      </c>
      <c r="GU158" s="12">
        <v>26</v>
      </c>
      <c r="GV158" s="12">
        <v>0</v>
      </c>
      <c r="GW158" s="12">
        <v>0</v>
      </c>
      <c r="GY158" s="16"/>
    </row>
    <row r="159" spans="2:207" ht="15" customHeight="1" x14ac:dyDescent="0.2">
      <c r="B159" s="12">
        <v>9</v>
      </c>
      <c r="C159" s="12" t="s">
        <v>285</v>
      </c>
      <c r="D159" s="12" t="s">
        <v>294</v>
      </c>
      <c r="E159" s="14" t="s">
        <v>287</v>
      </c>
      <c r="F159" s="14" t="s">
        <v>296</v>
      </c>
      <c r="G159" s="15">
        <v>45247</v>
      </c>
      <c r="H159" s="15" t="s">
        <v>271</v>
      </c>
      <c r="I159" s="12" t="s">
        <v>269</v>
      </c>
      <c r="J159" s="12" t="s">
        <v>272</v>
      </c>
      <c r="K159" s="12">
        <v>200</v>
      </c>
      <c r="L159" s="12">
        <v>76</v>
      </c>
      <c r="M159" s="12">
        <v>21</v>
      </c>
      <c r="N159" s="12">
        <v>36</v>
      </c>
      <c r="O159" s="16">
        <v>0.58333333333333337</v>
      </c>
      <c r="P159" s="12">
        <v>8</v>
      </c>
      <c r="Q159" s="12">
        <v>29</v>
      </c>
      <c r="R159" s="16">
        <v>0.27586206896551724</v>
      </c>
      <c r="S159" s="12">
        <v>29</v>
      </c>
      <c r="T159" s="12">
        <v>65</v>
      </c>
      <c r="U159" s="16">
        <v>0.44615384615384618</v>
      </c>
      <c r="V159" s="12">
        <v>10</v>
      </c>
      <c r="W159" s="12">
        <v>16</v>
      </c>
      <c r="X159" s="16">
        <v>0.625</v>
      </c>
      <c r="Y159" s="12">
        <v>11</v>
      </c>
      <c r="Z159" s="12">
        <v>22</v>
      </c>
      <c r="AA159" s="12">
        <v>33</v>
      </c>
      <c r="AB159" s="12">
        <v>14</v>
      </c>
      <c r="AC159" s="12">
        <v>11</v>
      </c>
      <c r="AD159" s="12">
        <v>3</v>
      </c>
      <c r="AE159" s="12">
        <v>6</v>
      </c>
      <c r="AF159" s="12">
        <v>2</v>
      </c>
      <c r="AG159" s="12">
        <v>25</v>
      </c>
      <c r="AH159" s="12">
        <v>17</v>
      </c>
      <c r="AI159" s="17">
        <v>69</v>
      </c>
      <c r="AJ159" s="12">
        <v>-14</v>
      </c>
      <c r="AK159" s="12">
        <v>71</v>
      </c>
      <c r="AL159" s="12">
        <v>82</v>
      </c>
      <c r="AM159" s="19">
        <v>0.92682926829268297</v>
      </c>
      <c r="AN159" s="19">
        <v>1.1111111111111112</v>
      </c>
      <c r="AO159" s="18">
        <v>107.04225352112675</v>
      </c>
      <c r="AP159" s="18">
        <v>128.57142857142858</v>
      </c>
      <c r="AQ159" s="18">
        <v>-21.529175050301831</v>
      </c>
      <c r="AR159" s="53">
        <v>0.50769230769230766</v>
      </c>
      <c r="AS159" s="53">
        <v>0.53521126760563376</v>
      </c>
      <c r="AT159" s="16">
        <v>0.24390243902439024</v>
      </c>
      <c r="AU159" s="19">
        <v>1.5</v>
      </c>
      <c r="AV159" s="16">
        <v>8.5365853658536592E-2</v>
      </c>
      <c r="AW159" s="19">
        <v>0.5714285714285714</v>
      </c>
      <c r="AX159" s="16">
        <v>0.10975609756097561</v>
      </c>
      <c r="AY159" s="19">
        <v>0.88888888888888884</v>
      </c>
      <c r="AZ159" s="16">
        <v>3.6585365853658534E-2</v>
      </c>
      <c r="BA159" s="19">
        <v>0</v>
      </c>
      <c r="BB159" s="16">
        <v>0.31707317073170732</v>
      </c>
      <c r="BC159" s="21">
        <v>0.92307692307692313</v>
      </c>
      <c r="BD159" s="16">
        <v>7.3170731707317069E-2</v>
      </c>
      <c r="BE159" s="16">
        <v>0.13414634146341464</v>
      </c>
      <c r="BF159" s="16">
        <v>0.41176470588235292</v>
      </c>
      <c r="BG159" s="16">
        <v>0.38095238095238093</v>
      </c>
      <c r="BH159" s="16">
        <v>0.75</v>
      </c>
      <c r="BI159" s="16">
        <v>0</v>
      </c>
      <c r="BJ159" s="16">
        <v>0.17073170731707318</v>
      </c>
      <c r="BK159" s="21">
        <v>1.2727272727272727</v>
      </c>
      <c r="BL159" s="16">
        <v>0.29729729729729731</v>
      </c>
      <c r="BM159" s="16">
        <v>0.5</v>
      </c>
      <c r="BN159" s="16">
        <v>0.25</v>
      </c>
      <c r="BO159" s="16">
        <v>0</v>
      </c>
      <c r="BP159" s="16">
        <v>0.66666666666666663</v>
      </c>
      <c r="BQ159" s="16">
        <v>0.52631578947368418</v>
      </c>
      <c r="BR159" s="16">
        <v>0.73684210526315785</v>
      </c>
      <c r="BS159" s="16" t="s">
        <v>269</v>
      </c>
      <c r="BT159" s="16">
        <v>0.47142857142857142</v>
      </c>
      <c r="BU159" s="16">
        <v>4.2857142857142858E-2</v>
      </c>
      <c r="BV159" s="16">
        <v>9.6774193548387094E-2</v>
      </c>
      <c r="BW159" s="54">
        <v>2</v>
      </c>
      <c r="BX159" s="54">
        <v>0.6</v>
      </c>
      <c r="BY159" s="54">
        <v>0.52941176470588236</v>
      </c>
      <c r="BZ159" s="12">
        <v>8</v>
      </c>
      <c r="CA159" s="12">
        <v>6</v>
      </c>
      <c r="CB159" s="12">
        <v>0</v>
      </c>
      <c r="CC159" s="12">
        <v>0</v>
      </c>
      <c r="CD159" s="12">
        <v>3</v>
      </c>
      <c r="CE159" s="12">
        <v>1</v>
      </c>
      <c r="CF159" s="12">
        <v>1</v>
      </c>
      <c r="CG159" s="12">
        <v>1</v>
      </c>
      <c r="CH159" s="12">
        <v>2</v>
      </c>
      <c r="CI159" s="12">
        <v>0</v>
      </c>
      <c r="CJ159" s="12">
        <v>0</v>
      </c>
      <c r="CK159" s="12">
        <v>0</v>
      </c>
      <c r="CL159" s="12">
        <v>5</v>
      </c>
      <c r="CM159" s="12">
        <v>0</v>
      </c>
      <c r="CN159" s="12">
        <v>0</v>
      </c>
      <c r="CO159" s="12">
        <v>0</v>
      </c>
      <c r="CP159" s="12">
        <v>1</v>
      </c>
      <c r="CQ159" s="12">
        <v>0</v>
      </c>
      <c r="CR159" s="12">
        <v>6</v>
      </c>
      <c r="CS159" s="12">
        <v>0</v>
      </c>
      <c r="CT159" s="12">
        <v>2</v>
      </c>
      <c r="CU159" s="12">
        <v>1</v>
      </c>
      <c r="CV159" s="12">
        <v>2</v>
      </c>
      <c r="CW159" s="12">
        <v>0</v>
      </c>
      <c r="CX159" s="12">
        <v>11</v>
      </c>
      <c r="CY159" s="12">
        <v>1</v>
      </c>
      <c r="CZ159" s="12">
        <v>0</v>
      </c>
      <c r="DA159" s="12">
        <v>0</v>
      </c>
      <c r="DB159" s="12">
        <v>1</v>
      </c>
      <c r="DC159" s="12">
        <v>1</v>
      </c>
      <c r="DD159" s="12">
        <v>1</v>
      </c>
      <c r="DE159" s="12">
        <v>3</v>
      </c>
      <c r="DF159" s="12">
        <v>8</v>
      </c>
      <c r="DG159" s="12">
        <v>12</v>
      </c>
      <c r="DH159" s="12">
        <v>1</v>
      </c>
      <c r="DI159" s="12">
        <v>0</v>
      </c>
      <c r="DJ159" s="12">
        <v>0</v>
      </c>
      <c r="DK159" s="12">
        <v>0</v>
      </c>
      <c r="DL159" s="12">
        <v>15</v>
      </c>
      <c r="DM159" s="12">
        <v>20</v>
      </c>
      <c r="DN159" s="12">
        <v>2</v>
      </c>
      <c r="DO159" s="12">
        <v>7</v>
      </c>
      <c r="DP159" s="12">
        <v>4</v>
      </c>
      <c r="DQ159" s="12">
        <v>9</v>
      </c>
      <c r="DR159" s="12">
        <v>0</v>
      </c>
      <c r="DS159" s="12">
        <v>3</v>
      </c>
      <c r="DT159" s="12">
        <v>8</v>
      </c>
      <c r="DU159" s="12">
        <v>26</v>
      </c>
      <c r="DV159" s="12">
        <v>0</v>
      </c>
      <c r="DW159" s="12">
        <v>0</v>
      </c>
      <c r="DX159" s="12">
        <v>90</v>
      </c>
      <c r="DY159" s="12">
        <v>22</v>
      </c>
      <c r="DZ159" s="12">
        <v>38</v>
      </c>
      <c r="EA159" s="16">
        <v>0.57894736842105265</v>
      </c>
      <c r="EB159" s="12">
        <v>7</v>
      </c>
      <c r="EC159" s="12">
        <v>24</v>
      </c>
      <c r="ED159" s="16">
        <v>0.29166666666666669</v>
      </c>
      <c r="EE159" s="12">
        <v>29</v>
      </c>
      <c r="EF159" s="12">
        <v>62</v>
      </c>
      <c r="EG159" s="16">
        <v>0.46774193548387094</v>
      </c>
      <c r="EH159" s="12">
        <v>25</v>
      </c>
      <c r="EI159" s="12">
        <v>27</v>
      </c>
      <c r="EJ159" s="16">
        <v>0.92592592592592593</v>
      </c>
      <c r="EK159" s="12">
        <v>11</v>
      </c>
      <c r="EL159" s="12">
        <v>26</v>
      </c>
      <c r="EM159" s="12">
        <v>37</v>
      </c>
      <c r="EN159" s="12">
        <v>17</v>
      </c>
      <c r="EO159" s="12">
        <v>18</v>
      </c>
      <c r="EP159" s="12">
        <v>24</v>
      </c>
      <c r="EQ159" s="12">
        <v>8</v>
      </c>
      <c r="ER159" s="12">
        <v>8</v>
      </c>
      <c r="ES159" s="12">
        <v>2</v>
      </c>
      <c r="ET159" s="12">
        <v>6</v>
      </c>
      <c r="EU159" s="12">
        <v>111</v>
      </c>
      <c r="EV159" s="12">
        <v>14</v>
      </c>
      <c r="EW159" s="12">
        <v>70</v>
      </c>
      <c r="EX159" s="12">
        <v>81</v>
      </c>
      <c r="EY159" s="12">
        <v>4</v>
      </c>
      <c r="EZ159" s="12">
        <v>9</v>
      </c>
      <c r="FA159" s="12">
        <v>5</v>
      </c>
      <c r="FB159" s="12">
        <v>3</v>
      </c>
      <c r="FC159" s="12">
        <v>6</v>
      </c>
      <c r="FD159" s="12">
        <v>3</v>
      </c>
      <c r="FE159" s="12">
        <v>0</v>
      </c>
      <c r="FF159" s="12">
        <v>4</v>
      </c>
      <c r="FG159" s="12">
        <v>2</v>
      </c>
      <c r="FH159" s="12">
        <v>0</v>
      </c>
      <c r="FI159" s="12">
        <v>0</v>
      </c>
      <c r="FJ159" s="12">
        <v>0</v>
      </c>
      <c r="FK159" s="12">
        <v>0</v>
      </c>
      <c r="FL159" s="12">
        <v>4</v>
      </c>
      <c r="FM159" s="12">
        <v>1</v>
      </c>
      <c r="FN159" s="12">
        <v>0</v>
      </c>
      <c r="FO159" s="12">
        <v>0</v>
      </c>
      <c r="FP159" s="12">
        <v>2</v>
      </c>
      <c r="FQ159" s="12">
        <v>0</v>
      </c>
      <c r="FR159" s="12">
        <v>4</v>
      </c>
      <c r="FS159" s="12">
        <v>0</v>
      </c>
      <c r="FT159" s="12">
        <v>2</v>
      </c>
      <c r="FU159" s="12">
        <v>0</v>
      </c>
      <c r="FV159" s="12">
        <v>3</v>
      </c>
      <c r="FW159" s="12">
        <v>0</v>
      </c>
      <c r="FX159" s="12">
        <v>12</v>
      </c>
      <c r="FY159" s="12">
        <v>0</v>
      </c>
      <c r="FZ159" s="12">
        <v>3</v>
      </c>
      <c r="GA159" s="12">
        <v>0</v>
      </c>
      <c r="GB159" s="12">
        <v>1</v>
      </c>
      <c r="GC159" s="12">
        <v>1</v>
      </c>
      <c r="GD159" s="12">
        <v>4</v>
      </c>
      <c r="GE159" s="12">
        <v>4</v>
      </c>
      <c r="GF159" s="12">
        <v>20</v>
      </c>
      <c r="GG159" s="12">
        <v>22</v>
      </c>
      <c r="GH159" s="12">
        <v>0</v>
      </c>
      <c r="GI159" s="12">
        <v>0</v>
      </c>
      <c r="GJ159" s="12">
        <v>0</v>
      </c>
      <c r="GK159" s="12">
        <v>0</v>
      </c>
      <c r="GL159" s="12">
        <v>14</v>
      </c>
      <c r="GM159" s="12">
        <v>18</v>
      </c>
      <c r="GN159" s="12">
        <v>4</v>
      </c>
      <c r="GO159" s="12">
        <v>14</v>
      </c>
      <c r="GP159" s="12">
        <v>4</v>
      </c>
      <c r="GQ159" s="12">
        <v>6</v>
      </c>
      <c r="GR159" s="12">
        <v>2</v>
      </c>
      <c r="GS159" s="12">
        <v>4</v>
      </c>
      <c r="GT159" s="12">
        <v>5</v>
      </c>
      <c r="GU159" s="12">
        <v>20</v>
      </c>
      <c r="GV159" s="12">
        <v>0</v>
      </c>
      <c r="GW159" s="12">
        <v>0</v>
      </c>
      <c r="GY159" s="16"/>
    </row>
    <row r="160" spans="2:207" ht="15" customHeight="1" x14ac:dyDescent="0.2">
      <c r="B160" s="12">
        <v>9</v>
      </c>
      <c r="C160" s="12" t="s">
        <v>278</v>
      </c>
      <c r="D160" s="12" t="s">
        <v>93</v>
      </c>
      <c r="E160" s="14" t="s">
        <v>280</v>
      </c>
      <c r="F160" s="14" t="s">
        <v>303</v>
      </c>
      <c r="G160" s="15">
        <v>45247</v>
      </c>
      <c r="H160" s="15" t="s">
        <v>268</v>
      </c>
      <c r="I160" s="12" t="s">
        <v>269</v>
      </c>
      <c r="J160" s="12" t="s">
        <v>270</v>
      </c>
      <c r="K160" s="12">
        <v>200</v>
      </c>
      <c r="L160" s="12">
        <v>74</v>
      </c>
      <c r="M160" s="12">
        <v>21</v>
      </c>
      <c r="N160" s="12">
        <v>36</v>
      </c>
      <c r="O160" s="16">
        <v>0.58333333333333337</v>
      </c>
      <c r="P160" s="12">
        <v>5</v>
      </c>
      <c r="Q160" s="12">
        <v>30</v>
      </c>
      <c r="R160" s="16">
        <v>0.16666666666666666</v>
      </c>
      <c r="S160" s="12">
        <v>26</v>
      </c>
      <c r="T160" s="12">
        <v>66</v>
      </c>
      <c r="U160" s="16">
        <v>0.39393939393939392</v>
      </c>
      <c r="V160" s="12">
        <v>17</v>
      </c>
      <c r="W160" s="12">
        <v>21</v>
      </c>
      <c r="X160" s="16">
        <v>0.80952380952380953</v>
      </c>
      <c r="Y160" s="12">
        <v>15</v>
      </c>
      <c r="Z160" s="12">
        <v>28</v>
      </c>
      <c r="AA160" s="12">
        <v>43</v>
      </c>
      <c r="AB160" s="12">
        <v>17</v>
      </c>
      <c r="AC160" s="12">
        <v>8</v>
      </c>
      <c r="AD160" s="12">
        <v>5</v>
      </c>
      <c r="AE160" s="12">
        <v>4</v>
      </c>
      <c r="AF160" s="12">
        <v>0</v>
      </c>
      <c r="AG160" s="12">
        <v>22</v>
      </c>
      <c r="AH160" s="12">
        <v>23</v>
      </c>
      <c r="AI160" s="17">
        <v>92</v>
      </c>
      <c r="AJ160" s="12">
        <v>4</v>
      </c>
      <c r="AK160" s="12">
        <v>68</v>
      </c>
      <c r="AL160" s="12">
        <v>83</v>
      </c>
      <c r="AM160" s="19">
        <v>0.89156626506024095</v>
      </c>
      <c r="AN160" s="19">
        <v>0.85365853658536583</v>
      </c>
      <c r="AO160" s="18">
        <v>108.8235294117647</v>
      </c>
      <c r="AP160" s="18">
        <v>104.4776119402985</v>
      </c>
      <c r="AQ160" s="18">
        <v>4.3459174714661941</v>
      </c>
      <c r="AR160" s="53">
        <v>0.43181818181818182</v>
      </c>
      <c r="AS160" s="53">
        <v>0.49333333333333335</v>
      </c>
      <c r="AT160" s="16">
        <v>7.2289156626506021E-2</v>
      </c>
      <c r="AU160" s="19">
        <v>1.6666666666666667</v>
      </c>
      <c r="AV160" s="16">
        <v>0.3493975903614458</v>
      </c>
      <c r="AW160" s="19">
        <v>1.0344827586206897</v>
      </c>
      <c r="AX160" s="16">
        <v>1.2048192771084338E-2</v>
      </c>
      <c r="AY160" s="19">
        <v>2</v>
      </c>
      <c r="AZ160" s="16">
        <v>0</v>
      </c>
      <c r="BA160" s="19" t="s">
        <v>269</v>
      </c>
      <c r="BB160" s="16">
        <v>0.3493975903614458</v>
      </c>
      <c r="BC160" s="21">
        <v>0.51724137931034486</v>
      </c>
      <c r="BD160" s="16">
        <v>0.10843373493975904</v>
      </c>
      <c r="BE160" s="16">
        <v>9.6385542168674704E-2</v>
      </c>
      <c r="BF160" s="16">
        <v>0.48571428571428571</v>
      </c>
      <c r="BG160" s="16">
        <v>0.5714285714285714</v>
      </c>
      <c r="BH160" s="16">
        <v>1</v>
      </c>
      <c r="BI160" s="16">
        <v>0</v>
      </c>
      <c r="BJ160" s="16">
        <v>0.20481927710843373</v>
      </c>
      <c r="BK160" s="21">
        <v>2.125</v>
      </c>
      <c r="BL160" s="16">
        <v>0.38461538461538464</v>
      </c>
      <c r="BM160" s="16">
        <v>0.375</v>
      </c>
      <c r="BN160" s="16">
        <v>0.44444444444444442</v>
      </c>
      <c r="BO160" s="16">
        <v>0</v>
      </c>
      <c r="BP160" s="16">
        <v>0.65116279069767447</v>
      </c>
      <c r="BQ160" s="16">
        <v>0.58064516129032262</v>
      </c>
      <c r="BR160" s="16">
        <v>0.54545454545454541</v>
      </c>
      <c r="BS160" s="16">
        <v>0.7142857142857143</v>
      </c>
      <c r="BT160" s="16">
        <v>0.52439024390243905</v>
      </c>
      <c r="BU160" s="16">
        <v>7.4626865671641784E-2</v>
      </c>
      <c r="BV160" s="16">
        <v>6.25E-2</v>
      </c>
      <c r="BW160" s="54">
        <v>5</v>
      </c>
      <c r="BX160" s="54">
        <v>0.45454545454545453</v>
      </c>
      <c r="BY160" s="54">
        <v>0.52173913043478259</v>
      </c>
      <c r="BZ160" s="12">
        <v>12</v>
      </c>
      <c r="CA160" s="12">
        <v>5</v>
      </c>
      <c r="CB160" s="12">
        <v>0</v>
      </c>
      <c r="CC160" s="12">
        <v>0</v>
      </c>
      <c r="CD160" s="12">
        <v>1</v>
      </c>
      <c r="CE160" s="12">
        <v>0</v>
      </c>
      <c r="CF160" s="12">
        <v>4</v>
      </c>
      <c r="CG160" s="12">
        <v>1</v>
      </c>
      <c r="CH160" s="12">
        <v>0</v>
      </c>
      <c r="CI160" s="12">
        <v>0</v>
      </c>
      <c r="CJ160" s="12">
        <v>0</v>
      </c>
      <c r="CK160" s="12">
        <v>0</v>
      </c>
      <c r="CL160" s="12">
        <v>10</v>
      </c>
      <c r="CM160" s="12">
        <v>2</v>
      </c>
      <c r="CN160" s="12">
        <v>0</v>
      </c>
      <c r="CO160" s="12">
        <v>0</v>
      </c>
      <c r="CP160" s="12">
        <v>0</v>
      </c>
      <c r="CQ160" s="12">
        <v>0</v>
      </c>
      <c r="CR160" s="12">
        <v>15</v>
      </c>
      <c r="CS160" s="12">
        <v>1</v>
      </c>
      <c r="CT160" s="12">
        <v>2</v>
      </c>
      <c r="CU160" s="12">
        <v>0</v>
      </c>
      <c r="CV160" s="12">
        <v>0</v>
      </c>
      <c r="CW160" s="12">
        <v>0</v>
      </c>
      <c r="CX160" s="12">
        <v>6</v>
      </c>
      <c r="CY160" s="12">
        <v>0</v>
      </c>
      <c r="CZ160" s="12">
        <v>4</v>
      </c>
      <c r="DA160" s="12">
        <v>1</v>
      </c>
      <c r="DB160" s="12">
        <v>0</v>
      </c>
      <c r="DC160" s="12">
        <v>0</v>
      </c>
      <c r="DD160" s="12">
        <v>2</v>
      </c>
      <c r="DE160" s="12">
        <v>3</v>
      </c>
      <c r="DF160" s="12">
        <v>15</v>
      </c>
      <c r="DG160" s="12">
        <v>18</v>
      </c>
      <c r="DH160" s="12">
        <v>0</v>
      </c>
      <c r="DI160" s="12">
        <v>0</v>
      </c>
      <c r="DJ160" s="12">
        <v>0</v>
      </c>
      <c r="DK160" s="12">
        <v>0</v>
      </c>
      <c r="DL160" s="12">
        <v>5</v>
      </c>
      <c r="DM160" s="12">
        <v>6</v>
      </c>
      <c r="DN160" s="12">
        <v>15</v>
      </c>
      <c r="DO160" s="12">
        <v>29</v>
      </c>
      <c r="DP160" s="12">
        <v>1</v>
      </c>
      <c r="DQ160" s="12">
        <v>1</v>
      </c>
      <c r="DR160" s="12">
        <v>0</v>
      </c>
      <c r="DS160" s="12">
        <v>0</v>
      </c>
      <c r="DT160" s="12">
        <v>5</v>
      </c>
      <c r="DU160" s="12">
        <v>29</v>
      </c>
      <c r="DV160" s="12">
        <v>0</v>
      </c>
      <c r="DW160" s="12">
        <v>1</v>
      </c>
      <c r="DX160" s="12">
        <v>70</v>
      </c>
      <c r="DY160" s="12">
        <v>21</v>
      </c>
      <c r="DZ160" s="12">
        <v>48</v>
      </c>
      <c r="EA160" s="16">
        <v>0.4375</v>
      </c>
      <c r="EB160" s="12">
        <v>6</v>
      </c>
      <c r="EC160" s="12">
        <v>16</v>
      </c>
      <c r="ED160" s="16">
        <v>0.375</v>
      </c>
      <c r="EE160" s="12">
        <v>27</v>
      </c>
      <c r="EF160" s="12">
        <v>64</v>
      </c>
      <c r="EG160" s="16">
        <v>0.421875</v>
      </c>
      <c r="EH160" s="12">
        <v>10</v>
      </c>
      <c r="EI160" s="12">
        <v>17</v>
      </c>
      <c r="EJ160" s="16">
        <v>0.58823529411764708</v>
      </c>
      <c r="EK160" s="12">
        <v>15</v>
      </c>
      <c r="EL160" s="12">
        <v>24</v>
      </c>
      <c r="EM160" s="12">
        <v>39</v>
      </c>
      <c r="EN160" s="12">
        <v>8</v>
      </c>
      <c r="EO160" s="12">
        <v>23</v>
      </c>
      <c r="EP160" s="12">
        <v>22</v>
      </c>
      <c r="EQ160" s="12">
        <v>4</v>
      </c>
      <c r="ER160" s="12">
        <v>12</v>
      </c>
      <c r="ES160" s="12">
        <v>0</v>
      </c>
      <c r="ET160" s="12">
        <v>4</v>
      </c>
      <c r="EU160" s="12">
        <v>60</v>
      </c>
      <c r="EV160" s="12">
        <v>-4</v>
      </c>
      <c r="EW160" s="12">
        <v>67</v>
      </c>
      <c r="EX160" s="12">
        <v>82</v>
      </c>
      <c r="EY160" s="12">
        <v>5</v>
      </c>
      <c r="EZ160" s="12">
        <v>3</v>
      </c>
      <c r="FA160" s="12">
        <v>4</v>
      </c>
      <c r="FB160" s="12">
        <v>1</v>
      </c>
      <c r="FC160" s="12">
        <v>0</v>
      </c>
      <c r="FD160" s="12">
        <v>0</v>
      </c>
      <c r="FE160" s="12">
        <v>0</v>
      </c>
      <c r="FF160" s="12">
        <v>10</v>
      </c>
      <c r="FG160" s="12">
        <v>3</v>
      </c>
      <c r="FH160" s="12">
        <v>0</v>
      </c>
      <c r="FI160" s="12">
        <v>0</v>
      </c>
      <c r="FJ160" s="12">
        <v>0</v>
      </c>
      <c r="FK160" s="12">
        <v>0</v>
      </c>
      <c r="FL160" s="12">
        <v>4</v>
      </c>
      <c r="FM160" s="12">
        <v>1</v>
      </c>
      <c r="FN160" s="12">
        <v>1</v>
      </c>
      <c r="FO160" s="12">
        <v>1</v>
      </c>
      <c r="FP160" s="12">
        <v>0</v>
      </c>
      <c r="FQ160" s="12">
        <v>0</v>
      </c>
      <c r="FR160" s="12">
        <v>9</v>
      </c>
      <c r="FS160" s="12">
        <v>1</v>
      </c>
      <c r="FT160" s="12">
        <v>0</v>
      </c>
      <c r="FU160" s="12">
        <v>0</v>
      </c>
      <c r="FV160" s="12">
        <v>0</v>
      </c>
      <c r="FW160" s="12">
        <v>0</v>
      </c>
      <c r="FX160" s="12">
        <v>14</v>
      </c>
      <c r="FY160" s="12">
        <v>1</v>
      </c>
      <c r="FZ160" s="12">
        <v>1</v>
      </c>
      <c r="GA160" s="12">
        <v>0</v>
      </c>
      <c r="GB160" s="12">
        <v>0</v>
      </c>
      <c r="GC160" s="12">
        <v>0</v>
      </c>
      <c r="GD160" s="12">
        <v>1</v>
      </c>
      <c r="GE160" s="12">
        <v>4</v>
      </c>
      <c r="GF160" s="12">
        <v>6</v>
      </c>
      <c r="GG160" s="12">
        <v>10</v>
      </c>
      <c r="GH160" s="12">
        <v>0</v>
      </c>
      <c r="GI160" s="12">
        <v>3</v>
      </c>
      <c r="GJ160" s="12">
        <v>3</v>
      </c>
      <c r="GK160" s="12">
        <v>0</v>
      </c>
      <c r="GL160" s="12">
        <v>3</v>
      </c>
      <c r="GM160" s="12">
        <v>3</v>
      </c>
      <c r="GN160" s="12">
        <v>18</v>
      </c>
      <c r="GO160" s="12">
        <v>43</v>
      </c>
      <c r="GP160" s="12">
        <v>0</v>
      </c>
      <c r="GQ160" s="12">
        <v>2</v>
      </c>
      <c r="GR160" s="12">
        <v>0</v>
      </c>
      <c r="GS160" s="12">
        <v>0</v>
      </c>
      <c r="GT160" s="12">
        <v>6</v>
      </c>
      <c r="GU160" s="12">
        <v>16</v>
      </c>
      <c r="GV160" s="12">
        <v>0</v>
      </c>
      <c r="GW160" s="12">
        <v>0</v>
      </c>
      <c r="GY160" s="16"/>
    </row>
    <row r="161" spans="2:207" ht="15" customHeight="1" x14ac:dyDescent="0.2">
      <c r="B161" s="12">
        <v>9</v>
      </c>
      <c r="C161" s="12" t="s">
        <v>93</v>
      </c>
      <c r="D161" s="12" t="s">
        <v>278</v>
      </c>
      <c r="E161" s="14" t="s">
        <v>303</v>
      </c>
      <c r="F161" s="14" t="s">
        <v>280</v>
      </c>
      <c r="G161" s="15">
        <v>45247</v>
      </c>
      <c r="H161" s="15" t="s">
        <v>271</v>
      </c>
      <c r="I161" s="12" t="s">
        <v>269</v>
      </c>
      <c r="J161" s="12" t="s">
        <v>272</v>
      </c>
      <c r="K161" s="12">
        <v>200</v>
      </c>
      <c r="L161" s="12">
        <v>70</v>
      </c>
      <c r="M161" s="12">
        <v>21</v>
      </c>
      <c r="N161" s="12">
        <v>48</v>
      </c>
      <c r="O161" s="16">
        <v>0.4375</v>
      </c>
      <c r="P161" s="12">
        <v>6</v>
      </c>
      <c r="Q161" s="12">
        <v>16</v>
      </c>
      <c r="R161" s="16">
        <v>0.375</v>
      </c>
      <c r="S161" s="12">
        <v>27</v>
      </c>
      <c r="T161" s="12">
        <v>64</v>
      </c>
      <c r="U161" s="16">
        <v>0.421875</v>
      </c>
      <c r="V161" s="12">
        <v>10</v>
      </c>
      <c r="W161" s="12">
        <v>17</v>
      </c>
      <c r="X161" s="16">
        <v>0.58823529411764708</v>
      </c>
      <c r="Y161" s="12">
        <v>15</v>
      </c>
      <c r="Z161" s="12">
        <v>24</v>
      </c>
      <c r="AA161" s="12">
        <v>39</v>
      </c>
      <c r="AB161" s="12">
        <v>8</v>
      </c>
      <c r="AC161" s="12">
        <v>12</v>
      </c>
      <c r="AD161" s="12">
        <v>4</v>
      </c>
      <c r="AE161" s="12">
        <v>0</v>
      </c>
      <c r="AF161" s="12">
        <v>4</v>
      </c>
      <c r="AG161" s="12">
        <v>23</v>
      </c>
      <c r="AH161" s="12">
        <v>22</v>
      </c>
      <c r="AI161" s="17">
        <v>60</v>
      </c>
      <c r="AJ161" s="12">
        <v>-4</v>
      </c>
      <c r="AK161" s="12">
        <v>67</v>
      </c>
      <c r="AL161" s="12">
        <v>82</v>
      </c>
      <c r="AM161" s="19">
        <v>0.85365853658536583</v>
      </c>
      <c r="AN161" s="19">
        <v>0.89156626506024095</v>
      </c>
      <c r="AO161" s="18">
        <v>104.4776119402985</v>
      </c>
      <c r="AP161" s="18">
        <v>108.8235294117647</v>
      </c>
      <c r="AQ161" s="18">
        <v>-4.3459174714661941</v>
      </c>
      <c r="AR161" s="53">
        <v>0.46875</v>
      </c>
      <c r="AS161" s="53">
        <v>0.5</v>
      </c>
      <c r="AT161" s="16">
        <v>3.6585365853658534E-2</v>
      </c>
      <c r="AU161" s="19">
        <v>2</v>
      </c>
      <c r="AV161" s="16">
        <v>0.52439024390243905</v>
      </c>
      <c r="AW161" s="19">
        <v>0.83720930232558144</v>
      </c>
      <c r="AX161" s="16">
        <v>2.4390243902439025E-2</v>
      </c>
      <c r="AY161" s="19">
        <v>0</v>
      </c>
      <c r="AZ161" s="16">
        <v>0</v>
      </c>
      <c r="BA161" s="19" t="s">
        <v>269</v>
      </c>
      <c r="BB161" s="16">
        <v>0.1951219512195122</v>
      </c>
      <c r="BC161" s="21">
        <v>1.125</v>
      </c>
      <c r="BD161" s="16">
        <v>7.3170731707317069E-2</v>
      </c>
      <c r="BE161" s="16">
        <v>0.14634146341463414</v>
      </c>
      <c r="BF161" s="16">
        <v>0.24242424242424243</v>
      </c>
      <c r="BG161" s="16">
        <v>0.14285714285714285</v>
      </c>
      <c r="BH161" s="16">
        <v>0.66666666666666663</v>
      </c>
      <c r="BI161" s="16">
        <v>0.16666666666666666</v>
      </c>
      <c r="BJ161" s="16">
        <v>9.7560975609756101E-2</v>
      </c>
      <c r="BK161" s="21">
        <v>0.66666666666666663</v>
      </c>
      <c r="BL161" s="16">
        <v>0.34883720930232559</v>
      </c>
      <c r="BM161" s="16">
        <v>0.41935483870967744</v>
      </c>
      <c r="BN161" s="16">
        <v>0.45454545454545453</v>
      </c>
      <c r="BO161" s="16">
        <v>0.2857142857142857</v>
      </c>
      <c r="BP161" s="16">
        <v>0.61538461538461542</v>
      </c>
      <c r="BQ161" s="16">
        <v>0.625</v>
      </c>
      <c r="BR161" s="16">
        <v>0.55555555555555558</v>
      </c>
      <c r="BS161" s="16">
        <v>1</v>
      </c>
      <c r="BT161" s="16">
        <v>0.47560975609756095</v>
      </c>
      <c r="BU161" s="16">
        <v>5.8823529411764705E-2</v>
      </c>
      <c r="BV161" s="16">
        <v>0</v>
      </c>
      <c r="BW161" s="54">
        <v>5</v>
      </c>
      <c r="BX161" s="54">
        <v>0.52173913043478259</v>
      </c>
      <c r="BY161" s="54">
        <v>0.45454545454545453</v>
      </c>
      <c r="BZ161" s="12">
        <v>3</v>
      </c>
      <c r="CA161" s="12">
        <v>4</v>
      </c>
      <c r="CB161" s="12">
        <v>1</v>
      </c>
      <c r="CC161" s="12">
        <v>0</v>
      </c>
      <c r="CD161" s="12">
        <v>0</v>
      </c>
      <c r="CE161" s="12">
        <v>0</v>
      </c>
      <c r="CF161" s="12">
        <v>10</v>
      </c>
      <c r="CG161" s="12">
        <v>3</v>
      </c>
      <c r="CH161" s="12">
        <v>0</v>
      </c>
      <c r="CI161" s="12">
        <v>0</v>
      </c>
      <c r="CJ161" s="12">
        <v>0</v>
      </c>
      <c r="CK161" s="12">
        <v>0</v>
      </c>
      <c r="CL161" s="12">
        <v>4</v>
      </c>
      <c r="CM161" s="12">
        <v>1</v>
      </c>
      <c r="CN161" s="12">
        <v>1</v>
      </c>
      <c r="CO161" s="12">
        <v>1</v>
      </c>
      <c r="CP161" s="12">
        <v>0</v>
      </c>
      <c r="CQ161" s="12">
        <v>0</v>
      </c>
      <c r="CR161" s="12">
        <v>9</v>
      </c>
      <c r="CS161" s="12">
        <v>1</v>
      </c>
      <c r="CT161" s="12">
        <v>0</v>
      </c>
      <c r="CU161" s="12">
        <v>0</v>
      </c>
      <c r="CV161" s="12">
        <v>0</v>
      </c>
      <c r="CW161" s="12">
        <v>0</v>
      </c>
      <c r="CX161" s="12">
        <v>14</v>
      </c>
      <c r="CY161" s="12">
        <v>1</v>
      </c>
      <c r="CZ161" s="12">
        <v>1</v>
      </c>
      <c r="DA161" s="12">
        <v>0</v>
      </c>
      <c r="DB161" s="12">
        <v>0</v>
      </c>
      <c r="DC161" s="12">
        <v>0</v>
      </c>
      <c r="DD161" s="12">
        <v>1</v>
      </c>
      <c r="DE161" s="12">
        <v>4</v>
      </c>
      <c r="DF161" s="12">
        <v>6</v>
      </c>
      <c r="DG161" s="12">
        <v>10</v>
      </c>
      <c r="DH161" s="12">
        <v>0</v>
      </c>
      <c r="DI161" s="12">
        <v>3</v>
      </c>
      <c r="DJ161" s="12">
        <v>3</v>
      </c>
      <c r="DK161" s="12">
        <v>0</v>
      </c>
      <c r="DL161" s="12">
        <v>3</v>
      </c>
      <c r="DM161" s="12">
        <v>3</v>
      </c>
      <c r="DN161" s="12">
        <v>18</v>
      </c>
      <c r="DO161" s="12">
        <v>43</v>
      </c>
      <c r="DP161" s="12">
        <v>0</v>
      </c>
      <c r="DQ161" s="12">
        <v>2</v>
      </c>
      <c r="DR161" s="12">
        <v>0</v>
      </c>
      <c r="DS161" s="12">
        <v>0</v>
      </c>
      <c r="DT161" s="12">
        <v>6</v>
      </c>
      <c r="DU161" s="12">
        <v>16</v>
      </c>
      <c r="DV161" s="12">
        <v>0</v>
      </c>
      <c r="DW161" s="12">
        <v>0</v>
      </c>
      <c r="DX161" s="12">
        <v>74</v>
      </c>
      <c r="DY161" s="12">
        <v>21</v>
      </c>
      <c r="DZ161" s="12">
        <v>36</v>
      </c>
      <c r="EA161" s="16">
        <v>0.58333333333333337</v>
      </c>
      <c r="EB161" s="12">
        <v>5</v>
      </c>
      <c r="EC161" s="12">
        <v>30</v>
      </c>
      <c r="ED161" s="16">
        <v>0.16666666666666666</v>
      </c>
      <c r="EE161" s="12">
        <v>26</v>
      </c>
      <c r="EF161" s="12">
        <v>66</v>
      </c>
      <c r="EG161" s="16">
        <v>0.39393939393939392</v>
      </c>
      <c r="EH161" s="12">
        <v>17</v>
      </c>
      <c r="EI161" s="12">
        <v>21</v>
      </c>
      <c r="EJ161" s="16">
        <v>0.80952380952380953</v>
      </c>
      <c r="EK161" s="12">
        <v>15</v>
      </c>
      <c r="EL161" s="12">
        <v>28</v>
      </c>
      <c r="EM161" s="12">
        <v>43</v>
      </c>
      <c r="EN161" s="12">
        <v>17</v>
      </c>
      <c r="EO161" s="12">
        <v>22</v>
      </c>
      <c r="EP161" s="12">
        <v>23</v>
      </c>
      <c r="EQ161" s="12">
        <v>5</v>
      </c>
      <c r="ER161" s="12">
        <v>8</v>
      </c>
      <c r="ES161" s="12">
        <v>4</v>
      </c>
      <c r="ET161" s="12">
        <v>0</v>
      </c>
      <c r="EU161" s="12">
        <v>92</v>
      </c>
      <c r="EV161" s="12">
        <v>4</v>
      </c>
      <c r="EW161" s="12">
        <v>68</v>
      </c>
      <c r="EX161" s="12">
        <v>83</v>
      </c>
      <c r="EY161" s="12">
        <v>5</v>
      </c>
      <c r="EZ161" s="12">
        <v>12</v>
      </c>
      <c r="FA161" s="12">
        <v>5</v>
      </c>
      <c r="FB161" s="12">
        <v>0</v>
      </c>
      <c r="FC161" s="12">
        <v>0</v>
      </c>
      <c r="FD161" s="12">
        <v>1</v>
      </c>
      <c r="FE161" s="12">
        <v>0</v>
      </c>
      <c r="FF161" s="12">
        <v>4</v>
      </c>
      <c r="FG161" s="12">
        <v>1</v>
      </c>
      <c r="FH161" s="12">
        <v>0</v>
      </c>
      <c r="FI161" s="12">
        <v>0</v>
      </c>
      <c r="FJ161" s="12">
        <v>0</v>
      </c>
      <c r="FK161" s="12">
        <v>0</v>
      </c>
      <c r="FL161" s="12">
        <v>10</v>
      </c>
      <c r="FM161" s="12">
        <v>2</v>
      </c>
      <c r="FN161" s="12">
        <v>0</v>
      </c>
      <c r="FO161" s="12">
        <v>0</v>
      </c>
      <c r="FP161" s="12">
        <v>0</v>
      </c>
      <c r="FQ161" s="12">
        <v>0</v>
      </c>
      <c r="FR161" s="12">
        <v>15</v>
      </c>
      <c r="FS161" s="12">
        <v>1</v>
      </c>
      <c r="FT161" s="12">
        <v>2</v>
      </c>
      <c r="FU161" s="12">
        <v>0</v>
      </c>
      <c r="FV161" s="12">
        <v>0</v>
      </c>
      <c r="FW161" s="12">
        <v>0</v>
      </c>
      <c r="FX161" s="12">
        <v>6</v>
      </c>
      <c r="FY161" s="12">
        <v>0</v>
      </c>
      <c r="FZ161" s="12">
        <v>4</v>
      </c>
      <c r="GA161" s="12">
        <v>1</v>
      </c>
      <c r="GB161" s="12">
        <v>0</v>
      </c>
      <c r="GC161" s="12">
        <v>0</v>
      </c>
      <c r="GD161" s="12">
        <v>2</v>
      </c>
      <c r="GE161" s="12">
        <v>3</v>
      </c>
      <c r="GF161" s="12">
        <v>15</v>
      </c>
      <c r="GG161" s="12">
        <v>18</v>
      </c>
      <c r="GH161" s="12">
        <v>0</v>
      </c>
      <c r="GI161" s="12">
        <v>0</v>
      </c>
      <c r="GJ161" s="12">
        <v>0</v>
      </c>
      <c r="GK161" s="12">
        <v>0</v>
      </c>
      <c r="GL161" s="12">
        <v>5</v>
      </c>
      <c r="GM161" s="12">
        <v>6</v>
      </c>
      <c r="GN161" s="12">
        <v>15</v>
      </c>
      <c r="GO161" s="12">
        <v>29</v>
      </c>
      <c r="GP161" s="12">
        <v>1</v>
      </c>
      <c r="GQ161" s="12">
        <v>1</v>
      </c>
      <c r="GR161" s="12">
        <v>0</v>
      </c>
      <c r="GS161" s="12">
        <v>0</v>
      </c>
      <c r="GT161" s="12">
        <v>5</v>
      </c>
      <c r="GU161" s="12">
        <v>29</v>
      </c>
      <c r="GV161" s="12">
        <v>0</v>
      </c>
      <c r="GW161" s="12">
        <v>1</v>
      </c>
      <c r="GY161" s="16"/>
    </row>
    <row r="162" spans="2:207" ht="15" customHeight="1" x14ac:dyDescent="0.2">
      <c r="B162" s="12">
        <v>9</v>
      </c>
      <c r="C162" s="12" t="s">
        <v>281</v>
      </c>
      <c r="D162" s="12" t="s">
        <v>274</v>
      </c>
      <c r="E162" s="14" t="s">
        <v>283</v>
      </c>
      <c r="F162" s="14" t="s">
        <v>276</v>
      </c>
      <c r="G162" s="15">
        <v>45247</v>
      </c>
      <c r="H162" s="15" t="s">
        <v>271</v>
      </c>
      <c r="I162" s="12" t="s">
        <v>269</v>
      </c>
      <c r="J162" s="12" t="s">
        <v>272</v>
      </c>
      <c r="K162" s="12">
        <v>200</v>
      </c>
      <c r="L162" s="12">
        <v>74</v>
      </c>
      <c r="M162" s="12">
        <v>16</v>
      </c>
      <c r="N162" s="12">
        <v>30</v>
      </c>
      <c r="O162" s="16">
        <v>0.53333333333333333</v>
      </c>
      <c r="P162" s="12">
        <v>8</v>
      </c>
      <c r="Q162" s="12">
        <v>27</v>
      </c>
      <c r="R162" s="16">
        <v>0.29629629629629628</v>
      </c>
      <c r="S162" s="12">
        <v>24</v>
      </c>
      <c r="T162" s="12">
        <v>57</v>
      </c>
      <c r="U162" s="16">
        <v>0.42105263157894735</v>
      </c>
      <c r="V162" s="12">
        <v>18</v>
      </c>
      <c r="W162" s="12">
        <v>21</v>
      </c>
      <c r="X162" s="16">
        <v>0.8571428571428571</v>
      </c>
      <c r="Y162" s="12">
        <v>11</v>
      </c>
      <c r="Z162" s="12">
        <v>18</v>
      </c>
      <c r="AA162" s="12">
        <v>29</v>
      </c>
      <c r="AB162" s="12">
        <v>19</v>
      </c>
      <c r="AC162" s="12">
        <v>17</v>
      </c>
      <c r="AD162" s="12">
        <v>5</v>
      </c>
      <c r="AE162" s="12">
        <v>0</v>
      </c>
      <c r="AF162" s="12">
        <v>3</v>
      </c>
      <c r="AG162" s="12">
        <v>19</v>
      </c>
      <c r="AH162" s="12">
        <v>17</v>
      </c>
      <c r="AI162" s="17">
        <v>69</v>
      </c>
      <c r="AJ162" s="12">
        <v>-15</v>
      </c>
      <c r="AK162" s="12">
        <v>71</v>
      </c>
      <c r="AL162" s="12">
        <v>84</v>
      </c>
      <c r="AM162" s="19">
        <v>0.88095238095238093</v>
      </c>
      <c r="AN162" s="19">
        <v>1.1125</v>
      </c>
      <c r="AO162" s="18">
        <v>104.22535211267605</v>
      </c>
      <c r="AP162" s="18">
        <v>127.14285714285714</v>
      </c>
      <c r="AQ162" s="18">
        <v>-22.91750503018109</v>
      </c>
      <c r="AR162" s="53">
        <v>0.49122807017543857</v>
      </c>
      <c r="AS162" s="53">
        <v>0.55223880597014929</v>
      </c>
      <c r="AT162" s="16">
        <v>0.11904761904761904</v>
      </c>
      <c r="AU162" s="19">
        <v>2</v>
      </c>
      <c r="AV162" s="16">
        <v>0.17857142857142858</v>
      </c>
      <c r="AW162" s="19">
        <v>0.66666666666666663</v>
      </c>
      <c r="AX162" s="16">
        <v>5.9523809523809521E-2</v>
      </c>
      <c r="AY162" s="19">
        <v>0.4</v>
      </c>
      <c r="AZ162" s="16">
        <v>3.5714285714285712E-2</v>
      </c>
      <c r="BA162" s="19">
        <v>2</v>
      </c>
      <c r="BB162" s="16">
        <v>0.2857142857142857</v>
      </c>
      <c r="BC162" s="21">
        <v>0.75</v>
      </c>
      <c r="BD162" s="16">
        <v>0.11904761904761904</v>
      </c>
      <c r="BE162" s="16">
        <v>0.2073170731707317</v>
      </c>
      <c r="BF162" s="16">
        <v>0.5757575757575758</v>
      </c>
      <c r="BG162" s="16">
        <v>0.5</v>
      </c>
      <c r="BH162" s="16">
        <v>0.875</v>
      </c>
      <c r="BI162" s="16">
        <v>0.44444444444444442</v>
      </c>
      <c r="BJ162" s="16">
        <v>0.23170731707317074</v>
      </c>
      <c r="BK162" s="21">
        <v>1.1176470588235294</v>
      </c>
      <c r="BL162" s="16">
        <v>0.34375</v>
      </c>
      <c r="BM162" s="16">
        <v>0.41176470588235292</v>
      </c>
      <c r="BN162" s="16">
        <v>0.23809523809523808</v>
      </c>
      <c r="BO162" s="16">
        <v>0.66666666666666663</v>
      </c>
      <c r="BP162" s="16">
        <v>0.69230769230769229</v>
      </c>
      <c r="BQ162" s="16">
        <v>0.75</v>
      </c>
      <c r="BR162" s="16">
        <v>0.68421052631578949</v>
      </c>
      <c r="BS162" s="16" t="s">
        <v>269</v>
      </c>
      <c r="BT162" s="16">
        <v>0.5</v>
      </c>
      <c r="BU162" s="16">
        <v>7.1428571428571425E-2</v>
      </c>
      <c r="BV162" s="16">
        <v>0</v>
      </c>
      <c r="BW162" s="54">
        <v>2</v>
      </c>
      <c r="BX162" s="54">
        <v>0.52631578947368418</v>
      </c>
      <c r="BY162" s="54">
        <v>0.6470588235294118</v>
      </c>
      <c r="BZ162" s="12">
        <v>8</v>
      </c>
      <c r="CA162" s="12">
        <v>7</v>
      </c>
      <c r="CB162" s="12">
        <v>4</v>
      </c>
      <c r="CC162" s="12">
        <v>6</v>
      </c>
      <c r="CD162" s="12">
        <v>0</v>
      </c>
      <c r="CE162" s="12">
        <v>0</v>
      </c>
      <c r="CF162" s="12">
        <v>5</v>
      </c>
      <c r="CG162" s="12">
        <v>2</v>
      </c>
      <c r="CH162" s="12">
        <v>0</v>
      </c>
      <c r="CI162" s="12">
        <v>0</v>
      </c>
      <c r="CJ162" s="12">
        <v>0</v>
      </c>
      <c r="CK162" s="12">
        <v>0</v>
      </c>
      <c r="CL162" s="12">
        <v>5</v>
      </c>
      <c r="CM162" s="12">
        <v>0</v>
      </c>
      <c r="CN162" s="12">
        <v>1</v>
      </c>
      <c r="CO162" s="12">
        <v>1</v>
      </c>
      <c r="CP162" s="12">
        <v>1</v>
      </c>
      <c r="CQ162" s="12">
        <v>0</v>
      </c>
      <c r="CR162" s="12">
        <v>4</v>
      </c>
      <c r="CS162" s="12">
        <v>0</v>
      </c>
      <c r="CT162" s="12">
        <v>1</v>
      </c>
      <c r="CU162" s="12">
        <v>0</v>
      </c>
      <c r="CV162" s="12">
        <v>4</v>
      </c>
      <c r="CW162" s="12">
        <v>1</v>
      </c>
      <c r="CX162" s="12">
        <v>8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1</v>
      </c>
      <c r="DE162" s="12">
        <v>1</v>
      </c>
      <c r="DF162" s="12">
        <v>17</v>
      </c>
      <c r="DG162" s="12">
        <v>20</v>
      </c>
      <c r="DH162" s="12">
        <v>1</v>
      </c>
      <c r="DI162" s="12">
        <v>0</v>
      </c>
      <c r="DJ162" s="12">
        <v>0</v>
      </c>
      <c r="DK162" s="12">
        <v>0</v>
      </c>
      <c r="DL162" s="12">
        <v>10</v>
      </c>
      <c r="DM162" s="12">
        <v>10</v>
      </c>
      <c r="DN162" s="12">
        <v>5</v>
      </c>
      <c r="DO162" s="12">
        <v>15</v>
      </c>
      <c r="DP162" s="12">
        <v>1</v>
      </c>
      <c r="DQ162" s="12">
        <v>5</v>
      </c>
      <c r="DR162" s="12">
        <v>2</v>
      </c>
      <c r="DS162" s="12">
        <v>3</v>
      </c>
      <c r="DT162" s="12">
        <v>6</v>
      </c>
      <c r="DU162" s="12">
        <v>24</v>
      </c>
      <c r="DV162" s="12">
        <v>0</v>
      </c>
      <c r="DW162" s="12">
        <v>0</v>
      </c>
      <c r="DX162" s="12">
        <v>89</v>
      </c>
      <c r="DY162" s="12">
        <v>19</v>
      </c>
      <c r="DZ162" s="12">
        <v>27</v>
      </c>
      <c r="EA162" s="16">
        <v>0.70370370370370372</v>
      </c>
      <c r="EB162" s="12">
        <v>11</v>
      </c>
      <c r="EC162" s="12">
        <v>31</v>
      </c>
      <c r="ED162" s="16">
        <v>0.35483870967741937</v>
      </c>
      <c r="EE162" s="12">
        <v>30</v>
      </c>
      <c r="EF162" s="12">
        <v>58</v>
      </c>
      <c r="EG162" s="16">
        <v>0.51724137931034486</v>
      </c>
      <c r="EH162" s="12">
        <v>18</v>
      </c>
      <c r="EI162" s="12">
        <v>19</v>
      </c>
      <c r="EJ162" s="16">
        <v>0.94736842105263153</v>
      </c>
      <c r="EK162" s="12">
        <v>8</v>
      </c>
      <c r="EL162" s="12">
        <v>21</v>
      </c>
      <c r="EM162" s="12">
        <v>29</v>
      </c>
      <c r="EN162" s="12">
        <v>19</v>
      </c>
      <c r="EO162" s="12">
        <v>17</v>
      </c>
      <c r="EP162" s="12">
        <v>19</v>
      </c>
      <c r="EQ162" s="12">
        <v>6</v>
      </c>
      <c r="ER162" s="12">
        <v>13</v>
      </c>
      <c r="ES162" s="12">
        <v>3</v>
      </c>
      <c r="ET162" s="12">
        <v>0</v>
      </c>
      <c r="EU162" s="12">
        <v>106</v>
      </c>
      <c r="EV162" s="12">
        <v>15</v>
      </c>
      <c r="EW162" s="12">
        <v>70</v>
      </c>
      <c r="EX162" s="12">
        <v>80</v>
      </c>
      <c r="EY162" s="12">
        <v>3</v>
      </c>
      <c r="EZ162" s="12">
        <v>9</v>
      </c>
      <c r="FA162" s="12">
        <v>8</v>
      </c>
      <c r="FB162" s="12">
        <v>2</v>
      </c>
      <c r="FC162" s="12">
        <v>4</v>
      </c>
      <c r="FD162" s="12">
        <v>0</v>
      </c>
      <c r="FE162" s="12">
        <v>0</v>
      </c>
      <c r="FF162" s="12">
        <v>2</v>
      </c>
      <c r="FG162" s="12">
        <v>0</v>
      </c>
      <c r="FH162" s="12">
        <v>0</v>
      </c>
      <c r="FI162" s="12">
        <v>0</v>
      </c>
      <c r="FJ162" s="12">
        <v>1</v>
      </c>
      <c r="FK162" s="12">
        <v>0</v>
      </c>
      <c r="FL162" s="12">
        <v>5</v>
      </c>
      <c r="FM162" s="12">
        <v>0</v>
      </c>
      <c r="FN162" s="12">
        <v>0</v>
      </c>
      <c r="FO162" s="12">
        <v>0</v>
      </c>
      <c r="FP162" s="12">
        <v>0</v>
      </c>
      <c r="FQ162" s="12">
        <v>0</v>
      </c>
      <c r="FR162" s="12">
        <v>4</v>
      </c>
      <c r="FS162" s="12">
        <v>1</v>
      </c>
      <c r="FT162" s="12">
        <v>4</v>
      </c>
      <c r="FU162" s="12">
        <v>1</v>
      </c>
      <c r="FV162" s="12">
        <v>1</v>
      </c>
      <c r="FW162" s="12">
        <v>0</v>
      </c>
      <c r="FX162" s="12">
        <v>11</v>
      </c>
      <c r="FY162" s="12">
        <v>4</v>
      </c>
      <c r="FZ162" s="12">
        <v>1</v>
      </c>
      <c r="GA162" s="12">
        <v>0</v>
      </c>
      <c r="GB162" s="12">
        <v>0</v>
      </c>
      <c r="GC162" s="12">
        <v>0</v>
      </c>
      <c r="GD162" s="12">
        <v>1</v>
      </c>
      <c r="GE162" s="12">
        <v>1</v>
      </c>
      <c r="GF162" s="12">
        <v>17</v>
      </c>
      <c r="GG162" s="12">
        <v>18</v>
      </c>
      <c r="GH162" s="12">
        <v>0</v>
      </c>
      <c r="GI162" s="12">
        <v>0</v>
      </c>
      <c r="GJ162" s="12">
        <v>0</v>
      </c>
      <c r="GK162" s="12">
        <v>0</v>
      </c>
      <c r="GL162" s="12">
        <v>9</v>
      </c>
      <c r="GM162" s="12">
        <v>10</v>
      </c>
      <c r="GN162" s="12">
        <v>7</v>
      </c>
      <c r="GO162" s="12">
        <v>13</v>
      </c>
      <c r="GP162" s="12">
        <v>3</v>
      </c>
      <c r="GQ162" s="12">
        <v>4</v>
      </c>
      <c r="GR162" s="12">
        <v>2</v>
      </c>
      <c r="GS162" s="12">
        <v>7</v>
      </c>
      <c r="GT162" s="12">
        <v>9</v>
      </c>
      <c r="GU162" s="12">
        <v>23</v>
      </c>
      <c r="GV162" s="12">
        <v>0</v>
      </c>
      <c r="GW162" s="12">
        <v>1</v>
      </c>
      <c r="GY162" s="16"/>
    </row>
    <row r="163" spans="2:207" ht="15" customHeight="1" x14ac:dyDescent="0.2">
      <c r="B163" s="12">
        <v>9</v>
      </c>
      <c r="C163" s="12" t="s">
        <v>274</v>
      </c>
      <c r="D163" s="12" t="s">
        <v>281</v>
      </c>
      <c r="E163" s="14" t="s">
        <v>276</v>
      </c>
      <c r="F163" s="14" t="s">
        <v>283</v>
      </c>
      <c r="G163" s="15">
        <v>45247</v>
      </c>
      <c r="H163" s="15" t="s">
        <v>268</v>
      </c>
      <c r="I163" s="12" t="s">
        <v>269</v>
      </c>
      <c r="J163" s="12" t="s">
        <v>270</v>
      </c>
      <c r="K163" s="12">
        <v>200</v>
      </c>
      <c r="L163" s="12">
        <v>89</v>
      </c>
      <c r="M163" s="12">
        <v>19</v>
      </c>
      <c r="N163" s="12">
        <v>27</v>
      </c>
      <c r="O163" s="16">
        <v>0.70370370370370372</v>
      </c>
      <c r="P163" s="12">
        <v>11</v>
      </c>
      <c r="Q163" s="12">
        <v>31</v>
      </c>
      <c r="R163" s="16">
        <v>0.35483870967741937</v>
      </c>
      <c r="S163" s="12">
        <v>30</v>
      </c>
      <c r="T163" s="12">
        <v>58</v>
      </c>
      <c r="U163" s="16">
        <v>0.51724137931034486</v>
      </c>
      <c r="V163" s="12">
        <v>18</v>
      </c>
      <c r="W163" s="12">
        <v>19</v>
      </c>
      <c r="X163" s="16">
        <v>0.94736842105263153</v>
      </c>
      <c r="Y163" s="12">
        <v>8</v>
      </c>
      <c r="Z163" s="12">
        <v>21</v>
      </c>
      <c r="AA163" s="12">
        <v>29</v>
      </c>
      <c r="AB163" s="12">
        <v>19</v>
      </c>
      <c r="AC163" s="12">
        <v>13</v>
      </c>
      <c r="AD163" s="12">
        <v>6</v>
      </c>
      <c r="AE163" s="12">
        <v>3</v>
      </c>
      <c r="AF163" s="12">
        <v>0</v>
      </c>
      <c r="AG163" s="12">
        <v>17</v>
      </c>
      <c r="AH163" s="12">
        <v>19</v>
      </c>
      <c r="AI163" s="17">
        <v>106</v>
      </c>
      <c r="AJ163" s="12">
        <v>15</v>
      </c>
      <c r="AK163" s="12">
        <v>70</v>
      </c>
      <c r="AL163" s="12">
        <v>80</v>
      </c>
      <c r="AM163" s="19">
        <v>1.1125</v>
      </c>
      <c r="AN163" s="19">
        <v>0.88095238095238093</v>
      </c>
      <c r="AO163" s="18">
        <v>127.14285714285714</v>
      </c>
      <c r="AP163" s="18">
        <v>104.22535211267605</v>
      </c>
      <c r="AQ163" s="18">
        <v>22.91750503018109</v>
      </c>
      <c r="AR163" s="53">
        <v>0.61206896551724133</v>
      </c>
      <c r="AS163" s="53">
        <v>0.66417910447761197</v>
      </c>
      <c r="AT163" s="16">
        <v>0.125</v>
      </c>
      <c r="AU163" s="19">
        <v>1.8</v>
      </c>
      <c r="AV163" s="16">
        <v>0.16250000000000001</v>
      </c>
      <c r="AW163" s="19">
        <v>1.0769230769230769</v>
      </c>
      <c r="AX163" s="16">
        <v>0.05</v>
      </c>
      <c r="AY163" s="19">
        <v>1.5</v>
      </c>
      <c r="AZ163" s="16">
        <v>8.7499999999999994E-2</v>
      </c>
      <c r="BA163" s="19">
        <v>0.8571428571428571</v>
      </c>
      <c r="BB163" s="16">
        <v>0.28749999999999998</v>
      </c>
      <c r="BC163" s="21">
        <v>1.173913043478261</v>
      </c>
      <c r="BD163" s="16">
        <v>0.1125</v>
      </c>
      <c r="BE163" s="16">
        <v>0.16666666666666666</v>
      </c>
      <c r="BF163" s="16">
        <v>0.48717948717948717</v>
      </c>
      <c r="BG163" s="16">
        <v>0.47368421052631576</v>
      </c>
      <c r="BH163" s="16">
        <v>0.72727272727272729</v>
      </c>
      <c r="BI163" s="16">
        <v>0.22222222222222221</v>
      </c>
      <c r="BJ163" s="16">
        <v>0.24358974358974358</v>
      </c>
      <c r="BK163" s="21">
        <v>1.4615384615384615</v>
      </c>
      <c r="BL163" s="16">
        <v>0.30769230769230771</v>
      </c>
      <c r="BM163" s="16">
        <v>0.25</v>
      </c>
      <c r="BN163" s="16">
        <v>0.31578947368421051</v>
      </c>
      <c r="BO163" s="16" t="s">
        <v>269</v>
      </c>
      <c r="BP163" s="16">
        <v>0.65625</v>
      </c>
      <c r="BQ163" s="16">
        <v>0.58823529411764708</v>
      </c>
      <c r="BR163" s="16">
        <v>0.76190476190476186</v>
      </c>
      <c r="BS163" s="16">
        <v>0.33333333333333331</v>
      </c>
      <c r="BT163" s="16">
        <v>0.5</v>
      </c>
      <c r="BU163" s="16">
        <v>8.4507042253521125E-2</v>
      </c>
      <c r="BV163" s="16">
        <v>5.2631578947368418E-2</v>
      </c>
      <c r="BW163" s="54">
        <v>3</v>
      </c>
      <c r="BX163" s="54">
        <v>0.6470588235294118</v>
      </c>
      <c r="BY163" s="54">
        <v>0.52631578947368418</v>
      </c>
      <c r="BZ163" s="12">
        <v>9</v>
      </c>
      <c r="CA163" s="12">
        <v>8</v>
      </c>
      <c r="CB163" s="12">
        <v>2</v>
      </c>
      <c r="CC163" s="12">
        <v>4</v>
      </c>
      <c r="CD163" s="12">
        <v>0</v>
      </c>
      <c r="CE163" s="12">
        <v>0</v>
      </c>
      <c r="CF163" s="12">
        <v>2</v>
      </c>
      <c r="CG163" s="12">
        <v>0</v>
      </c>
      <c r="CH163" s="12">
        <v>0</v>
      </c>
      <c r="CI163" s="12">
        <v>0</v>
      </c>
      <c r="CJ163" s="12">
        <v>1</v>
      </c>
      <c r="CK163" s="12">
        <v>0</v>
      </c>
      <c r="CL163" s="12">
        <v>5</v>
      </c>
      <c r="CM163" s="12">
        <v>0</v>
      </c>
      <c r="CN163" s="12">
        <v>0</v>
      </c>
      <c r="CO163" s="12">
        <v>0</v>
      </c>
      <c r="CP163" s="12">
        <v>0</v>
      </c>
      <c r="CQ163" s="12">
        <v>0</v>
      </c>
      <c r="CR163" s="12">
        <v>4</v>
      </c>
      <c r="CS163" s="12">
        <v>1</v>
      </c>
      <c r="CT163" s="12">
        <v>4</v>
      </c>
      <c r="CU163" s="12">
        <v>1</v>
      </c>
      <c r="CV163" s="12">
        <v>1</v>
      </c>
      <c r="CW163" s="12">
        <v>0</v>
      </c>
      <c r="CX163" s="12">
        <v>11</v>
      </c>
      <c r="CY163" s="12">
        <v>4</v>
      </c>
      <c r="CZ163" s="12">
        <v>1</v>
      </c>
      <c r="DA163" s="12">
        <v>0</v>
      </c>
      <c r="DB163" s="12">
        <v>0</v>
      </c>
      <c r="DC163" s="12">
        <v>0</v>
      </c>
      <c r="DD163" s="12">
        <v>1</v>
      </c>
      <c r="DE163" s="12">
        <v>1</v>
      </c>
      <c r="DF163" s="12">
        <v>17</v>
      </c>
      <c r="DG163" s="12">
        <v>18</v>
      </c>
      <c r="DH163" s="12">
        <v>0</v>
      </c>
      <c r="DI163" s="12">
        <v>0</v>
      </c>
      <c r="DJ163" s="12">
        <v>0</v>
      </c>
      <c r="DK163" s="12">
        <v>0</v>
      </c>
      <c r="DL163" s="12">
        <v>9</v>
      </c>
      <c r="DM163" s="12">
        <v>10</v>
      </c>
      <c r="DN163" s="12">
        <v>7</v>
      </c>
      <c r="DO163" s="12">
        <v>13</v>
      </c>
      <c r="DP163" s="12">
        <v>3</v>
      </c>
      <c r="DQ163" s="12">
        <v>4</v>
      </c>
      <c r="DR163" s="12">
        <v>2</v>
      </c>
      <c r="DS163" s="12">
        <v>7</v>
      </c>
      <c r="DT163" s="12">
        <v>9</v>
      </c>
      <c r="DU163" s="12">
        <v>23</v>
      </c>
      <c r="DV163" s="12">
        <v>0</v>
      </c>
      <c r="DW163" s="12">
        <v>1</v>
      </c>
      <c r="DX163" s="12">
        <v>74</v>
      </c>
      <c r="DY163" s="12">
        <v>16</v>
      </c>
      <c r="DZ163" s="12">
        <v>30</v>
      </c>
      <c r="EA163" s="16">
        <v>0.53333333333333333</v>
      </c>
      <c r="EB163" s="12">
        <v>8</v>
      </c>
      <c r="EC163" s="12">
        <v>27</v>
      </c>
      <c r="ED163" s="16">
        <v>0.29629629629629628</v>
      </c>
      <c r="EE163" s="12">
        <v>24</v>
      </c>
      <c r="EF163" s="12">
        <v>57</v>
      </c>
      <c r="EG163" s="16">
        <v>0.42105263157894735</v>
      </c>
      <c r="EH163" s="12">
        <v>18</v>
      </c>
      <c r="EI163" s="12">
        <v>21</v>
      </c>
      <c r="EJ163" s="16">
        <v>0.8571428571428571</v>
      </c>
      <c r="EK163" s="12">
        <v>11</v>
      </c>
      <c r="EL163" s="12">
        <v>18</v>
      </c>
      <c r="EM163" s="12">
        <v>29</v>
      </c>
      <c r="EN163" s="12">
        <v>19</v>
      </c>
      <c r="EO163" s="12">
        <v>19</v>
      </c>
      <c r="EP163" s="12">
        <v>17</v>
      </c>
      <c r="EQ163" s="12">
        <v>5</v>
      </c>
      <c r="ER163" s="12">
        <v>17</v>
      </c>
      <c r="ES163" s="12">
        <v>0</v>
      </c>
      <c r="ET163" s="12">
        <v>3</v>
      </c>
      <c r="EU163" s="12">
        <v>69</v>
      </c>
      <c r="EV163" s="12">
        <v>-15</v>
      </c>
      <c r="EW163" s="12">
        <v>71</v>
      </c>
      <c r="EX163" s="12">
        <v>84</v>
      </c>
      <c r="EY163" s="12">
        <v>2</v>
      </c>
      <c r="EZ163" s="12">
        <v>8</v>
      </c>
      <c r="FA163" s="12">
        <v>7</v>
      </c>
      <c r="FB163" s="12">
        <v>4</v>
      </c>
      <c r="FC163" s="12">
        <v>6</v>
      </c>
      <c r="FD163" s="12">
        <v>0</v>
      </c>
      <c r="FE163" s="12">
        <v>0</v>
      </c>
      <c r="FF163" s="12">
        <v>5</v>
      </c>
      <c r="FG163" s="12">
        <v>2</v>
      </c>
      <c r="FH163" s="12">
        <v>0</v>
      </c>
      <c r="FI163" s="12">
        <v>0</v>
      </c>
      <c r="FJ163" s="12">
        <v>0</v>
      </c>
      <c r="FK163" s="12">
        <v>0</v>
      </c>
      <c r="FL163" s="12">
        <v>5</v>
      </c>
      <c r="FM163" s="12">
        <v>0</v>
      </c>
      <c r="FN163" s="12">
        <v>1</v>
      </c>
      <c r="FO163" s="12">
        <v>1</v>
      </c>
      <c r="FP163" s="12">
        <v>1</v>
      </c>
      <c r="FQ163" s="12">
        <v>0</v>
      </c>
      <c r="FR163" s="12">
        <v>4</v>
      </c>
      <c r="FS163" s="12">
        <v>0</v>
      </c>
      <c r="FT163" s="12">
        <v>1</v>
      </c>
      <c r="FU163" s="12">
        <v>0</v>
      </c>
      <c r="FV163" s="12">
        <v>4</v>
      </c>
      <c r="FW163" s="12">
        <v>1</v>
      </c>
      <c r="FX163" s="12">
        <v>8</v>
      </c>
      <c r="FY163" s="12">
        <v>0</v>
      </c>
      <c r="FZ163" s="12">
        <v>0</v>
      </c>
      <c r="GA163" s="12">
        <v>0</v>
      </c>
      <c r="GB163" s="12">
        <v>0</v>
      </c>
      <c r="GC163" s="12">
        <v>0</v>
      </c>
      <c r="GD163" s="12">
        <v>1</v>
      </c>
      <c r="GE163" s="12">
        <v>1</v>
      </c>
      <c r="GF163" s="12">
        <v>17</v>
      </c>
      <c r="GG163" s="12">
        <v>20</v>
      </c>
      <c r="GH163" s="12">
        <v>1</v>
      </c>
      <c r="GI163" s="12">
        <v>0</v>
      </c>
      <c r="GJ163" s="12">
        <v>0</v>
      </c>
      <c r="GK163" s="12">
        <v>0</v>
      </c>
      <c r="GL163" s="12">
        <v>10</v>
      </c>
      <c r="GM163" s="12">
        <v>10</v>
      </c>
      <c r="GN163" s="12">
        <v>5</v>
      </c>
      <c r="GO163" s="12">
        <v>15</v>
      </c>
      <c r="GP163" s="12">
        <v>1</v>
      </c>
      <c r="GQ163" s="12">
        <v>5</v>
      </c>
      <c r="GR163" s="12">
        <v>2</v>
      </c>
      <c r="GS163" s="12">
        <v>3</v>
      </c>
      <c r="GT163" s="12">
        <v>6</v>
      </c>
      <c r="GU163" s="12">
        <v>24</v>
      </c>
      <c r="GV163" s="12">
        <v>0</v>
      </c>
      <c r="GW163" s="12">
        <v>0</v>
      </c>
      <c r="GY163" s="16"/>
    </row>
    <row r="164" spans="2:207" ht="15" customHeight="1" x14ac:dyDescent="0.25">
      <c r="GY164" s="16"/>
    </row>
    <row r="165" spans="2:207" ht="15" customHeight="1" x14ac:dyDescent="0.25">
      <c r="GY165" s="16"/>
    </row>
    <row r="166" spans="2:207" ht="15" customHeight="1" x14ac:dyDescent="0.25">
      <c r="GY166" s="16"/>
    </row>
    <row r="167" spans="2:207" ht="15" customHeight="1" x14ac:dyDescent="0.25">
      <c r="GY167" s="16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1F035-8FBF-4972-804E-8D653DD3936F}">
  <dimension ref="B2:GW163"/>
  <sheetViews>
    <sheetView showGridLines="0" topLeftCell="A3" workbookViewId="0">
      <selection activeCell="B3" sqref="B3"/>
    </sheetView>
  </sheetViews>
  <sheetFormatPr defaultColWidth="7.28515625" defaultRowHeight="15" customHeight="1" x14ac:dyDescent="0.25"/>
  <cols>
    <col min="1" max="1" width="9.140625" style="14" customWidth="1"/>
    <col min="2" max="2" width="7.28515625" style="14"/>
    <col min="3" max="4" width="7.28515625" style="14" customWidth="1"/>
    <col min="5" max="6" width="35.7109375" style="14" customWidth="1"/>
    <col min="7" max="7" width="10.7109375" style="12" customWidth="1"/>
    <col min="8" max="8" width="7.28515625" style="14"/>
    <col min="9" max="9" width="7.28515625" style="12"/>
    <col min="10" max="16384" width="7.28515625" style="14"/>
  </cols>
  <sheetData>
    <row r="2" spans="2:205" s="12" customFormat="1" ht="15" customHeight="1" x14ac:dyDescent="0.25"/>
    <row r="3" spans="2:205" s="13" customFormat="1" ht="45" customHeight="1" x14ac:dyDescent="0.25">
      <c r="B3" s="13" t="s">
        <v>51</v>
      </c>
      <c r="C3" s="13" t="s">
        <v>3</v>
      </c>
      <c r="D3" s="13" t="s">
        <v>55</v>
      </c>
      <c r="E3" s="13" t="s">
        <v>2</v>
      </c>
      <c r="F3" s="13" t="s">
        <v>67</v>
      </c>
      <c r="G3" s="13" t="s">
        <v>53</v>
      </c>
      <c r="H3" s="13" t="s">
        <v>54</v>
      </c>
      <c r="I3" s="13" t="s">
        <v>68</v>
      </c>
      <c r="J3" s="13" t="s">
        <v>69</v>
      </c>
      <c r="K3" s="13" t="s">
        <v>70</v>
      </c>
      <c r="L3" s="13" t="s">
        <v>71</v>
      </c>
      <c r="M3" s="13" t="s">
        <v>72</v>
      </c>
      <c r="N3" s="13" t="s">
        <v>73</v>
      </c>
      <c r="O3" s="13" t="s">
        <v>74</v>
      </c>
      <c r="P3" s="13" t="s">
        <v>75</v>
      </c>
      <c r="Q3" s="13" t="s">
        <v>76</v>
      </c>
      <c r="R3" s="13" t="s">
        <v>77</v>
      </c>
      <c r="S3" s="13" t="s">
        <v>78</v>
      </c>
      <c r="T3" s="13" t="s">
        <v>79</v>
      </c>
      <c r="U3" s="13" t="s">
        <v>80</v>
      </c>
      <c r="V3" s="13" t="s">
        <v>81</v>
      </c>
      <c r="W3" s="13" t="s">
        <v>82</v>
      </c>
      <c r="X3" s="13" t="s">
        <v>83</v>
      </c>
      <c r="Y3" s="13" t="s">
        <v>84</v>
      </c>
      <c r="Z3" s="13" t="s">
        <v>85</v>
      </c>
      <c r="AA3" s="13" t="s">
        <v>86</v>
      </c>
      <c r="AB3" s="13" t="s">
        <v>87</v>
      </c>
      <c r="AC3" s="13" t="s">
        <v>88</v>
      </c>
      <c r="AD3" s="13" t="s">
        <v>89</v>
      </c>
      <c r="AE3" s="13" t="s">
        <v>90</v>
      </c>
      <c r="AF3" s="13" t="s">
        <v>91</v>
      </c>
      <c r="AG3" s="13" t="s">
        <v>30</v>
      </c>
      <c r="AH3" s="13" t="s">
        <v>92</v>
      </c>
      <c r="AI3" s="13" t="s">
        <v>93</v>
      </c>
      <c r="AJ3" s="13" t="s">
        <v>94</v>
      </c>
      <c r="AK3" s="13" t="s">
        <v>95</v>
      </c>
      <c r="AL3" s="13" t="s">
        <v>96</v>
      </c>
      <c r="AM3" s="13" t="s">
        <v>97</v>
      </c>
      <c r="AN3" s="13" t="s">
        <v>98</v>
      </c>
      <c r="AO3" s="13" t="s">
        <v>99</v>
      </c>
      <c r="AP3" s="13" t="s">
        <v>100</v>
      </c>
      <c r="AQ3" s="13" t="s">
        <v>101</v>
      </c>
      <c r="AR3" s="13" t="s">
        <v>102</v>
      </c>
      <c r="AS3" s="13" t="s">
        <v>103</v>
      </c>
      <c r="AT3" s="13" t="s">
        <v>104</v>
      </c>
      <c r="AU3" s="13" t="s">
        <v>105</v>
      </c>
      <c r="AV3" s="13" t="s">
        <v>106</v>
      </c>
      <c r="AW3" s="13" t="s">
        <v>107</v>
      </c>
      <c r="AX3" s="13" t="s">
        <v>108</v>
      </c>
      <c r="AY3" s="13" t="s">
        <v>109</v>
      </c>
      <c r="AZ3" s="13" t="s">
        <v>110</v>
      </c>
      <c r="BA3" s="13" t="s">
        <v>111</v>
      </c>
      <c r="BB3" s="13" t="s">
        <v>112</v>
      </c>
      <c r="BC3" s="13" t="s">
        <v>113</v>
      </c>
      <c r="BD3" s="13" t="s">
        <v>114</v>
      </c>
      <c r="BE3" s="13" t="s">
        <v>115</v>
      </c>
      <c r="BF3" s="13" t="s">
        <v>116</v>
      </c>
      <c r="BG3" s="13" t="s">
        <v>117</v>
      </c>
      <c r="BH3" s="13" t="s">
        <v>118</v>
      </c>
      <c r="BI3" s="13" t="s">
        <v>119</v>
      </c>
      <c r="BJ3" s="13" t="s">
        <v>120</v>
      </c>
      <c r="BK3" s="13" t="s">
        <v>121</v>
      </c>
      <c r="BL3" s="13" t="s">
        <v>122</v>
      </c>
      <c r="BM3" s="13" t="s">
        <v>123</v>
      </c>
      <c r="BN3" s="13" t="s">
        <v>124</v>
      </c>
      <c r="BO3" s="13" t="s">
        <v>125</v>
      </c>
      <c r="BP3" s="13" t="s">
        <v>126</v>
      </c>
      <c r="BQ3" s="13" t="s">
        <v>127</v>
      </c>
      <c r="BR3" s="13" t="s">
        <v>128</v>
      </c>
      <c r="BS3" s="13" t="s">
        <v>129</v>
      </c>
      <c r="BT3" s="13" t="s">
        <v>130</v>
      </c>
      <c r="BU3" s="13" t="s">
        <v>131</v>
      </c>
      <c r="BV3" s="13" t="s">
        <v>132</v>
      </c>
      <c r="BW3" s="13" t="s">
        <v>133</v>
      </c>
      <c r="BX3" s="22" t="s">
        <v>134</v>
      </c>
      <c r="BY3" s="22" t="s">
        <v>135</v>
      </c>
      <c r="BZ3" s="13" t="s">
        <v>136</v>
      </c>
      <c r="CA3" s="13" t="s">
        <v>137</v>
      </c>
      <c r="CB3" s="13" t="s">
        <v>138</v>
      </c>
      <c r="CC3" s="13" t="s">
        <v>139</v>
      </c>
      <c r="CD3" s="13" t="s">
        <v>140</v>
      </c>
      <c r="CE3" s="13" t="s">
        <v>141</v>
      </c>
      <c r="CF3" s="13" t="s">
        <v>142</v>
      </c>
      <c r="CG3" s="13" t="s">
        <v>143</v>
      </c>
      <c r="CH3" s="13" t="s">
        <v>144</v>
      </c>
      <c r="CI3" s="13" t="s">
        <v>145</v>
      </c>
      <c r="CJ3" s="13" t="s">
        <v>146</v>
      </c>
      <c r="CK3" s="13" t="s">
        <v>147</v>
      </c>
      <c r="CL3" s="13" t="s">
        <v>148</v>
      </c>
      <c r="CM3" s="13" t="s">
        <v>149</v>
      </c>
      <c r="CN3" s="13" t="s">
        <v>150</v>
      </c>
      <c r="CO3" s="13" t="s">
        <v>151</v>
      </c>
      <c r="CP3" s="13" t="s">
        <v>152</v>
      </c>
      <c r="CQ3" s="13" t="s">
        <v>153</v>
      </c>
      <c r="CR3" s="13" t="s">
        <v>154</v>
      </c>
      <c r="CS3" s="13" t="s">
        <v>155</v>
      </c>
      <c r="CT3" s="13" t="s">
        <v>156</v>
      </c>
      <c r="CU3" s="13" t="s">
        <v>157</v>
      </c>
      <c r="CV3" s="13" t="s">
        <v>158</v>
      </c>
      <c r="CW3" s="13" t="s">
        <v>159</v>
      </c>
      <c r="CX3" s="13" t="s">
        <v>160</v>
      </c>
      <c r="CY3" s="13" t="s">
        <v>161</v>
      </c>
      <c r="CZ3" s="13" t="s">
        <v>162</v>
      </c>
      <c r="DA3" s="13" t="s">
        <v>163</v>
      </c>
      <c r="DB3" s="13" t="s">
        <v>164</v>
      </c>
      <c r="DC3" s="13" t="s">
        <v>165</v>
      </c>
      <c r="DD3" s="13" t="s">
        <v>166</v>
      </c>
      <c r="DE3" s="13" t="s">
        <v>167</v>
      </c>
      <c r="DF3" s="13" t="s">
        <v>168</v>
      </c>
      <c r="DG3" s="13" t="s">
        <v>169</v>
      </c>
      <c r="DH3" s="13" t="s">
        <v>170</v>
      </c>
      <c r="DI3" s="13" t="s">
        <v>171</v>
      </c>
      <c r="DJ3" s="13" t="s">
        <v>172</v>
      </c>
      <c r="DK3" s="13" t="s">
        <v>173</v>
      </c>
      <c r="DL3" s="13" t="s">
        <v>174</v>
      </c>
      <c r="DM3" s="13" t="s">
        <v>175</v>
      </c>
      <c r="DN3" s="13" t="s">
        <v>176</v>
      </c>
      <c r="DO3" s="13" t="s">
        <v>177</v>
      </c>
      <c r="DP3" s="13" t="s">
        <v>178</v>
      </c>
      <c r="DQ3" s="13" t="s">
        <v>179</v>
      </c>
      <c r="DR3" s="13" t="s">
        <v>180</v>
      </c>
      <c r="DS3" s="13" t="s">
        <v>181</v>
      </c>
      <c r="DT3" s="13" t="s">
        <v>182</v>
      </c>
      <c r="DU3" s="13" t="s">
        <v>183</v>
      </c>
      <c r="DV3" s="13" t="s">
        <v>184</v>
      </c>
      <c r="DW3" s="13" t="s">
        <v>185</v>
      </c>
      <c r="DX3" s="13" t="s">
        <v>186</v>
      </c>
      <c r="DY3" s="13" t="s">
        <v>187</v>
      </c>
      <c r="DZ3" s="13" t="s">
        <v>188</v>
      </c>
      <c r="EA3" s="13" t="s">
        <v>189</v>
      </c>
      <c r="EB3" s="13" t="s">
        <v>190</v>
      </c>
      <c r="EC3" s="13" t="s">
        <v>191</v>
      </c>
      <c r="ED3" s="13" t="s">
        <v>192</v>
      </c>
      <c r="EE3" s="13" t="s">
        <v>193</v>
      </c>
      <c r="EF3" s="13" t="s">
        <v>194</v>
      </c>
      <c r="EG3" s="13" t="s">
        <v>195</v>
      </c>
      <c r="EH3" s="13" t="s">
        <v>196</v>
      </c>
      <c r="EI3" s="13" t="s">
        <v>197</v>
      </c>
      <c r="EJ3" s="13" t="s">
        <v>198</v>
      </c>
      <c r="EK3" s="13" t="s">
        <v>199</v>
      </c>
      <c r="EL3" s="13" t="s">
        <v>200</v>
      </c>
      <c r="EM3" s="13" t="s">
        <v>201</v>
      </c>
      <c r="EN3" s="13" t="s">
        <v>202</v>
      </c>
      <c r="EO3" s="13" t="s">
        <v>203</v>
      </c>
      <c r="EP3" s="13" t="s">
        <v>204</v>
      </c>
      <c r="EQ3" s="13" t="s">
        <v>205</v>
      </c>
      <c r="ER3" s="13" t="s">
        <v>206</v>
      </c>
      <c r="ES3" s="13" t="s">
        <v>207</v>
      </c>
      <c r="ET3" s="13" t="s">
        <v>208</v>
      </c>
      <c r="EU3" s="13" t="s">
        <v>209</v>
      </c>
      <c r="EV3" s="13" t="s">
        <v>210</v>
      </c>
      <c r="EW3" s="13" t="s">
        <v>211</v>
      </c>
      <c r="EX3" s="13" t="s">
        <v>212</v>
      </c>
      <c r="EY3" s="13" t="s">
        <v>213</v>
      </c>
      <c r="EZ3" s="13" t="s">
        <v>214</v>
      </c>
      <c r="FA3" s="13" t="s">
        <v>215</v>
      </c>
      <c r="FB3" s="13" t="s">
        <v>216</v>
      </c>
      <c r="FC3" s="13" t="s">
        <v>217</v>
      </c>
      <c r="FD3" s="13" t="s">
        <v>218</v>
      </c>
      <c r="FE3" s="13" t="s">
        <v>219</v>
      </c>
      <c r="FF3" s="13" t="s">
        <v>220</v>
      </c>
      <c r="FG3" s="13" t="s">
        <v>221</v>
      </c>
      <c r="FH3" s="13" t="s">
        <v>222</v>
      </c>
      <c r="FI3" s="13" t="s">
        <v>223</v>
      </c>
      <c r="FJ3" s="13" t="s">
        <v>224</v>
      </c>
      <c r="FK3" s="13" t="s">
        <v>225</v>
      </c>
      <c r="FL3" s="13" t="s">
        <v>226</v>
      </c>
      <c r="FM3" s="13" t="s">
        <v>227</v>
      </c>
      <c r="FN3" s="13" t="s">
        <v>228</v>
      </c>
      <c r="FO3" s="13" t="s">
        <v>229</v>
      </c>
      <c r="FP3" s="13" t="s">
        <v>230</v>
      </c>
      <c r="FQ3" s="13" t="s">
        <v>231</v>
      </c>
      <c r="FR3" s="13" t="s">
        <v>232</v>
      </c>
      <c r="FS3" s="13" t="s">
        <v>233</v>
      </c>
      <c r="FT3" s="13" t="s">
        <v>234</v>
      </c>
      <c r="FU3" s="13" t="s">
        <v>235</v>
      </c>
      <c r="FV3" s="13" t="s">
        <v>236</v>
      </c>
      <c r="FW3" s="13" t="s">
        <v>237</v>
      </c>
      <c r="FX3" s="13" t="s">
        <v>238</v>
      </c>
      <c r="FY3" s="13" t="s">
        <v>239</v>
      </c>
      <c r="FZ3" s="13" t="s">
        <v>240</v>
      </c>
      <c r="GA3" s="13" t="s">
        <v>241</v>
      </c>
      <c r="GB3" s="13" t="s">
        <v>242</v>
      </c>
      <c r="GC3" s="13" t="s">
        <v>243</v>
      </c>
      <c r="GD3" s="13" t="s">
        <v>244</v>
      </c>
      <c r="GE3" s="13" t="s">
        <v>245</v>
      </c>
      <c r="GF3" s="13" t="s">
        <v>246</v>
      </c>
      <c r="GG3" s="13" t="s">
        <v>247</v>
      </c>
      <c r="GH3" s="13" t="s">
        <v>248</v>
      </c>
      <c r="GI3" s="13" t="s">
        <v>249</v>
      </c>
      <c r="GJ3" s="13" t="s">
        <v>250</v>
      </c>
      <c r="GK3" s="13" t="s">
        <v>251</v>
      </c>
      <c r="GL3" s="13" t="s">
        <v>252</v>
      </c>
      <c r="GM3" s="13" t="s">
        <v>253</v>
      </c>
      <c r="GN3" s="13" t="s">
        <v>254</v>
      </c>
      <c r="GO3" s="13" t="s">
        <v>255</v>
      </c>
      <c r="GP3" s="13" t="s">
        <v>256</v>
      </c>
      <c r="GQ3" s="13" t="s">
        <v>257</v>
      </c>
      <c r="GR3" s="13" t="s">
        <v>258</v>
      </c>
      <c r="GS3" s="13" t="s">
        <v>259</v>
      </c>
      <c r="GT3" s="13" t="s">
        <v>260</v>
      </c>
      <c r="GU3" s="13" t="s">
        <v>261</v>
      </c>
      <c r="GV3" s="13" t="s">
        <v>262</v>
      </c>
      <c r="GW3" s="13" t="s">
        <v>263</v>
      </c>
    </row>
    <row r="4" spans="2:205" ht="15" customHeight="1" x14ac:dyDescent="0.2">
      <c r="B4" s="12">
        <v>1</v>
      </c>
      <c r="C4" s="12" t="s">
        <v>264</v>
      </c>
      <c r="D4" s="12" t="s">
        <v>265</v>
      </c>
      <c r="E4" s="14" t="s">
        <v>266</v>
      </c>
      <c r="F4" s="14" t="s">
        <v>267</v>
      </c>
      <c r="G4" s="15">
        <v>45204</v>
      </c>
      <c r="H4" s="15" t="s">
        <v>268</v>
      </c>
      <c r="I4" s="12" t="s">
        <v>269</v>
      </c>
      <c r="J4" s="12" t="s">
        <v>270</v>
      </c>
      <c r="K4" s="12">
        <v>200</v>
      </c>
      <c r="L4" s="12">
        <v>73</v>
      </c>
      <c r="M4" s="12">
        <v>17</v>
      </c>
      <c r="N4" s="12">
        <v>29</v>
      </c>
      <c r="O4" s="16">
        <v>0.58620689655172409</v>
      </c>
      <c r="P4" s="12">
        <v>9</v>
      </c>
      <c r="Q4" s="12">
        <v>25</v>
      </c>
      <c r="R4" s="16">
        <v>0.36</v>
      </c>
      <c r="S4" s="12">
        <v>26</v>
      </c>
      <c r="T4" s="12">
        <v>54</v>
      </c>
      <c r="U4" s="16">
        <v>0.48148148148148145</v>
      </c>
      <c r="V4" s="12">
        <v>12</v>
      </c>
      <c r="W4" s="12">
        <v>21</v>
      </c>
      <c r="X4" s="16">
        <v>0.5714285714285714</v>
      </c>
      <c r="Y4" s="12">
        <v>9</v>
      </c>
      <c r="Z4" s="12">
        <v>22</v>
      </c>
      <c r="AA4" s="12">
        <v>31</v>
      </c>
      <c r="AB4" s="12">
        <v>17</v>
      </c>
      <c r="AC4" s="12">
        <v>16</v>
      </c>
      <c r="AD4" s="12">
        <v>5</v>
      </c>
      <c r="AE4" s="12">
        <v>3</v>
      </c>
      <c r="AF4" s="12">
        <v>2</v>
      </c>
      <c r="AG4" s="12">
        <v>14</v>
      </c>
      <c r="AH4" s="12">
        <v>21</v>
      </c>
      <c r="AI4" s="17">
        <v>81</v>
      </c>
      <c r="AJ4" s="12">
        <v>-21</v>
      </c>
      <c r="AK4" s="12">
        <v>69</v>
      </c>
      <c r="AL4" s="12">
        <v>78</v>
      </c>
      <c r="AM4" s="19">
        <v>0.9358974358974359</v>
      </c>
      <c r="AN4" s="19">
        <v>1.0804597701149425</v>
      </c>
      <c r="AO4" s="18">
        <v>105.79710144927536</v>
      </c>
      <c r="AP4" s="18">
        <v>134.28571428571428</v>
      </c>
      <c r="AQ4" s="18">
        <v>-28.488612836438918</v>
      </c>
      <c r="AR4" s="16">
        <v>0.56481481481481477</v>
      </c>
      <c r="AS4" s="16">
        <v>0.58870967741935487</v>
      </c>
      <c r="AT4" s="16">
        <v>0.10256410256410256</v>
      </c>
      <c r="AU4" s="19">
        <v>1.75</v>
      </c>
      <c r="AV4" s="16">
        <v>0.19230769230769232</v>
      </c>
      <c r="AW4" s="19">
        <v>0.8</v>
      </c>
      <c r="AX4" s="16">
        <v>7.6923076923076927E-2</v>
      </c>
      <c r="AY4" s="19">
        <v>1.3333333333333333</v>
      </c>
      <c r="AZ4" s="16">
        <v>5.128205128205128E-2</v>
      </c>
      <c r="BA4" s="19">
        <v>1.5</v>
      </c>
      <c r="BB4" s="16">
        <v>0.26923076923076922</v>
      </c>
      <c r="BC4" s="21">
        <v>1</v>
      </c>
      <c r="BD4" s="16">
        <v>0.10256410256410256</v>
      </c>
      <c r="BE4" s="16">
        <v>0.20512820512820512</v>
      </c>
      <c r="BF4" s="16">
        <v>0.51515151515151514</v>
      </c>
      <c r="BG4" s="16">
        <v>0.41176470588235292</v>
      </c>
      <c r="BH4" s="16">
        <v>0.77777777777777779</v>
      </c>
      <c r="BI4" s="16">
        <v>0.42857142857142855</v>
      </c>
      <c r="BJ4" s="16">
        <v>0.21794871794871795</v>
      </c>
      <c r="BK4" s="19">
        <v>1.0625</v>
      </c>
      <c r="BL4" s="16">
        <v>0.28125</v>
      </c>
      <c r="BM4" s="16">
        <v>0.33333333333333331</v>
      </c>
      <c r="BN4" s="16">
        <v>0.25</v>
      </c>
      <c r="BO4" s="16">
        <v>0</v>
      </c>
      <c r="BP4" s="16">
        <v>0.5641025641025641</v>
      </c>
      <c r="BQ4" s="16">
        <v>0.52</v>
      </c>
      <c r="BR4" s="16">
        <v>0.66666666666666663</v>
      </c>
      <c r="BS4" s="16">
        <v>0.5</v>
      </c>
      <c r="BT4" s="16">
        <v>0.43661971830985913</v>
      </c>
      <c r="BU4" s="16">
        <v>7.1428571428571425E-2</v>
      </c>
      <c r="BV4" s="16">
        <v>4.2253521126760563E-2</v>
      </c>
      <c r="BW4" s="12">
        <v>3</v>
      </c>
      <c r="BX4" s="16">
        <v>0.5</v>
      </c>
      <c r="BY4" s="16">
        <v>0.47619047619047616</v>
      </c>
      <c r="BZ4" s="12">
        <v>7</v>
      </c>
      <c r="CA4" s="12">
        <v>7</v>
      </c>
      <c r="CB4" s="12">
        <v>3</v>
      </c>
      <c r="CC4" s="12">
        <v>4</v>
      </c>
      <c r="CD4" s="12">
        <v>1</v>
      </c>
      <c r="CE4" s="12">
        <v>0</v>
      </c>
      <c r="CF4" s="12">
        <v>3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4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9</v>
      </c>
      <c r="CS4" s="12">
        <v>3</v>
      </c>
      <c r="CT4" s="12">
        <v>1</v>
      </c>
      <c r="CU4" s="12">
        <v>0</v>
      </c>
      <c r="CV4" s="12">
        <v>0</v>
      </c>
      <c r="CW4" s="12">
        <v>0</v>
      </c>
      <c r="CX4" s="12">
        <v>11</v>
      </c>
      <c r="CY4" s="12">
        <v>1</v>
      </c>
      <c r="CZ4" s="12">
        <v>1</v>
      </c>
      <c r="DA4" s="12">
        <v>0</v>
      </c>
      <c r="DB4" s="12">
        <v>0</v>
      </c>
      <c r="DC4" s="12">
        <v>0</v>
      </c>
      <c r="DD4" s="12">
        <v>1</v>
      </c>
      <c r="DE4" s="12">
        <v>2</v>
      </c>
      <c r="DF4" s="12">
        <v>5</v>
      </c>
      <c r="DG4" s="12">
        <v>10</v>
      </c>
      <c r="DH4" s="12">
        <v>1</v>
      </c>
      <c r="DI4" s="12">
        <v>6</v>
      </c>
      <c r="DJ4" s="12">
        <v>9</v>
      </c>
      <c r="DK4" s="12">
        <v>0</v>
      </c>
      <c r="DL4" s="12">
        <v>7</v>
      </c>
      <c r="DM4" s="12">
        <v>8</v>
      </c>
      <c r="DN4" s="12">
        <v>6</v>
      </c>
      <c r="DO4" s="12">
        <v>15</v>
      </c>
      <c r="DP4" s="12">
        <v>4</v>
      </c>
      <c r="DQ4" s="12">
        <v>6</v>
      </c>
      <c r="DR4" s="12">
        <v>2</v>
      </c>
      <c r="DS4" s="12">
        <v>4</v>
      </c>
      <c r="DT4" s="12">
        <v>7</v>
      </c>
      <c r="DU4" s="12">
        <v>21</v>
      </c>
      <c r="DV4" s="12">
        <v>0</v>
      </c>
      <c r="DW4" s="12">
        <v>0</v>
      </c>
      <c r="DX4" s="12">
        <v>94</v>
      </c>
      <c r="DY4" s="12">
        <v>16</v>
      </c>
      <c r="DZ4" s="12">
        <v>37</v>
      </c>
      <c r="EA4" s="16">
        <v>0.43243243243243246</v>
      </c>
      <c r="EB4" s="12">
        <v>17</v>
      </c>
      <c r="EC4" s="12">
        <v>34</v>
      </c>
      <c r="ED4" s="16">
        <v>0.5</v>
      </c>
      <c r="EE4" s="12">
        <v>33</v>
      </c>
      <c r="EF4" s="12">
        <v>71</v>
      </c>
      <c r="EG4" s="16">
        <v>0.46478873239436619</v>
      </c>
      <c r="EH4" s="12">
        <v>11</v>
      </c>
      <c r="EI4" s="12">
        <v>13</v>
      </c>
      <c r="EJ4" s="16">
        <v>0.84615384615384615</v>
      </c>
      <c r="EK4" s="12">
        <v>17</v>
      </c>
      <c r="EL4" s="12">
        <v>23</v>
      </c>
      <c r="EM4" s="12">
        <v>40</v>
      </c>
      <c r="EN4" s="12">
        <v>19</v>
      </c>
      <c r="EO4" s="12">
        <v>21</v>
      </c>
      <c r="EP4" s="12">
        <v>14</v>
      </c>
      <c r="EQ4" s="12">
        <v>10</v>
      </c>
      <c r="ER4" s="12">
        <v>10</v>
      </c>
      <c r="ES4" s="12">
        <v>2</v>
      </c>
      <c r="ET4" s="12">
        <v>3</v>
      </c>
      <c r="EU4" s="12">
        <v>105</v>
      </c>
      <c r="EV4" s="12">
        <v>21</v>
      </c>
      <c r="EW4" s="12">
        <v>70</v>
      </c>
      <c r="EX4" s="12">
        <v>87</v>
      </c>
      <c r="EY4" s="12">
        <v>4</v>
      </c>
      <c r="EZ4" s="12">
        <v>6</v>
      </c>
      <c r="FA4" s="12">
        <v>10</v>
      </c>
      <c r="FB4" s="12">
        <v>2</v>
      </c>
      <c r="FC4" s="12">
        <v>2</v>
      </c>
      <c r="FD4" s="12">
        <v>2</v>
      </c>
      <c r="FE4" s="12">
        <v>0</v>
      </c>
      <c r="FF4" s="12">
        <v>7</v>
      </c>
      <c r="FG4" s="12">
        <v>0</v>
      </c>
      <c r="FH4" s="12">
        <v>2</v>
      </c>
      <c r="FI4" s="12">
        <v>1</v>
      </c>
      <c r="FJ4" s="12">
        <v>0</v>
      </c>
      <c r="FK4" s="12">
        <v>0</v>
      </c>
      <c r="FL4" s="12">
        <v>5</v>
      </c>
      <c r="FM4" s="12">
        <v>1</v>
      </c>
      <c r="FN4" s="12">
        <v>1</v>
      </c>
      <c r="FO4" s="12">
        <v>0</v>
      </c>
      <c r="FP4" s="12">
        <v>0</v>
      </c>
      <c r="FQ4" s="12">
        <v>0</v>
      </c>
      <c r="FR4" s="12">
        <v>5</v>
      </c>
      <c r="FS4" s="12">
        <v>0</v>
      </c>
      <c r="FT4" s="12">
        <v>2</v>
      </c>
      <c r="FU4" s="12">
        <v>1</v>
      </c>
      <c r="FV4" s="12">
        <v>2</v>
      </c>
      <c r="FW4" s="12">
        <v>0</v>
      </c>
      <c r="FX4" s="12">
        <v>10</v>
      </c>
      <c r="FY4" s="12">
        <v>0</v>
      </c>
      <c r="FZ4" s="12">
        <v>4</v>
      </c>
      <c r="GA4" s="12">
        <v>0</v>
      </c>
      <c r="GB4" s="12">
        <v>0</v>
      </c>
      <c r="GC4" s="12">
        <v>0</v>
      </c>
      <c r="GD4" s="12">
        <v>1</v>
      </c>
      <c r="GE4" s="12">
        <v>1</v>
      </c>
      <c r="GF4" s="12">
        <v>10</v>
      </c>
      <c r="GG4" s="12">
        <v>12</v>
      </c>
      <c r="GH4" s="12">
        <v>0</v>
      </c>
      <c r="GI4" s="12">
        <v>0</v>
      </c>
      <c r="GJ4" s="12">
        <v>0</v>
      </c>
      <c r="GK4" s="12">
        <v>0</v>
      </c>
      <c r="GL4" s="12">
        <v>4</v>
      </c>
      <c r="GM4" s="12">
        <v>6</v>
      </c>
      <c r="GN4" s="12">
        <v>10</v>
      </c>
      <c r="GO4" s="12">
        <v>26</v>
      </c>
      <c r="GP4" s="12">
        <v>2</v>
      </c>
      <c r="GQ4" s="12">
        <v>5</v>
      </c>
      <c r="GR4" s="12">
        <v>1</v>
      </c>
      <c r="GS4" s="12">
        <v>1</v>
      </c>
      <c r="GT4" s="12">
        <v>16</v>
      </c>
      <c r="GU4" s="12">
        <v>33</v>
      </c>
      <c r="GV4" s="12">
        <v>0</v>
      </c>
      <c r="GW4" s="12">
        <v>0</v>
      </c>
    </row>
    <row r="5" spans="2:205" ht="15" customHeight="1" x14ac:dyDescent="0.2">
      <c r="B5" s="12">
        <v>1</v>
      </c>
      <c r="C5" s="12" t="s">
        <v>265</v>
      </c>
      <c r="D5" s="12" t="s">
        <v>264</v>
      </c>
      <c r="E5" s="14" t="s">
        <v>267</v>
      </c>
      <c r="F5" s="14" t="s">
        <v>266</v>
      </c>
      <c r="G5" s="15">
        <v>45204</v>
      </c>
      <c r="H5" s="15" t="s">
        <v>271</v>
      </c>
      <c r="I5" s="12" t="s">
        <v>269</v>
      </c>
      <c r="J5" s="12" t="s">
        <v>272</v>
      </c>
      <c r="K5" s="12">
        <v>200</v>
      </c>
      <c r="L5" s="12">
        <v>94</v>
      </c>
      <c r="M5" s="12">
        <v>16</v>
      </c>
      <c r="N5" s="12">
        <v>37</v>
      </c>
      <c r="O5" s="16">
        <v>0.43243243243243246</v>
      </c>
      <c r="P5" s="12">
        <v>17</v>
      </c>
      <c r="Q5" s="12">
        <v>34</v>
      </c>
      <c r="R5" s="16">
        <v>0.5</v>
      </c>
      <c r="S5" s="12">
        <v>33</v>
      </c>
      <c r="T5" s="12">
        <v>71</v>
      </c>
      <c r="U5" s="16">
        <v>0.46478873239436619</v>
      </c>
      <c r="V5" s="12">
        <v>11</v>
      </c>
      <c r="W5" s="12">
        <v>13</v>
      </c>
      <c r="X5" s="16">
        <v>0.84615384615384615</v>
      </c>
      <c r="Y5" s="12">
        <v>17</v>
      </c>
      <c r="Z5" s="12">
        <v>23</v>
      </c>
      <c r="AA5" s="12">
        <v>40</v>
      </c>
      <c r="AB5" s="12">
        <v>19</v>
      </c>
      <c r="AC5" s="12">
        <v>10</v>
      </c>
      <c r="AD5" s="12">
        <v>10</v>
      </c>
      <c r="AE5" s="12">
        <v>2</v>
      </c>
      <c r="AF5" s="12">
        <v>3</v>
      </c>
      <c r="AG5" s="12">
        <v>21</v>
      </c>
      <c r="AH5" s="12">
        <v>14</v>
      </c>
      <c r="AI5" s="17">
        <v>105</v>
      </c>
      <c r="AJ5" s="12">
        <v>21</v>
      </c>
      <c r="AK5" s="12">
        <v>70</v>
      </c>
      <c r="AL5" s="12">
        <v>87</v>
      </c>
      <c r="AM5" s="19">
        <v>1.0804597701149425</v>
      </c>
      <c r="AN5" s="19">
        <v>0.9358974358974359</v>
      </c>
      <c r="AO5" s="18">
        <v>134.28571428571428</v>
      </c>
      <c r="AP5" s="18">
        <v>105.79710144927536</v>
      </c>
      <c r="AQ5" s="18">
        <v>28.488612836438918</v>
      </c>
      <c r="AR5" s="53">
        <v>0.58450704225352113</v>
      </c>
      <c r="AS5" s="53">
        <v>0.61038961038961037</v>
      </c>
      <c r="AT5" s="16">
        <v>6.8965517241379309E-2</v>
      </c>
      <c r="AU5" s="19">
        <v>1.3333333333333333</v>
      </c>
      <c r="AV5" s="16">
        <v>0.2988505747126437</v>
      </c>
      <c r="AW5" s="19">
        <v>0.76923076923076927</v>
      </c>
      <c r="AX5" s="16">
        <v>5.7471264367816091E-2</v>
      </c>
      <c r="AY5" s="19">
        <v>0.8</v>
      </c>
      <c r="AZ5" s="16">
        <v>1.1494252873563218E-2</v>
      </c>
      <c r="BA5" s="19">
        <v>3</v>
      </c>
      <c r="BB5" s="16">
        <v>0.37931034482758619</v>
      </c>
      <c r="BC5" s="21">
        <v>1.4545454545454546</v>
      </c>
      <c r="BD5" s="16">
        <v>6.8965517241379309E-2</v>
      </c>
      <c r="BE5" s="16">
        <v>0.11494252873563218</v>
      </c>
      <c r="BF5" s="16">
        <v>0.46153846153846156</v>
      </c>
      <c r="BG5" s="16">
        <v>0.375</v>
      </c>
      <c r="BH5" s="16">
        <v>0.58823529411764708</v>
      </c>
      <c r="BI5" s="16">
        <v>0.33333333333333331</v>
      </c>
      <c r="BJ5" s="16">
        <v>0.21839080459770116</v>
      </c>
      <c r="BK5" s="21">
        <v>1.9</v>
      </c>
      <c r="BL5" s="16">
        <v>0.4358974358974359</v>
      </c>
      <c r="BM5" s="16">
        <v>0.48</v>
      </c>
      <c r="BN5" s="16">
        <v>0.33333333333333331</v>
      </c>
      <c r="BO5" s="16">
        <v>0.5</v>
      </c>
      <c r="BP5" s="16">
        <v>0.71875</v>
      </c>
      <c r="BQ5" s="16">
        <v>0.66666666666666663</v>
      </c>
      <c r="BR5" s="16">
        <v>0.75</v>
      </c>
      <c r="BS5" s="16">
        <v>1</v>
      </c>
      <c r="BT5" s="16">
        <v>0.56338028169014087</v>
      </c>
      <c r="BU5" s="16">
        <v>0.14492753623188406</v>
      </c>
      <c r="BV5" s="16">
        <v>3.7037037037037035E-2</v>
      </c>
      <c r="BW5" s="16">
        <v>4</v>
      </c>
      <c r="BX5" s="16">
        <v>0.42857142857142855</v>
      </c>
      <c r="BY5" s="16">
        <v>0.5</v>
      </c>
      <c r="BZ5" s="12">
        <v>6</v>
      </c>
      <c r="CA5" s="12">
        <v>10</v>
      </c>
      <c r="CB5" s="12">
        <v>2</v>
      </c>
      <c r="CC5" s="12">
        <v>2</v>
      </c>
      <c r="CD5" s="12">
        <v>2</v>
      </c>
      <c r="CE5" s="12">
        <v>0</v>
      </c>
      <c r="CF5" s="12">
        <v>7</v>
      </c>
      <c r="CG5" s="12">
        <v>0</v>
      </c>
      <c r="CH5" s="12">
        <v>2</v>
      </c>
      <c r="CI5" s="12">
        <v>1</v>
      </c>
      <c r="CJ5" s="12">
        <v>0</v>
      </c>
      <c r="CK5" s="12">
        <v>0</v>
      </c>
      <c r="CL5" s="12">
        <v>5</v>
      </c>
      <c r="CM5" s="12">
        <v>1</v>
      </c>
      <c r="CN5" s="12">
        <v>1</v>
      </c>
      <c r="CO5" s="12">
        <v>0</v>
      </c>
      <c r="CP5" s="12">
        <v>0</v>
      </c>
      <c r="CQ5" s="12">
        <v>0</v>
      </c>
      <c r="CR5" s="12">
        <v>5</v>
      </c>
      <c r="CS5" s="12">
        <v>0</v>
      </c>
      <c r="CT5" s="12">
        <v>2</v>
      </c>
      <c r="CU5" s="12">
        <v>1</v>
      </c>
      <c r="CV5" s="12">
        <v>2</v>
      </c>
      <c r="CW5" s="12">
        <v>0</v>
      </c>
      <c r="CX5" s="12">
        <v>10</v>
      </c>
      <c r="CY5" s="12">
        <v>0</v>
      </c>
      <c r="CZ5" s="12">
        <v>4</v>
      </c>
      <c r="DA5" s="12">
        <v>0</v>
      </c>
      <c r="DB5" s="12">
        <v>0</v>
      </c>
      <c r="DC5" s="12">
        <v>0</v>
      </c>
      <c r="DD5" s="12">
        <v>1</v>
      </c>
      <c r="DE5" s="12">
        <v>1</v>
      </c>
      <c r="DF5" s="12">
        <v>10</v>
      </c>
      <c r="DG5" s="12">
        <v>12</v>
      </c>
      <c r="DH5" s="12">
        <v>0</v>
      </c>
      <c r="DI5" s="12">
        <v>0</v>
      </c>
      <c r="DJ5" s="12">
        <v>0</v>
      </c>
      <c r="DK5" s="12">
        <v>0</v>
      </c>
      <c r="DL5" s="12">
        <v>4</v>
      </c>
      <c r="DM5" s="12">
        <v>6</v>
      </c>
      <c r="DN5" s="12">
        <v>10</v>
      </c>
      <c r="DO5" s="12">
        <v>26</v>
      </c>
      <c r="DP5" s="12">
        <v>2</v>
      </c>
      <c r="DQ5" s="12">
        <v>5</v>
      </c>
      <c r="DR5" s="12">
        <v>1</v>
      </c>
      <c r="DS5" s="12">
        <v>1</v>
      </c>
      <c r="DT5" s="12">
        <v>16</v>
      </c>
      <c r="DU5" s="12">
        <v>33</v>
      </c>
      <c r="DV5" s="12">
        <v>0</v>
      </c>
      <c r="DW5" s="12">
        <v>0</v>
      </c>
      <c r="DX5" s="12">
        <v>73</v>
      </c>
      <c r="DY5" s="12">
        <v>17</v>
      </c>
      <c r="DZ5" s="12">
        <v>29</v>
      </c>
      <c r="EA5" s="16">
        <v>0.58620689655172409</v>
      </c>
      <c r="EB5" s="12">
        <v>9</v>
      </c>
      <c r="EC5" s="12">
        <v>25</v>
      </c>
      <c r="ED5" s="16">
        <v>0.36</v>
      </c>
      <c r="EE5" s="12">
        <v>26</v>
      </c>
      <c r="EF5" s="12">
        <v>54</v>
      </c>
      <c r="EG5" s="16">
        <v>0.48148148148148145</v>
      </c>
      <c r="EH5" s="12">
        <v>12</v>
      </c>
      <c r="EI5" s="12">
        <v>21</v>
      </c>
      <c r="EJ5" s="16">
        <v>0.5714285714285714</v>
      </c>
      <c r="EK5" s="12">
        <v>9</v>
      </c>
      <c r="EL5" s="12">
        <v>22</v>
      </c>
      <c r="EM5" s="12">
        <v>31</v>
      </c>
      <c r="EN5" s="12">
        <v>17</v>
      </c>
      <c r="EO5" s="12">
        <v>14</v>
      </c>
      <c r="EP5" s="12">
        <v>21</v>
      </c>
      <c r="EQ5" s="12">
        <v>5</v>
      </c>
      <c r="ER5" s="12">
        <v>16</v>
      </c>
      <c r="ES5" s="12">
        <v>3</v>
      </c>
      <c r="ET5" s="12">
        <v>2</v>
      </c>
      <c r="EU5" s="12">
        <v>81</v>
      </c>
      <c r="EV5" s="12">
        <v>-21</v>
      </c>
      <c r="EW5" s="12">
        <v>69</v>
      </c>
      <c r="EX5" s="12">
        <v>78</v>
      </c>
      <c r="EY5" s="12">
        <v>3</v>
      </c>
      <c r="EZ5" s="12">
        <v>7</v>
      </c>
      <c r="FA5" s="12">
        <v>7</v>
      </c>
      <c r="FB5" s="12">
        <v>3</v>
      </c>
      <c r="FC5" s="12">
        <v>4</v>
      </c>
      <c r="FD5" s="12">
        <v>1</v>
      </c>
      <c r="FE5" s="12">
        <v>0</v>
      </c>
      <c r="FF5" s="12">
        <v>3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4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9</v>
      </c>
      <c r="FS5" s="12">
        <v>3</v>
      </c>
      <c r="FT5" s="12">
        <v>1</v>
      </c>
      <c r="FU5" s="12">
        <v>0</v>
      </c>
      <c r="FV5" s="12">
        <v>0</v>
      </c>
      <c r="FW5" s="12">
        <v>0</v>
      </c>
      <c r="FX5" s="12">
        <v>11</v>
      </c>
      <c r="FY5" s="12">
        <v>1</v>
      </c>
      <c r="FZ5" s="12">
        <v>1</v>
      </c>
      <c r="GA5" s="12">
        <v>0</v>
      </c>
      <c r="GB5" s="12">
        <v>0</v>
      </c>
      <c r="GC5" s="12">
        <v>0</v>
      </c>
      <c r="GD5" s="12">
        <v>1</v>
      </c>
      <c r="GE5" s="12">
        <v>1</v>
      </c>
      <c r="GF5" s="12">
        <v>5</v>
      </c>
      <c r="GG5" s="12">
        <v>10</v>
      </c>
      <c r="GH5" s="12">
        <v>1</v>
      </c>
      <c r="GI5" s="12">
        <v>6</v>
      </c>
      <c r="GJ5" s="12">
        <v>9</v>
      </c>
      <c r="GK5" s="12">
        <v>0</v>
      </c>
      <c r="GL5" s="12">
        <v>7</v>
      </c>
      <c r="GM5" s="12">
        <v>8</v>
      </c>
      <c r="GN5" s="12">
        <v>6</v>
      </c>
      <c r="GO5" s="12">
        <v>15</v>
      </c>
      <c r="GP5" s="12">
        <v>4</v>
      </c>
      <c r="GQ5" s="12">
        <v>6</v>
      </c>
      <c r="GR5" s="12">
        <v>2</v>
      </c>
      <c r="GS5" s="12">
        <v>4</v>
      </c>
      <c r="GT5" s="12">
        <v>7</v>
      </c>
      <c r="GU5" s="12">
        <v>21</v>
      </c>
      <c r="GV5" s="12">
        <v>0</v>
      </c>
      <c r="GW5" s="12">
        <v>0</v>
      </c>
    </row>
    <row r="6" spans="2:205" ht="15" customHeight="1" x14ac:dyDescent="0.2">
      <c r="B6" s="12">
        <v>1</v>
      </c>
      <c r="C6" s="12" t="s">
        <v>273</v>
      </c>
      <c r="D6" s="12" t="s">
        <v>274</v>
      </c>
      <c r="E6" s="14" t="s">
        <v>275</v>
      </c>
      <c r="F6" s="14" t="s">
        <v>276</v>
      </c>
      <c r="G6" s="15">
        <v>45204</v>
      </c>
      <c r="H6" s="15" t="s">
        <v>268</v>
      </c>
      <c r="I6" s="12" t="s">
        <v>269</v>
      </c>
      <c r="J6" s="12" t="s">
        <v>270</v>
      </c>
      <c r="K6" s="12">
        <v>200</v>
      </c>
      <c r="L6" s="12">
        <v>81</v>
      </c>
      <c r="M6" s="12">
        <v>26</v>
      </c>
      <c r="N6" s="12">
        <v>39</v>
      </c>
      <c r="O6" s="16">
        <v>0.66666666666666663</v>
      </c>
      <c r="P6" s="12">
        <v>5</v>
      </c>
      <c r="Q6" s="12">
        <v>17</v>
      </c>
      <c r="R6" s="16">
        <v>0.29411764705882354</v>
      </c>
      <c r="S6" s="12">
        <v>31</v>
      </c>
      <c r="T6" s="12">
        <v>56</v>
      </c>
      <c r="U6" s="16">
        <v>0.5535714285714286</v>
      </c>
      <c r="V6" s="12">
        <v>14</v>
      </c>
      <c r="W6" s="12">
        <v>18</v>
      </c>
      <c r="X6" s="16">
        <v>0.77777777777777779</v>
      </c>
      <c r="Y6" s="12">
        <v>7</v>
      </c>
      <c r="Z6" s="12">
        <v>19</v>
      </c>
      <c r="AA6" s="12">
        <v>26</v>
      </c>
      <c r="AB6" s="12">
        <v>18</v>
      </c>
      <c r="AC6" s="12">
        <v>16</v>
      </c>
      <c r="AD6" s="12">
        <v>7</v>
      </c>
      <c r="AE6" s="12">
        <v>2</v>
      </c>
      <c r="AF6" s="12">
        <v>2</v>
      </c>
      <c r="AG6" s="12">
        <v>18</v>
      </c>
      <c r="AH6" s="12">
        <v>19</v>
      </c>
      <c r="AI6" s="17">
        <v>88</v>
      </c>
      <c r="AJ6" s="12">
        <v>-15</v>
      </c>
      <c r="AK6" s="12">
        <v>73</v>
      </c>
      <c r="AL6" s="12">
        <v>80</v>
      </c>
      <c r="AM6" s="19">
        <v>1.0125</v>
      </c>
      <c r="AN6" s="19">
        <v>1.0666666666666667</v>
      </c>
      <c r="AO6" s="18">
        <v>110.95890410958904</v>
      </c>
      <c r="AP6" s="18">
        <v>128</v>
      </c>
      <c r="AQ6" s="18">
        <v>-17.041095890410958</v>
      </c>
      <c r="AR6" s="53">
        <v>0.5982142857142857</v>
      </c>
      <c r="AS6" s="53">
        <v>0.6328125</v>
      </c>
      <c r="AT6" s="16">
        <v>8.7499999999999994E-2</v>
      </c>
      <c r="AU6" s="19">
        <v>1.7142857142857142</v>
      </c>
      <c r="AV6" s="16">
        <v>0.33750000000000002</v>
      </c>
      <c r="AW6" s="19">
        <v>1.3333333333333333</v>
      </c>
      <c r="AX6" s="16">
        <v>6.25E-2</v>
      </c>
      <c r="AY6" s="19">
        <v>0.8</v>
      </c>
      <c r="AZ6" s="16">
        <v>2.5000000000000001E-2</v>
      </c>
      <c r="BA6" s="19">
        <v>0</v>
      </c>
      <c r="BB6" s="16">
        <v>0.1875</v>
      </c>
      <c r="BC6" s="21">
        <v>1</v>
      </c>
      <c r="BD6" s="16">
        <v>0.1</v>
      </c>
      <c r="BE6" s="16">
        <v>0.2</v>
      </c>
      <c r="BF6" s="16">
        <v>0.47368421052631576</v>
      </c>
      <c r="BG6" s="16">
        <v>0.42307692307692307</v>
      </c>
      <c r="BH6" s="16">
        <v>0.8</v>
      </c>
      <c r="BI6" s="16">
        <v>0.42857142857142855</v>
      </c>
      <c r="BJ6" s="16">
        <v>0.22500000000000001</v>
      </c>
      <c r="BK6" s="21">
        <v>1.125</v>
      </c>
      <c r="BL6" s="16">
        <v>0.26923076923076922</v>
      </c>
      <c r="BM6" s="16">
        <v>0.33333333333333331</v>
      </c>
      <c r="BN6" s="16">
        <v>0.30769230769230771</v>
      </c>
      <c r="BO6" s="16">
        <v>0</v>
      </c>
      <c r="BP6" s="16">
        <v>0.55882352941176472</v>
      </c>
      <c r="BQ6" s="16">
        <v>0.52631578947368418</v>
      </c>
      <c r="BR6" s="16">
        <v>0.45</v>
      </c>
      <c r="BS6" s="16">
        <v>1</v>
      </c>
      <c r="BT6" s="16">
        <v>0.43333333333333335</v>
      </c>
      <c r="BU6" s="16">
        <v>9.3333333333333338E-2</v>
      </c>
      <c r="BV6" s="16">
        <v>2.8985507246376812E-2</v>
      </c>
      <c r="BW6" s="16">
        <v>4</v>
      </c>
      <c r="BX6" s="16">
        <v>0.61111111111111116</v>
      </c>
      <c r="BY6" s="16">
        <v>0.52631578947368418</v>
      </c>
      <c r="BZ6" s="12">
        <v>11</v>
      </c>
      <c r="CA6" s="12">
        <v>4</v>
      </c>
      <c r="CB6" s="12">
        <v>3</v>
      </c>
      <c r="CC6" s="12">
        <v>6</v>
      </c>
      <c r="CD6" s="12">
        <v>1</v>
      </c>
      <c r="CE6" s="12">
        <v>0</v>
      </c>
      <c r="CF6" s="12">
        <v>2</v>
      </c>
      <c r="CG6" s="12">
        <v>1</v>
      </c>
      <c r="CH6" s="12">
        <v>1</v>
      </c>
      <c r="CI6" s="12">
        <v>0</v>
      </c>
      <c r="CJ6" s="12">
        <v>1</v>
      </c>
      <c r="CK6" s="12">
        <v>0</v>
      </c>
      <c r="CL6" s="12">
        <v>2</v>
      </c>
      <c r="CM6" s="12">
        <v>1</v>
      </c>
      <c r="CN6" s="12">
        <v>0</v>
      </c>
      <c r="CO6" s="12">
        <v>0</v>
      </c>
      <c r="CP6" s="12">
        <v>1</v>
      </c>
      <c r="CQ6" s="12">
        <v>1</v>
      </c>
      <c r="CR6" s="12">
        <v>6</v>
      </c>
      <c r="CS6" s="12">
        <v>0</v>
      </c>
      <c r="CT6" s="12">
        <v>2</v>
      </c>
      <c r="CU6" s="12">
        <v>0</v>
      </c>
      <c r="CV6" s="12">
        <v>3</v>
      </c>
      <c r="CW6" s="12">
        <v>0</v>
      </c>
      <c r="CX6" s="12">
        <v>5</v>
      </c>
      <c r="CY6" s="12">
        <v>1</v>
      </c>
      <c r="CZ6" s="12">
        <v>2</v>
      </c>
      <c r="DA6" s="12">
        <v>0</v>
      </c>
      <c r="DB6" s="12">
        <v>0</v>
      </c>
      <c r="DC6" s="12">
        <v>0</v>
      </c>
      <c r="DD6" s="12">
        <v>2</v>
      </c>
      <c r="DE6" s="12">
        <v>2</v>
      </c>
      <c r="DF6" s="12">
        <v>12</v>
      </c>
      <c r="DG6" s="12">
        <v>16</v>
      </c>
      <c r="DH6" s="12">
        <v>1</v>
      </c>
      <c r="DI6" s="12">
        <v>0</v>
      </c>
      <c r="DJ6" s="12">
        <v>0</v>
      </c>
      <c r="DK6" s="12">
        <v>0</v>
      </c>
      <c r="DL6" s="12">
        <v>6</v>
      </c>
      <c r="DM6" s="12">
        <v>7</v>
      </c>
      <c r="DN6" s="12">
        <v>18</v>
      </c>
      <c r="DO6" s="12">
        <v>27</v>
      </c>
      <c r="DP6" s="12">
        <v>2</v>
      </c>
      <c r="DQ6" s="12">
        <v>5</v>
      </c>
      <c r="DR6" s="12">
        <v>0</v>
      </c>
      <c r="DS6" s="12">
        <v>2</v>
      </c>
      <c r="DT6" s="12">
        <v>5</v>
      </c>
      <c r="DU6" s="12">
        <v>15</v>
      </c>
      <c r="DV6" s="12">
        <v>0</v>
      </c>
      <c r="DW6" s="12">
        <v>0</v>
      </c>
      <c r="DX6" s="12">
        <v>96</v>
      </c>
      <c r="DY6" s="12">
        <v>27</v>
      </c>
      <c r="DZ6" s="12">
        <v>43</v>
      </c>
      <c r="EA6" s="16">
        <v>0.62790697674418605</v>
      </c>
      <c r="EB6" s="12">
        <v>9</v>
      </c>
      <c r="EC6" s="12">
        <v>26</v>
      </c>
      <c r="ED6" s="16">
        <v>0.34615384615384615</v>
      </c>
      <c r="EE6" s="12">
        <v>36</v>
      </c>
      <c r="EF6" s="12">
        <v>69</v>
      </c>
      <c r="EG6" s="16">
        <v>0.52173913043478259</v>
      </c>
      <c r="EH6" s="12">
        <v>15</v>
      </c>
      <c r="EI6" s="12">
        <v>20</v>
      </c>
      <c r="EJ6" s="16">
        <v>0.75</v>
      </c>
      <c r="EK6" s="12">
        <v>15</v>
      </c>
      <c r="EL6" s="12">
        <v>19</v>
      </c>
      <c r="EM6" s="12">
        <v>34</v>
      </c>
      <c r="EN6" s="12">
        <v>31</v>
      </c>
      <c r="EO6" s="12">
        <v>19</v>
      </c>
      <c r="EP6" s="12">
        <v>18</v>
      </c>
      <c r="EQ6" s="12">
        <v>11</v>
      </c>
      <c r="ER6" s="12">
        <v>12</v>
      </c>
      <c r="ES6" s="12">
        <v>2</v>
      </c>
      <c r="ET6" s="12">
        <v>2</v>
      </c>
      <c r="EU6" s="12">
        <v>121</v>
      </c>
      <c r="EV6" s="12">
        <v>15</v>
      </c>
      <c r="EW6" s="12">
        <v>75</v>
      </c>
      <c r="EX6" s="12">
        <v>90</v>
      </c>
      <c r="EY6" s="12">
        <v>5</v>
      </c>
      <c r="EZ6" s="12">
        <v>20</v>
      </c>
      <c r="FA6" s="12">
        <v>5</v>
      </c>
      <c r="FB6" s="12">
        <v>6</v>
      </c>
      <c r="FC6" s="12">
        <v>10</v>
      </c>
      <c r="FD6" s="12">
        <v>0</v>
      </c>
      <c r="FE6" s="12">
        <v>0</v>
      </c>
      <c r="FF6" s="12">
        <v>6</v>
      </c>
      <c r="FG6" s="12">
        <v>3</v>
      </c>
      <c r="FH6" s="12">
        <v>0</v>
      </c>
      <c r="FI6" s="12">
        <v>0</v>
      </c>
      <c r="FJ6" s="12">
        <v>1</v>
      </c>
      <c r="FK6" s="12">
        <v>0</v>
      </c>
      <c r="FL6" s="12">
        <v>8</v>
      </c>
      <c r="FM6" s="12">
        <v>2</v>
      </c>
      <c r="FN6" s="12">
        <v>0</v>
      </c>
      <c r="FO6" s="12">
        <v>0</v>
      </c>
      <c r="FP6" s="12">
        <v>0</v>
      </c>
      <c r="FQ6" s="12">
        <v>0</v>
      </c>
      <c r="FR6" s="12">
        <v>7</v>
      </c>
      <c r="FS6" s="12">
        <v>1</v>
      </c>
      <c r="FT6" s="12">
        <v>2</v>
      </c>
      <c r="FU6" s="12">
        <v>0</v>
      </c>
      <c r="FV6" s="12">
        <v>1</v>
      </c>
      <c r="FW6" s="12">
        <v>0</v>
      </c>
      <c r="FX6" s="12">
        <v>8</v>
      </c>
      <c r="FY6" s="12">
        <v>0</v>
      </c>
      <c r="FZ6" s="12">
        <v>1</v>
      </c>
      <c r="GA6" s="12">
        <v>0</v>
      </c>
      <c r="GB6" s="12">
        <v>0</v>
      </c>
      <c r="GC6" s="12">
        <v>0</v>
      </c>
      <c r="GD6" s="12">
        <v>2</v>
      </c>
      <c r="GE6" s="12">
        <v>2</v>
      </c>
      <c r="GF6" s="12">
        <v>13</v>
      </c>
      <c r="GG6" s="12">
        <v>18</v>
      </c>
      <c r="GH6" s="12">
        <v>0</v>
      </c>
      <c r="GI6" s="12">
        <v>0</v>
      </c>
      <c r="GJ6" s="12">
        <v>0</v>
      </c>
      <c r="GK6" s="12">
        <v>0</v>
      </c>
      <c r="GL6" s="12">
        <v>9</v>
      </c>
      <c r="GM6" s="12">
        <v>10</v>
      </c>
      <c r="GN6" s="12">
        <v>15</v>
      </c>
      <c r="GO6" s="12">
        <v>28</v>
      </c>
      <c r="GP6" s="12">
        <v>3</v>
      </c>
      <c r="GQ6" s="12">
        <v>5</v>
      </c>
      <c r="GR6" s="12">
        <v>0</v>
      </c>
      <c r="GS6" s="12">
        <v>4</v>
      </c>
      <c r="GT6" s="12">
        <v>9</v>
      </c>
      <c r="GU6" s="12">
        <v>22</v>
      </c>
      <c r="GV6" s="12">
        <v>0</v>
      </c>
      <c r="GW6" s="12">
        <v>0</v>
      </c>
    </row>
    <row r="7" spans="2:205" ht="15" customHeight="1" x14ac:dyDescent="0.2">
      <c r="B7" s="12">
        <v>1</v>
      </c>
      <c r="C7" s="12" t="s">
        <v>274</v>
      </c>
      <c r="D7" s="12" t="s">
        <v>273</v>
      </c>
      <c r="E7" s="14" t="s">
        <v>276</v>
      </c>
      <c r="F7" s="14" t="s">
        <v>275</v>
      </c>
      <c r="G7" s="15">
        <v>45204</v>
      </c>
      <c r="H7" s="15" t="s">
        <v>271</v>
      </c>
      <c r="I7" s="12" t="s">
        <v>269</v>
      </c>
      <c r="J7" s="12" t="s">
        <v>272</v>
      </c>
      <c r="K7" s="12">
        <v>200</v>
      </c>
      <c r="L7" s="12">
        <v>96</v>
      </c>
      <c r="M7" s="12">
        <v>27</v>
      </c>
      <c r="N7" s="12">
        <v>43</v>
      </c>
      <c r="O7" s="16">
        <v>0.62790697674418605</v>
      </c>
      <c r="P7" s="12">
        <v>9</v>
      </c>
      <c r="Q7" s="12">
        <v>26</v>
      </c>
      <c r="R7" s="16">
        <v>0.34615384615384615</v>
      </c>
      <c r="S7" s="12">
        <v>36</v>
      </c>
      <c r="T7" s="12">
        <v>69</v>
      </c>
      <c r="U7" s="16">
        <v>0.52173913043478259</v>
      </c>
      <c r="V7" s="12">
        <v>15</v>
      </c>
      <c r="W7" s="12">
        <v>20</v>
      </c>
      <c r="X7" s="16">
        <v>0.75</v>
      </c>
      <c r="Y7" s="12">
        <v>15</v>
      </c>
      <c r="Z7" s="12">
        <v>19</v>
      </c>
      <c r="AA7" s="12">
        <v>34</v>
      </c>
      <c r="AB7" s="12">
        <v>31</v>
      </c>
      <c r="AC7" s="12">
        <v>12</v>
      </c>
      <c r="AD7" s="12">
        <v>11</v>
      </c>
      <c r="AE7" s="12">
        <v>2</v>
      </c>
      <c r="AF7" s="12">
        <v>2</v>
      </c>
      <c r="AG7" s="12">
        <v>19</v>
      </c>
      <c r="AH7" s="12">
        <v>18</v>
      </c>
      <c r="AI7" s="17">
        <v>121</v>
      </c>
      <c r="AJ7" s="12">
        <v>15</v>
      </c>
      <c r="AK7" s="12">
        <v>75</v>
      </c>
      <c r="AL7" s="12">
        <v>90</v>
      </c>
      <c r="AM7" s="19">
        <v>1.0666666666666667</v>
      </c>
      <c r="AN7" s="19">
        <v>1.0125</v>
      </c>
      <c r="AO7" s="18">
        <v>128</v>
      </c>
      <c r="AP7" s="18">
        <v>110.95890410958904</v>
      </c>
      <c r="AQ7" s="18">
        <v>17.041095890410958</v>
      </c>
      <c r="AR7" s="53">
        <v>0.58695652173913049</v>
      </c>
      <c r="AS7" s="53">
        <v>0.61538461538461542</v>
      </c>
      <c r="AT7" s="16">
        <v>0.1111111111111111</v>
      </c>
      <c r="AU7" s="19">
        <v>1.8</v>
      </c>
      <c r="AV7" s="16">
        <v>0.31111111111111112</v>
      </c>
      <c r="AW7" s="19">
        <v>1.0714285714285714</v>
      </c>
      <c r="AX7" s="16">
        <v>5.5555555555555552E-2</v>
      </c>
      <c r="AY7" s="19">
        <v>1.2</v>
      </c>
      <c r="AZ7" s="16">
        <v>4.4444444444444446E-2</v>
      </c>
      <c r="BA7" s="19">
        <v>0</v>
      </c>
      <c r="BB7" s="16">
        <v>0.24444444444444444</v>
      </c>
      <c r="BC7" s="21">
        <v>1.2272727272727273</v>
      </c>
      <c r="BD7" s="16">
        <v>0.1</v>
      </c>
      <c r="BE7" s="16">
        <v>0.13333333333333333</v>
      </c>
      <c r="BF7" s="16">
        <v>0.68888888888888888</v>
      </c>
      <c r="BG7" s="16">
        <v>0.7407407407407407</v>
      </c>
      <c r="BH7" s="16">
        <v>0.55555555555555558</v>
      </c>
      <c r="BI7" s="16">
        <v>0.66666666666666663</v>
      </c>
      <c r="BJ7" s="16">
        <v>0.34444444444444444</v>
      </c>
      <c r="BK7" s="21">
        <v>2.5833333333333335</v>
      </c>
      <c r="BL7" s="16">
        <v>0.44117647058823528</v>
      </c>
      <c r="BM7" s="16">
        <v>0.47368421052631576</v>
      </c>
      <c r="BN7" s="16">
        <v>0.55000000000000004</v>
      </c>
      <c r="BO7" s="16">
        <v>0</v>
      </c>
      <c r="BP7" s="16">
        <v>0.73076923076923073</v>
      </c>
      <c r="BQ7" s="16">
        <v>0.66666666666666663</v>
      </c>
      <c r="BR7" s="16">
        <v>0.69230769230769229</v>
      </c>
      <c r="BS7" s="16">
        <v>1</v>
      </c>
      <c r="BT7" s="16">
        <v>0.56666666666666665</v>
      </c>
      <c r="BU7" s="16">
        <v>0.15068493150684931</v>
      </c>
      <c r="BV7" s="16">
        <v>3.5714285714285712E-2</v>
      </c>
      <c r="BW7" s="16">
        <v>5</v>
      </c>
      <c r="BX7" s="16">
        <v>0.52631578947368418</v>
      </c>
      <c r="BY7" s="16">
        <v>0.61111111111111116</v>
      </c>
      <c r="BZ7" s="12">
        <v>20</v>
      </c>
      <c r="CA7" s="12">
        <v>5</v>
      </c>
      <c r="CB7" s="12">
        <v>6</v>
      </c>
      <c r="CC7" s="12">
        <v>10</v>
      </c>
      <c r="CD7" s="12">
        <v>0</v>
      </c>
      <c r="CE7" s="12">
        <v>0</v>
      </c>
      <c r="CF7" s="12">
        <v>6</v>
      </c>
      <c r="CG7" s="12">
        <v>3</v>
      </c>
      <c r="CH7" s="12">
        <v>0</v>
      </c>
      <c r="CI7" s="12">
        <v>0</v>
      </c>
      <c r="CJ7" s="12">
        <v>1</v>
      </c>
      <c r="CK7" s="12">
        <v>0</v>
      </c>
      <c r="CL7" s="12">
        <v>8</v>
      </c>
      <c r="CM7" s="12">
        <v>2</v>
      </c>
      <c r="CN7" s="12">
        <v>0</v>
      </c>
      <c r="CO7" s="12">
        <v>0</v>
      </c>
      <c r="CP7" s="12">
        <v>0</v>
      </c>
      <c r="CQ7" s="12">
        <v>0</v>
      </c>
      <c r="CR7" s="12">
        <v>7</v>
      </c>
      <c r="CS7" s="12">
        <v>1</v>
      </c>
      <c r="CT7" s="12">
        <v>2</v>
      </c>
      <c r="CU7" s="12">
        <v>0</v>
      </c>
      <c r="CV7" s="12">
        <v>1</v>
      </c>
      <c r="CW7" s="12">
        <v>0</v>
      </c>
      <c r="CX7" s="12">
        <v>8</v>
      </c>
      <c r="CY7" s="12">
        <v>0</v>
      </c>
      <c r="CZ7" s="12">
        <v>1</v>
      </c>
      <c r="DA7" s="12">
        <v>0</v>
      </c>
      <c r="DB7" s="12">
        <v>0</v>
      </c>
      <c r="DC7" s="12">
        <v>0</v>
      </c>
      <c r="DD7" s="12">
        <v>2</v>
      </c>
      <c r="DE7" s="12">
        <v>2</v>
      </c>
      <c r="DF7" s="12">
        <v>13</v>
      </c>
      <c r="DG7" s="12">
        <v>18</v>
      </c>
      <c r="DH7" s="12">
        <v>0</v>
      </c>
      <c r="DI7" s="12">
        <v>0</v>
      </c>
      <c r="DJ7" s="12">
        <v>0</v>
      </c>
      <c r="DK7" s="12">
        <v>0</v>
      </c>
      <c r="DL7" s="12">
        <v>9</v>
      </c>
      <c r="DM7" s="12">
        <v>10</v>
      </c>
      <c r="DN7" s="12">
        <v>15</v>
      </c>
      <c r="DO7" s="12">
        <v>28</v>
      </c>
      <c r="DP7" s="12">
        <v>3</v>
      </c>
      <c r="DQ7" s="12">
        <v>5</v>
      </c>
      <c r="DR7" s="12">
        <v>0</v>
      </c>
      <c r="DS7" s="12">
        <v>4</v>
      </c>
      <c r="DT7" s="12">
        <v>9</v>
      </c>
      <c r="DU7" s="12">
        <v>22</v>
      </c>
      <c r="DV7" s="12">
        <v>0</v>
      </c>
      <c r="DW7" s="12">
        <v>0</v>
      </c>
      <c r="DX7" s="12">
        <v>81</v>
      </c>
      <c r="DY7" s="12">
        <v>26</v>
      </c>
      <c r="DZ7" s="12">
        <v>39</v>
      </c>
      <c r="EA7" s="16">
        <v>0.66666666666666663</v>
      </c>
      <c r="EB7" s="12">
        <v>5</v>
      </c>
      <c r="EC7" s="12">
        <v>17</v>
      </c>
      <c r="ED7" s="16">
        <v>0.29411764705882354</v>
      </c>
      <c r="EE7" s="12">
        <v>31</v>
      </c>
      <c r="EF7" s="12">
        <v>56</v>
      </c>
      <c r="EG7" s="16">
        <v>0.5535714285714286</v>
      </c>
      <c r="EH7" s="12">
        <v>14</v>
      </c>
      <c r="EI7" s="12">
        <v>18</v>
      </c>
      <c r="EJ7" s="16">
        <v>0.77777777777777779</v>
      </c>
      <c r="EK7" s="12">
        <v>7</v>
      </c>
      <c r="EL7" s="12">
        <v>19</v>
      </c>
      <c r="EM7" s="12">
        <v>26</v>
      </c>
      <c r="EN7" s="12">
        <v>18</v>
      </c>
      <c r="EO7" s="12">
        <v>18</v>
      </c>
      <c r="EP7" s="12">
        <v>19</v>
      </c>
      <c r="EQ7" s="12">
        <v>7</v>
      </c>
      <c r="ER7" s="12">
        <v>16</v>
      </c>
      <c r="ES7" s="12">
        <v>2</v>
      </c>
      <c r="ET7" s="12">
        <v>2</v>
      </c>
      <c r="EU7" s="12">
        <v>88</v>
      </c>
      <c r="EV7" s="12">
        <v>-15</v>
      </c>
      <c r="EW7" s="12">
        <v>73</v>
      </c>
      <c r="EX7" s="12">
        <v>80</v>
      </c>
      <c r="EY7" s="12">
        <v>4</v>
      </c>
      <c r="EZ7" s="12">
        <v>11</v>
      </c>
      <c r="FA7" s="12">
        <v>4</v>
      </c>
      <c r="FB7" s="12">
        <v>3</v>
      </c>
      <c r="FC7" s="12">
        <v>6</v>
      </c>
      <c r="FD7" s="12">
        <v>1</v>
      </c>
      <c r="FE7" s="12">
        <v>0</v>
      </c>
      <c r="FF7" s="12">
        <v>2</v>
      </c>
      <c r="FG7" s="12">
        <v>1</v>
      </c>
      <c r="FH7" s="12">
        <v>1</v>
      </c>
      <c r="FI7" s="12">
        <v>0</v>
      </c>
      <c r="FJ7" s="12">
        <v>1</v>
      </c>
      <c r="FK7" s="12">
        <v>0</v>
      </c>
      <c r="FL7" s="12">
        <v>2</v>
      </c>
      <c r="FM7" s="12">
        <v>1</v>
      </c>
      <c r="FN7" s="12">
        <v>0</v>
      </c>
      <c r="FO7" s="12">
        <v>0</v>
      </c>
      <c r="FP7" s="12">
        <v>1</v>
      </c>
      <c r="FQ7" s="12">
        <v>1</v>
      </c>
      <c r="FR7" s="12">
        <v>6</v>
      </c>
      <c r="FS7" s="12">
        <v>0</v>
      </c>
      <c r="FT7" s="12">
        <v>2</v>
      </c>
      <c r="FU7" s="12">
        <v>0</v>
      </c>
      <c r="FV7" s="12">
        <v>3</v>
      </c>
      <c r="FW7" s="12">
        <v>0</v>
      </c>
      <c r="FX7" s="12">
        <v>5</v>
      </c>
      <c r="FY7" s="12">
        <v>1</v>
      </c>
      <c r="FZ7" s="12">
        <v>2</v>
      </c>
      <c r="GA7" s="12">
        <v>0</v>
      </c>
      <c r="GB7" s="12">
        <v>0</v>
      </c>
      <c r="GC7" s="12">
        <v>0</v>
      </c>
      <c r="GD7" s="12">
        <v>2</v>
      </c>
      <c r="GE7" s="12">
        <v>2</v>
      </c>
      <c r="GF7" s="12">
        <v>12</v>
      </c>
      <c r="GG7" s="12">
        <v>16</v>
      </c>
      <c r="GH7" s="12">
        <v>1</v>
      </c>
      <c r="GI7" s="12">
        <v>0</v>
      </c>
      <c r="GJ7" s="12">
        <v>0</v>
      </c>
      <c r="GK7" s="12">
        <v>0</v>
      </c>
      <c r="GL7" s="12">
        <v>6</v>
      </c>
      <c r="GM7" s="12">
        <v>7</v>
      </c>
      <c r="GN7" s="12">
        <v>18</v>
      </c>
      <c r="GO7" s="12">
        <v>27</v>
      </c>
      <c r="GP7" s="12">
        <v>2</v>
      </c>
      <c r="GQ7" s="12">
        <v>5</v>
      </c>
      <c r="GR7" s="12">
        <v>0</v>
      </c>
      <c r="GS7" s="12">
        <v>2</v>
      </c>
      <c r="GT7" s="12">
        <v>5</v>
      </c>
      <c r="GU7" s="12">
        <v>15</v>
      </c>
      <c r="GV7" s="12">
        <v>0</v>
      </c>
      <c r="GW7" s="12">
        <v>0</v>
      </c>
    </row>
    <row r="8" spans="2:205" ht="15" customHeight="1" x14ac:dyDescent="0.2">
      <c r="B8" s="12">
        <v>1</v>
      </c>
      <c r="C8" s="12" t="s">
        <v>277</v>
      </c>
      <c r="D8" s="12" t="s">
        <v>278</v>
      </c>
      <c r="E8" s="14" t="s">
        <v>279</v>
      </c>
      <c r="F8" s="14" t="s">
        <v>280</v>
      </c>
      <c r="G8" s="15">
        <v>45204</v>
      </c>
      <c r="H8" s="15" t="s">
        <v>271</v>
      </c>
      <c r="I8" s="12" t="s">
        <v>269</v>
      </c>
      <c r="J8" s="12" t="s">
        <v>272</v>
      </c>
      <c r="K8" s="12">
        <v>200</v>
      </c>
      <c r="L8" s="12">
        <v>91</v>
      </c>
      <c r="M8" s="12">
        <v>32</v>
      </c>
      <c r="N8" s="12">
        <v>42</v>
      </c>
      <c r="O8" s="16">
        <v>0.76190476190476186</v>
      </c>
      <c r="P8" s="12">
        <v>6</v>
      </c>
      <c r="Q8" s="12">
        <v>20</v>
      </c>
      <c r="R8" s="16">
        <v>0.3</v>
      </c>
      <c r="S8" s="12">
        <v>38</v>
      </c>
      <c r="T8" s="12">
        <v>62</v>
      </c>
      <c r="U8" s="16">
        <v>0.61290322580645162</v>
      </c>
      <c r="V8" s="12">
        <v>9</v>
      </c>
      <c r="W8" s="12">
        <v>12</v>
      </c>
      <c r="X8" s="16">
        <v>0.75</v>
      </c>
      <c r="Y8" s="12">
        <v>9</v>
      </c>
      <c r="Z8" s="12">
        <v>26</v>
      </c>
      <c r="AA8" s="12">
        <v>35</v>
      </c>
      <c r="AB8" s="12">
        <v>21</v>
      </c>
      <c r="AC8" s="12">
        <v>13</v>
      </c>
      <c r="AD8" s="12">
        <v>5</v>
      </c>
      <c r="AE8" s="12">
        <v>3</v>
      </c>
      <c r="AF8" s="12">
        <v>1</v>
      </c>
      <c r="AG8" s="12">
        <v>15</v>
      </c>
      <c r="AH8" s="12">
        <v>15</v>
      </c>
      <c r="AI8" s="17">
        <v>114</v>
      </c>
      <c r="AJ8" s="12">
        <v>17</v>
      </c>
      <c r="AK8" s="12">
        <v>71</v>
      </c>
      <c r="AL8" s="12">
        <v>80</v>
      </c>
      <c r="AM8" s="19">
        <v>1.1375</v>
      </c>
      <c r="AN8" s="19">
        <v>0.93670886075949367</v>
      </c>
      <c r="AO8" s="18">
        <v>128.16901408450704</v>
      </c>
      <c r="AP8" s="18">
        <v>105.71428571428572</v>
      </c>
      <c r="AQ8" s="18">
        <v>22.454728370221318</v>
      </c>
      <c r="AR8" s="53">
        <v>0.66129032258064513</v>
      </c>
      <c r="AS8" s="53">
        <v>0.67910447761194026</v>
      </c>
      <c r="AT8" s="16">
        <v>0.13750000000000001</v>
      </c>
      <c r="AU8" s="19">
        <v>1.8181818181818181</v>
      </c>
      <c r="AV8" s="16">
        <v>0.35</v>
      </c>
      <c r="AW8" s="19">
        <v>1.4285714285714286</v>
      </c>
      <c r="AX8" s="16">
        <v>3.7499999999999999E-2</v>
      </c>
      <c r="AY8" s="19">
        <v>1.3333333333333333</v>
      </c>
      <c r="AZ8" s="16">
        <v>2.5000000000000001E-2</v>
      </c>
      <c r="BA8" s="19">
        <v>3</v>
      </c>
      <c r="BB8" s="16">
        <v>0.22500000000000001</v>
      </c>
      <c r="BC8" s="21">
        <v>0.66666666666666663</v>
      </c>
      <c r="BD8" s="16">
        <v>6.25E-2</v>
      </c>
      <c r="BE8" s="16">
        <v>0.16250000000000001</v>
      </c>
      <c r="BF8" s="16">
        <v>0.48837209302325579</v>
      </c>
      <c r="BG8" s="16">
        <v>0.53125</v>
      </c>
      <c r="BH8" s="16">
        <v>0.66666666666666663</v>
      </c>
      <c r="BI8" s="16">
        <v>0</v>
      </c>
      <c r="BJ8" s="16">
        <v>0.26250000000000001</v>
      </c>
      <c r="BK8" s="21">
        <v>1.6153846153846154</v>
      </c>
      <c r="BL8" s="16">
        <v>0.36</v>
      </c>
      <c r="BM8" s="16">
        <v>0.5</v>
      </c>
      <c r="BN8" s="16">
        <v>0.2857142857142857</v>
      </c>
      <c r="BO8" s="16">
        <v>0</v>
      </c>
      <c r="BP8" s="16">
        <v>0.74285714285714288</v>
      </c>
      <c r="BQ8" s="16">
        <v>0.6</v>
      </c>
      <c r="BR8" s="16">
        <v>0.8</v>
      </c>
      <c r="BS8" s="16" t="s">
        <v>269</v>
      </c>
      <c r="BT8" s="16">
        <v>0.58333333333333337</v>
      </c>
      <c r="BU8" s="16">
        <v>7.1428571428571425E-2</v>
      </c>
      <c r="BV8" s="16">
        <v>4.4776119402985072E-2</v>
      </c>
      <c r="BW8" s="16">
        <v>5</v>
      </c>
      <c r="BX8" s="16">
        <v>0.2</v>
      </c>
      <c r="BY8" s="16">
        <v>0.46666666666666667</v>
      </c>
      <c r="BZ8" s="12">
        <v>17</v>
      </c>
      <c r="CA8" s="12">
        <v>4</v>
      </c>
      <c r="CB8" s="12">
        <v>0</v>
      </c>
      <c r="CC8" s="12">
        <v>0</v>
      </c>
      <c r="CD8" s="12">
        <v>1</v>
      </c>
      <c r="CE8" s="12">
        <v>0</v>
      </c>
      <c r="CF8" s="12">
        <v>3</v>
      </c>
      <c r="CG8" s="12">
        <v>0</v>
      </c>
      <c r="CH8" s="12">
        <v>1</v>
      </c>
      <c r="CI8" s="12">
        <v>0</v>
      </c>
      <c r="CJ8" s="12">
        <v>0</v>
      </c>
      <c r="CK8" s="12">
        <v>0</v>
      </c>
      <c r="CL8" s="12">
        <v>4</v>
      </c>
      <c r="CM8" s="12">
        <v>0</v>
      </c>
      <c r="CN8" s="12">
        <v>0</v>
      </c>
      <c r="CO8" s="12">
        <v>0</v>
      </c>
      <c r="CP8" s="12">
        <v>1</v>
      </c>
      <c r="CQ8" s="12">
        <v>0</v>
      </c>
      <c r="CR8" s="12">
        <v>7</v>
      </c>
      <c r="CS8" s="12">
        <v>1</v>
      </c>
      <c r="CT8" s="12">
        <v>3</v>
      </c>
      <c r="CU8" s="12">
        <v>0</v>
      </c>
      <c r="CV8" s="12">
        <v>3</v>
      </c>
      <c r="CW8" s="12">
        <v>0</v>
      </c>
      <c r="CX8" s="12">
        <v>12</v>
      </c>
      <c r="CY8" s="12">
        <v>1</v>
      </c>
      <c r="CZ8" s="12">
        <v>0</v>
      </c>
      <c r="DA8" s="12">
        <v>0</v>
      </c>
      <c r="DB8" s="12">
        <v>0</v>
      </c>
      <c r="DC8" s="12">
        <v>0</v>
      </c>
      <c r="DD8" s="12">
        <v>1</v>
      </c>
      <c r="DE8" s="12">
        <v>2</v>
      </c>
      <c r="DF8" s="12">
        <v>8</v>
      </c>
      <c r="DG8" s="12">
        <v>10</v>
      </c>
      <c r="DH8" s="12">
        <v>0</v>
      </c>
      <c r="DI8" s="12">
        <v>0</v>
      </c>
      <c r="DJ8" s="12">
        <v>0</v>
      </c>
      <c r="DK8" s="12">
        <v>0</v>
      </c>
      <c r="DL8" s="12">
        <v>10</v>
      </c>
      <c r="DM8" s="12">
        <v>11</v>
      </c>
      <c r="DN8" s="12">
        <v>20</v>
      </c>
      <c r="DO8" s="12">
        <v>28</v>
      </c>
      <c r="DP8" s="12">
        <v>2</v>
      </c>
      <c r="DQ8" s="12">
        <v>3</v>
      </c>
      <c r="DR8" s="12">
        <v>2</v>
      </c>
      <c r="DS8" s="12">
        <v>2</v>
      </c>
      <c r="DT8" s="12">
        <v>4</v>
      </c>
      <c r="DU8" s="12">
        <v>18</v>
      </c>
      <c r="DV8" s="12">
        <v>0</v>
      </c>
      <c r="DW8" s="12">
        <v>0</v>
      </c>
      <c r="DX8" s="12">
        <v>74</v>
      </c>
      <c r="DY8" s="12">
        <v>22</v>
      </c>
      <c r="DZ8" s="12">
        <v>40</v>
      </c>
      <c r="EA8" s="16">
        <v>0.55000000000000004</v>
      </c>
      <c r="EB8" s="12">
        <v>9</v>
      </c>
      <c r="EC8" s="12">
        <v>27</v>
      </c>
      <c r="ED8" s="16">
        <v>0.33333333333333331</v>
      </c>
      <c r="EE8" s="12">
        <v>31</v>
      </c>
      <c r="EF8" s="12">
        <v>67</v>
      </c>
      <c r="EG8" s="16">
        <v>0.46268656716417911</v>
      </c>
      <c r="EH8" s="12">
        <v>3</v>
      </c>
      <c r="EI8" s="12">
        <v>6</v>
      </c>
      <c r="EJ8" s="16">
        <v>0.5</v>
      </c>
      <c r="EK8" s="12">
        <v>9</v>
      </c>
      <c r="EL8" s="12">
        <v>16</v>
      </c>
      <c r="EM8" s="12">
        <v>25</v>
      </c>
      <c r="EN8" s="12">
        <v>24</v>
      </c>
      <c r="EO8" s="12">
        <v>15</v>
      </c>
      <c r="EP8" s="12">
        <v>15</v>
      </c>
      <c r="EQ8" s="12">
        <v>9</v>
      </c>
      <c r="ER8" s="12">
        <v>10</v>
      </c>
      <c r="ES8" s="12">
        <v>1</v>
      </c>
      <c r="ET8" s="12">
        <v>3</v>
      </c>
      <c r="EU8" s="12">
        <v>81</v>
      </c>
      <c r="EV8" s="12">
        <v>-17</v>
      </c>
      <c r="EW8" s="12">
        <v>70</v>
      </c>
      <c r="EX8" s="12">
        <v>79</v>
      </c>
      <c r="EY8" s="12">
        <v>1</v>
      </c>
      <c r="EZ8" s="12">
        <v>15</v>
      </c>
      <c r="FA8" s="12">
        <v>8</v>
      </c>
      <c r="FB8" s="12">
        <v>1</v>
      </c>
      <c r="FC8" s="12">
        <v>2</v>
      </c>
      <c r="FD8" s="12">
        <v>0</v>
      </c>
      <c r="FE8" s="12">
        <v>0</v>
      </c>
      <c r="FF8" s="12">
        <v>6</v>
      </c>
      <c r="FG8" s="12">
        <v>1</v>
      </c>
      <c r="FH8" s="12">
        <v>1</v>
      </c>
      <c r="FI8" s="12">
        <v>0</v>
      </c>
      <c r="FJ8" s="12">
        <v>0</v>
      </c>
      <c r="FK8" s="12">
        <v>0</v>
      </c>
      <c r="FL8" s="12">
        <v>2</v>
      </c>
      <c r="FM8" s="12">
        <v>2</v>
      </c>
      <c r="FN8" s="12">
        <v>0</v>
      </c>
      <c r="FO8" s="12">
        <v>0</v>
      </c>
      <c r="FP8" s="12">
        <v>0</v>
      </c>
      <c r="FQ8" s="12">
        <v>0</v>
      </c>
      <c r="FR8" s="12">
        <v>5</v>
      </c>
      <c r="FS8" s="12">
        <v>0</v>
      </c>
      <c r="FT8" s="12">
        <v>0</v>
      </c>
      <c r="FU8" s="12">
        <v>0</v>
      </c>
      <c r="FV8" s="12">
        <v>0</v>
      </c>
      <c r="FW8" s="12">
        <v>0</v>
      </c>
      <c r="FX8" s="12">
        <v>9</v>
      </c>
      <c r="FY8" s="12">
        <v>1</v>
      </c>
      <c r="FZ8" s="12">
        <v>2</v>
      </c>
      <c r="GA8" s="12">
        <v>0</v>
      </c>
      <c r="GB8" s="12">
        <v>0</v>
      </c>
      <c r="GC8" s="12">
        <v>0</v>
      </c>
      <c r="GD8" s="12">
        <v>1</v>
      </c>
      <c r="GE8" s="12">
        <v>1</v>
      </c>
      <c r="GF8" s="12">
        <v>1</v>
      </c>
      <c r="GG8" s="12">
        <v>2</v>
      </c>
      <c r="GH8" s="12">
        <v>0</v>
      </c>
      <c r="GI8" s="12">
        <v>1</v>
      </c>
      <c r="GJ8" s="12">
        <v>3</v>
      </c>
      <c r="GK8" s="12">
        <v>0</v>
      </c>
      <c r="GL8" s="12">
        <v>4</v>
      </c>
      <c r="GM8" s="12">
        <v>5</v>
      </c>
      <c r="GN8" s="12">
        <v>16</v>
      </c>
      <c r="GO8" s="12">
        <v>29</v>
      </c>
      <c r="GP8" s="12">
        <v>2</v>
      </c>
      <c r="GQ8" s="12">
        <v>6</v>
      </c>
      <c r="GR8" s="12">
        <v>3</v>
      </c>
      <c r="GS8" s="12">
        <v>6</v>
      </c>
      <c r="GT8" s="12">
        <v>6</v>
      </c>
      <c r="GU8" s="12">
        <v>21</v>
      </c>
      <c r="GV8" s="12">
        <v>0</v>
      </c>
      <c r="GW8" s="12">
        <v>0</v>
      </c>
    </row>
    <row r="9" spans="2:205" ht="15" customHeight="1" x14ac:dyDescent="0.2">
      <c r="B9" s="12">
        <v>1</v>
      </c>
      <c r="C9" s="12" t="s">
        <v>278</v>
      </c>
      <c r="D9" s="12" t="s">
        <v>277</v>
      </c>
      <c r="E9" s="14" t="s">
        <v>280</v>
      </c>
      <c r="F9" s="14" t="s">
        <v>279</v>
      </c>
      <c r="G9" s="15">
        <v>45204</v>
      </c>
      <c r="H9" s="15" t="s">
        <v>268</v>
      </c>
      <c r="I9" s="12" t="s">
        <v>269</v>
      </c>
      <c r="J9" s="12" t="s">
        <v>270</v>
      </c>
      <c r="K9" s="12">
        <v>200</v>
      </c>
      <c r="L9" s="12">
        <v>74</v>
      </c>
      <c r="M9" s="12">
        <v>22</v>
      </c>
      <c r="N9" s="12">
        <v>40</v>
      </c>
      <c r="O9" s="16">
        <v>0.55000000000000004</v>
      </c>
      <c r="P9" s="12">
        <v>9</v>
      </c>
      <c r="Q9" s="12">
        <v>27</v>
      </c>
      <c r="R9" s="16">
        <v>0.33333333333333331</v>
      </c>
      <c r="S9" s="12">
        <v>31</v>
      </c>
      <c r="T9" s="12">
        <v>67</v>
      </c>
      <c r="U9" s="16">
        <v>0.46268656716417911</v>
      </c>
      <c r="V9" s="12">
        <v>3</v>
      </c>
      <c r="W9" s="12">
        <v>6</v>
      </c>
      <c r="X9" s="16">
        <v>0.5</v>
      </c>
      <c r="Y9" s="12">
        <v>9</v>
      </c>
      <c r="Z9" s="12">
        <v>16</v>
      </c>
      <c r="AA9" s="12">
        <v>25</v>
      </c>
      <c r="AB9" s="12">
        <v>24</v>
      </c>
      <c r="AC9" s="12">
        <v>10</v>
      </c>
      <c r="AD9" s="12">
        <v>9</v>
      </c>
      <c r="AE9" s="12">
        <v>1</v>
      </c>
      <c r="AF9" s="12">
        <v>3</v>
      </c>
      <c r="AG9" s="12">
        <v>15</v>
      </c>
      <c r="AH9" s="12">
        <v>15</v>
      </c>
      <c r="AI9" s="17">
        <v>81</v>
      </c>
      <c r="AJ9" s="12">
        <v>-17</v>
      </c>
      <c r="AK9" s="12">
        <v>70</v>
      </c>
      <c r="AL9" s="12">
        <v>79</v>
      </c>
      <c r="AM9" s="19">
        <v>0.93670886075949367</v>
      </c>
      <c r="AN9" s="19">
        <v>1.1375</v>
      </c>
      <c r="AO9" s="18">
        <v>105.71428571428572</v>
      </c>
      <c r="AP9" s="18">
        <v>128.16901408450704</v>
      </c>
      <c r="AQ9" s="18">
        <v>-22.454728370221318</v>
      </c>
      <c r="AR9" s="53">
        <v>0.52985074626865669</v>
      </c>
      <c r="AS9" s="53">
        <v>0.53623188405797106</v>
      </c>
      <c r="AT9" s="16">
        <v>6.3291139240506333E-2</v>
      </c>
      <c r="AU9" s="19">
        <v>1.6</v>
      </c>
      <c r="AV9" s="16">
        <v>0.36708860759493672</v>
      </c>
      <c r="AW9" s="19">
        <v>1.103448275862069</v>
      </c>
      <c r="AX9" s="16">
        <v>7.5949367088607597E-2</v>
      </c>
      <c r="AY9" s="19">
        <v>0.66666666666666663</v>
      </c>
      <c r="AZ9" s="16">
        <v>7.5949367088607597E-2</v>
      </c>
      <c r="BA9" s="19">
        <v>1.5</v>
      </c>
      <c r="BB9" s="16">
        <v>0.26582278481012656</v>
      </c>
      <c r="BC9" s="21">
        <v>0.8571428571428571</v>
      </c>
      <c r="BD9" s="16">
        <v>2.5316455696202531E-2</v>
      </c>
      <c r="BE9" s="16">
        <v>0.12658227848101267</v>
      </c>
      <c r="BF9" s="16">
        <v>0.72727272727272729</v>
      </c>
      <c r="BG9" s="16">
        <v>0.68181818181818177</v>
      </c>
      <c r="BH9" s="16">
        <v>0.88888888888888884</v>
      </c>
      <c r="BI9" s="16">
        <v>0.5</v>
      </c>
      <c r="BJ9" s="16">
        <v>0.30379746835443039</v>
      </c>
      <c r="BK9" s="21">
        <v>2.4</v>
      </c>
      <c r="BL9" s="16">
        <v>0.25714285714285712</v>
      </c>
      <c r="BM9" s="16">
        <v>0.4</v>
      </c>
      <c r="BN9" s="16">
        <v>0.2</v>
      </c>
      <c r="BO9" s="16" t="s">
        <v>269</v>
      </c>
      <c r="BP9" s="16">
        <v>0.64</v>
      </c>
      <c r="BQ9" s="16">
        <v>0.5</v>
      </c>
      <c r="BR9" s="16">
        <v>0.7142857142857143</v>
      </c>
      <c r="BS9" s="16">
        <v>1</v>
      </c>
      <c r="BT9" s="16">
        <v>0.41666666666666669</v>
      </c>
      <c r="BU9" s="16">
        <v>0.12676056338028169</v>
      </c>
      <c r="BV9" s="16">
        <v>1.6129032258064516E-2</v>
      </c>
      <c r="BW9" s="16">
        <v>1</v>
      </c>
      <c r="BX9" s="16">
        <v>0.46666666666666667</v>
      </c>
      <c r="BY9" s="16">
        <v>0.2</v>
      </c>
      <c r="BZ9" s="12">
        <v>15</v>
      </c>
      <c r="CA9" s="12">
        <v>8</v>
      </c>
      <c r="CB9" s="12">
        <v>1</v>
      </c>
      <c r="CC9" s="12">
        <v>2</v>
      </c>
      <c r="CD9" s="12">
        <v>0</v>
      </c>
      <c r="CE9" s="12">
        <v>0</v>
      </c>
      <c r="CF9" s="12">
        <v>6</v>
      </c>
      <c r="CG9" s="12">
        <v>1</v>
      </c>
      <c r="CH9" s="12">
        <v>1</v>
      </c>
      <c r="CI9" s="12">
        <v>0</v>
      </c>
      <c r="CJ9" s="12">
        <v>0</v>
      </c>
      <c r="CK9" s="12">
        <v>0</v>
      </c>
      <c r="CL9" s="12">
        <v>2</v>
      </c>
      <c r="CM9" s="12">
        <v>2</v>
      </c>
      <c r="CN9" s="12">
        <v>0</v>
      </c>
      <c r="CO9" s="12">
        <v>0</v>
      </c>
      <c r="CP9" s="12">
        <v>0</v>
      </c>
      <c r="CQ9" s="12">
        <v>0</v>
      </c>
      <c r="CR9" s="12">
        <v>5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9</v>
      </c>
      <c r="CY9" s="12">
        <v>1</v>
      </c>
      <c r="CZ9" s="12">
        <v>2</v>
      </c>
      <c r="DA9" s="12">
        <v>0</v>
      </c>
      <c r="DB9" s="12">
        <v>0</v>
      </c>
      <c r="DC9" s="12">
        <v>0</v>
      </c>
      <c r="DD9" s="12">
        <v>1</v>
      </c>
      <c r="DE9" s="12">
        <v>1</v>
      </c>
      <c r="DF9" s="12">
        <v>1</v>
      </c>
      <c r="DG9" s="12">
        <v>2</v>
      </c>
      <c r="DH9" s="12">
        <v>0</v>
      </c>
      <c r="DI9" s="12">
        <v>1</v>
      </c>
      <c r="DJ9" s="12">
        <v>3</v>
      </c>
      <c r="DK9" s="12">
        <v>0</v>
      </c>
      <c r="DL9" s="12">
        <v>4</v>
      </c>
      <c r="DM9" s="12">
        <v>5</v>
      </c>
      <c r="DN9" s="12">
        <v>16</v>
      </c>
      <c r="DO9" s="12">
        <v>29</v>
      </c>
      <c r="DP9" s="12">
        <v>2</v>
      </c>
      <c r="DQ9" s="12">
        <v>6</v>
      </c>
      <c r="DR9" s="12">
        <v>3</v>
      </c>
      <c r="DS9" s="12">
        <v>6</v>
      </c>
      <c r="DT9" s="12">
        <v>6</v>
      </c>
      <c r="DU9" s="12">
        <v>21</v>
      </c>
      <c r="DV9" s="12">
        <v>0</v>
      </c>
      <c r="DW9" s="12">
        <v>0</v>
      </c>
      <c r="DX9" s="12">
        <v>91</v>
      </c>
      <c r="DY9" s="12">
        <v>32</v>
      </c>
      <c r="DZ9" s="12">
        <v>42</v>
      </c>
      <c r="EA9" s="16">
        <v>0.76190476190476186</v>
      </c>
      <c r="EB9" s="12">
        <v>6</v>
      </c>
      <c r="EC9" s="12">
        <v>20</v>
      </c>
      <c r="ED9" s="16">
        <v>0.3</v>
      </c>
      <c r="EE9" s="12">
        <v>38</v>
      </c>
      <c r="EF9" s="12">
        <v>62</v>
      </c>
      <c r="EG9" s="16">
        <v>0.61290322580645162</v>
      </c>
      <c r="EH9" s="12">
        <v>9</v>
      </c>
      <c r="EI9" s="12">
        <v>12</v>
      </c>
      <c r="EJ9" s="16">
        <v>0.75</v>
      </c>
      <c r="EK9" s="12">
        <v>9</v>
      </c>
      <c r="EL9" s="12">
        <v>26</v>
      </c>
      <c r="EM9" s="12">
        <v>35</v>
      </c>
      <c r="EN9" s="12">
        <v>21</v>
      </c>
      <c r="EO9" s="12">
        <v>15</v>
      </c>
      <c r="EP9" s="12">
        <v>15</v>
      </c>
      <c r="EQ9" s="12">
        <v>5</v>
      </c>
      <c r="ER9" s="12">
        <v>13</v>
      </c>
      <c r="ES9" s="12">
        <v>3</v>
      </c>
      <c r="ET9" s="12">
        <v>1</v>
      </c>
      <c r="EU9" s="12">
        <v>114</v>
      </c>
      <c r="EV9" s="12">
        <v>17</v>
      </c>
      <c r="EW9" s="12">
        <v>71</v>
      </c>
      <c r="EX9" s="12">
        <v>80</v>
      </c>
      <c r="EY9" s="12">
        <v>5</v>
      </c>
      <c r="EZ9" s="12">
        <v>17</v>
      </c>
      <c r="FA9" s="12">
        <v>4</v>
      </c>
      <c r="FB9" s="12">
        <v>0</v>
      </c>
      <c r="FC9" s="12">
        <v>0</v>
      </c>
      <c r="FD9" s="12">
        <v>1</v>
      </c>
      <c r="FE9" s="12">
        <v>0</v>
      </c>
      <c r="FF9" s="12">
        <v>3</v>
      </c>
      <c r="FG9" s="12">
        <v>0</v>
      </c>
      <c r="FH9" s="12">
        <v>1</v>
      </c>
      <c r="FI9" s="12">
        <v>0</v>
      </c>
      <c r="FJ9" s="12">
        <v>0</v>
      </c>
      <c r="FK9" s="12">
        <v>0</v>
      </c>
      <c r="FL9" s="12">
        <v>4</v>
      </c>
      <c r="FM9" s="12">
        <v>0</v>
      </c>
      <c r="FN9" s="12">
        <v>0</v>
      </c>
      <c r="FO9" s="12">
        <v>0</v>
      </c>
      <c r="FP9" s="12">
        <v>1</v>
      </c>
      <c r="FQ9" s="12">
        <v>0</v>
      </c>
      <c r="FR9" s="12">
        <v>7</v>
      </c>
      <c r="FS9" s="12">
        <v>1</v>
      </c>
      <c r="FT9" s="12">
        <v>3</v>
      </c>
      <c r="FU9" s="12">
        <v>0</v>
      </c>
      <c r="FV9" s="12">
        <v>3</v>
      </c>
      <c r="FW9" s="12">
        <v>0</v>
      </c>
      <c r="FX9" s="12">
        <v>12</v>
      </c>
      <c r="FY9" s="12">
        <v>1</v>
      </c>
      <c r="FZ9" s="12">
        <v>0</v>
      </c>
      <c r="GA9" s="12">
        <v>0</v>
      </c>
      <c r="GB9" s="12">
        <v>0</v>
      </c>
      <c r="GC9" s="12">
        <v>0</v>
      </c>
      <c r="GD9" s="12">
        <v>1</v>
      </c>
      <c r="GE9" s="12">
        <v>2</v>
      </c>
      <c r="GF9" s="12">
        <v>8</v>
      </c>
      <c r="GG9" s="12">
        <v>10</v>
      </c>
      <c r="GH9" s="12">
        <v>0</v>
      </c>
      <c r="GI9" s="12">
        <v>0</v>
      </c>
      <c r="GJ9" s="12">
        <v>0</v>
      </c>
      <c r="GK9" s="12">
        <v>0</v>
      </c>
      <c r="GL9" s="12">
        <v>10</v>
      </c>
      <c r="GM9" s="12">
        <v>11</v>
      </c>
      <c r="GN9" s="12">
        <v>20</v>
      </c>
      <c r="GO9" s="12">
        <v>28</v>
      </c>
      <c r="GP9" s="12">
        <v>2</v>
      </c>
      <c r="GQ9" s="12">
        <v>3</v>
      </c>
      <c r="GR9" s="12">
        <v>2</v>
      </c>
      <c r="GS9" s="12">
        <v>2</v>
      </c>
      <c r="GT9" s="12">
        <v>4</v>
      </c>
      <c r="GU9" s="12">
        <v>18</v>
      </c>
      <c r="GV9" s="12">
        <v>0</v>
      </c>
      <c r="GW9" s="12">
        <v>0</v>
      </c>
    </row>
    <row r="10" spans="2:205" ht="15" customHeight="1" x14ac:dyDescent="0.2">
      <c r="B10" s="12">
        <v>1</v>
      </c>
      <c r="C10" s="12" t="s">
        <v>281</v>
      </c>
      <c r="D10" s="12" t="s">
        <v>282</v>
      </c>
      <c r="E10" s="14" t="s">
        <v>283</v>
      </c>
      <c r="F10" s="14" t="s">
        <v>284</v>
      </c>
      <c r="G10" s="15">
        <v>45204</v>
      </c>
      <c r="H10" s="15" t="s">
        <v>271</v>
      </c>
      <c r="I10" s="12" t="s">
        <v>269</v>
      </c>
      <c r="J10" s="12" t="s">
        <v>272</v>
      </c>
      <c r="K10" s="12">
        <v>200</v>
      </c>
      <c r="L10" s="12">
        <v>80</v>
      </c>
      <c r="M10" s="12">
        <v>23</v>
      </c>
      <c r="N10" s="12">
        <v>36</v>
      </c>
      <c r="O10" s="16">
        <v>0.63888888888888884</v>
      </c>
      <c r="P10" s="12">
        <v>9</v>
      </c>
      <c r="Q10" s="12">
        <v>31</v>
      </c>
      <c r="R10" s="16">
        <v>0.29032258064516131</v>
      </c>
      <c r="S10" s="12">
        <v>32</v>
      </c>
      <c r="T10" s="12">
        <v>67</v>
      </c>
      <c r="U10" s="16">
        <v>0.47761194029850745</v>
      </c>
      <c r="V10" s="12">
        <v>7</v>
      </c>
      <c r="W10" s="12">
        <v>10</v>
      </c>
      <c r="X10" s="16">
        <v>0.7</v>
      </c>
      <c r="Y10" s="12">
        <v>20</v>
      </c>
      <c r="Z10" s="12">
        <v>29</v>
      </c>
      <c r="AA10" s="12">
        <v>49</v>
      </c>
      <c r="AB10" s="12">
        <v>12</v>
      </c>
      <c r="AC10" s="12">
        <v>16</v>
      </c>
      <c r="AD10" s="12">
        <v>5</v>
      </c>
      <c r="AE10" s="12">
        <v>3</v>
      </c>
      <c r="AF10" s="12">
        <v>3</v>
      </c>
      <c r="AG10" s="12">
        <v>21</v>
      </c>
      <c r="AH10" s="12">
        <v>17</v>
      </c>
      <c r="AI10" s="17">
        <v>88</v>
      </c>
      <c r="AJ10" s="12">
        <v>12</v>
      </c>
      <c r="AK10" s="12">
        <v>68</v>
      </c>
      <c r="AL10" s="12">
        <v>88</v>
      </c>
      <c r="AM10" s="19">
        <v>0.90909090909090906</v>
      </c>
      <c r="AN10" s="19">
        <v>0.95774647887323938</v>
      </c>
      <c r="AO10" s="18">
        <v>117.64705882352942</v>
      </c>
      <c r="AP10" s="18">
        <v>100</v>
      </c>
      <c r="AQ10" s="18">
        <v>17.64705882352942</v>
      </c>
      <c r="AR10" s="53">
        <v>0.54477611940298509</v>
      </c>
      <c r="AS10" s="53">
        <v>0.55555555555555558</v>
      </c>
      <c r="AT10" s="16">
        <v>0.125</v>
      </c>
      <c r="AU10" s="19">
        <v>1.6363636363636365</v>
      </c>
      <c r="AV10" s="16">
        <v>0.19318181818181818</v>
      </c>
      <c r="AW10" s="19">
        <v>1.0588235294117647</v>
      </c>
      <c r="AX10" s="16">
        <v>9.0909090909090912E-2</v>
      </c>
      <c r="AY10" s="19">
        <v>1.25</v>
      </c>
      <c r="AZ10" s="16">
        <v>5.6818181818181816E-2</v>
      </c>
      <c r="BA10" s="19">
        <v>0</v>
      </c>
      <c r="BB10" s="16">
        <v>0.29545454545454547</v>
      </c>
      <c r="BC10" s="21">
        <v>1.0384615384615385</v>
      </c>
      <c r="BD10" s="16">
        <v>5.6818181818181816E-2</v>
      </c>
      <c r="BE10" s="16">
        <v>0.18181818181818182</v>
      </c>
      <c r="BF10" s="16">
        <v>0.33333333333333331</v>
      </c>
      <c r="BG10" s="16">
        <v>0.21739130434782608</v>
      </c>
      <c r="BH10" s="16">
        <v>0.66666666666666663</v>
      </c>
      <c r="BI10" s="16">
        <v>0.25</v>
      </c>
      <c r="BJ10" s="16">
        <v>0.13636363636363635</v>
      </c>
      <c r="BK10" s="21">
        <v>0.75</v>
      </c>
      <c r="BL10" s="16">
        <v>0.58823529411764708</v>
      </c>
      <c r="BM10" s="16">
        <v>0.5</v>
      </c>
      <c r="BN10" s="16">
        <v>0.73913043478260865</v>
      </c>
      <c r="BO10" s="16" t="s">
        <v>269</v>
      </c>
      <c r="BP10" s="16">
        <v>0.90625</v>
      </c>
      <c r="BQ10" s="16">
        <v>1</v>
      </c>
      <c r="BR10" s="16">
        <v>0.80952380952380953</v>
      </c>
      <c r="BS10" s="16">
        <v>1</v>
      </c>
      <c r="BT10" s="16">
        <v>0.74242424242424243</v>
      </c>
      <c r="BU10" s="16">
        <v>7.3529411764705885E-2</v>
      </c>
      <c r="BV10" s="16">
        <v>5.5555555555555552E-2</v>
      </c>
      <c r="BW10" s="16">
        <v>7</v>
      </c>
      <c r="BX10" s="16">
        <v>0.47619047619047616</v>
      </c>
      <c r="BY10" s="16">
        <v>0.29411764705882354</v>
      </c>
      <c r="BZ10" s="12">
        <v>5</v>
      </c>
      <c r="CA10" s="12">
        <v>6</v>
      </c>
      <c r="CB10" s="12">
        <v>1</v>
      </c>
      <c r="CC10" s="12">
        <v>2</v>
      </c>
      <c r="CD10" s="12">
        <v>1</v>
      </c>
      <c r="CE10" s="12">
        <v>0</v>
      </c>
      <c r="CF10" s="12">
        <v>4</v>
      </c>
      <c r="CG10" s="12">
        <v>1</v>
      </c>
      <c r="CH10" s="12">
        <v>1</v>
      </c>
      <c r="CI10" s="12">
        <v>0</v>
      </c>
      <c r="CJ10" s="12">
        <v>3</v>
      </c>
      <c r="CK10" s="12">
        <v>1</v>
      </c>
      <c r="CL10" s="12">
        <v>11</v>
      </c>
      <c r="CM10" s="12">
        <v>2</v>
      </c>
      <c r="CN10" s="12">
        <v>0</v>
      </c>
      <c r="CO10" s="12">
        <v>0</v>
      </c>
      <c r="CP10" s="12">
        <v>2</v>
      </c>
      <c r="CQ10" s="12">
        <v>0</v>
      </c>
      <c r="CR10" s="12">
        <v>7</v>
      </c>
      <c r="CS10" s="12">
        <v>0</v>
      </c>
      <c r="CT10" s="12">
        <v>5</v>
      </c>
      <c r="CU10" s="12">
        <v>0</v>
      </c>
      <c r="CV10" s="12">
        <v>2</v>
      </c>
      <c r="CW10" s="12">
        <v>0</v>
      </c>
      <c r="CX10" s="12">
        <v>12</v>
      </c>
      <c r="CY10" s="12">
        <v>3</v>
      </c>
      <c r="CZ10" s="12">
        <v>1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7</v>
      </c>
      <c r="DG10" s="12">
        <v>10</v>
      </c>
      <c r="DH10" s="12">
        <v>1</v>
      </c>
      <c r="DI10" s="12">
        <v>0</v>
      </c>
      <c r="DJ10" s="12">
        <v>0</v>
      </c>
      <c r="DK10" s="12">
        <v>0</v>
      </c>
      <c r="DL10" s="12">
        <v>9</v>
      </c>
      <c r="DM10" s="12">
        <v>11</v>
      </c>
      <c r="DN10" s="12">
        <v>9</v>
      </c>
      <c r="DO10" s="12">
        <v>17</v>
      </c>
      <c r="DP10" s="12">
        <v>5</v>
      </c>
      <c r="DQ10" s="12">
        <v>8</v>
      </c>
      <c r="DR10" s="12">
        <v>0</v>
      </c>
      <c r="DS10" s="12">
        <v>5</v>
      </c>
      <c r="DT10" s="12">
        <v>9</v>
      </c>
      <c r="DU10" s="12">
        <v>26</v>
      </c>
      <c r="DV10" s="12">
        <v>0</v>
      </c>
      <c r="DW10" s="12">
        <v>0</v>
      </c>
      <c r="DX10" s="12">
        <v>68</v>
      </c>
      <c r="DY10" s="12">
        <v>16</v>
      </c>
      <c r="DZ10" s="12">
        <v>30</v>
      </c>
      <c r="EA10" s="16">
        <v>0.53333333333333333</v>
      </c>
      <c r="EB10" s="12">
        <v>7</v>
      </c>
      <c r="EC10" s="12">
        <v>24</v>
      </c>
      <c r="ED10" s="16">
        <v>0.29166666666666669</v>
      </c>
      <c r="EE10" s="12">
        <v>23</v>
      </c>
      <c r="EF10" s="12">
        <v>54</v>
      </c>
      <c r="EG10" s="16">
        <v>0.42592592592592593</v>
      </c>
      <c r="EH10" s="12">
        <v>15</v>
      </c>
      <c r="EI10" s="12">
        <v>19</v>
      </c>
      <c r="EJ10" s="16">
        <v>0.78947368421052633</v>
      </c>
      <c r="EK10" s="12">
        <v>3</v>
      </c>
      <c r="EL10" s="12">
        <v>14</v>
      </c>
      <c r="EM10" s="12">
        <v>17</v>
      </c>
      <c r="EN10" s="12">
        <v>14</v>
      </c>
      <c r="EO10" s="12">
        <v>17</v>
      </c>
      <c r="EP10" s="12">
        <v>21</v>
      </c>
      <c r="EQ10" s="12">
        <v>10</v>
      </c>
      <c r="ER10" s="12">
        <v>9</v>
      </c>
      <c r="ES10" s="12">
        <v>3</v>
      </c>
      <c r="ET10" s="12">
        <v>3</v>
      </c>
      <c r="EU10" s="12">
        <v>69</v>
      </c>
      <c r="EV10" s="12">
        <v>-12</v>
      </c>
      <c r="EW10" s="12">
        <v>68</v>
      </c>
      <c r="EX10" s="12">
        <v>71</v>
      </c>
      <c r="EY10" s="12">
        <v>5</v>
      </c>
      <c r="EZ10" s="12">
        <v>8</v>
      </c>
      <c r="FA10" s="12">
        <v>5</v>
      </c>
      <c r="FB10" s="12">
        <v>1</v>
      </c>
      <c r="FC10" s="12">
        <v>2</v>
      </c>
      <c r="FD10" s="12">
        <v>0</v>
      </c>
      <c r="FE10" s="12">
        <v>0</v>
      </c>
      <c r="FF10" s="12">
        <v>0</v>
      </c>
      <c r="FG10" s="12">
        <v>0</v>
      </c>
      <c r="FH10" s="12">
        <v>0</v>
      </c>
      <c r="FI10" s="12">
        <v>0</v>
      </c>
      <c r="FJ10" s="12">
        <v>0</v>
      </c>
      <c r="FK10" s="12">
        <v>0</v>
      </c>
      <c r="FL10" s="12">
        <v>3</v>
      </c>
      <c r="FM10" s="12">
        <v>1</v>
      </c>
      <c r="FN10" s="12">
        <v>0</v>
      </c>
      <c r="FO10" s="12">
        <v>0</v>
      </c>
      <c r="FP10" s="12">
        <v>1</v>
      </c>
      <c r="FQ10" s="12">
        <v>0</v>
      </c>
      <c r="FR10" s="12">
        <v>4</v>
      </c>
      <c r="FS10" s="12">
        <v>0</v>
      </c>
      <c r="FT10" s="12">
        <v>2</v>
      </c>
      <c r="FU10" s="12">
        <v>0</v>
      </c>
      <c r="FV10" s="12">
        <v>2</v>
      </c>
      <c r="FW10" s="12">
        <v>0</v>
      </c>
      <c r="FX10" s="12">
        <v>4</v>
      </c>
      <c r="FY10" s="12">
        <v>0</v>
      </c>
      <c r="FZ10" s="12">
        <v>0</v>
      </c>
      <c r="GA10" s="12">
        <v>0</v>
      </c>
      <c r="GB10" s="12">
        <v>0</v>
      </c>
      <c r="GC10" s="12">
        <v>0</v>
      </c>
      <c r="GD10" s="12">
        <v>2</v>
      </c>
      <c r="GE10" s="12">
        <v>2</v>
      </c>
      <c r="GF10" s="12">
        <v>10</v>
      </c>
      <c r="GG10" s="12">
        <v>14</v>
      </c>
      <c r="GH10" s="12">
        <v>1</v>
      </c>
      <c r="GI10" s="12">
        <v>3</v>
      </c>
      <c r="GJ10" s="12">
        <v>3</v>
      </c>
      <c r="GK10" s="12">
        <v>0</v>
      </c>
      <c r="GL10" s="12">
        <v>1</v>
      </c>
      <c r="GM10" s="12">
        <v>3</v>
      </c>
      <c r="GN10" s="12">
        <v>12</v>
      </c>
      <c r="GO10" s="12">
        <v>19</v>
      </c>
      <c r="GP10" s="12">
        <v>3</v>
      </c>
      <c r="GQ10" s="12">
        <v>8</v>
      </c>
      <c r="GR10" s="12">
        <v>0</v>
      </c>
      <c r="GS10" s="12">
        <v>2</v>
      </c>
      <c r="GT10" s="12">
        <v>7</v>
      </c>
      <c r="GU10" s="12">
        <v>22</v>
      </c>
      <c r="GV10" s="12">
        <v>0</v>
      </c>
      <c r="GW10" s="12">
        <v>0</v>
      </c>
    </row>
    <row r="11" spans="2:205" ht="15" customHeight="1" x14ac:dyDescent="0.2">
      <c r="B11" s="12">
        <v>1</v>
      </c>
      <c r="C11" s="12" t="s">
        <v>282</v>
      </c>
      <c r="D11" s="12" t="s">
        <v>281</v>
      </c>
      <c r="E11" s="14" t="s">
        <v>284</v>
      </c>
      <c r="F11" s="14" t="s">
        <v>283</v>
      </c>
      <c r="G11" s="15">
        <v>45204</v>
      </c>
      <c r="H11" s="15" t="s">
        <v>268</v>
      </c>
      <c r="I11" s="12" t="s">
        <v>269</v>
      </c>
      <c r="J11" s="12" t="s">
        <v>270</v>
      </c>
      <c r="K11" s="12">
        <v>200</v>
      </c>
      <c r="L11" s="12">
        <v>68</v>
      </c>
      <c r="M11" s="12">
        <v>16</v>
      </c>
      <c r="N11" s="12">
        <v>30</v>
      </c>
      <c r="O11" s="16">
        <v>0.53333333333333333</v>
      </c>
      <c r="P11" s="12">
        <v>7</v>
      </c>
      <c r="Q11" s="12">
        <v>24</v>
      </c>
      <c r="R11" s="16">
        <v>0.29166666666666669</v>
      </c>
      <c r="S11" s="12">
        <v>23</v>
      </c>
      <c r="T11" s="12">
        <v>54</v>
      </c>
      <c r="U11" s="16">
        <v>0.42592592592592593</v>
      </c>
      <c r="V11" s="12">
        <v>15</v>
      </c>
      <c r="W11" s="12">
        <v>19</v>
      </c>
      <c r="X11" s="16">
        <v>0.78947368421052633</v>
      </c>
      <c r="Y11" s="12">
        <v>3</v>
      </c>
      <c r="Z11" s="12">
        <v>14</v>
      </c>
      <c r="AA11" s="12">
        <v>17</v>
      </c>
      <c r="AB11" s="12">
        <v>14</v>
      </c>
      <c r="AC11" s="12">
        <v>9</v>
      </c>
      <c r="AD11" s="12">
        <v>10</v>
      </c>
      <c r="AE11" s="12">
        <v>3</v>
      </c>
      <c r="AF11" s="12">
        <v>3</v>
      </c>
      <c r="AG11" s="12">
        <v>17</v>
      </c>
      <c r="AH11" s="12">
        <v>21</v>
      </c>
      <c r="AI11" s="17">
        <v>69</v>
      </c>
      <c r="AJ11" s="12">
        <v>-12</v>
      </c>
      <c r="AK11" s="12">
        <v>68</v>
      </c>
      <c r="AL11" s="12">
        <v>71</v>
      </c>
      <c r="AM11" s="19">
        <v>0.95774647887323938</v>
      </c>
      <c r="AN11" s="19">
        <v>0.90909090909090906</v>
      </c>
      <c r="AO11" s="18">
        <v>100</v>
      </c>
      <c r="AP11" s="18">
        <v>117.64705882352942</v>
      </c>
      <c r="AQ11" s="18">
        <v>-17.64705882352942</v>
      </c>
      <c r="AR11" s="53">
        <v>0.49074074074074076</v>
      </c>
      <c r="AS11" s="53">
        <v>0.54838709677419351</v>
      </c>
      <c r="AT11" s="16">
        <v>4.2253521126760563E-2</v>
      </c>
      <c r="AU11" s="19">
        <v>0.66666666666666663</v>
      </c>
      <c r="AV11" s="16">
        <v>0.26760563380281688</v>
      </c>
      <c r="AW11" s="19">
        <v>1.263157894736842</v>
      </c>
      <c r="AX11" s="16">
        <v>0.11267605633802817</v>
      </c>
      <c r="AY11" s="19">
        <v>0.75</v>
      </c>
      <c r="AZ11" s="16">
        <v>2.8169014084507043E-2</v>
      </c>
      <c r="BA11" s="19">
        <v>0</v>
      </c>
      <c r="BB11" s="16">
        <v>0.30985915492957744</v>
      </c>
      <c r="BC11" s="21">
        <v>0.95454545454545459</v>
      </c>
      <c r="BD11" s="16">
        <v>0.11267605633802817</v>
      </c>
      <c r="BE11" s="16">
        <v>0.12676056338028169</v>
      </c>
      <c r="BF11" s="16">
        <v>0.46666666666666667</v>
      </c>
      <c r="BG11" s="16">
        <v>0.5</v>
      </c>
      <c r="BH11" s="16">
        <v>0.7142857142857143</v>
      </c>
      <c r="BI11" s="16">
        <v>0.14285714285714285</v>
      </c>
      <c r="BJ11" s="16">
        <v>0.19718309859154928</v>
      </c>
      <c r="BK11" s="21">
        <v>1.5555555555555556</v>
      </c>
      <c r="BL11" s="16">
        <v>9.375E-2</v>
      </c>
      <c r="BM11" s="16">
        <v>0</v>
      </c>
      <c r="BN11" s="16">
        <v>0.19047619047619047</v>
      </c>
      <c r="BO11" s="16">
        <v>0</v>
      </c>
      <c r="BP11" s="16">
        <v>0.41176470588235292</v>
      </c>
      <c r="BQ11" s="16">
        <v>0.5</v>
      </c>
      <c r="BR11" s="16">
        <v>0.2608695652173913</v>
      </c>
      <c r="BS11" s="16" t="s">
        <v>269</v>
      </c>
      <c r="BT11" s="16">
        <v>0.25757575757575757</v>
      </c>
      <c r="BU11" s="16">
        <v>0.14705882352941177</v>
      </c>
      <c r="BV11" s="16">
        <v>4.4776119402985072E-2</v>
      </c>
      <c r="BW11" s="16">
        <v>5</v>
      </c>
      <c r="BX11" s="16">
        <v>0.29411764705882354</v>
      </c>
      <c r="BY11" s="16">
        <v>0.47619047619047616</v>
      </c>
      <c r="BZ11" s="12">
        <v>8</v>
      </c>
      <c r="CA11" s="12">
        <v>5</v>
      </c>
      <c r="CB11" s="12">
        <v>1</v>
      </c>
      <c r="CC11" s="12">
        <v>2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3</v>
      </c>
      <c r="CM11" s="12">
        <v>1</v>
      </c>
      <c r="CN11" s="12">
        <v>0</v>
      </c>
      <c r="CO11" s="12">
        <v>0</v>
      </c>
      <c r="CP11" s="12">
        <v>1</v>
      </c>
      <c r="CQ11" s="12">
        <v>0</v>
      </c>
      <c r="CR11" s="12">
        <v>4</v>
      </c>
      <c r="CS11" s="12">
        <v>0</v>
      </c>
      <c r="CT11" s="12">
        <v>2</v>
      </c>
      <c r="CU11" s="12">
        <v>0</v>
      </c>
      <c r="CV11" s="12">
        <v>2</v>
      </c>
      <c r="CW11" s="12">
        <v>0</v>
      </c>
      <c r="CX11" s="12">
        <v>4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2</v>
      </c>
      <c r="DE11" s="12">
        <v>2</v>
      </c>
      <c r="DF11" s="12">
        <v>10</v>
      </c>
      <c r="DG11" s="12">
        <v>14</v>
      </c>
      <c r="DH11" s="12">
        <v>1</v>
      </c>
      <c r="DI11" s="12">
        <v>3</v>
      </c>
      <c r="DJ11" s="12">
        <v>3</v>
      </c>
      <c r="DK11" s="12">
        <v>0</v>
      </c>
      <c r="DL11" s="12">
        <v>1</v>
      </c>
      <c r="DM11" s="12">
        <v>3</v>
      </c>
      <c r="DN11" s="12">
        <v>12</v>
      </c>
      <c r="DO11" s="12">
        <v>19</v>
      </c>
      <c r="DP11" s="12">
        <v>3</v>
      </c>
      <c r="DQ11" s="12">
        <v>8</v>
      </c>
      <c r="DR11" s="12">
        <v>0</v>
      </c>
      <c r="DS11" s="12">
        <v>2</v>
      </c>
      <c r="DT11" s="12">
        <v>7</v>
      </c>
      <c r="DU11" s="12">
        <v>22</v>
      </c>
      <c r="DV11" s="12">
        <v>0</v>
      </c>
      <c r="DW11" s="12">
        <v>0</v>
      </c>
      <c r="DX11" s="12">
        <v>80</v>
      </c>
      <c r="DY11" s="12">
        <v>23</v>
      </c>
      <c r="DZ11" s="12">
        <v>36</v>
      </c>
      <c r="EA11" s="16">
        <v>0.63888888888888884</v>
      </c>
      <c r="EB11" s="12">
        <v>9</v>
      </c>
      <c r="EC11" s="12">
        <v>31</v>
      </c>
      <c r="ED11" s="16">
        <v>0.29032258064516131</v>
      </c>
      <c r="EE11" s="12">
        <v>32</v>
      </c>
      <c r="EF11" s="12">
        <v>67</v>
      </c>
      <c r="EG11" s="16">
        <v>0.47761194029850745</v>
      </c>
      <c r="EH11" s="12">
        <v>7</v>
      </c>
      <c r="EI11" s="12">
        <v>10</v>
      </c>
      <c r="EJ11" s="16">
        <v>0.7</v>
      </c>
      <c r="EK11" s="12">
        <v>20</v>
      </c>
      <c r="EL11" s="12">
        <v>29</v>
      </c>
      <c r="EM11" s="12">
        <v>49</v>
      </c>
      <c r="EN11" s="12">
        <v>12</v>
      </c>
      <c r="EO11" s="12">
        <v>21</v>
      </c>
      <c r="EP11" s="12">
        <v>17</v>
      </c>
      <c r="EQ11" s="12">
        <v>5</v>
      </c>
      <c r="ER11" s="12">
        <v>16</v>
      </c>
      <c r="ES11" s="12">
        <v>3</v>
      </c>
      <c r="ET11" s="12">
        <v>3</v>
      </c>
      <c r="EU11" s="12">
        <v>88</v>
      </c>
      <c r="EV11" s="12">
        <v>12</v>
      </c>
      <c r="EW11" s="12">
        <v>68</v>
      </c>
      <c r="EX11" s="12">
        <v>88</v>
      </c>
      <c r="EY11" s="12">
        <v>7</v>
      </c>
      <c r="EZ11" s="12">
        <v>5</v>
      </c>
      <c r="FA11" s="12">
        <v>6</v>
      </c>
      <c r="FB11" s="12">
        <v>1</v>
      </c>
      <c r="FC11" s="12">
        <v>2</v>
      </c>
      <c r="FD11" s="12">
        <v>1</v>
      </c>
      <c r="FE11" s="12">
        <v>0</v>
      </c>
      <c r="FF11" s="12">
        <v>4</v>
      </c>
      <c r="FG11" s="12">
        <v>1</v>
      </c>
      <c r="FH11" s="12">
        <v>1</v>
      </c>
      <c r="FI11" s="12">
        <v>0</v>
      </c>
      <c r="FJ11" s="12">
        <v>3</v>
      </c>
      <c r="FK11" s="12">
        <v>1</v>
      </c>
      <c r="FL11" s="12">
        <v>11</v>
      </c>
      <c r="FM11" s="12">
        <v>2</v>
      </c>
      <c r="FN11" s="12">
        <v>0</v>
      </c>
      <c r="FO11" s="12">
        <v>0</v>
      </c>
      <c r="FP11" s="12">
        <v>2</v>
      </c>
      <c r="FQ11" s="12">
        <v>0</v>
      </c>
      <c r="FR11" s="12">
        <v>7</v>
      </c>
      <c r="FS11" s="12">
        <v>0</v>
      </c>
      <c r="FT11" s="12">
        <v>5</v>
      </c>
      <c r="FU11" s="12">
        <v>0</v>
      </c>
      <c r="FV11" s="12">
        <v>2</v>
      </c>
      <c r="FW11" s="12">
        <v>0</v>
      </c>
      <c r="FX11" s="12">
        <v>12</v>
      </c>
      <c r="FY11" s="12">
        <v>3</v>
      </c>
      <c r="FZ11" s="12">
        <v>1</v>
      </c>
      <c r="GA11" s="12">
        <v>0</v>
      </c>
      <c r="GB11" s="12">
        <v>0</v>
      </c>
      <c r="GC11" s="12">
        <v>0</v>
      </c>
      <c r="GD11" s="12">
        <v>0</v>
      </c>
      <c r="GE11" s="12">
        <v>0</v>
      </c>
      <c r="GF11" s="12">
        <v>7</v>
      </c>
      <c r="GG11" s="12">
        <v>10</v>
      </c>
      <c r="GH11" s="12">
        <v>1</v>
      </c>
      <c r="GI11" s="12">
        <v>0</v>
      </c>
      <c r="GJ11" s="12">
        <v>0</v>
      </c>
      <c r="GK11" s="12">
        <v>0</v>
      </c>
      <c r="GL11" s="12">
        <v>9</v>
      </c>
      <c r="GM11" s="12">
        <v>11</v>
      </c>
      <c r="GN11" s="12">
        <v>9</v>
      </c>
      <c r="GO11" s="12">
        <v>17</v>
      </c>
      <c r="GP11" s="12">
        <v>5</v>
      </c>
      <c r="GQ11" s="12">
        <v>8</v>
      </c>
      <c r="GR11" s="12">
        <v>0</v>
      </c>
      <c r="GS11" s="12">
        <v>5</v>
      </c>
      <c r="GT11" s="12">
        <v>9</v>
      </c>
      <c r="GU11" s="12">
        <v>26</v>
      </c>
      <c r="GV11" s="12">
        <v>0</v>
      </c>
      <c r="GW11" s="12">
        <v>0</v>
      </c>
    </row>
    <row r="12" spans="2:205" ht="15" customHeight="1" x14ac:dyDescent="0.2">
      <c r="B12" s="12">
        <v>1</v>
      </c>
      <c r="C12" s="12" t="s">
        <v>285</v>
      </c>
      <c r="D12" s="12" t="s">
        <v>286</v>
      </c>
      <c r="E12" s="14" t="s">
        <v>287</v>
      </c>
      <c r="F12" s="14" t="s">
        <v>288</v>
      </c>
      <c r="G12" s="15">
        <v>45204</v>
      </c>
      <c r="H12" s="15" t="s">
        <v>268</v>
      </c>
      <c r="I12" s="12" t="s">
        <v>269</v>
      </c>
      <c r="J12" s="12" t="s">
        <v>272</v>
      </c>
      <c r="K12" s="12">
        <v>200</v>
      </c>
      <c r="L12" s="12">
        <v>82</v>
      </c>
      <c r="M12" s="12">
        <v>18</v>
      </c>
      <c r="N12" s="12">
        <v>39</v>
      </c>
      <c r="O12" s="16">
        <v>0.46153846153846156</v>
      </c>
      <c r="P12" s="12">
        <v>11</v>
      </c>
      <c r="Q12" s="12">
        <v>19</v>
      </c>
      <c r="R12" s="16">
        <v>0.57894736842105265</v>
      </c>
      <c r="S12" s="12">
        <v>29</v>
      </c>
      <c r="T12" s="12">
        <v>58</v>
      </c>
      <c r="U12" s="16">
        <v>0.5</v>
      </c>
      <c r="V12" s="12">
        <v>13</v>
      </c>
      <c r="W12" s="12">
        <v>18</v>
      </c>
      <c r="X12" s="16">
        <v>0.72222222222222221</v>
      </c>
      <c r="Y12" s="12">
        <v>8</v>
      </c>
      <c r="Z12" s="12">
        <v>22</v>
      </c>
      <c r="AA12" s="12">
        <v>30</v>
      </c>
      <c r="AB12" s="12">
        <v>11</v>
      </c>
      <c r="AC12" s="12">
        <v>15</v>
      </c>
      <c r="AD12" s="12">
        <v>6</v>
      </c>
      <c r="AE12" s="12">
        <v>3</v>
      </c>
      <c r="AF12" s="12">
        <v>1</v>
      </c>
      <c r="AG12" s="12">
        <v>19</v>
      </c>
      <c r="AH12" s="12">
        <v>17</v>
      </c>
      <c r="AI12" s="17">
        <v>80</v>
      </c>
      <c r="AJ12" s="12">
        <v>3</v>
      </c>
      <c r="AK12" s="12">
        <v>71</v>
      </c>
      <c r="AL12" s="12">
        <v>79</v>
      </c>
      <c r="AM12" s="19">
        <v>1.0379746835443038</v>
      </c>
      <c r="AN12" s="19">
        <v>0.96341463414634143</v>
      </c>
      <c r="AO12" s="18">
        <v>115.49295774647888</v>
      </c>
      <c r="AP12" s="18">
        <v>109.72222222222223</v>
      </c>
      <c r="AQ12" s="18">
        <v>5.7707355242566507</v>
      </c>
      <c r="AR12" s="53">
        <v>0.59482758620689657</v>
      </c>
      <c r="AS12" s="53">
        <v>0.640625</v>
      </c>
      <c r="AT12" s="16">
        <v>0.12658227848101267</v>
      </c>
      <c r="AU12" s="19">
        <v>1</v>
      </c>
      <c r="AV12" s="16">
        <v>0.30379746835443039</v>
      </c>
      <c r="AW12" s="19">
        <v>0.91666666666666663</v>
      </c>
      <c r="AX12" s="16">
        <v>6.3291139240506333E-2</v>
      </c>
      <c r="AY12" s="19">
        <v>0.8</v>
      </c>
      <c r="AZ12" s="16">
        <v>0</v>
      </c>
      <c r="BA12" s="19" t="s">
        <v>269</v>
      </c>
      <c r="BB12" s="16">
        <v>0.24050632911392406</v>
      </c>
      <c r="BC12" s="21">
        <v>1.736842105263158</v>
      </c>
      <c r="BD12" s="16">
        <v>7.5949367088607597E-2</v>
      </c>
      <c r="BE12" s="16">
        <v>0.189873417721519</v>
      </c>
      <c r="BF12" s="16">
        <v>0.3235294117647059</v>
      </c>
      <c r="BG12" s="16">
        <v>0.27777777777777779</v>
      </c>
      <c r="BH12" s="16">
        <v>0.54545454545454541</v>
      </c>
      <c r="BI12" s="16">
        <v>0</v>
      </c>
      <c r="BJ12" s="16">
        <v>0.13924050632911392</v>
      </c>
      <c r="BK12" s="21">
        <v>0.73333333333333328</v>
      </c>
      <c r="BL12" s="16">
        <v>0.26666666666666666</v>
      </c>
      <c r="BM12" s="16">
        <v>0.30434782608695654</v>
      </c>
      <c r="BN12" s="16">
        <v>0.125</v>
      </c>
      <c r="BO12" s="16">
        <v>0.5</v>
      </c>
      <c r="BP12" s="16">
        <v>0.6875</v>
      </c>
      <c r="BQ12" s="16">
        <v>0.8125</v>
      </c>
      <c r="BR12" s="16">
        <v>0.5625</v>
      </c>
      <c r="BS12" s="16">
        <v>0.5</v>
      </c>
      <c r="BT12" s="16">
        <v>0.4838709677419355</v>
      </c>
      <c r="BU12" s="16">
        <v>8.3333333333333329E-2</v>
      </c>
      <c r="BV12" s="16">
        <v>4.6875E-2</v>
      </c>
      <c r="BW12" s="16">
        <v>5</v>
      </c>
      <c r="BX12" s="16">
        <v>0.31578947368421051</v>
      </c>
      <c r="BY12" s="16">
        <v>0.58823529411764708</v>
      </c>
      <c r="BZ12" s="12">
        <v>5</v>
      </c>
      <c r="CA12" s="12">
        <v>6</v>
      </c>
      <c r="CB12" s="12">
        <v>0</v>
      </c>
      <c r="CC12" s="12">
        <v>0</v>
      </c>
      <c r="CD12" s="12">
        <v>3</v>
      </c>
      <c r="CE12" s="12">
        <v>0</v>
      </c>
      <c r="CF12" s="12">
        <v>3</v>
      </c>
      <c r="CG12" s="12">
        <v>1</v>
      </c>
      <c r="CH12" s="12">
        <v>0</v>
      </c>
      <c r="CI12" s="12">
        <v>0</v>
      </c>
      <c r="CJ12" s="12">
        <v>0</v>
      </c>
      <c r="CK12" s="12">
        <v>0</v>
      </c>
      <c r="CL12" s="12">
        <v>1</v>
      </c>
      <c r="CM12" s="12">
        <v>0</v>
      </c>
      <c r="CN12" s="12">
        <v>1</v>
      </c>
      <c r="CO12" s="12">
        <v>0</v>
      </c>
      <c r="CP12" s="12">
        <v>2</v>
      </c>
      <c r="CQ12" s="12">
        <v>0</v>
      </c>
      <c r="CR12" s="12">
        <v>8</v>
      </c>
      <c r="CS12" s="12">
        <v>0</v>
      </c>
      <c r="CT12" s="12">
        <v>2</v>
      </c>
      <c r="CU12" s="12">
        <v>1</v>
      </c>
      <c r="CV12" s="12">
        <v>0</v>
      </c>
      <c r="CW12" s="12">
        <v>0</v>
      </c>
      <c r="CX12" s="12">
        <v>9</v>
      </c>
      <c r="CY12" s="12">
        <v>0</v>
      </c>
      <c r="CZ12" s="12">
        <v>1</v>
      </c>
      <c r="DA12" s="12">
        <v>0</v>
      </c>
      <c r="DB12" s="12">
        <v>1</v>
      </c>
      <c r="DC12" s="12">
        <v>1</v>
      </c>
      <c r="DD12" s="12">
        <v>4</v>
      </c>
      <c r="DE12" s="12">
        <v>4</v>
      </c>
      <c r="DF12" s="12">
        <v>6</v>
      </c>
      <c r="DG12" s="12">
        <v>10</v>
      </c>
      <c r="DH12" s="12">
        <v>1</v>
      </c>
      <c r="DI12" s="12">
        <v>2</v>
      </c>
      <c r="DJ12" s="12">
        <v>3</v>
      </c>
      <c r="DK12" s="12">
        <v>0</v>
      </c>
      <c r="DL12" s="12">
        <v>5</v>
      </c>
      <c r="DM12" s="12">
        <v>10</v>
      </c>
      <c r="DN12" s="12">
        <v>11</v>
      </c>
      <c r="DO12" s="12">
        <v>24</v>
      </c>
      <c r="DP12" s="12">
        <v>2</v>
      </c>
      <c r="DQ12" s="12">
        <v>5</v>
      </c>
      <c r="DR12" s="12">
        <v>0</v>
      </c>
      <c r="DS12" s="12">
        <v>0</v>
      </c>
      <c r="DT12" s="12">
        <v>11</v>
      </c>
      <c r="DU12" s="12">
        <v>19</v>
      </c>
      <c r="DV12" s="12">
        <v>0</v>
      </c>
      <c r="DW12" s="12">
        <v>0</v>
      </c>
      <c r="DX12" s="12">
        <v>79</v>
      </c>
      <c r="DY12" s="12">
        <v>23</v>
      </c>
      <c r="DZ12" s="12">
        <v>39</v>
      </c>
      <c r="EA12" s="16">
        <v>0.58974358974358976</v>
      </c>
      <c r="EB12" s="12">
        <v>8</v>
      </c>
      <c r="EC12" s="12">
        <v>25</v>
      </c>
      <c r="ED12" s="16">
        <v>0.32</v>
      </c>
      <c r="EE12" s="12">
        <v>31</v>
      </c>
      <c r="EF12" s="12">
        <v>64</v>
      </c>
      <c r="EG12" s="16">
        <v>0.484375</v>
      </c>
      <c r="EH12" s="12">
        <v>9</v>
      </c>
      <c r="EI12" s="12">
        <v>11</v>
      </c>
      <c r="EJ12" s="16">
        <v>0.81818181818181823</v>
      </c>
      <c r="EK12" s="12">
        <v>10</v>
      </c>
      <c r="EL12" s="12">
        <v>22</v>
      </c>
      <c r="EM12" s="12">
        <v>32</v>
      </c>
      <c r="EN12" s="12">
        <v>21</v>
      </c>
      <c r="EO12" s="12">
        <v>18</v>
      </c>
      <c r="EP12" s="12">
        <v>19</v>
      </c>
      <c r="EQ12" s="12">
        <v>8</v>
      </c>
      <c r="ER12" s="12">
        <v>14</v>
      </c>
      <c r="ES12" s="12">
        <v>1</v>
      </c>
      <c r="ET12" s="12">
        <v>3</v>
      </c>
      <c r="EU12" s="12">
        <v>90</v>
      </c>
      <c r="EV12" s="12">
        <v>-3</v>
      </c>
      <c r="EW12" s="12">
        <v>72</v>
      </c>
      <c r="EX12" s="12">
        <v>82</v>
      </c>
      <c r="EY12" s="12">
        <v>6</v>
      </c>
      <c r="EZ12" s="12">
        <v>12</v>
      </c>
      <c r="FA12" s="12">
        <v>8</v>
      </c>
      <c r="FB12" s="12">
        <v>1</v>
      </c>
      <c r="FC12" s="12">
        <v>0</v>
      </c>
      <c r="FD12" s="12">
        <v>0</v>
      </c>
      <c r="FE12" s="12">
        <v>0</v>
      </c>
      <c r="FF12" s="12">
        <v>1</v>
      </c>
      <c r="FG12" s="12">
        <v>0</v>
      </c>
      <c r="FH12" s="12">
        <v>2</v>
      </c>
      <c r="FI12" s="12">
        <v>0</v>
      </c>
      <c r="FJ12" s="12">
        <v>0</v>
      </c>
      <c r="FK12" s="12">
        <v>0</v>
      </c>
      <c r="FL12" s="12">
        <v>6</v>
      </c>
      <c r="FM12" s="12">
        <v>1</v>
      </c>
      <c r="FN12" s="12">
        <v>1</v>
      </c>
      <c r="FO12" s="12">
        <v>0</v>
      </c>
      <c r="FP12" s="12">
        <v>2</v>
      </c>
      <c r="FQ12" s="12">
        <v>0</v>
      </c>
      <c r="FR12" s="12">
        <v>10</v>
      </c>
      <c r="FS12" s="12">
        <v>1</v>
      </c>
      <c r="FT12" s="12">
        <v>3</v>
      </c>
      <c r="FU12" s="12">
        <v>0</v>
      </c>
      <c r="FV12" s="12">
        <v>0</v>
      </c>
      <c r="FW12" s="12">
        <v>0</v>
      </c>
      <c r="FX12" s="12">
        <v>6</v>
      </c>
      <c r="FY12" s="12">
        <v>1</v>
      </c>
      <c r="FZ12" s="12">
        <v>1</v>
      </c>
      <c r="GA12" s="12">
        <v>0</v>
      </c>
      <c r="GB12" s="12">
        <v>1</v>
      </c>
      <c r="GC12" s="12">
        <v>1</v>
      </c>
      <c r="GD12" s="12">
        <v>2</v>
      </c>
      <c r="GE12" s="12">
        <v>2</v>
      </c>
      <c r="GF12" s="12">
        <v>6</v>
      </c>
      <c r="GG12" s="12">
        <v>8</v>
      </c>
      <c r="GH12" s="12">
        <v>0</v>
      </c>
      <c r="GI12" s="12">
        <v>0</v>
      </c>
      <c r="GJ12" s="12">
        <v>0</v>
      </c>
      <c r="GK12" s="12">
        <v>0</v>
      </c>
      <c r="GL12" s="12">
        <v>8</v>
      </c>
      <c r="GM12" s="12">
        <v>10</v>
      </c>
      <c r="GN12" s="12">
        <v>13</v>
      </c>
      <c r="GO12" s="12">
        <v>22</v>
      </c>
      <c r="GP12" s="12">
        <v>2</v>
      </c>
      <c r="GQ12" s="12">
        <v>7</v>
      </c>
      <c r="GR12" s="12">
        <v>0</v>
      </c>
      <c r="GS12" s="12">
        <v>0</v>
      </c>
      <c r="GT12" s="12">
        <v>8</v>
      </c>
      <c r="GU12" s="12">
        <v>24</v>
      </c>
      <c r="GV12" s="12">
        <v>0</v>
      </c>
      <c r="GW12" s="12">
        <v>1</v>
      </c>
    </row>
    <row r="13" spans="2:205" ht="15" customHeight="1" x14ac:dyDescent="0.2">
      <c r="B13" s="12">
        <v>1</v>
      </c>
      <c r="C13" s="12" t="s">
        <v>286</v>
      </c>
      <c r="D13" s="12" t="s">
        <v>285</v>
      </c>
      <c r="E13" s="14" t="s">
        <v>288</v>
      </c>
      <c r="F13" s="14" t="s">
        <v>287</v>
      </c>
      <c r="G13" s="15">
        <v>45204</v>
      </c>
      <c r="H13" s="15" t="s">
        <v>271</v>
      </c>
      <c r="I13" s="12" t="s">
        <v>269</v>
      </c>
      <c r="J13" s="12" t="s">
        <v>270</v>
      </c>
      <c r="K13" s="12">
        <v>200</v>
      </c>
      <c r="L13" s="12">
        <v>79</v>
      </c>
      <c r="M13" s="12">
        <v>23</v>
      </c>
      <c r="N13" s="12">
        <v>39</v>
      </c>
      <c r="O13" s="16">
        <v>0.58974358974358976</v>
      </c>
      <c r="P13" s="12">
        <v>8</v>
      </c>
      <c r="Q13" s="12">
        <v>25</v>
      </c>
      <c r="R13" s="16">
        <v>0.32</v>
      </c>
      <c r="S13" s="12">
        <v>31</v>
      </c>
      <c r="T13" s="12">
        <v>64</v>
      </c>
      <c r="U13" s="16">
        <v>0.484375</v>
      </c>
      <c r="V13" s="12">
        <v>9</v>
      </c>
      <c r="W13" s="12">
        <v>11</v>
      </c>
      <c r="X13" s="16">
        <v>0.81818181818181823</v>
      </c>
      <c r="Y13" s="12">
        <v>10</v>
      </c>
      <c r="Z13" s="12">
        <v>22</v>
      </c>
      <c r="AA13" s="12">
        <v>32</v>
      </c>
      <c r="AB13" s="12">
        <v>21</v>
      </c>
      <c r="AC13" s="12">
        <v>14</v>
      </c>
      <c r="AD13" s="12">
        <v>8</v>
      </c>
      <c r="AE13" s="12">
        <v>1</v>
      </c>
      <c r="AF13" s="12">
        <v>3</v>
      </c>
      <c r="AG13" s="12">
        <v>18</v>
      </c>
      <c r="AH13" s="12">
        <v>19</v>
      </c>
      <c r="AI13" s="17">
        <v>90</v>
      </c>
      <c r="AJ13" s="12">
        <v>-3</v>
      </c>
      <c r="AK13" s="12">
        <v>72</v>
      </c>
      <c r="AL13" s="12">
        <v>82</v>
      </c>
      <c r="AM13" s="19">
        <v>0.96341463414634143</v>
      </c>
      <c r="AN13" s="19">
        <v>1.0379746835443038</v>
      </c>
      <c r="AO13" s="18">
        <v>109.72222222222223</v>
      </c>
      <c r="AP13" s="18">
        <v>115.49295774647888</v>
      </c>
      <c r="AQ13" s="18">
        <v>-5.7707355242566507</v>
      </c>
      <c r="AR13" s="53">
        <v>0.546875</v>
      </c>
      <c r="AS13" s="53">
        <v>0.58088235294117652</v>
      </c>
      <c r="AT13" s="16">
        <v>0.12195121951219512</v>
      </c>
      <c r="AU13" s="19">
        <v>1.6</v>
      </c>
      <c r="AV13" s="16">
        <v>0.26829268292682928</v>
      </c>
      <c r="AW13" s="19">
        <v>1.1818181818181819</v>
      </c>
      <c r="AX13" s="16">
        <v>8.5365853658536592E-2</v>
      </c>
      <c r="AY13" s="19">
        <v>0.5714285714285714</v>
      </c>
      <c r="AZ13" s="16">
        <v>0</v>
      </c>
      <c r="BA13" s="19" t="s">
        <v>269</v>
      </c>
      <c r="BB13" s="16">
        <v>0.29268292682926828</v>
      </c>
      <c r="BC13" s="21">
        <v>1</v>
      </c>
      <c r="BD13" s="16">
        <v>4.878048780487805E-2</v>
      </c>
      <c r="BE13" s="16">
        <v>0.17073170731707318</v>
      </c>
      <c r="BF13" s="16">
        <v>0.6</v>
      </c>
      <c r="BG13" s="16">
        <v>0.52173913043478259</v>
      </c>
      <c r="BH13" s="16">
        <v>1</v>
      </c>
      <c r="BI13" s="16">
        <v>0.25</v>
      </c>
      <c r="BJ13" s="16">
        <v>0.25609756097560976</v>
      </c>
      <c r="BK13" s="21">
        <v>1.5</v>
      </c>
      <c r="BL13" s="16">
        <v>0.3125</v>
      </c>
      <c r="BM13" s="16">
        <v>0.1875</v>
      </c>
      <c r="BN13" s="16">
        <v>0.4375</v>
      </c>
      <c r="BO13" s="16">
        <v>0.5</v>
      </c>
      <c r="BP13" s="16">
        <v>0.73333333333333328</v>
      </c>
      <c r="BQ13" s="16">
        <v>0.69565217391304346</v>
      </c>
      <c r="BR13" s="16">
        <v>0.875</v>
      </c>
      <c r="BS13" s="16">
        <v>0.5</v>
      </c>
      <c r="BT13" s="16">
        <v>0.5161290322580645</v>
      </c>
      <c r="BU13" s="16">
        <v>0.11267605633802817</v>
      </c>
      <c r="BV13" s="16">
        <v>1.7241379310344827E-2</v>
      </c>
      <c r="BW13" s="16">
        <v>6</v>
      </c>
      <c r="BX13" s="16">
        <v>0.55555555555555558</v>
      </c>
      <c r="BY13" s="16">
        <v>0.31578947368421051</v>
      </c>
      <c r="BZ13" s="12">
        <v>12</v>
      </c>
      <c r="CA13" s="12">
        <v>8</v>
      </c>
      <c r="CB13" s="12">
        <v>1</v>
      </c>
      <c r="CC13" s="12">
        <v>0</v>
      </c>
      <c r="CD13" s="12">
        <v>0</v>
      </c>
      <c r="CE13" s="12">
        <v>0</v>
      </c>
      <c r="CF13" s="12">
        <v>1</v>
      </c>
      <c r="CG13" s="12">
        <v>0</v>
      </c>
      <c r="CH13" s="12">
        <v>2</v>
      </c>
      <c r="CI13" s="12">
        <v>0</v>
      </c>
      <c r="CJ13" s="12">
        <v>0</v>
      </c>
      <c r="CK13" s="12">
        <v>0</v>
      </c>
      <c r="CL13" s="12">
        <v>6</v>
      </c>
      <c r="CM13" s="12">
        <v>1</v>
      </c>
      <c r="CN13" s="12">
        <v>1</v>
      </c>
      <c r="CO13" s="12">
        <v>0</v>
      </c>
      <c r="CP13" s="12">
        <v>2</v>
      </c>
      <c r="CQ13" s="12">
        <v>0</v>
      </c>
      <c r="CR13" s="12">
        <v>10</v>
      </c>
      <c r="CS13" s="12">
        <v>1</v>
      </c>
      <c r="CT13" s="12">
        <v>3</v>
      </c>
      <c r="CU13" s="12">
        <v>0</v>
      </c>
      <c r="CV13" s="12">
        <v>0</v>
      </c>
      <c r="CW13" s="12">
        <v>0</v>
      </c>
      <c r="CX13" s="12">
        <v>6</v>
      </c>
      <c r="CY13" s="12">
        <v>1</v>
      </c>
      <c r="CZ13" s="12">
        <v>1</v>
      </c>
      <c r="DA13" s="12">
        <v>0</v>
      </c>
      <c r="DB13" s="12">
        <v>1</v>
      </c>
      <c r="DC13" s="12">
        <v>1</v>
      </c>
      <c r="DD13" s="12">
        <v>2</v>
      </c>
      <c r="DE13" s="12">
        <v>2</v>
      </c>
      <c r="DF13" s="12">
        <v>6</v>
      </c>
      <c r="DG13" s="12">
        <v>8</v>
      </c>
      <c r="DH13" s="12">
        <v>0</v>
      </c>
      <c r="DI13" s="12">
        <v>0</v>
      </c>
      <c r="DJ13" s="12">
        <v>0</v>
      </c>
      <c r="DK13" s="12">
        <v>0</v>
      </c>
      <c r="DL13" s="12">
        <v>8</v>
      </c>
      <c r="DM13" s="12">
        <v>10</v>
      </c>
      <c r="DN13" s="12">
        <v>13</v>
      </c>
      <c r="DO13" s="12">
        <v>22</v>
      </c>
      <c r="DP13" s="12">
        <v>2</v>
      </c>
      <c r="DQ13" s="12">
        <v>7</v>
      </c>
      <c r="DR13" s="12">
        <v>0</v>
      </c>
      <c r="DS13" s="12">
        <v>0</v>
      </c>
      <c r="DT13" s="12">
        <v>8</v>
      </c>
      <c r="DU13" s="12">
        <v>24</v>
      </c>
      <c r="DV13" s="12">
        <v>0</v>
      </c>
      <c r="DW13" s="12">
        <v>1</v>
      </c>
      <c r="DX13" s="12">
        <v>82</v>
      </c>
      <c r="DY13" s="12">
        <v>18</v>
      </c>
      <c r="DZ13" s="12">
        <v>39</v>
      </c>
      <c r="EA13" s="16">
        <v>0.46153846153846156</v>
      </c>
      <c r="EB13" s="12">
        <v>11</v>
      </c>
      <c r="EC13" s="12">
        <v>19</v>
      </c>
      <c r="ED13" s="16">
        <v>0.57894736842105265</v>
      </c>
      <c r="EE13" s="12">
        <v>29</v>
      </c>
      <c r="EF13" s="12">
        <v>58</v>
      </c>
      <c r="EG13" s="16">
        <v>0.5</v>
      </c>
      <c r="EH13" s="12">
        <v>13</v>
      </c>
      <c r="EI13" s="12">
        <v>18</v>
      </c>
      <c r="EJ13" s="16">
        <v>0.72222222222222221</v>
      </c>
      <c r="EK13" s="12">
        <v>8</v>
      </c>
      <c r="EL13" s="12">
        <v>22</v>
      </c>
      <c r="EM13" s="12">
        <v>30</v>
      </c>
      <c r="EN13" s="12">
        <v>11</v>
      </c>
      <c r="EO13" s="12">
        <v>19</v>
      </c>
      <c r="EP13" s="12">
        <v>17</v>
      </c>
      <c r="EQ13" s="12">
        <v>6</v>
      </c>
      <c r="ER13" s="12">
        <v>15</v>
      </c>
      <c r="ES13" s="12">
        <v>3</v>
      </c>
      <c r="ET13" s="12">
        <v>1</v>
      </c>
      <c r="EU13" s="12">
        <v>80</v>
      </c>
      <c r="EV13" s="12">
        <v>3</v>
      </c>
      <c r="EW13" s="12">
        <v>71</v>
      </c>
      <c r="EX13" s="12">
        <v>79</v>
      </c>
      <c r="EY13" s="12">
        <v>5</v>
      </c>
      <c r="EZ13" s="12">
        <v>5</v>
      </c>
      <c r="FA13" s="12">
        <v>6</v>
      </c>
      <c r="FB13" s="12">
        <v>0</v>
      </c>
      <c r="FC13" s="12">
        <v>0</v>
      </c>
      <c r="FD13" s="12">
        <v>3</v>
      </c>
      <c r="FE13" s="12">
        <v>0</v>
      </c>
      <c r="FF13" s="12">
        <v>3</v>
      </c>
      <c r="FG13" s="12">
        <v>1</v>
      </c>
      <c r="FH13" s="12">
        <v>0</v>
      </c>
      <c r="FI13" s="12">
        <v>0</v>
      </c>
      <c r="FJ13" s="12">
        <v>0</v>
      </c>
      <c r="FK13" s="12">
        <v>0</v>
      </c>
      <c r="FL13" s="12">
        <v>1</v>
      </c>
      <c r="FM13" s="12">
        <v>0</v>
      </c>
      <c r="FN13" s="12">
        <v>1</v>
      </c>
      <c r="FO13" s="12">
        <v>0</v>
      </c>
      <c r="FP13" s="12">
        <v>2</v>
      </c>
      <c r="FQ13" s="12">
        <v>0</v>
      </c>
      <c r="FR13" s="12">
        <v>8</v>
      </c>
      <c r="FS13" s="12">
        <v>0</v>
      </c>
      <c r="FT13" s="12">
        <v>2</v>
      </c>
      <c r="FU13" s="12">
        <v>1</v>
      </c>
      <c r="FV13" s="12">
        <v>0</v>
      </c>
      <c r="FW13" s="12">
        <v>0</v>
      </c>
      <c r="FX13" s="12">
        <v>9</v>
      </c>
      <c r="FY13" s="12">
        <v>0</v>
      </c>
      <c r="FZ13" s="12">
        <v>1</v>
      </c>
      <c r="GA13" s="12">
        <v>0</v>
      </c>
      <c r="GB13" s="12">
        <v>1</v>
      </c>
      <c r="GC13" s="12">
        <v>1</v>
      </c>
      <c r="GD13" s="12">
        <v>4</v>
      </c>
      <c r="GE13" s="12">
        <v>4</v>
      </c>
      <c r="GF13" s="12">
        <v>6</v>
      </c>
      <c r="GG13" s="12">
        <v>10</v>
      </c>
      <c r="GH13" s="12">
        <v>1</v>
      </c>
      <c r="GI13" s="12">
        <v>2</v>
      </c>
      <c r="GJ13" s="12">
        <v>3</v>
      </c>
      <c r="GK13" s="12">
        <v>0</v>
      </c>
      <c r="GL13" s="12">
        <v>5</v>
      </c>
      <c r="GM13" s="12">
        <v>10</v>
      </c>
      <c r="GN13" s="12">
        <v>11</v>
      </c>
      <c r="GO13" s="12">
        <v>24</v>
      </c>
      <c r="GP13" s="12">
        <v>2</v>
      </c>
      <c r="GQ13" s="12">
        <v>5</v>
      </c>
      <c r="GR13" s="12">
        <v>0</v>
      </c>
      <c r="GS13" s="12">
        <v>0</v>
      </c>
      <c r="GT13" s="12">
        <v>11</v>
      </c>
      <c r="GU13" s="12">
        <v>19</v>
      </c>
      <c r="GV13" s="12">
        <v>0</v>
      </c>
      <c r="GW13" s="12">
        <v>0</v>
      </c>
    </row>
    <row r="14" spans="2:205" ht="15" customHeight="1" x14ac:dyDescent="0.2">
      <c r="B14" s="12">
        <v>1</v>
      </c>
      <c r="C14" s="12" t="s">
        <v>289</v>
      </c>
      <c r="D14" s="12" t="s">
        <v>290</v>
      </c>
      <c r="E14" s="14" t="s">
        <v>291</v>
      </c>
      <c r="F14" s="14" t="s">
        <v>292</v>
      </c>
      <c r="G14" s="15">
        <v>45205</v>
      </c>
      <c r="H14" s="15" t="s">
        <v>271</v>
      </c>
      <c r="I14" s="12" t="s">
        <v>269</v>
      </c>
      <c r="J14" s="12" t="s">
        <v>272</v>
      </c>
      <c r="K14" s="12">
        <v>225</v>
      </c>
      <c r="L14" s="12">
        <v>85</v>
      </c>
      <c r="M14" s="12">
        <v>18</v>
      </c>
      <c r="N14" s="12">
        <v>34</v>
      </c>
      <c r="O14" s="16">
        <v>0.52941176470588236</v>
      </c>
      <c r="P14" s="12">
        <v>14</v>
      </c>
      <c r="Q14" s="12">
        <v>31</v>
      </c>
      <c r="R14" s="16">
        <v>0.45161290322580644</v>
      </c>
      <c r="S14" s="12">
        <v>32</v>
      </c>
      <c r="T14" s="12">
        <v>65</v>
      </c>
      <c r="U14" s="16">
        <v>0.49230769230769234</v>
      </c>
      <c r="V14" s="12">
        <v>7</v>
      </c>
      <c r="W14" s="12">
        <v>11</v>
      </c>
      <c r="X14" s="16">
        <v>0.63636363636363635</v>
      </c>
      <c r="Y14" s="12">
        <v>4</v>
      </c>
      <c r="Z14" s="12">
        <v>23</v>
      </c>
      <c r="AA14" s="12">
        <v>27</v>
      </c>
      <c r="AB14" s="12">
        <v>15</v>
      </c>
      <c r="AC14" s="12">
        <v>12</v>
      </c>
      <c r="AD14" s="12">
        <v>5</v>
      </c>
      <c r="AE14" s="12">
        <v>1</v>
      </c>
      <c r="AF14" s="12">
        <v>3</v>
      </c>
      <c r="AG14" s="12">
        <v>23</v>
      </c>
      <c r="AH14" s="12">
        <v>16</v>
      </c>
      <c r="AI14" s="17">
        <v>74</v>
      </c>
      <c r="AJ14" s="12">
        <v>3</v>
      </c>
      <c r="AK14" s="12">
        <v>78</v>
      </c>
      <c r="AL14" s="12">
        <v>82</v>
      </c>
      <c r="AM14" s="19">
        <v>1.0365853658536586</v>
      </c>
      <c r="AN14" s="19">
        <v>0.9213483146067416</v>
      </c>
      <c r="AO14" s="18">
        <v>108.97435897435896</v>
      </c>
      <c r="AP14" s="18">
        <v>103.79746835443038</v>
      </c>
      <c r="AQ14" s="18">
        <v>5.1768906199285851</v>
      </c>
      <c r="AR14" s="53">
        <v>0.6</v>
      </c>
      <c r="AS14" s="53">
        <v>0.6071428571428571</v>
      </c>
      <c r="AT14" s="16">
        <v>0.17073170731707318</v>
      </c>
      <c r="AU14" s="19">
        <v>1.4285714285714286</v>
      </c>
      <c r="AV14" s="16">
        <v>0.10975609756097561</v>
      </c>
      <c r="AW14" s="19">
        <v>0.66666666666666663</v>
      </c>
      <c r="AX14" s="16">
        <v>0.13414634146341464</v>
      </c>
      <c r="AY14" s="19">
        <v>0.90909090909090906</v>
      </c>
      <c r="AZ14" s="16">
        <v>6.097560975609756E-2</v>
      </c>
      <c r="BA14" s="19">
        <v>1.2</v>
      </c>
      <c r="BB14" s="16">
        <v>0.31707317073170732</v>
      </c>
      <c r="BC14" s="21">
        <v>1.3846153846153846</v>
      </c>
      <c r="BD14" s="16">
        <v>6.097560975609756E-2</v>
      </c>
      <c r="BE14" s="16">
        <v>0.14634146341463414</v>
      </c>
      <c r="BF14" s="16">
        <v>0.40540540540540543</v>
      </c>
      <c r="BG14" s="16">
        <v>0.3888888888888889</v>
      </c>
      <c r="BH14" s="16">
        <v>0.5714285714285714</v>
      </c>
      <c r="BI14" s="16">
        <v>0</v>
      </c>
      <c r="BJ14" s="16">
        <v>0.18292682926829268</v>
      </c>
      <c r="BK14" s="21">
        <v>1.25</v>
      </c>
      <c r="BL14" s="16">
        <v>0.11428571428571428</v>
      </c>
      <c r="BM14" s="16">
        <v>0.17647058823529413</v>
      </c>
      <c r="BN14" s="16">
        <v>5.5555555555555552E-2</v>
      </c>
      <c r="BO14" s="16">
        <v>0</v>
      </c>
      <c r="BP14" s="16">
        <v>0.69696969696969702</v>
      </c>
      <c r="BQ14" s="16">
        <v>0.78947368421052633</v>
      </c>
      <c r="BR14" s="16">
        <v>0.61538461538461542</v>
      </c>
      <c r="BS14" s="16">
        <v>0.66666666666666663</v>
      </c>
      <c r="BT14" s="16">
        <v>0.39705882352941174</v>
      </c>
      <c r="BU14" s="16">
        <v>6.3291139240506333E-2</v>
      </c>
      <c r="BV14" s="16">
        <v>1.6129032258064516E-2</v>
      </c>
      <c r="BW14" s="16">
        <v>6</v>
      </c>
      <c r="BX14" s="16">
        <v>0.34782608695652173</v>
      </c>
      <c r="BY14" s="16">
        <v>0.375</v>
      </c>
      <c r="BZ14" s="12">
        <v>7</v>
      </c>
      <c r="CA14" s="12">
        <v>8</v>
      </c>
      <c r="CB14" s="12">
        <v>0</v>
      </c>
      <c r="CC14" s="12">
        <v>0</v>
      </c>
      <c r="CD14" s="12">
        <v>2</v>
      </c>
      <c r="CE14" s="12">
        <v>0</v>
      </c>
      <c r="CF14" s="12">
        <v>1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1</v>
      </c>
      <c r="CM14" s="12">
        <v>0</v>
      </c>
      <c r="CN14" s="12">
        <v>0</v>
      </c>
      <c r="CO14" s="12">
        <v>0</v>
      </c>
      <c r="CP14" s="12">
        <v>3</v>
      </c>
      <c r="CQ14" s="12">
        <v>0</v>
      </c>
      <c r="CR14" s="12">
        <v>7</v>
      </c>
      <c r="CS14" s="12">
        <v>0</v>
      </c>
      <c r="CT14" s="12">
        <v>4</v>
      </c>
      <c r="CU14" s="12">
        <v>1</v>
      </c>
      <c r="CV14" s="12">
        <v>1</v>
      </c>
      <c r="CW14" s="12">
        <v>0</v>
      </c>
      <c r="CX14" s="12">
        <v>5</v>
      </c>
      <c r="CY14" s="12">
        <v>2</v>
      </c>
      <c r="CZ14" s="12">
        <v>2</v>
      </c>
      <c r="DA14" s="12">
        <v>0</v>
      </c>
      <c r="DB14" s="12">
        <v>0</v>
      </c>
      <c r="DC14" s="12">
        <v>0</v>
      </c>
      <c r="DD14" s="12">
        <v>1</v>
      </c>
      <c r="DE14" s="12">
        <v>1</v>
      </c>
      <c r="DF14" s="12">
        <v>6</v>
      </c>
      <c r="DG14" s="12">
        <v>10</v>
      </c>
      <c r="DH14" s="12">
        <v>0</v>
      </c>
      <c r="DI14" s="12">
        <v>0</v>
      </c>
      <c r="DJ14" s="12">
        <v>0</v>
      </c>
      <c r="DK14" s="12">
        <v>0</v>
      </c>
      <c r="DL14" s="12">
        <v>10</v>
      </c>
      <c r="DM14" s="12">
        <v>14</v>
      </c>
      <c r="DN14" s="12">
        <v>3</v>
      </c>
      <c r="DO14" s="12">
        <v>9</v>
      </c>
      <c r="DP14" s="12">
        <v>5</v>
      </c>
      <c r="DQ14" s="12">
        <v>11</v>
      </c>
      <c r="DR14" s="12">
        <v>2</v>
      </c>
      <c r="DS14" s="12">
        <v>5</v>
      </c>
      <c r="DT14" s="12">
        <v>12</v>
      </c>
      <c r="DU14" s="12">
        <v>26</v>
      </c>
      <c r="DV14" s="12">
        <v>0</v>
      </c>
      <c r="DW14" s="12">
        <v>0</v>
      </c>
      <c r="DX14" s="12">
        <v>82</v>
      </c>
      <c r="DY14" s="12">
        <v>18</v>
      </c>
      <c r="DZ14" s="12">
        <v>36</v>
      </c>
      <c r="EA14" s="16">
        <v>0.5</v>
      </c>
      <c r="EB14" s="12">
        <v>11</v>
      </c>
      <c r="EC14" s="12">
        <v>26</v>
      </c>
      <c r="ED14" s="16">
        <v>0.42307692307692307</v>
      </c>
      <c r="EE14" s="12">
        <v>29</v>
      </c>
      <c r="EF14" s="12">
        <v>62</v>
      </c>
      <c r="EG14" s="16">
        <v>0.46774193548387094</v>
      </c>
      <c r="EH14" s="12">
        <v>13</v>
      </c>
      <c r="EI14" s="12">
        <v>18</v>
      </c>
      <c r="EJ14" s="16">
        <v>0.72222222222222221</v>
      </c>
      <c r="EK14" s="12">
        <v>10</v>
      </c>
      <c r="EL14" s="12">
        <v>31</v>
      </c>
      <c r="EM14" s="12">
        <v>41</v>
      </c>
      <c r="EN14" s="12">
        <v>18</v>
      </c>
      <c r="EO14" s="12">
        <v>16</v>
      </c>
      <c r="EP14" s="12">
        <v>22</v>
      </c>
      <c r="EQ14" s="12">
        <v>9</v>
      </c>
      <c r="ER14" s="12">
        <v>19</v>
      </c>
      <c r="ES14" s="12">
        <v>3</v>
      </c>
      <c r="ET14" s="12">
        <v>1</v>
      </c>
      <c r="EU14" s="12">
        <v>101</v>
      </c>
      <c r="EV14" s="12">
        <v>-3</v>
      </c>
      <c r="EW14" s="12">
        <v>79</v>
      </c>
      <c r="EX14" s="12">
        <v>89</v>
      </c>
      <c r="EY14" s="12">
        <v>5</v>
      </c>
      <c r="EZ14" s="12">
        <v>8</v>
      </c>
      <c r="FA14" s="12">
        <v>10</v>
      </c>
      <c r="FB14" s="12">
        <v>0</v>
      </c>
      <c r="FC14" s="12">
        <v>0</v>
      </c>
      <c r="FD14" s="12">
        <v>1</v>
      </c>
      <c r="FE14" s="12">
        <v>0</v>
      </c>
      <c r="FF14" s="12">
        <v>3</v>
      </c>
      <c r="FG14" s="12">
        <v>0</v>
      </c>
      <c r="FH14" s="12">
        <v>0</v>
      </c>
      <c r="FI14" s="12">
        <v>0</v>
      </c>
      <c r="FJ14" s="12">
        <v>1</v>
      </c>
      <c r="FK14" s="12">
        <v>1</v>
      </c>
      <c r="FL14" s="12">
        <v>3</v>
      </c>
      <c r="FM14" s="12">
        <v>0</v>
      </c>
      <c r="FN14" s="12">
        <v>1</v>
      </c>
      <c r="FO14" s="12">
        <v>0</v>
      </c>
      <c r="FP14" s="12">
        <v>2</v>
      </c>
      <c r="FQ14" s="12">
        <v>0</v>
      </c>
      <c r="FR14" s="12">
        <v>5</v>
      </c>
      <c r="FS14" s="12">
        <v>1</v>
      </c>
      <c r="FT14" s="12">
        <v>6</v>
      </c>
      <c r="FU14" s="12">
        <v>0</v>
      </c>
      <c r="FV14" s="12">
        <v>3</v>
      </c>
      <c r="FW14" s="12">
        <v>0</v>
      </c>
      <c r="FX14" s="12">
        <v>13</v>
      </c>
      <c r="FY14" s="12">
        <v>1</v>
      </c>
      <c r="FZ14" s="12">
        <v>2</v>
      </c>
      <c r="GA14" s="12">
        <v>0</v>
      </c>
      <c r="GB14" s="12">
        <v>1</v>
      </c>
      <c r="GC14" s="12">
        <v>1</v>
      </c>
      <c r="GD14" s="12">
        <v>0</v>
      </c>
      <c r="GE14" s="12">
        <v>0</v>
      </c>
      <c r="GF14" s="12">
        <v>9</v>
      </c>
      <c r="GG14" s="12">
        <v>14</v>
      </c>
      <c r="GH14" s="12">
        <v>0</v>
      </c>
      <c r="GI14" s="12">
        <v>3</v>
      </c>
      <c r="GJ14" s="12">
        <v>3</v>
      </c>
      <c r="GK14" s="12">
        <v>0</v>
      </c>
      <c r="GL14" s="12">
        <v>12</v>
      </c>
      <c r="GM14" s="12">
        <v>16</v>
      </c>
      <c r="GN14" s="12">
        <v>4</v>
      </c>
      <c r="GO14" s="12">
        <v>14</v>
      </c>
      <c r="GP14" s="12">
        <v>2</v>
      </c>
      <c r="GQ14" s="12">
        <v>6</v>
      </c>
      <c r="GR14" s="12">
        <v>4</v>
      </c>
      <c r="GS14" s="12">
        <v>6</v>
      </c>
      <c r="GT14" s="12">
        <v>7</v>
      </c>
      <c r="GU14" s="12">
        <v>20</v>
      </c>
      <c r="GV14" s="12">
        <v>0</v>
      </c>
      <c r="GW14" s="12">
        <v>0</v>
      </c>
    </row>
    <row r="15" spans="2:205" ht="15" customHeight="1" x14ac:dyDescent="0.2">
      <c r="B15" s="12">
        <v>1</v>
      </c>
      <c r="C15" s="12" t="s">
        <v>290</v>
      </c>
      <c r="D15" s="12" t="s">
        <v>289</v>
      </c>
      <c r="E15" s="14" t="s">
        <v>292</v>
      </c>
      <c r="F15" s="14" t="s">
        <v>291</v>
      </c>
      <c r="G15" s="15">
        <v>45205</v>
      </c>
      <c r="H15" s="15" t="s">
        <v>268</v>
      </c>
      <c r="I15" s="12" t="s">
        <v>269</v>
      </c>
      <c r="J15" s="12" t="s">
        <v>270</v>
      </c>
      <c r="K15" s="12">
        <v>225</v>
      </c>
      <c r="L15" s="12">
        <v>82</v>
      </c>
      <c r="M15" s="12">
        <v>18</v>
      </c>
      <c r="N15" s="12">
        <v>36</v>
      </c>
      <c r="O15" s="16">
        <v>0.5</v>
      </c>
      <c r="P15" s="12">
        <v>11</v>
      </c>
      <c r="Q15" s="12">
        <v>26</v>
      </c>
      <c r="R15" s="16">
        <v>0.42307692307692307</v>
      </c>
      <c r="S15" s="12">
        <v>29</v>
      </c>
      <c r="T15" s="12">
        <v>62</v>
      </c>
      <c r="U15" s="16">
        <v>0.46774193548387094</v>
      </c>
      <c r="V15" s="12">
        <v>13</v>
      </c>
      <c r="W15" s="12">
        <v>18</v>
      </c>
      <c r="X15" s="16">
        <v>0.72222222222222221</v>
      </c>
      <c r="Y15" s="12">
        <v>10</v>
      </c>
      <c r="Z15" s="12">
        <v>31</v>
      </c>
      <c r="AA15" s="12">
        <v>41</v>
      </c>
      <c r="AB15" s="12">
        <v>18</v>
      </c>
      <c r="AC15" s="12">
        <v>19</v>
      </c>
      <c r="AD15" s="12">
        <v>9</v>
      </c>
      <c r="AE15" s="12">
        <v>3</v>
      </c>
      <c r="AF15" s="12">
        <v>1</v>
      </c>
      <c r="AG15" s="12">
        <v>16</v>
      </c>
      <c r="AH15" s="12">
        <v>22</v>
      </c>
      <c r="AI15" s="17">
        <v>101</v>
      </c>
      <c r="AJ15" s="12">
        <v>-3</v>
      </c>
      <c r="AK15" s="12">
        <v>79</v>
      </c>
      <c r="AL15" s="12">
        <v>89</v>
      </c>
      <c r="AM15" s="19">
        <v>0.9213483146067416</v>
      </c>
      <c r="AN15" s="19">
        <v>1.0365853658536586</v>
      </c>
      <c r="AO15" s="18">
        <v>103.79746835443038</v>
      </c>
      <c r="AP15" s="18">
        <v>108.97435897435896</v>
      </c>
      <c r="AQ15" s="18">
        <v>-5.1768906199285851</v>
      </c>
      <c r="AR15" s="53">
        <v>0.55645161290322576</v>
      </c>
      <c r="AS15" s="53">
        <v>0.58571428571428574</v>
      </c>
      <c r="AT15" s="16">
        <v>0.1797752808988764</v>
      </c>
      <c r="AU15" s="19">
        <v>1.5</v>
      </c>
      <c r="AV15" s="16">
        <v>0.15730337078651685</v>
      </c>
      <c r="AW15" s="19">
        <v>0.5714285714285714</v>
      </c>
      <c r="AX15" s="16">
        <v>6.741573033707865E-2</v>
      </c>
      <c r="AY15" s="19">
        <v>0.66666666666666663</v>
      </c>
      <c r="AZ15" s="16">
        <v>6.741573033707865E-2</v>
      </c>
      <c r="BA15" s="19">
        <v>2</v>
      </c>
      <c r="BB15" s="16">
        <v>0.2247191011235955</v>
      </c>
      <c r="BC15" s="21">
        <v>1.05</v>
      </c>
      <c r="BD15" s="16">
        <v>8.98876404494382E-2</v>
      </c>
      <c r="BE15" s="16">
        <v>0.21348314606741572</v>
      </c>
      <c r="BF15" s="16">
        <v>0.48648648648648651</v>
      </c>
      <c r="BG15" s="16">
        <v>0.44444444444444442</v>
      </c>
      <c r="BH15" s="16">
        <v>0.90909090909090906</v>
      </c>
      <c r="BI15" s="16">
        <v>0</v>
      </c>
      <c r="BJ15" s="16">
        <v>0.20224719101123595</v>
      </c>
      <c r="BK15" s="21">
        <v>0.94736842105263153</v>
      </c>
      <c r="BL15" s="16">
        <v>0.30303030303030304</v>
      </c>
      <c r="BM15" s="16">
        <v>0.21052631578947367</v>
      </c>
      <c r="BN15" s="16">
        <v>0.38461538461538464</v>
      </c>
      <c r="BO15" s="16">
        <v>0.33333333333333331</v>
      </c>
      <c r="BP15" s="16">
        <v>0.88571428571428568</v>
      </c>
      <c r="BQ15" s="16">
        <v>0.82352941176470584</v>
      </c>
      <c r="BR15" s="16">
        <v>0.94444444444444442</v>
      </c>
      <c r="BS15" s="16">
        <v>1</v>
      </c>
      <c r="BT15" s="16">
        <v>0.6029411764705882</v>
      </c>
      <c r="BU15" s="16">
        <v>0.11538461538461539</v>
      </c>
      <c r="BV15" s="16">
        <v>4.6153846153846156E-2</v>
      </c>
      <c r="BW15" s="16">
        <v>5</v>
      </c>
      <c r="BX15" s="16">
        <v>0.375</v>
      </c>
      <c r="BY15" s="16">
        <v>0.36363636363636365</v>
      </c>
      <c r="BZ15" s="12">
        <v>8</v>
      </c>
      <c r="CA15" s="12">
        <v>10</v>
      </c>
      <c r="CB15" s="12">
        <v>0</v>
      </c>
      <c r="CC15" s="12">
        <v>0</v>
      </c>
      <c r="CD15" s="12">
        <v>1</v>
      </c>
      <c r="CE15" s="12">
        <v>0</v>
      </c>
      <c r="CF15" s="12">
        <v>3</v>
      </c>
      <c r="CG15" s="12">
        <v>0</v>
      </c>
      <c r="CH15" s="12">
        <v>0</v>
      </c>
      <c r="CI15" s="12">
        <v>0</v>
      </c>
      <c r="CJ15" s="12">
        <v>1</v>
      </c>
      <c r="CK15" s="12">
        <v>1</v>
      </c>
      <c r="CL15" s="12">
        <v>3</v>
      </c>
      <c r="CM15" s="12">
        <v>0</v>
      </c>
      <c r="CN15" s="12">
        <v>1</v>
      </c>
      <c r="CO15" s="12">
        <v>0</v>
      </c>
      <c r="CP15" s="12">
        <v>2</v>
      </c>
      <c r="CQ15" s="12">
        <v>0</v>
      </c>
      <c r="CR15" s="12">
        <v>5</v>
      </c>
      <c r="CS15" s="12">
        <v>1</v>
      </c>
      <c r="CT15" s="12">
        <v>6</v>
      </c>
      <c r="CU15" s="12">
        <v>0</v>
      </c>
      <c r="CV15" s="12">
        <v>3</v>
      </c>
      <c r="CW15" s="12">
        <v>0</v>
      </c>
      <c r="CX15" s="12">
        <v>13</v>
      </c>
      <c r="CY15" s="12">
        <v>1</v>
      </c>
      <c r="CZ15" s="12">
        <v>2</v>
      </c>
      <c r="DA15" s="12">
        <v>0</v>
      </c>
      <c r="DB15" s="12">
        <v>1</v>
      </c>
      <c r="DC15" s="12">
        <v>1</v>
      </c>
      <c r="DD15" s="12">
        <v>0</v>
      </c>
      <c r="DE15" s="12">
        <v>0</v>
      </c>
      <c r="DF15" s="12">
        <v>9</v>
      </c>
      <c r="DG15" s="12">
        <v>14</v>
      </c>
      <c r="DH15" s="12">
        <v>0</v>
      </c>
      <c r="DI15" s="12">
        <v>3</v>
      </c>
      <c r="DJ15" s="12">
        <v>3</v>
      </c>
      <c r="DK15" s="12">
        <v>0</v>
      </c>
      <c r="DL15" s="12">
        <v>12</v>
      </c>
      <c r="DM15" s="12">
        <v>16</v>
      </c>
      <c r="DN15" s="12">
        <v>4</v>
      </c>
      <c r="DO15" s="12">
        <v>14</v>
      </c>
      <c r="DP15" s="12">
        <v>2</v>
      </c>
      <c r="DQ15" s="12">
        <v>6</v>
      </c>
      <c r="DR15" s="12">
        <v>4</v>
      </c>
      <c r="DS15" s="12">
        <v>6</v>
      </c>
      <c r="DT15" s="12">
        <v>7</v>
      </c>
      <c r="DU15" s="12">
        <v>20</v>
      </c>
      <c r="DV15" s="12">
        <v>0</v>
      </c>
      <c r="DW15" s="12">
        <v>0</v>
      </c>
      <c r="DX15" s="12">
        <v>85</v>
      </c>
      <c r="DY15" s="12">
        <v>18</v>
      </c>
      <c r="DZ15" s="12">
        <v>34</v>
      </c>
      <c r="EA15" s="16">
        <v>0.52941176470588236</v>
      </c>
      <c r="EB15" s="12">
        <v>14</v>
      </c>
      <c r="EC15" s="12">
        <v>31</v>
      </c>
      <c r="ED15" s="16">
        <v>0.45161290322580644</v>
      </c>
      <c r="EE15" s="12">
        <v>32</v>
      </c>
      <c r="EF15" s="12">
        <v>65</v>
      </c>
      <c r="EG15" s="16">
        <v>0.49230769230769234</v>
      </c>
      <c r="EH15" s="12">
        <v>7</v>
      </c>
      <c r="EI15" s="12">
        <v>11</v>
      </c>
      <c r="EJ15" s="16">
        <v>0.63636363636363635</v>
      </c>
      <c r="EK15" s="12">
        <v>4</v>
      </c>
      <c r="EL15" s="12">
        <v>23</v>
      </c>
      <c r="EM15" s="12">
        <v>27</v>
      </c>
      <c r="EN15" s="12">
        <v>15</v>
      </c>
      <c r="EO15" s="12">
        <v>23</v>
      </c>
      <c r="EP15" s="12">
        <v>16</v>
      </c>
      <c r="EQ15" s="12">
        <v>5</v>
      </c>
      <c r="ER15" s="12">
        <v>12</v>
      </c>
      <c r="ES15" s="12">
        <v>1</v>
      </c>
      <c r="ET15" s="12">
        <v>3</v>
      </c>
      <c r="EU15" s="12">
        <v>74</v>
      </c>
      <c r="EV15" s="12">
        <v>3</v>
      </c>
      <c r="EW15" s="12">
        <v>78</v>
      </c>
      <c r="EX15" s="12">
        <v>82</v>
      </c>
      <c r="EY15" s="12">
        <v>6</v>
      </c>
      <c r="EZ15" s="12">
        <v>7</v>
      </c>
      <c r="FA15" s="12">
        <v>8</v>
      </c>
      <c r="FB15" s="12">
        <v>0</v>
      </c>
      <c r="FC15" s="12">
        <v>0</v>
      </c>
      <c r="FD15" s="12">
        <v>2</v>
      </c>
      <c r="FE15" s="12">
        <v>0</v>
      </c>
      <c r="FF15" s="12">
        <v>1</v>
      </c>
      <c r="FG15" s="12">
        <v>0</v>
      </c>
      <c r="FH15" s="12">
        <v>0</v>
      </c>
      <c r="FI15" s="12">
        <v>0</v>
      </c>
      <c r="FJ15" s="12">
        <v>0</v>
      </c>
      <c r="FK15" s="12">
        <v>0</v>
      </c>
      <c r="FL15" s="12">
        <v>1</v>
      </c>
      <c r="FM15" s="12">
        <v>0</v>
      </c>
      <c r="FN15" s="12">
        <v>0</v>
      </c>
      <c r="FO15" s="12">
        <v>0</v>
      </c>
      <c r="FP15" s="12">
        <v>3</v>
      </c>
      <c r="FQ15" s="12">
        <v>0</v>
      </c>
      <c r="FR15" s="12">
        <v>7</v>
      </c>
      <c r="FS15" s="12">
        <v>0</v>
      </c>
      <c r="FT15" s="12">
        <v>4</v>
      </c>
      <c r="FU15" s="12">
        <v>1</v>
      </c>
      <c r="FV15" s="12">
        <v>1</v>
      </c>
      <c r="FW15" s="12">
        <v>0</v>
      </c>
      <c r="FX15" s="12">
        <v>5</v>
      </c>
      <c r="FY15" s="12">
        <v>2</v>
      </c>
      <c r="FZ15" s="12">
        <v>2</v>
      </c>
      <c r="GA15" s="12">
        <v>0</v>
      </c>
      <c r="GB15" s="12">
        <v>0</v>
      </c>
      <c r="GC15" s="12">
        <v>0</v>
      </c>
      <c r="GD15" s="12">
        <v>1</v>
      </c>
      <c r="GE15" s="12">
        <v>1</v>
      </c>
      <c r="GF15" s="12">
        <v>6</v>
      </c>
      <c r="GG15" s="12">
        <v>10</v>
      </c>
      <c r="GH15" s="12">
        <v>0</v>
      </c>
      <c r="GI15" s="12">
        <v>0</v>
      </c>
      <c r="GJ15" s="12">
        <v>0</v>
      </c>
      <c r="GK15" s="12">
        <v>0</v>
      </c>
      <c r="GL15" s="12">
        <v>10</v>
      </c>
      <c r="GM15" s="12">
        <v>14</v>
      </c>
      <c r="GN15" s="12">
        <v>3</v>
      </c>
      <c r="GO15" s="12">
        <v>9</v>
      </c>
      <c r="GP15" s="12">
        <v>5</v>
      </c>
      <c r="GQ15" s="12">
        <v>11</v>
      </c>
      <c r="GR15" s="12">
        <v>2</v>
      </c>
      <c r="GS15" s="12">
        <v>5</v>
      </c>
      <c r="GT15" s="12">
        <v>12</v>
      </c>
      <c r="GU15" s="12">
        <v>26</v>
      </c>
      <c r="GV15" s="12">
        <v>0</v>
      </c>
      <c r="GW15" s="12">
        <v>0</v>
      </c>
    </row>
    <row r="16" spans="2:205" ht="15" customHeight="1" x14ac:dyDescent="0.2">
      <c r="B16" s="12">
        <v>1</v>
      </c>
      <c r="C16" s="12" t="s">
        <v>293</v>
      </c>
      <c r="D16" s="12" t="s">
        <v>294</v>
      </c>
      <c r="E16" s="14" t="s">
        <v>295</v>
      </c>
      <c r="F16" s="14" t="s">
        <v>296</v>
      </c>
      <c r="G16" s="15">
        <v>45205</v>
      </c>
      <c r="H16" s="15" t="s">
        <v>271</v>
      </c>
      <c r="I16" s="12" t="s">
        <v>269</v>
      </c>
      <c r="J16" s="12" t="s">
        <v>270</v>
      </c>
      <c r="K16" s="12">
        <v>225</v>
      </c>
      <c r="L16" s="12">
        <v>78</v>
      </c>
      <c r="M16" s="12">
        <v>16</v>
      </c>
      <c r="N16" s="12">
        <v>32</v>
      </c>
      <c r="O16" s="16">
        <v>0.5</v>
      </c>
      <c r="P16" s="12">
        <v>10</v>
      </c>
      <c r="Q16" s="12">
        <v>24</v>
      </c>
      <c r="R16" s="16">
        <v>0.41666666666666669</v>
      </c>
      <c r="S16" s="12">
        <v>26</v>
      </c>
      <c r="T16" s="12">
        <v>56</v>
      </c>
      <c r="U16" s="16">
        <v>0.4642857142857143</v>
      </c>
      <c r="V16" s="12">
        <v>16</v>
      </c>
      <c r="W16" s="12">
        <v>19</v>
      </c>
      <c r="X16" s="16">
        <v>0.84210526315789469</v>
      </c>
      <c r="Y16" s="12">
        <v>7</v>
      </c>
      <c r="Z16" s="12">
        <v>25</v>
      </c>
      <c r="AA16" s="12">
        <v>32</v>
      </c>
      <c r="AB16" s="12">
        <v>15</v>
      </c>
      <c r="AC16" s="12">
        <v>19</v>
      </c>
      <c r="AD16" s="12">
        <v>8</v>
      </c>
      <c r="AE16" s="12">
        <v>2</v>
      </c>
      <c r="AF16" s="12">
        <v>2</v>
      </c>
      <c r="AG16" s="12">
        <v>17</v>
      </c>
      <c r="AH16" s="12">
        <v>19</v>
      </c>
      <c r="AI16" s="17">
        <v>83</v>
      </c>
      <c r="AJ16" s="12">
        <v>-10</v>
      </c>
      <c r="AK16" s="12">
        <v>76</v>
      </c>
      <c r="AL16" s="12">
        <v>84</v>
      </c>
      <c r="AM16" s="19">
        <v>0.9285714285714286</v>
      </c>
      <c r="AN16" s="19">
        <v>1.0602409638554218</v>
      </c>
      <c r="AO16" s="18">
        <v>102.63157894736842</v>
      </c>
      <c r="AP16" s="18">
        <v>117.33333333333333</v>
      </c>
      <c r="AQ16" s="18">
        <v>-14.701754385964904</v>
      </c>
      <c r="AR16" s="53">
        <v>0.5535714285714286</v>
      </c>
      <c r="AS16" s="53">
        <v>0.6</v>
      </c>
      <c r="AT16" s="16">
        <v>0.16666666666666666</v>
      </c>
      <c r="AU16" s="19">
        <v>1.4285714285714286</v>
      </c>
      <c r="AV16" s="16">
        <v>0.10714285714285714</v>
      </c>
      <c r="AW16" s="19">
        <v>0.66666666666666663</v>
      </c>
      <c r="AX16" s="16">
        <v>0.10714285714285714</v>
      </c>
      <c r="AY16" s="19">
        <v>0.66666666666666663</v>
      </c>
      <c r="AZ16" s="16">
        <v>1.1904761904761904E-2</v>
      </c>
      <c r="BA16" s="19">
        <v>3</v>
      </c>
      <c r="BB16" s="16">
        <v>0.27380952380952384</v>
      </c>
      <c r="BC16" s="21">
        <v>1.173913043478261</v>
      </c>
      <c r="BD16" s="16">
        <v>0.10714285714285714</v>
      </c>
      <c r="BE16" s="16">
        <v>0.2289156626506024</v>
      </c>
      <c r="BF16" s="16">
        <v>0.42857142857142855</v>
      </c>
      <c r="BG16" s="16">
        <v>0.375</v>
      </c>
      <c r="BH16" s="16">
        <v>0.7</v>
      </c>
      <c r="BI16" s="16">
        <v>0.22222222222222221</v>
      </c>
      <c r="BJ16" s="16">
        <v>0.18072289156626506</v>
      </c>
      <c r="BK16" s="21">
        <v>0.78947368421052633</v>
      </c>
      <c r="BL16" s="16">
        <v>0.2413793103448276</v>
      </c>
      <c r="BM16" s="16">
        <v>0.33333333333333331</v>
      </c>
      <c r="BN16" s="16">
        <v>0.13333333333333333</v>
      </c>
      <c r="BO16" s="16">
        <v>0</v>
      </c>
      <c r="BP16" s="16">
        <v>0.75757575757575757</v>
      </c>
      <c r="BQ16" s="16">
        <v>0.6875</v>
      </c>
      <c r="BR16" s="16">
        <v>0.77777777777777779</v>
      </c>
      <c r="BS16" s="16">
        <v>1</v>
      </c>
      <c r="BT16" s="16">
        <v>0.5161290322580645</v>
      </c>
      <c r="BU16" s="16">
        <v>0.10666666666666667</v>
      </c>
      <c r="BV16" s="16">
        <v>2.9850746268656716E-2</v>
      </c>
      <c r="BW16" s="16">
        <v>8</v>
      </c>
      <c r="BX16" s="16">
        <v>0.23529411764705882</v>
      </c>
      <c r="BY16" s="16">
        <v>0.52631578947368418</v>
      </c>
      <c r="BZ16" s="12">
        <v>6</v>
      </c>
      <c r="CA16" s="12">
        <v>7</v>
      </c>
      <c r="CB16" s="12">
        <v>2</v>
      </c>
      <c r="CC16" s="12">
        <v>4</v>
      </c>
      <c r="CD16" s="12">
        <v>1</v>
      </c>
      <c r="CE16" s="12">
        <v>0</v>
      </c>
      <c r="CF16" s="12">
        <v>2</v>
      </c>
      <c r="CG16" s="12">
        <v>0</v>
      </c>
      <c r="CH16" s="12">
        <v>2</v>
      </c>
      <c r="CI16" s="12">
        <v>0</v>
      </c>
      <c r="CJ16" s="12">
        <v>0</v>
      </c>
      <c r="CK16" s="12">
        <v>0</v>
      </c>
      <c r="CL16" s="12">
        <v>2</v>
      </c>
      <c r="CM16" s="12">
        <v>0</v>
      </c>
      <c r="CN16" s="12">
        <v>0</v>
      </c>
      <c r="CO16" s="12">
        <v>0</v>
      </c>
      <c r="CP16" s="12">
        <v>4</v>
      </c>
      <c r="CQ16" s="12">
        <v>0</v>
      </c>
      <c r="CR16" s="12">
        <v>6</v>
      </c>
      <c r="CS16" s="12">
        <v>0</v>
      </c>
      <c r="CT16" s="12">
        <v>1</v>
      </c>
      <c r="CU16" s="12">
        <v>0</v>
      </c>
      <c r="CV16" s="12">
        <v>1</v>
      </c>
      <c r="CW16" s="12">
        <v>0</v>
      </c>
      <c r="CX16" s="12">
        <v>12</v>
      </c>
      <c r="CY16" s="12">
        <v>1</v>
      </c>
      <c r="CZ16" s="12">
        <v>1</v>
      </c>
      <c r="DA16" s="12">
        <v>0</v>
      </c>
      <c r="DB16" s="12">
        <v>0</v>
      </c>
      <c r="DC16" s="12">
        <v>0</v>
      </c>
      <c r="DD16" s="12">
        <v>1</v>
      </c>
      <c r="DE16" s="12">
        <v>1</v>
      </c>
      <c r="DF16" s="12">
        <v>15</v>
      </c>
      <c r="DG16" s="12">
        <v>18</v>
      </c>
      <c r="DH16" s="12">
        <v>0</v>
      </c>
      <c r="DI16" s="12">
        <v>0</v>
      </c>
      <c r="DJ16" s="12">
        <v>0</v>
      </c>
      <c r="DK16" s="12">
        <v>0</v>
      </c>
      <c r="DL16" s="12">
        <v>10</v>
      </c>
      <c r="DM16" s="12">
        <v>14</v>
      </c>
      <c r="DN16" s="12">
        <v>3</v>
      </c>
      <c r="DO16" s="12">
        <v>9</v>
      </c>
      <c r="DP16" s="12">
        <v>3</v>
      </c>
      <c r="DQ16" s="12">
        <v>9</v>
      </c>
      <c r="DR16" s="12">
        <v>1</v>
      </c>
      <c r="DS16" s="12">
        <v>1</v>
      </c>
      <c r="DT16" s="12">
        <v>9</v>
      </c>
      <c r="DU16" s="12">
        <v>23</v>
      </c>
      <c r="DV16" s="12">
        <v>0</v>
      </c>
      <c r="DW16" s="12">
        <v>0</v>
      </c>
      <c r="DX16" s="12">
        <v>88</v>
      </c>
      <c r="DY16" s="12">
        <v>19</v>
      </c>
      <c r="DZ16" s="12">
        <v>35</v>
      </c>
      <c r="EA16" s="16">
        <v>0.54285714285714282</v>
      </c>
      <c r="EB16" s="12">
        <v>15</v>
      </c>
      <c r="EC16" s="12">
        <v>32</v>
      </c>
      <c r="ED16" s="16">
        <v>0.46875</v>
      </c>
      <c r="EE16" s="12">
        <v>34</v>
      </c>
      <c r="EF16" s="12">
        <v>67</v>
      </c>
      <c r="EG16" s="16">
        <v>0.5074626865671642</v>
      </c>
      <c r="EH16" s="12">
        <v>5</v>
      </c>
      <c r="EI16" s="12">
        <v>6</v>
      </c>
      <c r="EJ16" s="16">
        <v>0.83333333333333337</v>
      </c>
      <c r="EK16" s="12">
        <v>8</v>
      </c>
      <c r="EL16" s="12">
        <v>22</v>
      </c>
      <c r="EM16" s="12">
        <v>30</v>
      </c>
      <c r="EN16" s="12">
        <v>20</v>
      </c>
      <c r="EO16" s="12">
        <v>20</v>
      </c>
      <c r="EP16" s="12">
        <v>17</v>
      </c>
      <c r="EQ16" s="12">
        <v>13</v>
      </c>
      <c r="ER16" s="12">
        <v>14</v>
      </c>
      <c r="ES16" s="12">
        <v>2</v>
      </c>
      <c r="ET16" s="12">
        <v>2</v>
      </c>
      <c r="EU16" s="12">
        <v>100</v>
      </c>
      <c r="EV16" s="12">
        <v>10</v>
      </c>
      <c r="EW16" s="12">
        <v>75</v>
      </c>
      <c r="EX16" s="12">
        <v>83</v>
      </c>
      <c r="EY16" s="12">
        <v>7</v>
      </c>
      <c r="EZ16" s="12">
        <v>12</v>
      </c>
      <c r="FA16" s="12">
        <v>8</v>
      </c>
      <c r="FB16" s="12">
        <v>0</v>
      </c>
      <c r="FC16" s="12">
        <v>0</v>
      </c>
      <c r="FD16" s="12">
        <v>3</v>
      </c>
      <c r="FE16" s="12">
        <v>1</v>
      </c>
      <c r="FF16" s="12">
        <v>1</v>
      </c>
      <c r="FG16" s="12">
        <v>0</v>
      </c>
      <c r="FH16" s="12">
        <v>0</v>
      </c>
      <c r="FI16" s="12">
        <v>0</v>
      </c>
      <c r="FJ16" s="12">
        <v>2</v>
      </c>
      <c r="FK16" s="12">
        <v>0</v>
      </c>
      <c r="FL16" s="12">
        <v>2</v>
      </c>
      <c r="FM16" s="12">
        <v>0</v>
      </c>
      <c r="FN16" s="12">
        <v>0</v>
      </c>
      <c r="FO16" s="12">
        <v>0</v>
      </c>
      <c r="FP16" s="12">
        <v>3</v>
      </c>
      <c r="FQ16" s="12">
        <v>0</v>
      </c>
      <c r="FR16" s="12">
        <v>4</v>
      </c>
      <c r="FS16" s="12">
        <v>0</v>
      </c>
      <c r="FT16" s="12">
        <v>3</v>
      </c>
      <c r="FU16" s="12">
        <v>0</v>
      </c>
      <c r="FV16" s="12">
        <v>0</v>
      </c>
      <c r="FW16" s="12">
        <v>0</v>
      </c>
      <c r="FX16" s="12">
        <v>11</v>
      </c>
      <c r="FY16" s="12">
        <v>2</v>
      </c>
      <c r="FZ16" s="12">
        <v>1</v>
      </c>
      <c r="GA16" s="12">
        <v>1</v>
      </c>
      <c r="GB16" s="12">
        <v>0</v>
      </c>
      <c r="GC16" s="12">
        <v>0</v>
      </c>
      <c r="GD16" s="12">
        <v>2</v>
      </c>
      <c r="GE16" s="12">
        <v>2</v>
      </c>
      <c r="GF16" s="12">
        <v>3</v>
      </c>
      <c r="GG16" s="12">
        <v>4</v>
      </c>
      <c r="GH16" s="12">
        <v>0</v>
      </c>
      <c r="GI16" s="12">
        <v>0</v>
      </c>
      <c r="GJ16" s="12">
        <v>0</v>
      </c>
      <c r="GK16" s="12">
        <v>0</v>
      </c>
      <c r="GL16" s="12">
        <v>12</v>
      </c>
      <c r="GM16" s="12">
        <v>19</v>
      </c>
      <c r="GN16" s="12">
        <v>5</v>
      </c>
      <c r="GO16" s="12">
        <v>12</v>
      </c>
      <c r="GP16" s="12">
        <v>2</v>
      </c>
      <c r="GQ16" s="12">
        <v>4</v>
      </c>
      <c r="GR16" s="12">
        <v>1</v>
      </c>
      <c r="GS16" s="12">
        <v>4</v>
      </c>
      <c r="GT16" s="12">
        <v>14</v>
      </c>
      <c r="GU16" s="12">
        <v>28</v>
      </c>
      <c r="GV16" s="12">
        <v>0</v>
      </c>
      <c r="GW16" s="12">
        <v>0</v>
      </c>
    </row>
    <row r="17" spans="2:205" ht="15" customHeight="1" x14ac:dyDescent="0.2">
      <c r="B17" s="12">
        <v>1</v>
      </c>
      <c r="C17" s="12" t="s">
        <v>294</v>
      </c>
      <c r="D17" s="12" t="s">
        <v>293</v>
      </c>
      <c r="E17" s="14" t="s">
        <v>296</v>
      </c>
      <c r="F17" s="14" t="s">
        <v>295</v>
      </c>
      <c r="G17" s="15">
        <v>45205</v>
      </c>
      <c r="H17" s="15" t="s">
        <v>268</v>
      </c>
      <c r="I17" s="12" t="s">
        <v>269</v>
      </c>
      <c r="J17" s="12" t="s">
        <v>272</v>
      </c>
      <c r="K17" s="12">
        <v>225</v>
      </c>
      <c r="L17" s="12">
        <v>88</v>
      </c>
      <c r="M17" s="12">
        <v>19</v>
      </c>
      <c r="N17" s="12">
        <v>35</v>
      </c>
      <c r="O17" s="16">
        <v>0.54285714285714282</v>
      </c>
      <c r="P17" s="12">
        <v>15</v>
      </c>
      <c r="Q17" s="12">
        <v>32</v>
      </c>
      <c r="R17" s="16">
        <v>0.46875</v>
      </c>
      <c r="S17" s="12">
        <v>34</v>
      </c>
      <c r="T17" s="12">
        <v>67</v>
      </c>
      <c r="U17" s="16">
        <v>0.5074626865671642</v>
      </c>
      <c r="V17" s="12">
        <v>5</v>
      </c>
      <c r="W17" s="12">
        <v>6</v>
      </c>
      <c r="X17" s="16">
        <v>0.83333333333333337</v>
      </c>
      <c r="Y17" s="12">
        <v>8</v>
      </c>
      <c r="Z17" s="12">
        <v>22</v>
      </c>
      <c r="AA17" s="12">
        <v>30</v>
      </c>
      <c r="AB17" s="12">
        <v>20</v>
      </c>
      <c r="AC17" s="12">
        <v>14</v>
      </c>
      <c r="AD17" s="12">
        <v>13</v>
      </c>
      <c r="AE17" s="12">
        <v>2</v>
      </c>
      <c r="AF17" s="12">
        <v>2</v>
      </c>
      <c r="AG17" s="12">
        <v>20</v>
      </c>
      <c r="AH17" s="12">
        <v>17</v>
      </c>
      <c r="AI17" s="17">
        <v>100</v>
      </c>
      <c r="AJ17" s="12">
        <v>10</v>
      </c>
      <c r="AK17" s="12">
        <v>75</v>
      </c>
      <c r="AL17" s="12">
        <v>83</v>
      </c>
      <c r="AM17" s="19">
        <v>1.0602409638554218</v>
      </c>
      <c r="AN17" s="19">
        <v>0.9285714285714286</v>
      </c>
      <c r="AO17" s="18">
        <v>117.33333333333333</v>
      </c>
      <c r="AP17" s="18">
        <v>102.63157894736842</v>
      </c>
      <c r="AQ17" s="18">
        <v>14.701754385964904</v>
      </c>
      <c r="AR17" s="53">
        <v>0.61940298507462688</v>
      </c>
      <c r="AS17" s="53">
        <v>0.6376811594202898</v>
      </c>
      <c r="AT17" s="16">
        <v>0.2289156626506024</v>
      </c>
      <c r="AU17" s="19">
        <v>1.263157894736842</v>
      </c>
      <c r="AV17" s="16">
        <v>0.14457831325301204</v>
      </c>
      <c r="AW17" s="19">
        <v>0.83333333333333337</v>
      </c>
      <c r="AX17" s="16">
        <v>4.8192771084337352E-2</v>
      </c>
      <c r="AY17" s="19">
        <v>1</v>
      </c>
      <c r="AZ17" s="16">
        <v>4.8192771084337352E-2</v>
      </c>
      <c r="BA17" s="19">
        <v>0.75</v>
      </c>
      <c r="BB17" s="16">
        <v>0.33734939759036142</v>
      </c>
      <c r="BC17" s="21">
        <v>1.5</v>
      </c>
      <c r="BD17" s="16">
        <v>2.4096385542168676E-2</v>
      </c>
      <c r="BE17" s="16">
        <v>0.16867469879518071</v>
      </c>
      <c r="BF17" s="16">
        <v>0.55555555555555558</v>
      </c>
      <c r="BG17" s="16">
        <v>0.63157894736842102</v>
      </c>
      <c r="BH17" s="16">
        <v>0.53333333333333333</v>
      </c>
      <c r="BI17" s="16">
        <v>0</v>
      </c>
      <c r="BJ17" s="16">
        <v>0.24096385542168675</v>
      </c>
      <c r="BK17" s="21">
        <v>1.4285714285714286</v>
      </c>
      <c r="BL17" s="16">
        <v>0.24242424242424243</v>
      </c>
      <c r="BM17" s="16">
        <v>0.3125</v>
      </c>
      <c r="BN17" s="16">
        <v>0.22222222222222221</v>
      </c>
      <c r="BO17" s="16">
        <v>0</v>
      </c>
      <c r="BP17" s="16">
        <v>0.75862068965517238</v>
      </c>
      <c r="BQ17" s="16">
        <v>0.66666666666666663</v>
      </c>
      <c r="BR17" s="16">
        <v>0.8666666666666667</v>
      </c>
      <c r="BS17" s="16">
        <v>1</v>
      </c>
      <c r="BT17" s="16">
        <v>0.4838709677419355</v>
      </c>
      <c r="BU17" s="16">
        <v>0.17105263157894737</v>
      </c>
      <c r="BV17" s="16">
        <v>3.5714285714285712E-2</v>
      </c>
      <c r="BW17" s="16">
        <v>7</v>
      </c>
      <c r="BX17" s="16">
        <v>0.5</v>
      </c>
      <c r="BY17" s="16">
        <v>0.23529411764705882</v>
      </c>
      <c r="BZ17" s="12">
        <v>12</v>
      </c>
      <c r="CA17" s="12">
        <v>8</v>
      </c>
      <c r="CB17" s="12">
        <v>0</v>
      </c>
      <c r="CC17" s="12">
        <v>0</v>
      </c>
      <c r="CD17" s="12">
        <v>3</v>
      </c>
      <c r="CE17" s="12">
        <v>1</v>
      </c>
      <c r="CF17" s="12">
        <v>1</v>
      </c>
      <c r="CG17" s="12">
        <v>0</v>
      </c>
      <c r="CH17" s="12">
        <v>0</v>
      </c>
      <c r="CI17" s="12">
        <v>0</v>
      </c>
      <c r="CJ17" s="12">
        <v>2</v>
      </c>
      <c r="CK17" s="12">
        <v>0</v>
      </c>
      <c r="CL17" s="12">
        <v>2</v>
      </c>
      <c r="CM17" s="12">
        <v>0</v>
      </c>
      <c r="CN17" s="12">
        <v>0</v>
      </c>
      <c r="CO17" s="12">
        <v>0</v>
      </c>
      <c r="CP17" s="12">
        <v>3</v>
      </c>
      <c r="CQ17" s="12">
        <v>0</v>
      </c>
      <c r="CR17" s="12">
        <v>4</v>
      </c>
      <c r="CS17" s="12">
        <v>0</v>
      </c>
      <c r="CT17" s="12">
        <v>3</v>
      </c>
      <c r="CU17" s="12">
        <v>0</v>
      </c>
      <c r="CV17" s="12">
        <v>0</v>
      </c>
      <c r="CW17" s="12">
        <v>0</v>
      </c>
      <c r="CX17" s="12">
        <v>11</v>
      </c>
      <c r="CY17" s="12">
        <v>2</v>
      </c>
      <c r="CZ17" s="12">
        <v>1</v>
      </c>
      <c r="DA17" s="12">
        <v>1</v>
      </c>
      <c r="DB17" s="12">
        <v>0</v>
      </c>
      <c r="DC17" s="12">
        <v>0</v>
      </c>
      <c r="DD17" s="12">
        <v>2</v>
      </c>
      <c r="DE17" s="12">
        <v>2</v>
      </c>
      <c r="DF17" s="12">
        <v>3</v>
      </c>
      <c r="DG17" s="12">
        <v>4</v>
      </c>
      <c r="DH17" s="12">
        <v>0</v>
      </c>
      <c r="DI17" s="12">
        <v>0</v>
      </c>
      <c r="DJ17" s="12">
        <v>0</v>
      </c>
      <c r="DK17" s="12">
        <v>0</v>
      </c>
      <c r="DL17" s="12">
        <v>12</v>
      </c>
      <c r="DM17" s="12">
        <v>19</v>
      </c>
      <c r="DN17" s="12">
        <v>5</v>
      </c>
      <c r="DO17" s="12">
        <v>12</v>
      </c>
      <c r="DP17" s="12">
        <v>2</v>
      </c>
      <c r="DQ17" s="12">
        <v>4</v>
      </c>
      <c r="DR17" s="12">
        <v>1</v>
      </c>
      <c r="DS17" s="12">
        <v>4</v>
      </c>
      <c r="DT17" s="12">
        <v>14</v>
      </c>
      <c r="DU17" s="12">
        <v>28</v>
      </c>
      <c r="DV17" s="12">
        <v>0</v>
      </c>
      <c r="DW17" s="12">
        <v>0</v>
      </c>
      <c r="DX17" s="12">
        <v>78</v>
      </c>
      <c r="DY17" s="12">
        <v>16</v>
      </c>
      <c r="DZ17" s="12">
        <v>32</v>
      </c>
      <c r="EA17" s="16">
        <v>0.5</v>
      </c>
      <c r="EB17" s="12">
        <v>10</v>
      </c>
      <c r="EC17" s="12">
        <v>24</v>
      </c>
      <c r="ED17" s="16">
        <v>0.41666666666666669</v>
      </c>
      <c r="EE17" s="12">
        <v>26</v>
      </c>
      <c r="EF17" s="12">
        <v>56</v>
      </c>
      <c r="EG17" s="16">
        <v>0.4642857142857143</v>
      </c>
      <c r="EH17" s="12">
        <v>16</v>
      </c>
      <c r="EI17" s="12">
        <v>19</v>
      </c>
      <c r="EJ17" s="16">
        <v>0.84210526315789469</v>
      </c>
      <c r="EK17" s="12">
        <v>7</v>
      </c>
      <c r="EL17" s="12">
        <v>25</v>
      </c>
      <c r="EM17" s="12">
        <v>32</v>
      </c>
      <c r="EN17" s="12">
        <v>15</v>
      </c>
      <c r="EO17" s="12">
        <v>18</v>
      </c>
      <c r="EP17" s="12">
        <v>19</v>
      </c>
      <c r="EQ17" s="12">
        <v>8</v>
      </c>
      <c r="ER17" s="12">
        <v>19</v>
      </c>
      <c r="ES17" s="12">
        <v>2</v>
      </c>
      <c r="ET17" s="12">
        <v>2</v>
      </c>
      <c r="EU17" s="12">
        <v>82</v>
      </c>
      <c r="EV17" s="12">
        <v>-10</v>
      </c>
      <c r="EW17" s="12">
        <v>76</v>
      </c>
      <c r="EX17" s="12">
        <v>84</v>
      </c>
      <c r="EY17" s="12">
        <v>8</v>
      </c>
      <c r="EZ17" s="12">
        <v>6</v>
      </c>
      <c r="FA17" s="12">
        <v>7</v>
      </c>
      <c r="FB17" s="12">
        <v>2</v>
      </c>
      <c r="FC17" s="12">
        <v>4</v>
      </c>
      <c r="FD17" s="12">
        <v>1</v>
      </c>
      <c r="FE17" s="12">
        <v>0</v>
      </c>
      <c r="FF17" s="12">
        <v>2</v>
      </c>
      <c r="FG17" s="12">
        <v>0</v>
      </c>
      <c r="FH17" s="12">
        <v>2</v>
      </c>
      <c r="FI17" s="12">
        <v>0</v>
      </c>
      <c r="FJ17" s="12">
        <v>0</v>
      </c>
      <c r="FK17" s="12">
        <v>0</v>
      </c>
      <c r="FL17" s="12">
        <v>2</v>
      </c>
      <c r="FM17" s="12">
        <v>0</v>
      </c>
      <c r="FN17" s="12">
        <v>0</v>
      </c>
      <c r="FO17" s="12">
        <v>0</v>
      </c>
      <c r="FP17" s="12">
        <v>4</v>
      </c>
      <c r="FQ17" s="12">
        <v>0</v>
      </c>
      <c r="FR17" s="12">
        <v>6</v>
      </c>
      <c r="FS17" s="12">
        <v>0</v>
      </c>
      <c r="FT17" s="12">
        <v>1</v>
      </c>
      <c r="FU17" s="12">
        <v>0</v>
      </c>
      <c r="FV17" s="12">
        <v>1</v>
      </c>
      <c r="FW17" s="12">
        <v>0</v>
      </c>
      <c r="FX17" s="12">
        <v>12</v>
      </c>
      <c r="FY17" s="12">
        <v>1</v>
      </c>
      <c r="FZ17" s="12">
        <v>1</v>
      </c>
      <c r="GA17" s="12">
        <v>0</v>
      </c>
      <c r="GB17" s="12">
        <v>0</v>
      </c>
      <c r="GC17" s="12">
        <v>0</v>
      </c>
      <c r="GD17" s="12">
        <v>1</v>
      </c>
      <c r="GE17" s="12">
        <v>1</v>
      </c>
      <c r="GF17" s="12">
        <v>15</v>
      </c>
      <c r="GG17" s="12">
        <v>18</v>
      </c>
      <c r="GH17" s="12">
        <v>0</v>
      </c>
      <c r="GI17" s="12">
        <v>0</v>
      </c>
      <c r="GJ17" s="12">
        <v>0</v>
      </c>
      <c r="GK17" s="12">
        <v>0</v>
      </c>
      <c r="GL17" s="12">
        <v>10</v>
      </c>
      <c r="GM17" s="12">
        <v>14</v>
      </c>
      <c r="GN17" s="12">
        <v>3</v>
      </c>
      <c r="GO17" s="12">
        <v>9</v>
      </c>
      <c r="GP17" s="12">
        <v>3</v>
      </c>
      <c r="GQ17" s="12">
        <v>9</v>
      </c>
      <c r="GR17" s="12">
        <v>1</v>
      </c>
      <c r="GS17" s="12">
        <v>1</v>
      </c>
      <c r="GT17" s="12">
        <v>9</v>
      </c>
      <c r="GU17" s="12">
        <v>23</v>
      </c>
      <c r="GV17" s="12">
        <v>0</v>
      </c>
      <c r="GW17" s="12">
        <v>0</v>
      </c>
    </row>
    <row r="18" spans="2:205" ht="15" customHeight="1" x14ac:dyDescent="0.2">
      <c r="B18" s="12">
        <v>1</v>
      </c>
      <c r="C18" s="12" t="s">
        <v>297</v>
      </c>
      <c r="D18" s="12" t="s">
        <v>298</v>
      </c>
      <c r="E18" s="14" t="s">
        <v>299</v>
      </c>
      <c r="F18" s="14" t="s">
        <v>300</v>
      </c>
      <c r="G18" s="15">
        <v>45205</v>
      </c>
      <c r="H18" s="15" t="s">
        <v>268</v>
      </c>
      <c r="I18" s="12" t="s">
        <v>269</v>
      </c>
      <c r="J18" s="12" t="s">
        <v>272</v>
      </c>
      <c r="K18" s="12">
        <v>200</v>
      </c>
      <c r="L18" s="12">
        <v>79</v>
      </c>
      <c r="M18" s="12">
        <v>13</v>
      </c>
      <c r="N18" s="12">
        <v>29</v>
      </c>
      <c r="O18" s="16">
        <v>0.44827586206896552</v>
      </c>
      <c r="P18" s="12">
        <v>15</v>
      </c>
      <c r="Q18" s="12">
        <v>39</v>
      </c>
      <c r="R18" s="16">
        <v>0.38461538461538464</v>
      </c>
      <c r="S18" s="12">
        <v>28</v>
      </c>
      <c r="T18" s="12">
        <v>68</v>
      </c>
      <c r="U18" s="16">
        <v>0.41176470588235292</v>
      </c>
      <c r="V18" s="12">
        <v>8</v>
      </c>
      <c r="W18" s="12">
        <v>12</v>
      </c>
      <c r="X18" s="16">
        <v>0.66666666666666663</v>
      </c>
      <c r="Y18" s="12">
        <v>8</v>
      </c>
      <c r="Z18" s="12">
        <v>28</v>
      </c>
      <c r="AA18" s="12">
        <v>36</v>
      </c>
      <c r="AB18" s="12">
        <v>19</v>
      </c>
      <c r="AC18" s="12">
        <v>9</v>
      </c>
      <c r="AD18" s="12">
        <v>7</v>
      </c>
      <c r="AE18" s="12">
        <v>4</v>
      </c>
      <c r="AF18" s="12">
        <v>3</v>
      </c>
      <c r="AG18" s="12">
        <v>23</v>
      </c>
      <c r="AH18" s="12">
        <v>15</v>
      </c>
      <c r="AI18" s="17">
        <v>81</v>
      </c>
      <c r="AJ18" s="12">
        <v>2</v>
      </c>
      <c r="AK18" s="12">
        <v>74</v>
      </c>
      <c r="AL18" s="12">
        <v>82</v>
      </c>
      <c r="AM18" s="19">
        <v>0.96341463414634143</v>
      </c>
      <c r="AN18" s="19">
        <v>0.79381443298969068</v>
      </c>
      <c r="AO18" s="18">
        <v>106.75675675675676</v>
      </c>
      <c r="AP18" s="18">
        <v>101.31578947368421</v>
      </c>
      <c r="AQ18" s="18">
        <v>5.4409672830725526</v>
      </c>
      <c r="AR18" s="53">
        <v>0.5220588235294118</v>
      </c>
      <c r="AS18" s="53">
        <v>0.54109589041095896</v>
      </c>
      <c r="AT18" s="16">
        <v>6.097560975609756E-2</v>
      </c>
      <c r="AU18" s="19">
        <v>1.6</v>
      </c>
      <c r="AV18" s="16">
        <v>0.23170731707317074</v>
      </c>
      <c r="AW18" s="19">
        <v>0.84210526315789469</v>
      </c>
      <c r="AX18" s="16">
        <v>6.097560975609756E-2</v>
      </c>
      <c r="AY18" s="19">
        <v>0.4</v>
      </c>
      <c r="AZ18" s="16">
        <v>1.2195121951219513E-2</v>
      </c>
      <c r="BA18" s="19">
        <v>3</v>
      </c>
      <c r="BB18" s="16">
        <v>0.46341463414634149</v>
      </c>
      <c r="BC18" s="21">
        <v>1.1052631578947369</v>
      </c>
      <c r="BD18" s="16">
        <v>6.097560975609756E-2</v>
      </c>
      <c r="BE18" s="16">
        <v>0.10975609756097561</v>
      </c>
      <c r="BF18" s="16">
        <v>0.5757575757575758</v>
      </c>
      <c r="BG18" s="16">
        <v>0.53846153846153844</v>
      </c>
      <c r="BH18" s="16">
        <v>0.66666666666666663</v>
      </c>
      <c r="BI18" s="16">
        <v>0.4</v>
      </c>
      <c r="BJ18" s="16">
        <v>0.23170731707317074</v>
      </c>
      <c r="BK18" s="21">
        <v>2.1111111111111112</v>
      </c>
      <c r="BL18" s="16">
        <v>0.2</v>
      </c>
      <c r="BM18" s="16">
        <v>0.27777777777777779</v>
      </c>
      <c r="BN18" s="16">
        <v>0.20833333333333334</v>
      </c>
      <c r="BO18" s="16" t="s">
        <v>269</v>
      </c>
      <c r="BP18" s="16">
        <v>0.5714285714285714</v>
      </c>
      <c r="BQ18" s="16">
        <v>0.6</v>
      </c>
      <c r="BR18" s="16">
        <v>0.56521739130434778</v>
      </c>
      <c r="BS18" s="16">
        <v>0</v>
      </c>
      <c r="BT18" s="16">
        <v>0.4044943820224719</v>
      </c>
      <c r="BU18" s="16">
        <v>9.2105263157894732E-2</v>
      </c>
      <c r="BV18" s="16">
        <v>5.128205128205128E-2</v>
      </c>
      <c r="BW18" s="16">
        <v>7</v>
      </c>
      <c r="BX18" s="16">
        <v>0.34782608695652173</v>
      </c>
      <c r="BY18" s="16">
        <v>0.4</v>
      </c>
      <c r="BZ18" s="12">
        <v>7</v>
      </c>
      <c r="CA18" s="12">
        <v>10</v>
      </c>
      <c r="CB18" s="12">
        <v>2</v>
      </c>
      <c r="CC18" s="12">
        <v>4</v>
      </c>
      <c r="CD18" s="12">
        <v>0</v>
      </c>
      <c r="CE18" s="12">
        <v>0</v>
      </c>
      <c r="CF18" s="12">
        <v>3</v>
      </c>
      <c r="CG18" s="12">
        <v>2</v>
      </c>
      <c r="CH18" s="12">
        <v>0</v>
      </c>
      <c r="CI18" s="12">
        <v>0</v>
      </c>
      <c r="CJ18" s="12">
        <v>0</v>
      </c>
      <c r="CK18" s="12">
        <v>0</v>
      </c>
      <c r="CL18" s="12">
        <v>5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10</v>
      </c>
      <c r="CS18" s="12">
        <v>1</v>
      </c>
      <c r="CT18" s="12">
        <v>7</v>
      </c>
      <c r="CU18" s="12">
        <v>0</v>
      </c>
      <c r="CV18" s="12">
        <v>0</v>
      </c>
      <c r="CW18" s="12">
        <v>0</v>
      </c>
      <c r="CX18" s="12">
        <v>11</v>
      </c>
      <c r="CY18" s="12">
        <v>2</v>
      </c>
      <c r="CZ18" s="12">
        <v>0</v>
      </c>
      <c r="DA18" s="12">
        <v>0</v>
      </c>
      <c r="DB18" s="12">
        <v>0</v>
      </c>
      <c r="DC18" s="12">
        <v>0</v>
      </c>
      <c r="DD18" s="12">
        <v>1</v>
      </c>
      <c r="DE18" s="12">
        <v>1</v>
      </c>
      <c r="DF18" s="12">
        <v>5</v>
      </c>
      <c r="DG18" s="12">
        <v>8</v>
      </c>
      <c r="DH18" s="12">
        <v>0</v>
      </c>
      <c r="DI18" s="12">
        <v>2</v>
      </c>
      <c r="DJ18" s="12">
        <v>3</v>
      </c>
      <c r="DK18" s="12">
        <v>0</v>
      </c>
      <c r="DL18" s="12">
        <v>4</v>
      </c>
      <c r="DM18" s="12">
        <v>5</v>
      </c>
      <c r="DN18" s="12">
        <v>8</v>
      </c>
      <c r="DO18" s="12">
        <v>19</v>
      </c>
      <c r="DP18" s="12">
        <v>1</v>
      </c>
      <c r="DQ18" s="12">
        <v>5</v>
      </c>
      <c r="DR18" s="12">
        <v>1</v>
      </c>
      <c r="DS18" s="12">
        <v>1</v>
      </c>
      <c r="DT18" s="12">
        <v>14</v>
      </c>
      <c r="DU18" s="12">
        <v>38</v>
      </c>
      <c r="DV18" s="12">
        <v>0</v>
      </c>
      <c r="DW18" s="12">
        <v>0</v>
      </c>
      <c r="DX18" s="12">
        <v>77</v>
      </c>
      <c r="DY18" s="12">
        <v>24</v>
      </c>
      <c r="DZ18" s="12">
        <v>51</v>
      </c>
      <c r="EA18" s="16">
        <v>0.47058823529411764</v>
      </c>
      <c r="EB18" s="12">
        <v>5</v>
      </c>
      <c r="EC18" s="12">
        <v>27</v>
      </c>
      <c r="ED18" s="16">
        <v>0.18518518518518517</v>
      </c>
      <c r="EE18" s="12">
        <v>29</v>
      </c>
      <c r="EF18" s="12">
        <v>78</v>
      </c>
      <c r="EG18" s="16">
        <v>0.37179487179487181</v>
      </c>
      <c r="EH18" s="12">
        <v>14</v>
      </c>
      <c r="EI18" s="12">
        <v>16</v>
      </c>
      <c r="EJ18" s="16">
        <v>0.875</v>
      </c>
      <c r="EK18" s="12">
        <v>21</v>
      </c>
      <c r="EL18" s="12">
        <v>32</v>
      </c>
      <c r="EM18" s="12">
        <v>53</v>
      </c>
      <c r="EN18" s="12">
        <v>18</v>
      </c>
      <c r="EO18" s="12">
        <v>15</v>
      </c>
      <c r="EP18" s="12">
        <v>22</v>
      </c>
      <c r="EQ18" s="12">
        <v>4</v>
      </c>
      <c r="ER18" s="12">
        <v>13</v>
      </c>
      <c r="ES18" s="12">
        <v>3</v>
      </c>
      <c r="ET18" s="12">
        <v>4</v>
      </c>
      <c r="EU18" s="12">
        <v>94</v>
      </c>
      <c r="EV18" s="12">
        <v>-2</v>
      </c>
      <c r="EW18" s="12">
        <v>76</v>
      </c>
      <c r="EX18" s="12">
        <v>97</v>
      </c>
      <c r="EY18" s="12">
        <v>8</v>
      </c>
      <c r="EZ18" s="12">
        <v>12</v>
      </c>
      <c r="FA18" s="12">
        <v>5</v>
      </c>
      <c r="FB18" s="12">
        <v>1</v>
      </c>
      <c r="FC18" s="12">
        <v>2</v>
      </c>
      <c r="FD18" s="12">
        <v>1</v>
      </c>
      <c r="FE18" s="12">
        <v>0</v>
      </c>
      <c r="FF18" s="12">
        <v>8</v>
      </c>
      <c r="FG18" s="12">
        <v>2</v>
      </c>
      <c r="FH18" s="12">
        <v>1</v>
      </c>
      <c r="FI18" s="12">
        <v>0</v>
      </c>
      <c r="FJ18" s="12">
        <v>0</v>
      </c>
      <c r="FK18" s="12">
        <v>0</v>
      </c>
      <c r="FL18" s="12">
        <v>10</v>
      </c>
      <c r="FM18" s="12">
        <v>0</v>
      </c>
      <c r="FN18" s="12">
        <v>1</v>
      </c>
      <c r="FO18" s="12">
        <v>0</v>
      </c>
      <c r="FP18" s="12">
        <v>1</v>
      </c>
      <c r="FQ18" s="12">
        <v>0</v>
      </c>
      <c r="FR18" s="12">
        <v>8</v>
      </c>
      <c r="FS18" s="12">
        <v>0</v>
      </c>
      <c r="FT18" s="12">
        <v>4</v>
      </c>
      <c r="FU18" s="12">
        <v>0</v>
      </c>
      <c r="FV18" s="12">
        <v>0</v>
      </c>
      <c r="FW18" s="12">
        <v>0</v>
      </c>
      <c r="FX18" s="12">
        <v>19</v>
      </c>
      <c r="FY18" s="12">
        <v>0</v>
      </c>
      <c r="FZ18" s="12">
        <v>0</v>
      </c>
      <c r="GA18" s="12">
        <v>0</v>
      </c>
      <c r="GB18" s="12">
        <v>1</v>
      </c>
      <c r="GC18" s="12">
        <v>1</v>
      </c>
      <c r="GD18" s="12">
        <v>1</v>
      </c>
      <c r="GE18" s="12">
        <v>2</v>
      </c>
      <c r="GF18" s="12">
        <v>11</v>
      </c>
      <c r="GG18" s="12">
        <v>12</v>
      </c>
      <c r="GH18" s="12">
        <v>0</v>
      </c>
      <c r="GI18" s="12">
        <v>0</v>
      </c>
      <c r="GJ18" s="12">
        <v>0</v>
      </c>
      <c r="GK18" s="12">
        <v>0</v>
      </c>
      <c r="GL18" s="12">
        <v>11</v>
      </c>
      <c r="GM18" s="12">
        <v>12</v>
      </c>
      <c r="GN18" s="12">
        <v>11</v>
      </c>
      <c r="GO18" s="12">
        <v>29</v>
      </c>
      <c r="GP18" s="12">
        <v>2</v>
      </c>
      <c r="GQ18" s="12">
        <v>10</v>
      </c>
      <c r="GR18" s="12">
        <v>0</v>
      </c>
      <c r="GS18" s="12">
        <v>0</v>
      </c>
      <c r="GT18" s="12">
        <v>5</v>
      </c>
      <c r="GU18" s="12">
        <v>27</v>
      </c>
      <c r="GV18" s="12">
        <v>0</v>
      </c>
      <c r="GW18" s="12">
        <v>0</v>
      </c>
    </row>
    <row r="19" spans="2:205" ht="15" customHeight="1" x14ac:dyDescent="0.2">
      <c r="B19" s="12">
        <v>1</v>
      </c>
      <c r="C19" s="12" t="s">
        <v>298</v>
      </c>
      <c r="D19" s="12" t="s">
        <v>297</v>
      </c>
      <c r="E19" s="14" t="s">
        <v>300</v>
      </c>
      <c r="F19" s="14" t="s">
        <v>299</v>
      </c>
      <c r="G19" s="15">
        <v>45205</v>
      </c>
      <c r="H19" s="15" t="s">
        <v>271</v>
      </c>
      <c r="I19" s="12" t="s">
        <v>269</v>
      </c>
      <c r="J19" s="12" t="s">
        <v>270</v>
      </c>
      <c r="K19" s="12">
        <v>200</v>
      </c>
      <c r="L19" s="12">
        <v>77</v>
      </c>
      <c r="M19" s="12">
        <v>24</v>
      </c>
      <c r="N19" s="12">
        <v>51</v>
      </c>
      <c r="O19" s="16">
        <v>0.47058823529411764</v>
      </c>
      <c r="P19" s="12">
        <v>5</v>
      </c>
      <c r="Q19" s="12">
        <v>27</v>
      </c>
      <c r="R19" s="16">
        <v>0.18518518518518517</v>
      </c>
      <c r="S19" s="12">
        <v>29</v>
      </c>
      <c r="T19" s="12">
        <v>78</v>
      </c>
      <c r="U19" s="16">
        <v>0.37179487179487181</v>
      </c>
      <c r="V19" s="12">
        <v>14</v>
      </c>
      <c r="W19" s="12">
        <v>16</v>
      </c>
      <c r="X19" s="16">
        <v>0.875</v>
      </c>
      <c r="Y19" s="12">
        <v>21</v>
      </c>
      <c r="Z19" s="12">
        <v>32</v>
      </c>
      <c r="AA19" s="12">
        <v>53</v>
      </c>
      <c r="AB19" s="12">
        <v>18</v>
      </c>
      <c r="AC19" s="12">
        <v>13</v>
      </c>
      <c r="AD19" s="12">
        <v>4</v>
      </c>
      <c r="AE19" s="12">
        <v>3</v>
      </c>
      <c r="AF19" s="12">
        <v>4</v>
      </c>
      <c r="AG19" s="12">
        <v>15</v>
      </c>
      <c r="AH19" s="12">
        <v>22</v>
      </c>
      <c r="AI19" s="17">
        <v>94</v>
      </c>
      <c r="AJ19" s="12">
        <v>-2</v>
      </c>
      <c r="AK19" s="12">
        <v>76</v>
      </c>
      <c r="AL19" s="12">
        <v>97</v>
      </c>
      <c r="AM19" s="19">
        <v>0.79381443298969068</v>
      </c>
      <c r="AN19" s="19">
        <v>0.96341463414634143</v>
      </c>
      <c r="AO19" s="18">
        <v>101.31578947368421</v>
      </c>
      <c r="AP19" s="18">
        <v>106.75675675675676</v>
      </c>
      <c r="AQ19" s="18">
        <v>-5.4409672830725526</v>
      </c>
      <c r="AR19" s="53">
        <v>0.40384615384615385</v>
      </c>
      <c r="AS19" s="53">
        <v>0.45833333333333331</v>
      </c>
      <c r="AT19" s="16">
        <v>0.12371134020618557</v>
      </c>
      <c r="AU19" s="19">
        <v>1.8333333333333333</v>
      </c>
      <c r="AV19" s="16">
        <v>0.29896907216494845</v>
      </c>
      <c r="AW19" s="19">
        <v>0.75862068965517238</v>
      </c>
      <c r="AX19" s="16">
        <v>0.10309278350515463</v>
      </c>
      <c r="AY19" s="19">
        <v>0.4</v>
      </c>
      <c r="AZ19" s="16">
        <v>0</v>
      </c>
      <c r="BA19" s="19" t="s">
        <v>269</v>
      </c>
      <c r="BB19" s="16">
        <v>0.27835051546391754</v>
      </c>
      <c r="BC19" s="21">
        <v>0.55555555555555558</v>
      </c>
      <c r="BD19" s="16">
        <v>6.1855670103092786E-2</v>
      </c>
      <c r="BE19" s="16">
        <v>0.13402061855670103</v>
      </c>
      <c r="BF19" s="16">
        <v>0.51428571428571423</v>
      </c>
      <c r="BG19" s="16">
        <v>0.5</v>
      </c>
      <c r="BH19" s="16">
        <v>1</v>
      </c>
      <c r="BI19" s="16">
        <v>0.16666666666666666</v>
      </c>
      <c r="BJ19" s="16">
        <v>0.18556701030927836</v>
      </c>
      <c r="BK19" s="21">
        <v>1.3846153846153846</v>
      </c>
      <c r="BL19" s="16">
        <v>0.42857142857142855</v>
      </c>
      <c r="BM19" s="16">
        <v>0.4</v>
      </c>
      <c r="BN19" s="16">
        <v>0.43478260869565216</v>
      </c>
      <c r="BO19" s="16">
        <v>1</v>
      </c>
      <c r="BP19" s="16">
        <v>0.8</v>
      </c>
      <c r="BQ19" s="16">
        <v>0.72222222222222221</v>
      </c>
      <c r="BR19" s="16">
        <v>0.79166666666666663</v>
      </c>
      <c r="BS19" s="16" t="s">
        <v>269</v>
      </c>
      <c r="BT19" s="16">
        <v>0.5955056179775281</v>
      </c>
      <c r="BU19" s="16">
        <v>5.4054054054054057E-2</v>
      </c>
      <c r="BV19" s="16">
        <v>4.4117647058823532E-2</v>
      </c>
      <c r="BW19" s="16">
        <v>8</v>
      </c>
      <c r="BX19" s="16">
        <v>0.4</v>
      </c>
      <c r="BY19" s="16">
        <v>0.40909090909090912</v>
      </c>
      <c r="BZ19" s="12">
        <v>12</v>
      </c>
      <c r="CA19" s="12">
        <v>5</v>
      </c>
      <c r="CB19" s="12">
        <v>1</v>
      </c>
      <c r="CC19" s="12">
        <v>2</v>
      </c>
      <c r="CD19" s="12">
        <v>1</v>
      </c>
      <c r="CE19" s="12">
        <v>0</v>
      </c>
      <c r="CF19" s="12">
        <v>8</v>
      </c>
      <c r="CG19" s="12">
        <v>2</v>
      </c>
      <c r="CH19" s="12">
        <v>1</v>
      </c>
      <c r="CI19" s="12">
        <v>0</v>
      </c>
      <c r="CJ19" s="12">
        <v>0</v>
      </c>
      <c r="CK19" s="12">
        <v>0</v>
      </c>
      <c r="CL19" s="12">
        <v>10</v>
      </c>
      <c r="CM19" s="12">
        <v>0</v>
      </c>
      <c r="CN19" s="12">
        <v>1</v>
      </c>
      <c r="CO19" s="12">
        <v>0</v>
      </c>
      <c r="CP19" s="12">
        <v>1</v>
      </c>
      <c r="CQ19" s="12">
        <v>0</v>
      </c>
      <c r="CR19" s="12">
        <v>8</v>
      </c>
      <c r="CS19" s="12">
        <v>0</v>
      </c>
      <c r="CT19" s="12">
        <v>4</v>
      </c>
      <c r="CU19" s="12">
        <v>0</v>
      </c>
      <c r="CV19" s="12">
        <v>0</v>
      </c>
      <c r="CW19" s="12">
        <v>0</v>
      </c>
      <c r="CX19" s="12">
        <v>19</v>
      </c>
      <c r="CY19" s="12">
        <v>0</v>
      </c>
      <c r="CZ19" s="12">
        <v>0</v>
      </c>
      <c r="DA19" s="12">
        <v>0</v>
      </c>
      <c r="DB19" s="12">
        <v>1</v>
      </c>
      <c r="DC19" s="12">
        <v>1</v>
      </c>
      <c r="DD19" s="12">
        <v>2</v>
      </c>
      <c r="DE19" s="12">
        <v>3</v>
      </c>
      <c r="DF19" s="12">
        <v>11</v>
      </c>
      <c r="DG19" s="12">
        <v>12</v>
      </c>
      <c r="DH19" s="12">
        <v>0</v>
      </c>
      <c r="DI19" s="12">
        <v>0</v>
      </c>
      <c r="DJ19" s="12">
        <v>0</v>
      </c>
      <c r="DK19" s="12">
        <v>0</v>
      </c>
      <c r="DL19" s="12">
        <v>11</v>
      </c>
      <c r="DM19" s="12">
        <v>12</v>
      </c>
      <c r="DN19" s="12">
        <v>11</v>
      </c>
      <c r="DO19" s="12">
        <v>29</v>
      </c>
      <c r="DP19" s="12">
        <v>2</v>
      </c>
      <c r="DQ19" s="12">
        <v>10</v>
      </c>
      <c r="DR19" s="12">
        <v>0</v>
      </c>
      <c r="DS19" s="12">
        <v>0</v>
      </c>
      <c r="DT19" s="12">
        <v>5</v>
      </c>
      <c r="DU19" s="12">
        <v>27</v>
      </c>
      <c r="DV19" s="12">
        <v>0</v>
      </c>
      <c r="DW19" s="12">
        <v>0</v>
      </c>
      <c r="DX19" s="12">
        <v>79</v>
      </c>
      <c r="DY19" s="12">
        <v>13</v>
      </c>
      <c r="DZ19" s="12">
        <v>29</v>
      </c>
      <c r="EA19" s="16">
        <v>0.44827586206896552</v>
      </c>
      <c r="EB19" s="12">
        <v>15</v>
      </c>
      <c r="EC19" s="12">
        <v>39</v>
      </c>
      <c r="ED19" s="16">
        <v>0.38461538461538464</v>
      </c>
      <c r="EE19" s="12">
        <v>28</v>
      </c>
      <c r="EF19" s="12">
        <v>68</v>
      </c>
      <c r="EG19" s="16">
        <v>0.41176470588235292</v>
      </c>
      <c r="EH19" s="12">
        <v>8</v>
      </c>
      <c r="EI19" s="12">
        <v>12</v>
      </c>
      <c r="EJ19" s="16">
        <v>0.66666666666666663</v>
      </c>
      <c r="EK19" s="12">
        <v>8</v>
      </c>
      <c r="EL19" s="12">
        <v>28</v>
      </c>
      <c r="EM19" s="12">
        <v>36</v>
      </c>
      <c r="EN19" s="12">
        <v>19</v>
      </c>
      <c r="EO19" s="12">
        <v>23</v>
      </c>
      <c r="EP19" s="12">
        <v>15</v>
      </c>
      <c r="EQ19" s="12">
        <v>7</v>
      </c>
      <c r="ER19" s="12">
        <v>9</v>
      </c>
      <c r="ES19" s="12">
        <v>4</v>
      </c>
      <c r="ET19" s="12">
        <v>3</v>
      </c>
      <c r="EU19" s="12">
        <v>81</v>
      </c>
      <c r="EV19" s="12">
        <v>2</v>
      </c>
      <c r="EW19" s="12">
        <v>74</v>
      </c>
      <c r="EX19" s="12">
        <v>82</v>
      </c>
      <c r="EY19" s="12">
        <v>7</v>
      </c>
      <c r="EZ19" s="12">
        <v>7</v>
      </c>
      <c r="FA19" s="12">
        <v>10</v>
      </c>
      <c r="FB19" s="12">
        <v>2</v>
      </c>
      <c r="FC19" s="12">
        <v>4</v>
      </c>
      <c r="FD19" s="12">
        <v>0</v>
      </c>
      <c r="FE19" s="12">
        <v>0</v>
      </c>
      <c r="FF19" s="12">
        <v>3</v>
      </c>
      <c r="FG19" s="12">
        <v>2</v>
      </c>
      <c r="FH19" s="12">
        <v>0</v>
      </c>
      <c r="FI19" s="12">
        <v>0</v>
      </c>
      <c r="FJ19" s="12">
        <v>0</v>
      </c>
      <c r="FK19" s="12">
        <v>0</v>
      </c>
      <c r="FL19" s="12">
        <v>5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10</v>
      </c>
      <c r="FS19" s="12">
        <v>1</v>
      </c>
      <c r="FT19" s="12">
        <v>7</v>
      </c>
      <c r="FU19" s="12">
        <v>0</v>
      </c>
      <c r="FV19" s="12">
        <v>0</v>
      </c>
      <c r="FW19" s="12">
        <v>0</v>
      </c>
      <c r="FX19" s="12">
        <v>11</v>
      </c>
      <c r="FY19" s="12">
        <v>2</v>
      </c>
      <c r="FZ19" s="12">
        <v>0</v>
      </c>
      <c r="GA19" s="12">
        <v>0</v>
      </c>
      <c r="GB19" s="12">
        <v>0</v>
      </c>
      <c r="GC19" s="12">
        <v>0</v>
      </c>
      <c r="GD19" s="12">
        <v>1</v>
      </c>
      <c r="GE19" s="12">
        <v>1</v>
      </c>
      <c r="GF19" s="12">
        <v>5</v>
      </c>
      <c r="GG19" s="12">
        <v>8</v>
      </c>
      <c r="GH19" s="12">
        <v>0</v>
      </c>
      <c r="GI19" s="12">
        <v>2</v>
      </c>
      <c r="GJ19" s="12">
        <v>3</v>
      </c>
      <c r="GK19" s="12">
        <v>0</v>
      </c>
      <c r="GL19" s="12">
        <v>4</v>
      </c>
      <c r="GM19" s="12">
        <v>5</v>
      </c>
      <c r="GN19" s="12">
        <v>8</v>
      </c>
      <c r="GO19" s="12">
        <v>19</v>
      </c>
      <c r="GP19" s="12">
        <v>1</v>
      </c>
      <c r="GQ19" s="12">
        <v>5</v>
      </c>
      <c r="GR19" s="12">
        <v>1</v>
      </c>
      <c r="GS19" s="12">
        <v>1</v>
      </c>
      <c r="GT19" s="12">
        <v>14</v>
      </c>
      <c r="GU19" s="12">
        <v>38</v>
      </c>
      <c r="GV19" s="12">
        <v>0</v>
      </c>
      <c r="GW19" s="12">
        <v>0</v>
      </c>
    </row>
    <row r="20" spans="2:205" ht="15" customHeight="1" x14ac:dyDescent="0.2">
      <c r="B20" s="12">
        <v>1</v>
      </c>
      <c r="C20" s="12" t="s">
        <v>301</v>
      </c>
      <c r="D20" s="12" t="s">
        <v>93</v>
      </c>
      <c r="E20" s="14" t="s">
        <v>302</v>
      </c>
      <c r="F20" s="14" t="s">
        <v>303</v>
      </c>
      <c r="G20" s="15">
        <v>45205</v>
      </c>
      <c r="H20" s="15" t="s">
        <v>271</v>
      </c>
      <c r="I20" s="12" t="s">
        <v>269</v>
      </c>
      <c r="J20" s="12" t="s">
        <v>272</v>
      </c>
      <c r="K20" s="12">
        <v>200</v>
      </c>
      <c r="L20" s="12">
        <v>70</v>
      </c>
      <c r="M20" s="12">
        <v>11</v>
      </c>
      <c r="N20" s="12">
        <v>28</v>
      </c>
      <c r="O20" s="16">
        <v>0.39285714285714285</v>
      </c>
      <c r="P20" s="12">
        <v>11</v>
      </c>
      <c r="Q20" s="12">
        <v>26</v>
      </c>
      <c r="R20" s="16">
        <v>0.42307692307692307</v>
      </c>
      <c r="S20" s="12">
        <v>22</v>
      </c>
      <c r="T20" s="12">
        <v>54</v>
      </c>
      <c r="U20" s="16">
        <v>0.40740740740740738</v>
      </c>
      <c r="V20" s="12">
        <v>15</v>
      </c>
      <c r="W20" s="12">
        <v>19</v>
      </c>
      <c r="X20" s="16">
        <v>0.78947368421052633</v>
      </c>
      <c r="Y20" s="12">
        <v>14</v>
      </c>
      <c r="Z20" s="12">
        <v>24</v>
      </c>
      <c r="AA20" s="12">
        <v>38</v>
      </c>
      <c r="AB20" s="12">
        <v>14</v>
      </c>
      <c r="AC20" s="12">
        <v>20</v>
      </c>
      <c r="AD20" s="12">
        <v>5</v>
      </c>
      <c r="AE20" s="12">
        <v>4</v>
      </c>
      <c r="AF20" s="12">
        <v>2</v>
      </c>
      <c r="AG20" s="12">
        <v>22</v>
      </c>
      <c r="AH20" s="12">
        <v>20</v>
      </c>
      <c r="AI20" s="17">
        <v>71</v>
      </c>
      <c r="AJ20" s="12">
        <v>5</v>
      </c>
      <c r="AK20" s="12">
        <v>69</v>
      </c>
      <c r="AL20" s="12">
        <v>83</v>
      </c>
      <c r="AM20" s="19">
        <v>0.84337349397590367</v>
      </c>
      <c r="AN20" s="19">
        <v>0.82278481012658233</v>
      </c>
      <c r="AO20" s="18">
        <v>101.44927536231884</v>
      </c>
      <c r="AP20" s="18">
        <v>95.588235294117652</v>
      </c>
      <c r="AQ20" s="18">
        <v>5.8610400682011914</v>
      </c>
      <c r="AR20" s="53">
        <v>0.5092592592592593</v>
      </c>
      <c r="AS20" s="53">
        <v>0.55555555555555558</v>
      </c>
      <c r="AT20" s="16">
        <v>0.13253012048192772</v>
      </c>
      <c r="AU20" s="19">
        <v>1.2727272727272727</v>
      </c>
      <c r="AV20" s="16">
        <v>0.15662650602409639</v>
      </c>
      <c r="AW20" s="19">
        <v>0.61538461538461542</v>
      </c>
      <c r="AX20" s="16">
        <v>4.8192771084337352E-2</v>
      </c>
      <c r="AY20" s="19">
        <v>0</v>
      </c>
      <c r="AZ20" s="16">
        <v>6.0240963855421686E-2</v>
      </c>
      <c r="BA20" s="19">
        <v>0.6</v>
      </c>
      <c r="BB20" s="16">
        <v>0.24096385542168675</v>
      </c>
      <c r="BC20" s="21">
        <v>1.5</v>
      </c>
      <c r="BD20" s="16">
        <v>0.10843373493975904</v>
      </c>
      <c r="BE20" s="16">
        <v>0.24096385542168675</v>
      </c>
      <c r="BF20" s="16">
        <v>0.45161290322580644</v>
      </c>
      <c r="BG20" s="16">
        <v>9.0909090909090912E-2</v>
      </c>
      <c r="BH20" s="16">
        <v>0.90909090909090906</v>
      </c>
      <c r="BI20" s="16">
        <v>0.33333333333333331</v>
      </c>
      <c r="BJ20" s="16">
        <v>0.16867469879518071</v>
      </c>
      <c r="BK20" s="21">
        <v>0.7</v>
      </c>
      <c r="BL20" s="16">
        <v>0.4375</v>
      </c>
      <c r="BM20" s="16">
        <v>0.3888888888888889</v>
      </c>
      <c r="BN20" s="16">
        <v>0.42857142857142855</v>
      </c>
      <c r="BO20" s="16">
        <v>1</v>
      </c>
      <c r="BP20" s="16">
        <v>0.68571428571428572</v>
      </c>
      <c r="BQ20" s="16">
        <v>0.75</v>
      </c>
      <c r="BR20" s="16">
        <v>0.5</v>
      </c>
      <c r="BS20" s="16">
        <v>1</v>
      </c>
      <c r="BT20" s="16">
        <v>0.56716417910447758</v>
      </c>
      <c r="BU20" s="16">
        <v>7.3529411764705885E-2</v>
      </c>
      <c r="BV20" s="16">
        <v>7.0175438596491224E-2</v>
      </c>
      <c r="BW20" s="16">
        <v>7</v>
      </c>
      <c r="BX20" s="16">
        <v>0.31818181818181818</v>
      </c>
      <c r="BY20" s="16">
        <v>0.45</v>
      </c>
      <c r="BZ20" s="12">
        <v>1</v>
      </c>
      <c r="CA20" s="12">
        <v>10</v>
      </c>
      <c r="CB20" s="12">
        <v>3</v>
      </c>
      <c r="CC20" s="12">
        <v>6</v>
      </c>
      <c r="CD20" s="12">
        <v>2</v>
      </c>
      <c r="CE20" s="12">
        <v>0</v>
      </c>
      <c r="CF20" s="12">
        <v>5</v>
      </c>
      <c r="CG20" s="12">
        <v>0</v>
      </c>
      <c r="CH20" s="12">
        <v>0</v>
      </c>
      <c r="CI20" s="12">
        <v>0</v>
      </c>
      <c r="CJ20" s="12">
        <v>2</v>
      </c>
      <c r="CK20" s="12">
        <v>0</v>
      </c>
      <c r="CL20" s="12">
        <v>4</v>
      </c>
      <c r="CM20" s="12">
        <v>0</v>
      </c>
      <c r="CN20" s="12">
        <v>1</v>
      </c>
      <c r="CO20" s="12">
        <v>1</v>
      </c>
      <c r="CP20" s="12">
        <v>2</v>
      </c>
      <c r="CQ20" s="12">
        <v>1</v>
      </c>
      <c r="CR20" s="12">
        <v>5</v>
      </c>
      <c r="CS20" s="12">
        <v>0</v>
      </c>
      <c r="CT20" s="12">
        <v>6</v>
      </c>
      <c r="CU20" s="12">
        <v>1</v>
      </c>
      <c r="CV20" s="12">
        <v>1</v>
      </c>
      <c r="CW20" s="12">
        <v>0</v>
      </c>
      <c r="CX20" s="12">
        <v>8</v>
      </c>
      <c r="CY20" s="12">
        <v>0</v>
      </c>
      <c r="CZ20" s="12">
        <v>2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13</v>
      </c>
      <c r="DG20" s="12">
        <v>16</v>
      </c>
      <c r="DH20" s="12">
        <v>0</v>
      </c>
      <c r="DI20" s="12">
        <v>2</v>
      </c>
      <c r="DJ20" s="12">
        <v>3</v>
      </c>
      <c r="DK20" s="12">
        <v>0</v>
      </c>
      <c r="DL20" s="12">
        <v>7</v>
      </c>
      <c r="DM20" s="12">
        <v>11</v>
      </c>
      <c r="DN20" s="12">
        <v>4</v>
      </c>
      <c r="DO20" s="12">
        <v>13</v>
      </c>
      <c r="DP20" s="12">
        <v>0</v>
      </c>
      <c r="DQ20" s="12">
        <v>4</v>
      </c>
      <c r="DR20" s="12">
        <v>1</v>
      </c>
      <c r="DS20" s="12">
        <v>5</v>
      </c>
      <c r="DT20" s="12">
        <v>10</v>
      </c>
      <c r="DU20" s="12">
        <v>20</v>
      </c>
      <c r="DV20" s="12">
        <v>0</v>
      </c>
      <c r="DW20" s="12">
        <v>1</v>
      </c>
      <c r="DX20" s="12">
        <v>65</v>
      </c>
      <c r="DY20" s="12">
        <v>15</v>
      </c>
      <c r="DZ20" s="12">
        <v>33</v>
      </c>
      <c r="EA20" s="16">
        <v>0.45454545454545453</v>
      </c>
      <c r="EB20" s="12">
        <v>8</v>
      </c>
      <c r="EC20" s="12">
        <v>24</v>
      </c>
      <c r="ED20" s="16">
        <v>0.33333333333333331</v>
      </c>
      <c r="EE20" s="12">
        <v>23</v>
      </c>
      <c r="EF20" s="12">
        <v>57</v>
      </c>
      <c r="EG20" s="16">
        <v>0.40350877192982454</v>
      </c>
      <c r="EH20" s="12">
        <v>11</v>
      </c>
      <c r="EI20" s="12">
        <v>15</v>
      </c>
      <c r="EJ20" s="16">
        <v>0.73333333333333328</v>
      </c>
      <c r="EK20" s="12">
        <v>11</v>
      </c>
      <c r="EL20" s="12">
        <v>18</v>
      </c>
      <c r="EM20" s="12">
        <v>29</v>
      </c>
      <c r="EN20" s="12">
        <v>13</v>
      </c>
      <c r="EO20" s="12">
        <v>20</v>
      </c>
      <c r="EP20" s="12">
        <v>22</v>
      </c>
      <c r="EQ20" s="12">
        <v>12</v>
      </c>
      <c r="ER20" s="12">
        <v>16</v>
      </c>
      <c r="ES20" s="12">
        <v>2</v>
      </c>
      <c r="ET20" s="12">
        <v>4</v>
      </c>
      <c r="EU20" s="12">
        <v>65</v>
      </c>
      <c r="EV20" s="12">
        <v>-5</v>
      </c>
      <c r="EW20" s="12">
        <v>68</v>
      </c>
      <c r="EX20" s="12">
        <v>79</v>
      </c>
      <c r="EY20" s="12">
        <v>5</v>
      </c>
      <c r="EZ20" s="12">
        <v>8</v>
      </c>
      <c r="FA20" s="12">
        <v>5</v>
      </c>
      <c r="FB20" s="12">
        <v>0</v>
      </c>
      <c r="FC20" s="12">
        <v>0</v>
      </c>
      <c r="FD20" s="12">
        <v>1</v>
      </c>
      <c r="FE20" s="12">
        <v>1</v>
      </c>
      <c r="FF20" s="12">
        <v>3</v>
      </c>
      <c r="FG20" s="12">
        <v>0</v>
      </c>
      <c r="FH20" s="12">
        <v>0</v>
      </c>
      <c r="FI20" s="12">
        <v>0</v>
      </c>
      <c r="FJ20" s="12">
        <v>0</v>
      </c>
      <c r="FK20" s="12">
        <v>0</v>
      </c>
      <c r="FL20" s="12">
        <v>7</v>
      </c>
      <c r="FM20" s="12">
        <v>2</v>
      </c>
      <c r="FN20" s="12">
        <v>0</v>
      </c>
      <c r="FO20" s="12">
        <v>0</v>
      </c>
      <c r="FP20" s="12">
        <v>2</v>
      </c>
      <c r="FQ20" s="12">
        <v>0</v>
      </c>
      <c r="FR20" s="12">
        <v>4</v>
      </c>
      <c r="FS20" s="12">
        <v>0</v>
      </c>
      <c r="FT20" s="12">
        <v>4</v>
      </c>
      <c r="FU20" s="12">
        <v>1</v>
      </c>
      <c r="FV20" s="12">
        <v>2</v>
      </c>
      <c r="FW20" s="12">
        <v>0</v>
      </c>
      <c r="FX20" s="12">
        <v>6</v>
      </c>
      <c r="FY20" s="12">
        <v>0</v>
      </c>
      <c r="FZ20" s="12">
        <v>0</v>
      </c>
      <c r="GA20" s="12">
        <v>0</v>
      </c>
      <c r="GB20" s="12">
        <v>1</v>
      </c>
      <c r="GC20" s="12">
        <v>1</v>
      </c>
      <c r="GD20" s="12">
        <v>1</v>
      </c>
      <c r="GE20" s="12">
        <v>1</v>
      </c>
      <c r="GF20" s="12">
        <v>8</v>
      </c>
      <c r="GG20" s="12">
        <v>10</v>
      </c>
      <c r="GH20" s="12">
        <v>0</v>
      </c>
      <c r="GI20" s="12">
        <v>1</v>
      </c>
      <c r="GJ20" s="12">
        <v>3</v>
      </c>
      <c r="GK20" s="12">
        <v>0</v>
      </c>
      <c r="GL20" s="12">
        <v>6</v>
      </c>
      <c r="GM20" s="12">
        <v>9</v>
      </c>
      <c r="GN20" s="12">
        <v>4</v>
      </c>
      <c r="GO20" s="12">
        <v>13</v>
      </c>
      <c r="GP20" s="12">
        <v>5</v>
      </c>
      <c r="GQ20" s="12">
        <v>11</v>
      </c>
      <c r="GR20" s="12">
        <v>1</v>
      </c>
      <c r="GS20" s="12">
        <v>2</v>
      </c>
      <c r="GT20" s="12">
        <v>7</v>
      </c>
      <c r="GU20" s="12">
        <v>22</v>
      </c>
      <c r="GV20" s="12">
        <v>0</v>
      </c>
      <c r="GW20" s="12">
        <v>0</v>
      </c>
    </row>
    <row r="21" spans="2:205" ht="15" customHeight="1" x14ac:dyDescent="0.2">
      <c r="B21" s="12">
        <v>1</v>
      </c>
      <c r="C21" s="12" t="s">
        <v>93</v>
      </c>
      <c r="D21" s="12" t="s">
        <v>301</v>
      </c>
      <c r="E21" s="14" t="s">
        <v>303</v>
      </c>
      <c r="F21" s="14" t="s">
        <v>302</v>
      </c>
      <c r="G21" s="15">
        <v>45205</v>
      </c>
      <c r="H21" s="15" t="s">
        <v>268</v>
      </c>
      <c r="I21" s="12" t="s">
        <v>269</v>
      </c>
      <c r="J21" s="12" t="s">
        <v>270</v>
      </c>
      <c r="K21" s="12">
        <v>200</v>
      </c>
      <c r="L21" s="12">
        <v>65</v>
      </c>
      <c r="M21" s="12">
        <v>15</v>
      </c>
      <c r="N21" s="12">
        <v>33</v>
      </c>
      <c r="O21" s="16">
        <v>0.45454545454545453</v>
      </c>
      <c r="P21" s="12">
        <v>8</v>
      </c>
      <c r="Q21" s="12">
        <v>24</v>
      </c>
      <c r="R21" s="16">
        <v>0.33333333333333331</v>
      </c>
      <c r="S21" s="12">
        <v>23</v>
      </c>
      <c r="T21" s="12">
        <v>57</v>
      </c>
      <c r="U21" s="16">
        <v>0.40350877192982454</v>
      </c>
      <c r="V21" s="12">
        <v>11</v>
      </c>
      <c r="W21" s="12">
        <v>15</v>
      </c>
      <c r="X21" s="16">
        <v>0.73333333333333328</v>
      </c>
      <c r="Y21" s="12">
        <v>11</v>
      </c>
      <c r="Z21" s="12">
        <v>18</v>
      </c>
      <c r="AA21" s="12">
        <v>29</v>
      </c>
      <c r="AB21" s="12">
        <v>13</v>
      </c>
      <c r="AC21" s="12">
        <v>16</v>
      </c>
      <c r="AD21" s="12">
        <v>12</v>
      </c>
      <c r="AE21" s="12">
        <v>2</v>
      </c>
      <c r="AF21" s="12">
        <v>4</v>
      </c>
      <c r="AG21" s="12">
        <v>20</v>
      </c>
      <c r="AH21" s="12">
        <v>22</v>
      </c>
      <c r="AI21" s="17">
        <v>65</v>
      </c>
      <c r="AJ21" s="12">
        <v>-5</v>
      </c>
      <c r="AK21" s="12">
        <v>68</v>
      </c>
      <c r="AL21" s="12">
        <v>79</v>
      </c>
      <c r="AM21" s="19">
        <v>0.82278481012658233</v>
      </c>
      <c r="AN21" s="19">
        <v>0.84337349397590367</v>
      </c>
      <c r="AO21" s="18">
        <v>95.588235294117652</v>
      </c>
      <c r="AP21" s="18">
        <v>101.44927536231884</v>
      </c>
      <c r="AQ21" s="18">
        <v>-5.8610400682011914</v>
      </c>
      <c r="AR21" s="53">
        <v>0.47368421052631576</v>
      </c>
      <c r="AS21" s="53">
        <v>0.51587301587301593</v>
      </c>
      <c r="AT21" s="16">
        <v>0.11392405063291139</v>
      </c>
      <c r="AU21" s="19">
        <v>1.3333333333333333</v>
      </c>
      <c r="AV21" s="16">
        <v>0.16455696202531644</v>
      </c>
      <c r="AW21" s="19">
        <v>0.61538461538461542</v>
      </c>
      <c r="AX21" s="16">
        <v>0.13924050632911392</v>
      </c>
      <c r="AY21" s="19">
        <v>0.90909090909090906</v>
      </c>
      <c r="AZ21" s="16">
        <v>2.5316455696202531E-2</v>
      </c>
      <c r="BA21" s="19">
        <v>1.5</v>
      </c>
      <c r="BB21" s="16">
        <v>0.27848101265822783</v>
      </c>
      <c r="BC21" s="21">
        <v>0.95454545454545459</v>
      </c>
      <c r="BD21" s="16">
        <v>7.5949367088607597E-2</v>
      </c>
      <c r="BE21" s="16">
        <v>0.20253164556962025</v>
      </c>
      <c r="BF21" s="16">
        <v>0.44827586206896552</v>
      </c>
      <c r="BG21" s="16">
        <v>0.53333333333333333</v>
      </c>
      <c r="BH21" s="16">
        <v>0.625</v>
      </c>
      <c r="BI21" s="16">
        <v>0</v>
      </c>
      <c r="BJ21" s="16">
        <v>0.16455696202531644</v>
      </c>
      <c r="BK21" s="21">
        <v>0.8125</v>
      </c>
      <c r="BL21" s="16">
        <v>0.31428571428571428</v>
      </c>
      <c r="BM21" s="16">
        <v>0.25</v>
      </c>
      <c r="BN21" s="16">
        <v>0.5</v>
      </c>
      <c r="BO21" s="16">
        <v>0</v>
      </c>
      <c r="BP21" s="16">
        <v>0.5625</v>
      </c>
      <c r="BQ21" s="16">
        <v>0.61111111111111116</v>
      </c>
      <c r="BR21" s="16">
        <v>0.5714285714285714</v>
      </c>
      <c r="BS21" s="16">
        <v>0</v>
      </c>
      <c r="BT21" s="16">
        <v>0.43283582089552236</v>
      </c>
      <c r="BU21" s="16">
        <v>0.17391304347826086</v>
      </c>
      <c r="BV21" s="16">
        <v>3.7037037037037035E-2</v>
      </c>
      <c r="BW21" s="16">
        <v>5</v>
      </c>
      <c r="BX21" s="16">
        <v>0.45</v>
      </c>
      <c r="BY21" s="16">
        <v>0.31818181818181818</v>
      </c>
      <c r="BZ21" s="12">
        <v>8</v>
      </c>
      <c r="CA21" s="12">
        <v>5</v>
      </c>
      <c r="CB21" s="12">
        <v>0</v>
      </c>
      <c r="CC21" s="12">
        <v>0</v>
      </c>
      <c r="CD21" s="12">
        <v>1</v>
      </c>
      <c r="CE21" s="12">
        <v>1</v>
      </c>
      <c r="CF21" s="12">
        <v>3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7</v>
      </c>
      <c r="CM21" s="12">
        <v>2</v>
      </c>
      <c r="CN21" s="12">
        <v>0</v>
      </c>
      <c r="CO21" s="12">
        <v>0</v>
      </c>
      <c r="CP21" s="12">
        <v>2</v>
      </c>
      <c r="CQ21" s="12">
        <v>0</v>
      </c>
      <c r="CR21" s="12">
        <v>4</v>
      </c>
      <c r="CS21" s="12">
        <v>0</v>
      </c>
      <c r="CT21" s="12">
        <v>4</v>
      </c>
      <c r="CU21" s="12">
        <v>1</v>
      </c>
      <c r="CV21" s="12">
        <v>2</v>
      </c>
      <c r="CW21" s="12">
        <v>0</v>
      </c>
      <c r="CX21" s="12">
        <v>6</v>
      </c>
      <c r="CY21" s="12">
        <v>0</v>
      </c>
      <c r="CZ21" s="12">
        <v>0</v>
      </c>
      <c r="DA21" s="12">
        <v>0</v>
      </c>
      <c r="DB21" s="12">
        <v>1</v>
      </c>
      <c r="DC21" s="12">
        <v>1</v>
      </c>
      <c r="DD21" s="12">
        <v>1</v>
      </c>
      <c r="DE21" s="12">
        <v>1</v>
      </c>
      <c r="DF21" s="12">
        <v>8</v>
      </c>
      <c r="DG21" s="12">
        <v>10</v>
      </c>
      <c r="DH21" s="12">
        <v>0</v>
      </c>
      <c r="DI21" s="12">
        <v>1</v>
      </c>
      <c r="DJ21" s="12">
        <v>3</v>
      </c>
      <c r="DK21" s="12">
        <v>0</v>
      </c>
      <c r="DL21" s="12">
        <v>6</v>
      </c>
      <c r="DM21" s="12">
        <v>9</v>
      </c>
      <c r="DN21" s="12">
        <v>4</v>
      </c>
      <c r="DO21" s="12">
        <v>13</v>
      </c>
      <c r="DP21" s="12">
        <v>5</v>
      </c>
      <c r="DQ21" s="12">
        <v>11</v>
      </c>
      <c r="DR21" s="12">
        <v>1</v>
      </c>
      <c r="DS21" s="12">
        <v>2</v>
      </c>
      <c r="DT21" s="12">
        <v>7</v>
      </c>
      <c r="DU21" s="12">
        <v>22</v>
      </c>
      <c r="DV21" s="12">
        <v>0</v>
      </c>
      <c r="DW21" s="12">
        <v>0</v>
      </c>
      <c r="DX21" s="12">
        <v>70</v>
      </c>
      <c r="DY21" s="12">
        <v>11</v>
      </c>
      <c r="DZ21" s="12">
        <v>28</v>
      </c>
      <c r="EA21" s="16">
        <v>0.39285714285714285</v>
      </c>
      <c r="EB21" s="12">
        <v>11</v>
      </c>
      <c r="EC21" s="12">
        <v>26</v>
      </c>
      <c r="ED21" s="16">
        <v>0.42307692307692307</v>
      </c>
      <c r="EE21" s="12">
        <v>22</v>
      </c>
      <c r="EF21" s="12">
        <v>54</v>
      </c>
      <c r="EG21" s="16">
        <v>0.40740740740740738</v>
      </c>
      <c r="EH21" s="12">
        <v>15</v>
      </c>
      <c r="EI21" s="12">
        <v>19</v>
      </c>
      <c r="EJ21" s="16">
        <v>0.78947368421052633</v>
      </c>
      <c r="EK21" s="12">
        <v>14</v>
      </c>
      <c r="EL21" s="12">
        <v>24</v>
      </c>
      <c r="EM21" s="12">
        <v>38</v>
      </c>
      <c r="EN21" s="12">
        <v>14</v>
      </c>
      <c r="EO21" s="12">
        <v>23</v>
      </c>
      <c r="EP21" s="12">
        <v>20</v>
      </c>
      <c r="EQ21" s="12">
        <v>5</v>
      </c>
      <c r="ER21" s="12">
        <v>20</v>
      </c>
      <c r="ES21" s="12">
        <v>4</v>
      </c>
      <c r="ET21" s="12">
        <v>2</v>
      </c>
      <c r="EU21" s="12">
        <v>70</v>
      </c>
      <c r="EV21" s="12">
        <v>5</v>
      </c>
      <c r="EW21" s="12">
        <v>69</v>
      </c>
      <c r="EX21" s="12">
        <v>83</v>
      </c>
      <c r="EY21" s="12">
        <v>7</v>
      </c>
      <c r="EZ21" s="12">
        <v>1</v>
      </c>
      <c r="FA21" s="12">
        <v>10</v>
      </c>
      <c r="FB21" s="12">
        <v>3</v>
      </c>
      <c r="FC21" s="12">
        <v>6</v>
      </c>
      <c r="FD21" s="12">
        <v>2</v>
      </c>
      <c r="FE21" s="12">
        <v>0</v>
      </c>
      <c r="FF21" s="12">
        <v>5</v>
      </c>
      <c r="FG21" s="12">
        <v>0</v>
      </c>
      <c r="FH21" s="12">
        <v>0</v>
      </c>
      <c r="FI21" s="12">
        <v>0</v>
      </c>
      <c r="FJ21" s="12">
        <v>2</v>
      </c>
      <c r="FK21" s="12">
        <v>0</v>
      </c>
      <c r="FL21" s="12">
        <v>4</v>
      </c>
      <c r="FM21" s="12">
        <v>0</v>
      </c>
      <c r="FN21" s="12">
        <v>1</v>
      </c>
      <c r="FO21" s="12">
        <v>1</v>
      </c>
      <c r="FP21" s="12">
        <v>2</v>
      </c>
      <c r="FQ21" s="12">
        <v>1</v>
      </c>
      <c r="FR21" s="12">
        <v>5</v>
      </c>
      <c r="FS21" s="12">
        <v>0</v>
      </c>
      <c r="FT21" s="12">
        <v>6</v>
      </c>
      <c r="FU21" s="12">
        <v>1</v>
      </c>
      <c r="FV21" s="12">
        <v>1</v>
      </c>
      <c r="FW21" s="12">
        <v>0</v>
      </c>
      <c r="FX21" s="12">
        <v>8</v>
      </c>
      <c r="FY21" s="12">
        <v>0</v>
      </c>
      <c r="FZ21" s="12">
        <v>2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13</v>
      </c>
      <c r="GG21" s="12">
        <v>16</v>
      </c>
      <c r="GH21" s="12">
        <v>0</v>
      </c>
      <c r="GI21" s="12">
        <v>2</v>
      </c>
      <c r="GJ21" s="12">
        <v>3</v>
      </c>
      <c r="GK21" s="12">
        <v>0</v>
      </c>
      <c r="GL21" s="12">
        <v>7</v>
      </c>
      <c r="GM21" s="12">
        <v>11</v>
      </c>
      <c r="GN21" s="12">
        <v>4</v>
      </c>
      <c r="GO21" s="12">
        <v>13</v>
      </c>
      <c r="GP21" s="12">
        <v>0</v>
      </c>
      <c r="GQ21" s="12">
        <v>4</v>
      </c>
      <c r="GR21" s="12">
        <v>1</v>
      </c>
      <c r="GS21" s="12">
        <v>5</v>
      </c>
      <c r="GT21" s="12">
        <v>10</v>
      </c>
      <c r="GU21" s="12">
        <v>20</v>
      </c>
      <c r="GV21" s="12">
        <v>0</v>
      </c>
      <c r="GW21" s="12">
        <v>1</v>
      </c>
    </row>
    <row r="22" spans="2:205" ht="15" customHeight="1" x14ac:dyDescent="0.2">
      <c r="B22" s="12">
        <v>2</v>
      </c>
      <c r="C22" s="12" t="s">
        <v>277</v>
      </c>
      <c r="D22" s="12" t="s">
        <v>298</v>
      </c>
      <c r="E22" s="14" t="s">
        <v>279</v>
      </c>
      <c r="F22" s="14" t="s">
        <v>300</v>
      </c>
      <c r="G22" s="15">
        <v>45211</v>
      </c>
      <c r="H22" s="15" t="s">
        <v>268</v>
      </c>
      <c r="I22" s="12" t="s">
        <v>269</v>
      </c>
      <c r="J22" s="12" t="s">
        <v>272</v>
      </c>
      <c r="K22" s="12">
        <v>200</v>
      </c>
      <c r="L22" s="12">
        <v>103</v>
      </c>
      <c r="M22" s="12">
        <v>21</v>
      </c>
      <c r="N22" s="12">
        <v>34</v>
      </c>
      <c r="O22" s="16">
        <v>0.61764705882352944</v>
      </c>
      <c r="P22" s="12">
        <v>12</v>
      </c>
      <c r="Q22" s="12">
        <v>29</v>
      </c>
      <c r="R22" s="16">
        <v>0.41379310344827586</v>
      </c>
      <c r="S22" s="12">
        <v>33</v>
      </c>
      <c r="T22" s="12">
        <v>63</v>
      </c>
      <c r="U22" s="16">
        <v>0.52380952380952384</v>
      </c>
      <c r="V22" s="12">
        <v>25</v>
      </c>
      <c r="W22" s="12">
        <v>28</v>
      </c>
      <c r="X22" s="16">
        <v>0.8928571428571429</v>
      </c>
      <c r="Y22" s="12">
        <v>10</v>
      </c>
      <c r="Z22" s="12">
        <v>28</v>
      </c>
      <c r="AA22" s="12">
        <v>38</v>
      </c>
      <c r="AB22" s="12">
        <v>22</v>
      </c>
      <c r="AC22" s="12">
        <v>9</v>
      </c>
      <c r="AD22" s="12">
        <v>3</v>
      </c>
      <c r="AE22" s="12">
        <v>3</v>
      </c>
      <c r="AF22" s="12">
        <v>2</v>
      </c>
      <c r="AG22" s="12">
        <v>16</v>
      </c>
      <c r="AH22" s="12">
        <v>20</v>
      </c>
      <c r="AI22" s="17">
        <v>129</v>
      </c>
      <c r="AJ22" s="12">
        <v>23</v>
      </c>
      <c r="AK22" s="12">
        <v>74</v>
      </c>
      <c r="AL22" s="12">
        <v>84</v>
      </c>
      <c r="AM22" s="19">
        <v>1.2261904761904763</v>
      </c>
      <c r="AN22" s="19">
        <v>0.94117647058823528</v>
      </c>
      <c r="AO22" s="18">
        <v>139.18918918918919</v>
      </c>
      <c r="AP22" s="18">
        <v>111.11111111111111</v>
      </c>
      <c r="AQ22" s="18">
        <v>28.078078078078079</v>
      </c>
      <c r="AR22" s="53">
        <v>0.61904761904761907</v>
      </c>
      <c r="AS22" s="53">
        <v>0.68666666666666665</v>
      </c>
      <c r="AT22" s="16">
        <v>0.21428571428571427</v>
      </c>
      <c r="AU22" s="19">
        <v>1.4444444444444444</v>
      </c>
      <c r="AV22" s="16">
        <v>0.17857142857142858</v>
      </c>
      <c r="AW22" s="19">
        <v>0.93333333333333335</v>
      </c>
      <c r="AX22" s="16">
        <v>1.1904761904761904E-2</v>
      </c>
      <c r="AY22" s="19">
        <v>2</v>
      </c>
      <c r="AZ22" s="16">
        <v>5.9523809523809521E-2</v>
      </c>
      <c r="BA22" s="19">
        <v>2.4</v>
      </c>
      <c r="BB22" s="16">
        <v>0.25</v>
      </c>
      <c r="BC22" s="21">
        <v>1.1428571428571428</v>
      </c>
      <c r="BD22" s="16">
        <v>0.14285714285714285</v>
      </c>
      <c r="BE22" s="16">
        <v>0.10714285714285714</v>
      </c>
      <c r="BF22" s="16">
        <v>0.46666666666666667</v>
      </c>
      <c r="BG22" s="16">
        <v>0.42857142857142855</v>
      </c>
      <c r="BH22" s="16">
        <v>0.83333333333333337</v>
      </c>
      <c r="BI22" s="16">
        <v>0.16666666666666666</v>
      </c>
      <c r="BJ22" s="16">
        <v>0.26190476190476192</v>
      </c>
      <c r="BK22" s="21">
        <v>2.4444444444444446</v>
      </c>
      <c r="BL22" s="16">
        <v>0.34482758620689657</v>
      </c>
      <c r="BM22" s="16">
        <v>0.30769230769230771</v>
      </c>
      <c r="BN22" s="16">
        <v>0.2857142857142857</v>
      </c>
      <c r="BO22" s="16">
        <v>1</v>
      </c>
      <c r="BP22" s="16">
        <v>0.68292682926829273</v>
      </c>
      <c r="BQ22" s="16">
        <v>0.54166666666666663</v>
      </c>
      <c r="BR22" s="16">
        <v>0.8666666666666667</v>
      </c>
      <c r="BS22" s="16">
        <v>1</v>
      </c>
      <c r="BT22" s="16">
        <v>0.54285714285714282</v>
      </c>
      <c r="BU22" s="16">
        <v>4.1666666666666664E-2</v>
      </c>
      <c r="BV22" s="16">
        <v>4.3478260869565216E-2</v>
      </c>
      <c r="BW22" s="16">
        <v>4</v>
      </c>
      <c r="BX22" s="16">
        <v>0.5</v>
      </c>
      <c r="BY22" s="16">
        <v>0.75</v>
      </c>
      <c r="BZ22" s="12">
        <v>9</v>
      </c>
      <c r="CA22" s="12">
        <v>10</v>
      </c>
      <c r="CB22" s="12">
        <v>2</v>
      </c>
      <c r="CC22" s="12">
        <v>2</v>
      </c>
      <c r="CD22" s="12">
        <v>2</v>
      </c>
      <c r="CE22" s="12">
        <v>0</v>
      </c>
      <c r="CF22" s="12">
        <v>2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4</v>
      </c>
      <c r="CM22" s="12">
        <v>0</v>
      </c>
      <c r="CN22" s="12">
        <v>2</v>
      </c>
      <c r="CO22" s="12">
        <v>0</v>
      </c>
      <c r="CP22" s="12">
        <v>0</v>
      </c>
      <c r="CQ22" s="12">
        <v>0</v>
      </c>
      <c r="CR22" s="12">
        <v>9</v>
      </c>
      <c r="CS22" s="12">
        <v>0</v>
      </c>
      <c r="CT22" s="12">
        <v>4</v>
      </c>
      <c r="CU22" s="12">
        <v>0</v>
      </c>
      <c r="CV22" s="12">
        <v>2</v>
      </c>
      <c r="CW22" s="12">
        <v>0</v>
      </c>
      <c r="CX22" s="12">
        <v>11</v>
      </c>
      <c r="CY22" s="12">
        <v>0</v>
      </c>
      <c r="CZ22" s="12">
        <v>1</v>
      </c>
      <c r="DA22" s="12">
        <v>0</v>
      </c>
      <c r="DB22" s="12">
        <v>1</v>
      </c>
      <c r="DC22" s="12">
        <v>1</v>
      </c>
      <c r="DD22" s="12">
        <v>2</v>
      </c>
      <c r="DE22" s="12">
        <v>3</v>
      </c>
      <c r="DF22" s="12">
        <v>22</v>
      </c>
      <c r="DG22" s="12">
        <v>24</v>
      </c>
      <c r="DH22" s="12">
        <v>0</v>
      </c>
      <c r="DI22" s="12">
        <v>0</v>
      </c>
      <c r="DJ22" s="12">
        <v>0</v>
      </c>
      <c r="DK22" s="12">
        <v>0</v>
      </c>
      <c r="DL22" s="12">
        <v>13</v>
      </c>
      <c r="DM22" s="12">
        <v>18</v>
      </c>
      <c r="DN22" s="12">
        <v>7</v>
      </c>
      <c r="DO22" s="12">
        <v>15</v>
      </c>
      <c r="DP22" s="12">
        <v>1</v>
      </c>
      <c r="DQ22" s="12">
        <v>1</v>
      </c>
      <c r="DR22" s="12">
        <v>4</v>
      </c>
      <c r="DS22" s="12">
        <v>5</v>
      </c>
      <c r="DT22" s="12">
        <v>8</v>
      </c>
      <c r="DU22" s="12">
        <v>21</v>
      </c>
      <c r="DV22" s="12">
        <v>0</v>
      </c>
      <c r="DW22" s="12">
        <v>3</v>
      </c>
      <c r="DX22" s="12">
        <v>80</v>
      </c>
      <c r="DY22" s="12">
        <v>20</v>
      </c>
      <c r="DZ22" s="12">
        <v>44</v>
      </c>
      <c r="EA22" s="16">
        <v>0.45454545454545453</v>
      </c>
      <c r="EB22" s="12">
        <v>10</v>
      </c>
      <c r="EC22" s="12">
        <v>25</v>
      </c>
      <c r="ED22" s="16">
        <v>0.4</v>
      </c>
      <c r="EE22" s="12">
        <v>30</v>
      </c>
      <c r="EF22" s="12">
        <v>69</v>
      </c>
      <c r="EG22" s="16">
        <v>0.43478260869565216</v>
      </c>
      <c r="EH22" s="12">
        <v>10</v>
      </c>
      <c r="EI22" s="12">
        <v>15</v>
      </c>
      <c r="EJ22" s="16">
        <v>0.66666666666666663</v>
      </c>
      <c r="EK22" s="12">
        <v>13</v>
      </c>
      <c r="EL22" s="12">
        <v>19</v>
      </c>
      <c r="EM22" s="12">
        <v>32</v>
      </c>
      <c r="EN22" s="12">
        <v>18</v>
      </c>
      <c r="EO22" s="12">
        <v>21</v>
      </c>
      <c r="EP22" s="12">
        <v>15</v>
      </c>
      <c r="EQ22" s="12">
        <v>7</v>
      </c>
      <c r="ER22" s="12">
        <v>10</v>
      </c>
      <c r="ES22" s="12">
        <v>2</v>
      </c>
      <c r="ET22" s="12">
        <v>3</v>
      </c>
      <c r="EU22" s="12">
        <v>76</v>
      </c>
      <c r="EV22" s="12">
        <v>-23</v>
      </c>
      <c r="EW22" s="12">
        <v>72</v>
      </c>
      <c r="EX22" s="12">
        <v>85</v>
      </c>
      <c r="EY22" s="12">
        <v>3</v>
      </c>
      <c r="EZ22" s="12">
        <v>9</v>
      </c>
      <c r="FA22" s="12">
        <v>8</v>
      </c>
      <c r="FB22" s="12">
        <v>1</v>
      </c>
      <c r="FC22" s="12">
        <v>2</v>
      </c>
      <c r="FD22" s="12">
        <v>3</v>
      </c>
      <c r="FE22" s="12">
        <v>0</v>
      </c>
      <c r="FF22" s="12">
        <v>7</v>
      </c>
      <c r="FG22" s="12">
        <v>0</v>
      </c>
      <c r="FH22" s="12">
        <v>1</v>
      </c>
      <c r="FI22" s="12">
        <v>0</v>
      </c>
      <c r="FJ22" s="12">
        <v>0</v>
      </c>
      <c r="FK22" s="12">
        <v>0</v>
      </c>
      <c r="FL22" s="12">
        <v>2</v>
      </c>
      <c r="FM22" s="12">
        <v>0</v>
      </c>
      <c r="FN22" s="12">
        <v>0</v>
      </c>
      <c r="FO22" s="12">
        <v>0</v>
      </c>
      <c r="FP22" s="12">
        <v>3</v>
      </c>
      <c r="FQ22" s="12">
        <v>0</v>
      </c>
      <c r="FR22" s="12">
        <v>6</v>
      </c>
      <c r="FS22" s="12">
        <v>0</v>
      </c>
      <c r="FT22" s="12">
        <v>0</v>
      </c>
      <c r="FU22" s="12">
        <v>0</v>
      </c>
      <c r="FV22" s="12">
        <v>1</v>
      </c>
      <c r="FW22" s="12">
        <v>0</v>
      </c>
      <c r="FX22" s="12">
        <v>9</v>
      </c>
      <c r="FY22" s="12">
        <v>0</v>
      </c>
      <c r="FZ22" s="12">
        <v>0</v>
      </c>
      <c r="GA22" s="12">
        <v>0</v>
      </c>
      <c r="GB22" s="12">
        <v>1</v>
      </c>
      <c r="GC22" s="12">
        <v>1</v>
      </c>
      <c r="GD22" s="12">
        <v>1</v>
      </c>
      <c r="GE22" s="12">
        <v>2</v>
      </c>
      <c r="GF22" s="12">
        <v>8</v>
      </c>
      <c r="GG22" s="12">
        <v>12</v>
      </c>
      <c r="GH22" s="12">
        <v>0</v>
      </c>
      <c r="GI22" s="12">
        <v>0</v>
      </c>
      <c r="GJ22" s="12">
        <v>0</v>
      </c>
      <c r="GK22" s="12">
        <v>0</v>
      </c>
      <c r="GL22" s="12">
        <v>10</v>
      </c>
      <c r="GM22" s="12">
        <v>13</v>
      </c>
      <c r="GN22" s="12">
        <v>4</v>
      </c>
      <c r="GO22" s="12">
        <v>20</v>
      </c>
      <c r="GP22" s="12">
        <v>6</v>
      </c>
      <c r="GQ22" s="12">
        <v>11</v>
      </c>
      <c r="GR22" s="12">
        <v>4</v>
      </c>
      <c r="GS22" s="12">
        <v>6</v>
      </c>
      <c r="GT22" s="12">
        <v>6</v>
      </c>
      <c r="GU22" s="12">
        <v>19</v>
      </c>
      <c r="GV22" s="12">
        <v>0</v>
      </c>
      <c r="GW22" s="12">
        <v>0</v>
      </c>
    </row>
    <row r="23" spans="2:205" ht="15" customHeight="1" x14ac:dyDescent="0.2">
      <c r="B23" s="12">
        <v>2</v>
      </c>
      <c r="C23" s="12" t="s">
        <v>298</v>
      </c>
      <c r="D23" s="12" t="s">
        <v>277</v>
      </c>
      <c r="E23" s="14" t="s">
        <v>300</v>
      </c>
      <c r="F23" s="14" t="s">
        <v>279</v>
      </c>
      <c r="G23" s="15">
        <v>45211</v>
      </c>
      <c r="H23" s="15" t="s">
        <v>271</v>
      </c>
      <c r="I23" s="12" t="s">
        <v>269</v>
      </c>
      <c r="J23" s="12" t="s">
        <v>270</v>
      </c>
      <c r="K23" s="12">
        <v>200</v>
      </c>
      <c r="L23" s="12">
        <v>80</v>
      </c>
      <c r="M23" s="12">
        <v>20</v>
      </c>
      <c r="N23" s="12">
        <v>44</v>
      </c>
      <c r="O23" s="16">
        <v>0.45454545454545453</v>
      </c>
      <c r="P23" s="12">
        <v>10</v>
      </c>
      <c r="Q23" s="12">
        <v>25</v>
      </c>
      <c r="R23" s="16">
        <v>0.4</v>
      </c>
      <c r="S23" s="12">
        <v>30</v>
      </c>
      <c r="T23" s="12">
        <v>69</v>
      </c>
      <c r="U23" s="16">
        <v>0.43478260869565216</v>
      </c>
      <c r="V23" s="12">
        <v>10</v>
      </c>
      <c r="W23" s="12">
        <v>15</v>
      </c>
      <c r="X23" s="16">
        <v>0.66666666666666663</v>
      </c>
      <c r="Y23" s="12">
        <v>13</v>
      </c>
      <c r="Z23" s="12">
        <v>19</v>
      </c>
      <c r="AA23" s="12">
        <v>32</v>
      </c>
      <c r="AB23" s="12">
        <v>18</v>
      </c>
      <c r="AC23" s="12">
        <v>10</v>
      </c>
      <c r="AD23" s="12">
        <v>7</v>
      </c>
      <c r="AE23" s="12">
        <v>2</v>
      </c>
      <c r="AF23" s="12">
        <v>3</v>
      </c>
      <c r="AG23" s="12">
        <v>20</v>
      </c>
      <c r="AH23" s="12">
        <v>15</v>
      </c>
      <c r="AI23" s="17">
        <v>77</v>
      </c>
      <c r="AJ23" s="12">
        <v>-23</v>
      </c>
      <c r="AK23" s="12">
        <v>72</v>
      </c>
      <c r="AL23" s="12">
        <v>85</v>
      </c>
      <c r="AM23" s="19">
        <v>0.94117647058823528</v>
      </c>
      <c r="AN23" s="19">
        <v>1.2261904761904763</v>
      </c>
      <c r="AO23" s="18">
        <v>111.11111111111111</v>
      </c>
      <c r="AP23" s="18">
        <v>139.18918918918919</v>
      </c>
      <c r="AQ23" s="18">
        <v>-28.078078078078079</v>
      </c>
      <c r="AR23" s="53">
        <v>0.50724637681159424</v>
      </c>
      <c r="AS23" s="53">
        <v>0.53333333333333333</v>
      </c>
      <c r="AT23" s="16">
        <v>0.15294117647058825</v>
      </c>
      <c r="AU23" s="19">
        <v>1.5384615384615385</v>
      </c>
      <c r="AV23" s="16">
        <v>0.23529411764705882</v>
      </c>
      <c r="AW23" s="19">
        <v>0.4</v>
      </c>
      <c r="AX23" s="16">
        <v>0.12941176470588237</v>
      </c>
      <c r="AY23" s="19">
        <v>1.0909090909090908</v>
      </c>
      <c r="AZ23" s="16">
        <v>7.0588235294117646E-2</v>
      </c>
      <c r="BA23" s="19">
        <v>2</v>
      </c>
      <c r="BB23" s="16">
        <v>0.22352941176470589</v>
      </c>
      <c r="BC23" s="21">
        <v>0.94736842105263153</v>
      </c>
      <c r="BD23" s="16">
        <v>7.0588235294117646E-2</v>
      </c>
      <c r="BE23" s="16">
        <v>0.11764705882352941</v>
      </c>
      <c r="BF23" s="16">
        <v>0.5</v>
      </c>
      <c r="BG23" s="16">
        <v>0.45</v>
      </c>
      <c r="BH23" s="16">
        <v>0.8</v>
      </c>
      <c r="BI23" s="16">
        <v>0.16666666666666666</v>
      </c>
      <c r="BJ23" s="16">
        <v>0.21176470588235294</v>
      </c>
      <c r="BK23" s="21">
        <v>1.8</v>
      </c>
      <c r="BL23" s="16">
        <v>0.31707317073170732</v>
      </c>
      <c r="BM23" s="16">
        <v>0.45833333333333331</v>
      </c>
      <c r="BN23" s="16">
        <v>0.13333333333333333</v>
      </c>
      <c r="BO23" s="16">
        <v>0</v>
      </c>
      <c r="BP23" s="16">
        <v>0.65517241379310343</v>
      </c>
      <c r="BQ23" s="16">
        <v>0.69230769230769229</v>
      </c>
      <c r="BR23" s="16">
        <v>0.7142857142857143</v>
      </c>
      <c r="BS23" s="16">
        <v>0</v>
      </c>
      <c r="BT23" s="16">
        <v>0.45714285714285713</v>
      </c>
      <c r="BU23" s="16">
        <v>9.45945945945946E-2</v>
      </c>
      <c r="BV23" s="16">
        <v>3.1746031746031744E-2</v>
      </c>
      <c r="BW23" s="16">
        <v>3</v>
      </c>
      <c r="BX23" s="16">
        <v>0.75</v>
      </c>
      <c r="BY23" s="16">
        <v>0.53333333333333333</v>
      </c>
      <c r="BZ23" s="12">
        <v>9</v>
      </c>
      <c r="CA23" s="12">
        <v>8</v>
      </c>
      <c r="CB23" s="12">
        <v>1</v>
      </c>
      <c r="CC23" s="12">
        <v>2</v>
      </c>
      <c r="CD23" s="12">
        <v>3</v>
      </c>
      <c r="CE23" s="12">
        <v>0</v>
      </c>
      <c r="CF23" s="12">
        <v>7</v>
      </c>
      <c r="CG23" s="12">
        <v>0</v>
      </c>
      <c r="CH23" s="12">
        <v>1</v>
      </c>
      <c r="CI23" s="12">
        <v>0</v>
      </c>
      <c r="CJ23" s="12">
        <v>0</v>
      </c>
      <c r="CK23" s="12">
        <v>0</v>
      </c>
      <c r="CL23" s="12">
        <v>2</v>
      </c>
      <c r="CM23" s="12">
        <v>0</v>
      </c>
      <c r="CN23" s="12">
        <v>0</v>
      </c>
      <c r="CO23" s="12">
        <v>0</v>
      </c>
      <c r="CP23" s="12">
        <v>3</v>
      </c>
      <c r="CQ23" s="12">
        <v>0</v>
      </c>
      <c r="CR23" s="12">
        <v>6</v>
      </c>
      <c r="CS23" s="12">
        <v>0</v>
      </c>
      <c r="CT23" s="12">
        <v>0</v>
      </c>
      <c r="CU23" s="12">
        <v>0</v>
      </c>
      <c r="CV23" s="12">
        <v>1</v>
      </c>
      <c r="CW23" s="12">
        <v>0</v>
      </c>
      <c r="CX23" s="12">
        <v>9</v>
      </c>
      <c r="CY23" s="12">
        <v>0</v>
      </c>
      <c r="CZ23" s="12">
        <v>0</v>
      </c>
      <c r="DA23" s="12">
        <v>0</v>
      </c>
      <c r="DB23" s="12">
        <v>1</v>
      </c>
      <c r="DC23" s="12">
        <v>1</v>
      </c>
      <c r="DD23" s="12">
        <v>1</v>
      </c>
      <c r="DE23" s="12">
        <v>2</v>
      </c>
      <c r="DF23" s="12">
        <v>8</v>
      </c>
      <c r="DG23" s="12">
        <v>12</v>
      </c>
      <c r="DH23" s="12">
        <v>0</v>
      </c>
      <c r="DI23" s="12">
        <v>0</v>
      </c>
      <c r="DJ23" s="12">
        <v>0</v>
      </c>
      <c r="DK23" s="12">
        <v>0</v>
      </c>
      <c r="DL23" s="12">
        <v>10</v>
      </c>
      <c r="DM23" s="12">
        <v>13</v>
      </c>
      <c r="DN23" s="12">
        <v>4</v>
      </c>
      <c r="DO23" s="12">
        <v>20</v>
      </c>
      <c r="DP23" s="12">
        <v>6</v>
      </c>
      <c r="DQ23" s="12">
        <v>11</v>
      </c>
      <c r="DR23" s="12">
        <v>4</v>
      </c>
      <c r="DS23" s="12">
        <v>6</v>
      </c>
      <c r="DT23" s="12">
        <v>6</v>
      </c>
      <c r="DU23" s="12">
        <v>19</v>
      </c>
      <c r="DV23" s="12">
        <v>0</v>
      </c>
      <c r="DW23" s="12">
        <v>0</v>
      </c>
      <c r="DX23" s="12">
        <v>103</v>
      </c>
      <c r="DY23" s="12">
        <v>21</v>
      </c>
      <c r="DZ23" s="12">
        <v>34</v>
      </c>
      <c r="EA23" s="16">
        <v>0.61764705882352944</v>
      </c>
      <c r="EB23" s="12">
        <v>12</v>
      </c>
      <c r="EC23" s="12">
        <v>29</v>
      </c>
      <c r="ED23" s="16">
        <v>0.41379310344827586</v>
      </c>
      <c r="EE23" s="12">
        <v>33</v>
      </c>
      <c r="EF23" s="12">
        <v>63</v>
      </c>
      <c r="EG23" s="16">
        <v>0.52380952380952384</v>
      </c>
      <c r="EH23" s="12">
        <v>25</v>
      </c>
      <c r="EI23" s="12">
        <v>28</v>
      </c>
      <c r="EJ23" s="16">
        <v>0.8928571428571429</v>
      </c>
      <c r="EK23" s="12">
        <v>10</v>
      </c>
      <c r="EL23" s="12">
        <v>28</v>
      </c>
      <c r="EM23" s="12">
        <v>38</v>
      </c>
      <c r="EN23" s="12">
        <v>22</v>
      </c>
      <c r="EO23" s="12">
        <v>16</v>
      </c>
      <c r="EP23" s="12">
        <v>20</v>
      </c>
      <c r="EQ23" s="12">
        <v>3</v>
      </c>
      <c r="ER23" s="12">
        <v>9</v>
      </c>
      <c r="ES23" s="12">
        <v>3</v>
      </c>
      <c r="ET23" s="12">
        <v>2</v>
      </c>
      <c r="EU23" s="12">
        <v>129</v>
      </c>
      <c r="EV23" s="12">
        <v>23</v>
      </c>
      <c r="EW23" s="12">
        <v>74</v>
      </c>
      <c r="EX23" s="12">
        <v>84</v>
      </c>
      <c r="EY23" s="12">
        <v>4</v>
      </c>
      <c r="EZ23" s="12">
        <v>9</v>
      </c>
      <c r="FA23" s="12">
        <v>10</v>
      </c>
      <c r="FB23" s="12">
        <v>2</v>
      </c>
      <c r="FC23" s="12">
        <v>2</v>
      </c>
      <c r="FD23" s="12">
        <v>2</v>
      </c>
      <c r="FE23" s="12">
        <v>0</v>
      </c>
      <c r="FF23" s="12">
        <v>2</v>
      </c>
      <c r="FG23" s="12">
        <v>0</v>
      </c>
      <c r="FH23" s="12">
        <v>0</v>
      </c>
      <c r="FI23" s="12">
        <v>0</v>
      </c>
      <c r="FJ23" s="12">
        <v>0</v>
      </c>
      <c r="FK23" s="12">
        <v>0</v>
      </c>
      <c r="FL23" s="12">
        <v>4</v>
      </c>
      <c r="FM23" s="12">
        <v>0</v>
      </c>
      <c r="FN23" s="12">
        <v>2</v>
      </c>
      <c r="FO23" s="12">
        <v>0</v>
      </c>
      <c r="FP23" s="12">
        <v>0</v>
      </c>
      <c r="FQ23" s="12">
        <v>0</v>
      </c>
      <c r="FR23" s="12">
        <v>9</v>
      </c>
      <c r="FS23" s="12">
        <v>0</v>
      </c>
      <c r="FT23" s="12">
        <v>4</v>
      </c>
      <c r="FU23" s="12">
        <v>0</v>
      </c>
      <c r="FV23" s="12">
        <v>2</v>
      </c>
      <c r="FW23" s="12">
        <v>0</v>
      </c>
      <c r="FX23" s="12">
        <v>11</v>
      </c>
      <c r="FY23" s="12">
        <v>0</v>
      </c>
      <c r="FZ23" s="12">
        <v>1</v>
      </c>
      <c r="GA23" s="12">
        <v>0</v>
      </c>
      <c r="GB23" s="12">
        <v>1</v>
      </c>
      <c r="GC23" s="12">
        <v>1</v>
      </c>
      <c r="GD23" s="12">
        <v>2</v>
      </c>
      <c r="GE23" s="12">
        <v>3</v>
      </c>
      <c r="GF23" s="12">
        <v>22</v>
      </c>
      <c r="GG23" s="12">
        <v>24</v>
      </c>
      <c r="GH23" s="12">
        <v>0</v>
      </c>
      <c r="GI23" s="12">
        <v>0</v>
      </c>
      <c r="GJ23" s="12">
        <v>0</v>
      </c>
      <c r="GK23" s="12">
        <v>0</v>
      </c>
      <c r="GL23" s="12">
        <v>13</v>
      </c>
      <c r="GM23" s="12">
        <v>18</v>
      </c>
      <c r="GN23" s="12">
        <v>7</v>
      </c>
      <c r="GO23" s="12">
        <v>15</v>
      </c>
      <c r="GP23" s="12">
        <v>1</v>
      </c>
      <c r="GQ23" s="12">
        <v>1</v>
      </c>
      <c r="GR23" s="12">
        <v>4</v>
      </c>
      <c r="GS23" s="12">
        <v>5</v>
      </c>
      <c r="GT23" s="12">
        <v>8</v>
      </c>
      <c r="GU23" s="12">
        <v>21</v>
      </c>
      <c r="GV23" s="12">
        <v>0</v>
      </c>
      <c r="GW23" s="12">
        <v>3</v>
      </c>
    </row>
    <row r="24" spans="2:205" ht="15" customHeight="1" x14ac:dyDescent="0.2">
      <c r="B24" s="12">
        <v>2</v>
      </c>
      <c r="C24" s="12" t="s">
        <v>265</v>
      </c>
      <c r="D24" s="12" t="s">
        <v>274</v>
      </c>
      <c r="E24" s="14" t="s">
        <v>267</v>
      </c>
      <c r="F24" s="14" t="s">
        <v>276</v>
      </c>
      <c r="G24" s="15">
        <v>45211</v>
      </c>
      <c r="H24" s="15" t="s">
        <v>268</v>
      </c>
      <c r="I24" s="12" t="s">
        <v>269</v>
      </c>
      <c r="J24" s="12" t="s">
        <v>272</v>
      </c>
      <c r="K24" s="12">
        <v>200</v>
      </c>
      <c r="L24" s="12">
        <v>88</v>
      </c>
      <c r="M24" s="12">
        <v>28</v>
      </c>
      <c r="N24" s="12">
        <v>41</v>
      </c>
      <c r="O24" s="16">
        <v>0.68292682926829273</v>
      </c>
      <c r="P24" s="12">
        <v>4</v>
      </c>
      <c r="Q24" s="12">
        <v>19</v>
      </c>
      <c r="R24" s="16">
        <v>0.21052631578947367</v>
      </c>
      <c r="S24" s="12">
        <v>32</v>
      </c>
      <c r="T24" s="12">
        <v>60</v>
      </c>
      <c r="U24" s="16">
        <v>0.53333333333333333</v>
      </c>
      <c r="V24" s="12">
        <v>20</v>
      </c>
      <c r="W24" s="12">
        <v>21</v>
      </c>
      <c r="X24" s="16">
        <v>0.95238095238095233</v>
      </c>
      <c r="Y24" s="12">
        <v>8</v>
      </c>
      <c r="Z24" s="12">
        <v>28</v>
      </c>
      <c r="AA24" s="12">
        <v>36</v>
      </c>
      <c r="AB24" s="12">
        <v>18</v>
      </c>
      <c r="AC24" s="12">
        <v>10</v>
      </c>
      <c r="AD24" s="12">
        <v>11</v>
      </c>
      <c r="AE24" s="12">
        <v>6</v>
      </c>
      <c r="AF24" s="12">
        <v>0</v>
      </c>
      <c r="AG24" s="12">
        <v>19</v>
      </c>
      <c r="AH24" s="12">
        <v>16</v>
      </c>
      <c r="AI24" s="17">
        <v>117</v>
      </c>
      <c r="AJ24" s="12">
        <v>26</v>
      </c>
      <c r="AK24" s="12">
        <v>70</v>
      </c>
      <c r="AL24" s="12">
        <v>78</v>
      </c>
      <c r="AM24" s="19">
        <v>1.1282051282051282</v>
      </c>
      <c r="AN24" s="19">
        <v>0.73809523809523814</v>
      </c>
      <c r="AO24" s="18">
        <v>125.71428571428571</v>
      </c>
      <c r="AP24" s="18">
        <v>88.571428571428569</v>
      </c>
      <c r="AQ24" s="18">
        <v>37.142857142857139</v>
      </c>
      <c r="AR24" s="53">
        <v>0.56666666666666665</v>
      </c>
      <c r="AS24" s="53">
        <v>0.6470588235294118</v>
      </c>
      <c r="AT24" s="16">
        <v>0.23076923076923078</v>
      </c>
      <c r="AU24" s="19">
        <v>1.7777777777777777</v>
      </c>
      <c r="AV24" s="16">
        <v>0.17948717948717949</v>
      </c>
      <c r="AW24" s="19">
        <v>1.1428571428571428</v>
      </c>
      <c r="AX24" s="16">
        <v>0.11538461538461539</v>
      </c>
      <c r="AY24" s="19">
        <v>0.88888888888888884</v>
      </c>
      <c r="AZ24" s="16">
        <v>5.128205128205128E-2</v>
      </c>
      <c r="BA24" s="19">
        <v>1.5</v>
      </c>
      <c r="BB24" s="16">
        <v>0.19230769230769232</v>
      </c>
      <c r="BC24" s="21">
        <v>0.4</v>
      </c>
      <c r="BD24" s="16">
        <v>0.10256410256410256</v>
      </c>
      <c r="BE24" s="16">
        <v>0.12820512820512819</v>
      </c>
      <c r="BF24" s="16">
        <v>0.45</v>
      </c>
      <c r="BG24" s="16">
        <v>0.5</v>
      </c>
      <c r="BH24" s="16">
        <v>0.75</v>
      </c>
      <c r="BI24" s="16">
        <v>0.125</v>
      </c>
      <c r="BJ24" s="16">
        <v>0.23076923076923078</v>
      </c>
      <c r="BK24" s="21">
        <v>1.8</v>
      </c>
      <c r="BL24" s="16">
        <v>0.27586206896551724</v>
      </c>
      <c r="BM24" s="16">
        <v>0.23076923076923078</v>
      </c>
      <c r="BN24" s="16">
        <v>0.33333333333333331</v>
      </c>
      <c r="BO24" s="16">
        <v>0</v>
      </c>
      <c r="BP24" s="16">
        <v>0.66666666666666663</v>
      </c>
      <c r="BQ24" s="16">
        <v>0.58333333333333337</v>
      </c>
      <c r="BR24" s="16">
        <v>0.69565217391304346</v>
      </c>
      <c r="BS24" s="16" t="s">
        <v>269</v>
      </c>
      <c r="BT24" s="16">
        <v>0.50704225352112675</v>
      </c>
      <c r="BU24" s="16">
        <v>0.15714285714285714</v>
      </c>
      <c r="BV24" s="16">
        <v>9.0909090909090912E-2</v>
      </c>
      <c r="BW24" s="16">
        <v>7</v>
      </c>
      <c r="BX24" s="16">
        <v>0.42105263157894735</v>
      </c>
      <c r="BY24" s="16">
        <v>0.6875</v>
      </c>
      <c r="BZ24" s="12">
        <v>14</v>
      </c>
      <c r="CA24" s="12">
        <v>3</v>
      </c>
      <c r="CB24" s="12">
        <v>1</v>
      </c>
      <c r="CC24" s="12">
        <v>3</v>
      </c>
      <c r="CD24" s="12">
        <v>1</v>
      </c>
      <c r="CE24" s="12">
        <v>0</v>
      </c>
      <c r="CF24" s="12">
        <v>1</v>
      </c>
      <c r="CG24" s="12">
        <v>0</v>
      </c>
      <c r="CH24" s="12">
        <v>1</v>
      </c>
      <c r="CI24" s="12">
        <v>0</v>
      </c>
      <c r="CJ24" s="12">
        <v>0</v>
      </c>
      <c r="CK24" s="12">
        <v>0</v>
      </c>
      <c r="CL24" s="12">
        <v>5</v>
      </c>
      <c r="CM24" s="12">
        <v>0</v>
      </c>
      <c r="CN24" s="12">
        <v>0</v>
      </c>
      <c r="CO24" s="12">
        <v>0</v>
      </c>
      <c r="CP24" s="12">
        <v>3</v>
      </c>
      <c r="CQ24" s="12">
        <v>0</v>
      </c>
      <c r="CR24" s="12">
        <v>9</v>
      </c>
      <c r="CS24" s="12">
        <v>1</v>
      </c>
      <c r="CT24" s="12">
        <v>1</v>
      </c>
      <c r="CU24" s="12">
        <v>0</v>
      </c>
      <c r="CV24" s="12">
        <v>5</v>
      </c>
      <c r="CW24" s="12">
        <v>0</v>
      </c>
      <c r="CX24" s="12">
        <v>10</v>
      </c>
      <c r="CY24" s="12">
        <v>1</v>
      </c>
      <c r="CZ24" s="12">
        <v>0</v>
      </c>
      <c r="DA24" s="12">
        <v>0</v>
      </c>
      <c r="DB24" s="12">
        <v>1</v>
      </c>
      <c r="DC24" s="12">
        <v>1</v>
      </c>
      <c r="DD24" s="12">
        <v>3</v>
      </c>
      <c r="DE24" s="12">
        <v>3</v>
      </c>
      <c r="DF24" s="12">
        <v>13</v>
      </c>
      <c r="DG24" s="12">
        <v>14</v>
      </c>
      <c r="DH24" s="12">
        <v>0</v>
      </c>
      <c r="DI24" s="12">
        <v>3</v>
      </c>
      <c r="DJ24" s="12">
        <v>3</v>
      </c>
      <c r="DK24" s="12">
        <v>0</v>
      </c>
      <c r="DL24" s="12">
        <v>16</v>
      </c>
      <c r="DM24" s="12">
        <v>18</v>
      </c>
      <c r="DN24" s="12">
        <v>8</v>
      </c>
      <c r="DO24" s="12">
        <v>14</v>
      </c>
      <c r="DP24" s="12">
        <v>4</v>
      </c>
      <c r="DQ24" s="12">
        <v>9</v>
      </c>
      <c r="DR24" s="12">
        <v>2</v>
      </c>
      <c r="DS24" s="12">
        <v>4</v>
      </c>
      <c r="DT24" s="12">
        <v>2</v>
      </c>
      <c r="DU24" s="12">
        <v>15</v>
      </c>
      <c r="DV24" s="12">
        <v>0</v>
      </c>
      <c r="DW24" s="12">
        <v>0</v>
      </c>
      <c r="DX24" s="12">
        <v>62</v>
      </c>
      <c r="DY24" s="12">
        <v>19</v>
      </c>
      <c r="DZ24" s="12">
        <v>39</v>
      </c>
      <c r="EA24" s="16">
        <v>0.48717948717948717</v>
      </c>
      <c r="EB24" s="12">
        <v>4</v>
      </c>
      <c r="EC24" s="12">
        <v>27</v>
      </c>
      <c r="ED24" s="16">
        <v>0.14814814814814814</v>
      </c>
      <c r="EE24" s="12">
        <v>23</v>
      </c>
      <c r="EF24" s="12">
        <v>66</v>
      </c>
      <c r="EG24" s="16">
        <v>0.34848484848484851</v>
      </c>
      <c r="EH24" s="12">
        <v>12</v>
      </c>
      <c r="EI24" s="12">
        <v>12</v>
      </c>
      <c r="EJ24" s="16">
        <v>1</v>
      </c>
      <c r="EK24" s="12">
        <v>14</v>
      </c>
      <c r="EL24" s="12">
        <v>21</v>
      </c>
      <c r="EM24" s="12">
        <v>35</v>
      </c>
      <c r="EN24" s="12">
        <v>9</v>
      </c>
      <c r="EO24" s="12">
        <v>17</v>
      </c>
      <c r="EP24" s="12">
        <v>19</v>
      </c>
      <c r="EQ24" s="12">
        <v>4</v>
      </c>
      <c r="ER24" s="12">
        <v>14</v>
      </c>
      <c r="ES24" s="12">
        <v>0</v>
      </c>
      <c r="ET24" s="12">
        <v>6</v>
      </c>
      <c r="EU24" s="12">
        <v>49</v>
      </c>
      <c r="EV24" s="12">
        <v>-26</v>
      </c>
      <c r="EW24" s="12">
        <v>70</v>
      </c>
      <c r="EX24" s="12">
        <v>84</v>
      </c>
      <c r="EY24" s="12">
        <v>3</v>
      </c>
      <c r="EZ24" s="12">
        <v>3</v>
      </c>
      <c r="FA24" s="12">
        <v>4</v>
      </c>
      <c r="FB24" s="12">
        <v>2</v>
      </c>
      <c r="FC24" s="12">
        <v>4</v>
      </c>
      <c r="FD24" s="12">
        <v>2</v>
      </c>
      <c r="FE24" s="12">
        <v>1</v>
      </c>
      <c r="FF24" s="12">
        <v>5</v>
      </c>
      <c r="FG24" s="12">
        <v>2</v>
      </c>
      <c r="FH24" s="12">
        <v>0</v>
      </c>
      <c r="FI24" s="12">
        <v>0</v>
      </c>
      <c r="FJ24" s="12">
        <v>1</v>
      </c>
      <c r="FK24" s="12">
        <v>0</v>
      </c>
      <c r="FL24" s="12">
        <v>6</v>
      </c>
      <c r="FM24" s="12">
        <v>0</v>
      </c>
      <c r="FN24" s="12">
        <v>0</v>
      </c>
      <c r="FO24" s="12">
        <v>0</v>
      </c>
      <c r="FP24" s="12">
        <v>1</v>
      </c>
      <c r="FQ24" s="12">
        <v>0</v>
      </c>
      <c r="FR24" s="12">
        <v>5</v>
      </c>
      <c r="FS24" s="12">
        <v>0</v>
      </c>
      <c r="FT24" s="12">
        <v>4</v>
      </c>
      <c r="FU24" s="12">
        <v>0</v>
      </c>
      <c r="FV24" s="12">
        <v>2</v>
      </c>
      <c r="FW24" s="12">
        <v>0</v>
      </c>
      <c r="FX24" s="12">
        <v>8</v>
      </c>
      <c r="FY24" s="12">
        <v>0</v>
      </c>
      <c r="FZ24" s="12">
        <v>1</v>
      </c>
      <c r="GA24" s="12">
        <v>0</v>
      </c>
      <c r="GB24" s="12">
        <v>0</v>
      </c>
      <c r="GC24" s="12">
        <v>0</v>
      </c>
      <c r="GD24" s="12">
        <v>4</v>
      </c>
      <c r="GE24" s="12">
        <v>4</v>
      </c>
      <c r="GF24" s="12">
        <v>8</v>
      </c>
      <c r="GG24" s="12">
        <v>8</v>
      </c>
      <c r="GH24" s="12">
        <v>0</v>
      </c>
      <c r="GI24" s="12">
        <v>0</v>
      </c>
      <c r="GJ24" s="12">
        <v>0</v>
      </c>
      <c r="GK24" s="12">
        <v>0</v>
      </c>
      <c r="GL24" s="12">
        <v>13</v>
      </c>
      <c r="GM24" s="12">
        <v>18</v>
      </c>
      <c r="GN24" s="12">
        <v>4</v>
      </c>
      <c r="GO24" s="12">
        <v>18</v>
      </c>
      <c r="GP24" s="12">
        <v>2</v>
      </c>
      <c r="GQ24" s="12">
        <v>3</v>
      </c>
      <c r="GR24" s="12">
        <v>2</v>
      </c>
      <c r="GS24" s="12">
        <v>9</v>
      </c>
      <c r="GT24" s="12">
        <v>2</v>
      </c>
      <c r="GU24" s="12">
        <v>18</v>
      </c>
      <c r="GV24" s="12">
        <v>0</v>
      </c>
      <c r="GW24" s="12">
        <v>0</v>
      </c>
    </row>
    <row r="25" spans="2:205" ht="15" customHeight="1" x14ac:dyDescent="0.2">
      <c r="B25" s="12">
        <v>2</v>
      </c>
      <c r="C25" s="12" t="s">
        <v>274</v>
      </c>
      <c r="D25" s="12" t="s">
        <v>265</v>
      </c>
      <c r="E25" s="14" t="s">
        <v>276</v>
      </c>
      <c r="F25" s="14" t="s">
        <v>267</v>
      </c>
      <c r="G25" s="15">
        <v>45211</v>
      </c>
      <c r="H25" s="15" t="s">
        <v>271</v>
      </c>
      <c r="I25" s="12" t="s">
        <v>269</v>
      </c>
      <c r="J25" s="12" t="s">
        <v>270</v>
      </c>
      <c r="K25" s="12">
        <v>200</v>
      </c>
      <c r="L25" s="12">
        <v>62</v>
      </c>
      <c r="M25" s="12">
        <v>19</v>
      </c>
      <c r="N25" s="12">
        <v>39</v>
      </c>
      <c r="O25" s="16">
        <v>0.48717948717948717</v>
      </c>
      <c r="P25" s="12">
        <v>4</v>
      </c>
      <c r="Q25" s="12">
        <v>27</v>
      </c>
      <c r="R25" s="16">
        <v>0.14814814814814814</v>
      </c>
      <c r="S25" s="12">
        <v>23</v>
      </c>
      <c r="T25" s="12">
        <v>66</v>
      </c>
      <c r="U25" s="16">
        <v>0.34848484848484851</v>
      </c>
      <c r="V25" s="12">
        <v>12</v>
      </c>
      <c r="W25" s="12">
        <v>12</v>
      </c>
      <c r="X25" s="16">
        <v>1</v>
      </c>
      <c r="Y25" s="12">
        <v>14</v>
      </c>
      <c r="Z25" s="12">
        <v>21</v>
      </c>
      <c r="AA25" s="12">
        <v>35</v>
      </c>
      <c r="AB25" s="12">
        <v>9</v>
      </c>
      <c r="AC25" s="12">
        <v>14</v>
      </c>
      <c r="AD25" s="12">
        <v>4</v>
      </c>
      <c r="AE25" s="12">
        <v>0</v>
      </c>
      <c r="AF25" s="12">
        <v>6</v>
      </c>
      <c r="AG25" s="12">
        <v>17</v>
      </c>
      <c r="AH25" s="12">
        <v>19</v>
      </c>
      <c r="AI25" s="17">
        <v>49</v>
      </c>
      <c r="AJ25" s="12">
        <v>-26</v>
      </c>
      <c r="AK25" s="12">
        <v>70</v>
      </c>
      <c r="AL25" s="12">
        <v>84</v>
      </c>
      <c r="AM25" s="19">
        <v>0.73809523809523814</v>
      </c>
      <c r="AN25" s="19">
        <v>1.1282051282051282</v>
      </c>
      <c r="AO25" s="18">
        <v>88.571428571428569</v>
      </c>
      <c r="AP25" s="18">
        <v>125.71428571428571</v>
      </c>
      <c r="AQ25" s="18">
        <v>-37.142857142857139</v>
      </c>
      <c r="AR25" s="53">
        <v>0.37878787878787878</v>
      </c>
      <c r="AS25" s="53">
        <v>0.44285714285714284</v>
      </c>
      <c r="AT25" s="16">
        <v>0.21428571428571427</v>
      </c>
      <c r="AU25" s="19">
        <v>1.4444444444444444</v>
      </c>
      <c r="AV25" s="16">
        <v>0.21428571428571427</v>
      </c>
      <c r="AW25" s="19">
        <v>0.44444444444444442</v>
      </c>
      <c r="AX25" s="16">
        <v>3.5714285714285712E-2</v>
      </c>
      <c r="AY25" s="19">
        <v>1.3333333333333333</v>
      </c>
      <c r="AZ25" s="16">
        <v>0.10714285714285714</v>
      </c>
      <c r="BA25" s="19">
        <v>0.66666666666666663</v>
      </c>
      <c r="BB25" s="16">
        <v>0.21428571428571427</v>
      </c>
      <c r="BC25" s="21">
        <v>0.33333333333333331</v>
      </c>
      <c r="BD25" s="16">
        <v>4.7619047619047616E-2</v>
      </c>
      <c r="BE25" s="16">
        <v>0.16666666666666666</v>
      </c>
      <c r="BF25" s="16">
        <v>0.33333333333333331</v>
      </c>
      <c r="BG25" s="16">
        <v>0.15789473684210525</v>
      </c>
      <c r="BH25" s="16">
        <v>1</v>
      </c>
      <c r="BI25" s="16">
        <v>0.5</v>
      </c>
      <c r="BJ25" s="16">
        <v>0.10714285714285714</v>
      </c>
      <c r="BK25" s="21">
        <v>0.6428571428571429</v>
      </c>
      <c r="BL25" s="16">
        <v>0.33333333333333331</v>
      </c>
      <c r="BM25" s="16">
        <v>0.41666666666666669</v>
      </c>
      <c r="BN25" s="16">
        <v>0.30434782608695654</v>
      </c>
      <c r="BO25" s="16" t="s">
        <v>269</v>
      </c>
      <c r="BP25" s="16">
        <v>0.72413793103448276</v>
      </c>
      <c r="BQ25" s="16">
        <v>0.76923076923076927</v>
      </c>
      <c r="BR25" s="16">
        <v>0.66666666666666663</v>
      </c>
      <c r="BS25" s="16">
        <v>1</v>
      </c>
      <c r="BT25" s="16">
        <v>0.49295774647887325</v>
      </c>
      <c r="BU25" s="16">
        <v>5.7142857142857141E-2</v>
      </c>
      <c r="BV25" s="16">
        <v>0</v>
      </c>
      <c r="BW25" s="16">
        <v>3</v>
      </c>
      <c r="BX25" s="16">
        <v>0.6470588235294118</v>
      </c>
      <c r="BY25" s="16">
        <v>0.42105263157894735</v>
      </c>
      <c r="BZ25" s="12">
        <v>3</v>
      </c>
      <c r="CA25" s="12">
        <v>4</v>
      </c>
      <c r="CB25" s="12">
        <v>2</v>
      </c>
      <c r="CC25" s="12">
        <v>4</v>
      </c>
      <c r="CD25" s="12">
        <v>2</v>
      </c>
      <c r="CE25" s="12">
        <v>1</v>
      </c>
      <c r="CF25" s="12">
        <v>5</v>
      </c>
      <c r="CG25" s="12">
        <v>2</v>
      </c>
      <c r="CH25" s="12">
        <v>0</v>
      </c>
      <c r="CI25" s="12">
        <v>0</v>
      </c>
      <c r="CJ25" s="12">
        <v>1</v>
      </c>
      <c r="CK25" s="12">
        <v>0</v>
      </c>
      <c r="CL25" s="12">
        <v>6</v>
      </c>
      <c r="CM25" s="12">
        <v>0</v>
      </c>
      <c r="CN25" s="12">
        <v>0</v>
      </c>
      <c r="CO25" s="12">
        <v>0</v>
      </c>
      <c r="CP25" s="12">
        <v>1</v>
      </c>
      <c r="CQ25" s="12">
        <v>0</v>
      </c>
      <c r="CR25" s="12">
        <v>5</v>
      </c>
      <c r="CS25" s="12">
        <v>0</v>
      </c>
      <c r="CT25" s="12">
        <v>4</v>
      </c>
      <c r="CU25" s="12">
        <v>0</v>
      </c>
      <c r="CV25" s="12">
        <v>2</v>
      </c>
      <c r="CW25" s="12">
        <v>0</v>
      </c>
      <c r="CX25" s="12">
        <v>8</v>
      </c>
      <c r="CY25" s="12">
        <v>0</v>
      </c>
      <c r="CZ25" s="12">
        <v>1</v>
      </c>
      <c r="DA25" s="12">
        <v>0</v>
      </c>
      <c r="DB25" s="12">
        <v>0</v>
      </c>
      <c r="DC25" s="12">
        <v>0</v>
      </c>
      <c r="DD25" s="12">
        <v>4</v>
      </c>
      <c r="DE25" s="12">
        <v>4</v>
      </c>
      <c r="DF25" s="12">
        <v>8</v>
      </c>
      <c r="DG25" s="12">
        <v>8</v>
      </c>
      <c r="DH25" s="12">
        <v>0</v>
      </c>
      <c r="DI25" s="12">
        <v>0</v>
      </c>
      <c r="DJ25" s="12">
        <v>0</v>
      </c>
      <c r="DK25" s="12">
        <v>0</v>
      </c>
      <c r="DL25" s="12">
        <v>13</v>
      </c>
      <c r="DM25" s="12">
        <v>18</v>
      </c>
      <c r="DN25" s="12">
        <v>4</v>
      </c>
      <c r="DO25" s="12">
        <v>18</v>
      </c>
      <c r="DP25" s="12">
        <v>2</v>
      </c>
      <c r="DQ25" s="12">
        <v>3</v>
      </c>
      <c r="DR25" s="12">
        <v>2</v>
      </c>
      <c r="DS25" s="12">
        <v>9</v>
      </c>
      <c r="DT25" s="12">
        <v>2</v>
      </c>
      <c r="DU25" s="12">
        <v>18</v>
      </c>
      <c r="DV25" s="12">
        <v>0</v>
      </c>
      <c r="DW25" s="12">
        <v>0</v>
      </c>
      <c r="DX25" s="12">
        <v>88</v>
      </c>
      <c r="DY25" s="12">
        <v>28</v>
      </c>
      <c r="DZ25" s="12">
        <v>41</v>
      </c>
      <c r="EA25" s="16">
        <v>0.68292682926829273</v>
      </c>
      <c r="EB25" s="12">
        <v>4</v>
      </c>
      <c r="EC25" s="12">
        <v>19</v>
      </c>
      <c r="ED25" s="16">
        <v>0.21052631578947367</v>
      </c>
      <c r="EE25" s="12">
        <v>32</v>
      </c>
      <c r="EF25" s="12">
        <v>60</v>
      </c>
      <c r="EG25" s="16">
        <v>0.53333333333333333</v>
      </c>
      <c r="EH25" s="12">
        <v>20</v>
      </c>
      <c r="EI25" s="12">
        <v>21</v>
      </c>
      <c r="EJ25" s="16">
        <v>0.95238095238095233</v>
      </c>
      <c r="EK25" s="12">
        <v>8</v>
      </c>
      <c r="EL25" s="12">
        <v>28</v>
      </c>
      <c r="EM25" s="12">
        <v>36</v>
      </c>
      <c r="EN25" s="12">
        <v>18</v>
      </c>
      <c r="EO25" s="12">
        <v>19</v>
      </c>
      <c r="EP25" s="12">
        <v>16</v>
      </c>
      <c r="EQ25" s="12">
        <v>11</v>
      </c>
      <c r="ER25" s="12">
        <v>10</v>
      </c>
      <c r="ES25" s="12">
        <v>6</v>
      </c>
      <c r="ET25" s="12">
        <v>0</v>
      </c>
      <c r="EU25" s="12">
        <v>117</v>
      </c>
      <c r="EV25" s="12">
        <v>26</v>
      </c>
      <c r="EW25" s="12">
        <v>70</v>
      </c>
      <c r="EX25" s="12">
        <v>78</v>
      </c>
      <c r="EY25" s="12">
        <v>7</v>
      </c>
      <c r="EZ25" s="12">
        <v>14</v>
      </c>
      <c r="FA25" s="12">
        <v>3</v>
      </c>
      <c r="FB25" s="12">
        <v>1</v>
      </c>
      <c r="FC25" s="12">
        <v>3</v>
      </c>
      <c r="FD25" s="12">
        <v>1</v>
      </c>
      <c r="FE25" s="12">
        <v>0</v>
      </c>
      <c r="FF25" s="12">
        <v>1</v>
      </c>
      <c r="FG25" s="12">
        <v>0</v>
      </c>
      <c r="FH25" s="12">
        <v>1</v>
      </c>
      <c r="FI25" s="12">
        <v>0</v>
      </c>
      <c r="FJ25" s="12">
        <v>0</v>
      </c>
      <c r="FK25" s="12">
        <v>0</v>
      </c>
      <c r="FL25" s="12">
        <v>5</v>
      </c>
      <c r="FM25" s="12">
        <v>0</v>
      </c>
      <c r="FN25" s="12">
        <v>0</v>
      </c>
      <c r="FO25" s="12">
        <v>0</v>
      </c>
      <c r="FP25" s="12">
        <v>3</v>
      </c>
      <c r="FQ25" s="12">
        <v>0</v>
      </c>
      <c r="FR25" s="12">
        <v>9</v>
      </c>
      <c r="FS25" s="12">
        <v>1</v>
      </c>
      <c r="FT25" s="12">
        <v>1</v>
      </c>
      <c r="FU25" s="12">
        <v>0</v>
      </c>
      <c r="FV25" s="12">
        <v>5</v>
      </c>
      <c r="FW25" s="12">
        <v>0</v>
      </c>
      <c r="FX25" s="12">
        <v>10</v>
      </c>
      <c r="FY25" s="12">
        <v>1</v>
      </c>
      <c r="FZ25" s="12">
        <v>0</v>
      </c>
      <c r="GA25" s="12">
        <v>0</v>
      </c>
      <c r="GB25" s="12">
        <v>1</v>
      </c>
      <c r="GC25" s="12">
        <v>1</v>
      </c>
      <c r="GD25" s="12">
        <v>3</v>
      </c>
      <c r="GE25" s="12">
        <v>3</v>
      </c>
      <c r="GF25" s="12">
        <v>13</v>
      </c>
      <c r="GG25" s="12">
        <v>14</v>
      </c>
      <c r="GH25" s="12">
        <v>0</v>
      </c>
      <c r="GI25" s="12">
        <v>3</v>
      </c>
      <c r="GJ25" s="12">
        <v>3</v>
      </c>
      <c r="GK25" s="12">
        <v>0</v>
      </c>
      <c r="GL25" s="12">
        <v>16</v>
      </c>
      <c r="GM25" s="12">
        <v>18</v>
      </c>
      <c r="GN25" s="12">
        <v>8</v>
      </c>
      <c r="GO25" s="12">
        <v>14</v>
      </c>
      <c r="GP25" s="12">
        <v>4</v>
      </c>
      <c r="GQ25" s="12">
        <v>9</v>
      </c>
      <c r="GR25" s="12">
        <v>2</v>
      </c>
      <c r="GS25" s="12">
        <v>4</v>
      </c>
      <c r="GT25" s="12">
        <v>2</v>
      </c>
      <c r="GU25" s="12">
        <v>15</v>
      </c>
      <c r="GV25" s="12">
        <v>0</v>
      </c>
      <c r="GW25" s="12">
        <v>0</v>
      </c>
    </row>
    <row r="26" spans="2:205" ht="15" customHeight="1" x14ac:dyDescent="0.2">
      <c r="B26" s="12">
        <v>2</v>
      </c>
      <c r="C26" s="12" t="s">
        <v>281</v>
      </c>
      <c r="D26" s="12" t="s">
        <v>297</v>
      </c>
      <c r="E26" s="14" t="s">
        <v>283</v>
      </c>
      <c r="F26" s="14" t="s">
        <v>299</v>
      </c>
      <c r="G26" s="15">
        <v>45211</v>
      </c>
      <c r="H26" s="15" t="s">
        <v>268</v>
      </c>
      <c r="I26" s="12" t="s">
        <v>269</v>
      </c>
      <c r="J26" s="12" t="s">
        <v>272</v>
      </c>
      <c r="K26" s="12">
        <v>200</v>
      </c>
      <c r="L26" s="12">
        <v>91</v>
      </c>
      <c r="M26" s="12">
        <v>21</v>
      </c>
      <c r="N26" s="12">
        <v>35</v>
      </c>
      <c r="O26" s="16">
        <v>0.6</v>
      </c>
      <c r="P26" s="12">
        <v>12</v>
      </c>
      <c r="Q26" s="12">
        <v>33</v>
      </c>
      <c r="R26" s="16">
        <v>0.36363636363636365</v>
      </c>
      <c r="S26" s="12">
        <v>33</v>
      </c>
      <c r="T26" s="12">
        <v>68</v>
      </c>
      <c r="U26" s="16">
        <v>0.48529411764705882</v>
      </c>
      <c r="V26" s="12">
        <v>13</v>
      </c>
      <c r="W26" s="12">
        <v>19</v>
      </c>
      <c r="X26" s="16">
        <v>0.68421052631578949</v>
      </c>
      <c r="Y26" s="12">
        <v>14</v>
      </c>
      <c r="Z26" s="12">
        <v>25</v>
      </c>
      <c r="AA26" s="12">
        <v>39</v>
      </c>
      <c r="AB26" s="12">
        <v>19</v>
      </c>
      <c r="AC26" s="12">
        <v>20</v>
      </c>
      <c r="AD26" s="12">
        <v>8</v>
      </c>
      <c r="AE26" s="12">
        <v>2</v>
      </c>
      <c r="AF26" s="12">
        <v>2</v>
      </c>
      <c r="AG26" s="12">
        <v>17</v>
      </c>
      <c r="AH26" s="12">
        <v>19</v>
      </c>
      <c r="AI26" s="17">
        <v>98</v>
      </c>
      <c r="AJ26" s="12">
        <v>5</v>
      </c>
      <c r="AK26" s="12">
        <v>82</v>
      </c>
      <c r="AL26" s="12">
        <v>96</v>
      </c>
      <c r="AM26" s="19">
        <v>0.94791666666666663</v>
      </c>
      <c r="AN26" s="19">
        <v>0.94505494505494503</v>
      </c>
      <c r="AO26" s="18">
        <v>110.97560975609757</v>
      </c>
      <c r="AP26" s="18">
        <v>106.17283950617285</v>
      </c>
      <c r="AQ26" s="18">
        <v>4.8027702499247198</v>
      </c>
      <c r="AR26" s="53">
        <v>0.57352941176470584</v>
      </c>
      <c r="AS26" s="53">
        <v>0.59868421052631582</v>
      </c>
      <c r="AT26" s="16">
        <v>0.21875</v>
      </c>
      <c r="AU26" s="19">
        <v>1.4285714285714286</v>
      </c>
      <c r="AV26" s="16">
        <v>9.375E-2</v>
      </c>
      <c r="AW26" s="19">
        <v>1.1111111111111112</v>
      </c>
      <c r="AX26" s="16">
        <v>5.2083333333333336E-2</v>
      </c>
      <c r="AY26" s="19">
        <v>0.4</v>
      </c>
      <c r="AZ26" s="16">
        <v>5.2083333333333336E-2</v>
      </c>
      <c r="BA26" s="19">
        <v>2.4</v>
      </c>
      <c r="BB26" s="16">
        <v>0.29166666666666669</v>
      </c>
      <c r="BC26" s="21">
        <v>0.8571428571428571</v>
      </c>
      <c r="BD26" s="16">
        <v>8.3333333333333329E-2</v>
      </c>
      <c r="BE26" s="16">
        <v>0.20833333333333334</v>
      </c>
      <c r="BF26" s="16">
        <v>0.47499999999999998</v>
      </c>
      <c r="BG26" s="16">
        <v>0.42857142857142855</v>
      </c>
      <c r="BH26" s="16">
        <v>0.66666666666666663</v>
      </c>
      <c r="BI26" s="16">
        <v>0.2857142857142857</v>
      </c>
      <c r="BJ26" s="16">
        <v>0.19791666666666666</v>
      </c>
      <c r="BK26" s="21">
        <v>0.95</v>
      </c>
      <c r="BL26" s="16">
        <v>0.4</v>
      </c>
      <c r="BM26" s="16">
        <v>0.46153846153846156</v>
      </c>
      <c r="BN26" s="16">
        <v>0.41666666666666669</v>
      </c>
      <c r="BO26" s="16">
        <v>0</v>
      </c>
      <c r="BP26" s="16">
        <v>0.7142857142857143</v>
      </c>
      <c r="BQ26" s="16">
        <v>0.70588235294117652</v>
      </c>
      <c r="BR26" s="16">
        <v>0.75</v>
      </c>
      <c r="BS26" s="16" t="s">
        <v>269</v>
      </c>
      <c r="BT26" s="16">
        <v>0.55714285714285716</v>
      </c>
      <c r="BU26" s="16">
        <v>9.8765432098765427E-2</v>
      </c>
      <c r="BV26" s="16">
        <v>2.9850746268656716E-2</v>
      </c>
      <c r="BW26" s="16">
        <v>4</v>
      </c>
      <c r="BX26" s="16">
        <v>0.52941176470588236</v>
      </c>
      <c r="BY26" s="16">
        <v>0.57894736842105265</v>
      </c>
      <c r="BZ26" s="12">
        <v>9</v>
      </c>
      <c r="CA26" s="12">
        <v>8</v>
      </c>
      <c r="CB26" s="12">
        <v>2</v>
      </c>
      <c r="CC26" s="12">
        <v>4</v>
      </c>
      <c r="CD26" s="12">
        <v>4</v>
      </c>
      <c r="CE26" s="12">
        <v>0</v>
      </c>
      <c r="CF26" s="12">
        <v>1</v>
      </c>
      <c r="CG26" s="12">
        <v>0</v>
      </c>
      <c r="CH26" s="12">
        <v>1</v>
      </c>
      <c r="CI26" s="12">
        <v>0</v>
      </c>
      <c r="CJ26" s="12">
        <v>0</v>
      </c>
      <c r="CK26" s="12">
        <v>0</v>
      </c>
      <c r="CL26" s="12">
        <v>8</v>
      </c>
      <c r="CM26" s="12">
        <v>2</v>
      </c>
      <c r="CN26" s="12">
        <v>0</v>
      </c>
      <c r="CO26" s="12">
        <v>0</v>
      </c>
      <c r="CP26" s="12">
        <v>4</v>
      </c>
      <c r="CQ26" s="12">
        <v>0</v>
      </c>
      <c r="CR26" s="12">
        <v>3</v>
      </c>
      <c r="CS26" s="12">
        <v>1</v>
      </c>
      <c r="CT26" s="12">
        <v>4</v>
      </c>
      <c r="CU26" s="12">
        <v>0</v>
      </c>
      <c r="CV26" s="12">
        <v>2</v>
      </c>
      <c r="CW26" s="12">
        <v>0</v>
      </c>
      <c r="CX26" s="12">
        <v>12</v>
      </c>
      <c r="CY26" s="12">
        <v>1</v>
      </c>
      <c r="CZ26" s="12">
        <v>0</v>
      </c>
      <c r="DA26" s="12">
        <v>0</v>
      </c>
      <c r="DB26" s="12">
        <v>0</v>
      </c>
      <c r="DC26" s="12">
        <v>0</v>
      </c>
      <c r="DD26" s="12">
        <v>3</v>
      </c>
      <c r="DE26" s="12">
        <v>3</v>
      </c>
      <c r="DF26" s="12">
        <v>10</v>
      </c>
      <c r="DG26" s="12">
        <v>16</v>
      </c>
      <c r="DH26" s="12">
        <v>1</v>
      </c>
      <c r="DI26" s="12">
        <v>0</v>
      </c>
      <c r="DJ26" s="12">
        <v>0</v>
      </c>
      <c r="DK26" s="12">
        <v>0</v>
      </c>
      <c r="DL26" s="12">
        <v>15</v>
      </c>
      <c r="DM26" s="12">
        <v>21</v>
      </c>
      <c r="DN26" s="12">
        <v>5</v>
      </c>
      <c r="DO26" s="12">
        <v>9</v>
      </c>
      <c r="DP26" s="12">
        <v>1</v>
      </c>
      <c r="DQ26" s="12">
        <v>5</v>
      </c>
      <c r="DR26" s="12">
        <v>4</v>
      </c>
      <c r="DS26" s="12">
        <v>5</v>
      </c>
      <c r="DT26" s="12">
        <v>8</v>
      </c>
      <c r="DU26" s="12">
        <v>28</v>
      </c>
      <c r="DV26" s="12">
        <v>0</v>
      </c>
      <c r="DW26" s="12">
        <v>0</v>
      </c>
      <c r="DX26" s="12">
        <v>86</v>
      </c>
      <c r="DY26" s="12">
        <v>23</v>
      </c>
      <c r="DZ26" s="12">
        <v>39</v>
      </c>
      <c r="EA26" s="16">
        <v>0.58974358974358976</v>
      </c>
      <c r="EB26" s="12">
        <v>8</v>
      </c>
      <c r="EC26" s="12">
        <v>28</v>
      </c>
      <c r="ED26" s="16">
        <v>0.2857142857142857</v>
      </c>
      <c r="EE26" s="12">
        <v>31</v>
      </c>
      <c r="EF26" s="12">
        <v>67</v>
      </c>
      <c r="EG26" s="16">
        <v>0.46268656716417911</v>
      </c>
      <c r="EH26" s="12">
        <v>16</v>
      </c>
      <c r="EI26" s="12">
        <v>17</v>
      </c>
      <c r="EJ26" s="16">
        <v>0.94117647058823528</v>
      </c>
      <c r="EK26" s="12">
        <v>10</v>
      </c>
      <c r="EL26" s="12">
        <v>21</v>
      </c>
      <c r="EM26" s="12">
        <v>31</v>
      </c>
      <c r="EN26" s="12">
        <v>19</v>
      </c>
      <c r="EO26" s="12">
        <v>19</v>
      </c>
      <c r="EP26" s="12">
        <v>17</v>
      </c>
      <c r="EQ26" s="12">
        <v>12</v>
      </c>
      <c r="ER26" s="12">
        <v>16</v>
      </c>
      <c r="ES26" s="12">
        <v>2</v>
      </c>
      <c r="ET26" s="12">
        <v>2</v>
      </c>
      <c r="EU26" s="12">
        <v>93</v>
      </c>
      <c r="EV26" s="12">
        <v>-5</v>
      </c>
      <c r="EW26" s="12">
        <v>81</v>
      </c>
      <c r="EX26" s="12">
        <v>91</v>
      </c>
      <c r="EY26" s="12">
        <v>4</v>
      </c>
      <c r="EZ26" s="12">
        <v>10</v>
      </c>
      <c r="FA26" s="12">
        <v>7</v>
      </c>
      <c r="FB26" s="12">
        <v>2</v>
      </c>
      <c r="FC26" s="12">
        <v>4</v>
      </c>
      <c r="FD26" s="12">
        <v>3</v>
      </c>
      <c r="FE26" s="12">
        <v>0</v>
      </c>
      <c r="FF26" s="12">
        <v>0</v>
      </c>
      <c r="FG26" s="12">
        <v>0</v>
      </c>
      <c r="FH26" s="12">
        <v>2</v>
      </c>
      <c r="FI26" s="12">
        <v>0</v>
      </c>
      <c r="FJ26" s="12">
        <v>0</v>
      </c>
      <c r="FK26" s="12">
        <v>0</v>
      </c>
      <c r="FL26" s="12">
        <v>5</v>
      </c>
      <c r="FM26" s="12">
        <v>0</v>
      </c>
      <c r="FN26" s="12">
        <v>0</v>
      </c>
      <c r="FO26" s="12">
        <v>0</v>
      </c>
      <c r="FP26" s="12">
        <v>2</v>
      </c>
      <c r="FQ26" s="12">
        <v>0</v>
      </c>
      <c r="FR26" s="12">
        <v>3</v>
      </c>
      <c r="FS26" s="12">
        <v>0</v>
      </c>
      <c r="FT26" s="12">
        <v>2</v>
      </c>
      <c r="FU26" s="12">
        <v>0</v>
      </c>
      <c r="FV26" s="12">
        <v>1</v>
      </c>
      <c r="FW26" s="12">
        <v>0</v>
      </c>
      <c r="FX26" s="12">
        <v>12</v>
      </c>
      <c r="FY26" s="12">
        <v>1</v>
      </c>
      <c r="FZ26" s="12">
        <v>1</v>
      </c>
      <c r="GA26" s="12">
        <v>0</v>
      </c>
      <c r="GB26" s="12">
        <v>0</v>
      </c>
      <c r="GC26" s="12">
        <v>0</v>
      </c>
      <c r="GD26" s="12">
        <v>1</v>
      </c>
      <c r="GE26" s="12">
        <v>1</v>
      </c>
      <c r="GF26" s="12">
        <v>15</v>
      </c>
      <c r="GG26" s="12">
        <v>16</v>
      </c>
      <c r="GH26" s="12">
        <v>0</v>
      </c>
      <c r="GI26" s="12">
        <v>0</v>
      </c>
      <c r="GJ26" s="12">
        <v>0</v>
      </c>
      <c r="GK26" s="12">
        <v>0</v>
      </c>
      <c r="GL26" s="12">
        <v>10</v>
      </c>
      <c r="GM26" s="12">
        <v>17</v>
      </c>
      <c r="GN26" s="12">
        <v>8</v>
      </c>
      <c r="GO26" s="12">
        <v>11</v>
      </c>
      <c r="GP26" s="12">
        <v>5</v>
      </c>
      <c r="GQ26" s="12">
        <v>11</v>
      </c>
      <c r="GR26" s="12">
        <v>3</v>
      </c>
      <c r="GS26" s="12">
        <v>5</v>
      </c>
      <c r="GT26" s="12">
        <v>5</v>
      </c>
      <c r="GU26" s="12">
        <v>23</v>
      </c>
      <c r="GV26" s="12">
        <v>0</v>
      </c>
      <c r="GW26" s="12">
        <v>0</v>
      </c>
    </row>
    <row r="27" spans="2:205" ht="15" customHeight="1" x14ac:dyDescent="0.2">
      <c r="B27" s="12">
        <v>2</v>
      </c>
      <c r="C27" s="12" t="s">
        <v>297</v>
      </c>
      <c r="D27" s="12" t="s">
        <v>281</v>
      </c>
      <c r="E27" s="14" t="s">
        <v>299</v>
      </c>
      <c r="F27" s="14" t="s">
        <v>283</v>
      </c>
      <c r="G27" s="15">
        <v>45211</v>
      </c>
      <c r="H27" s="15" t="s">
        <v>271</v>
      </c>
      <c r="I27" s="12" t="s">
        <v>269</v>
      </c>
      <c r="J27" s="12" t="s">
        <v>270</v>
      </c>
      <c r="K27" s="12">
        <v>200</v>
      </c>
      <c r="L27" s="12">
        <v>86</v>
      </c>
      <c r="M27" s="12">
        <v>23</v>
      </c>
      <c r="N27" s="12">
        <v>39</v>
      </c>
      <c r="O27" s="16">
        <v>0.58974358974358976</v>
      </c>
      <c r="P27" s="12">
        <v>8</v>
      </c>
      <c r="Q27" s="12">
        <v>28</v>
      </c>
      <c r="R27" s="16">
        <v>0.2857142857142857</v>
      </c>
      <c r="S27" s="12">
        <v>31</v>
      </c>
      <c r="T27" s="12">
        <v>67</v>
      </c>
      <c r="U27" s="16">
        <v>0.46268656716417911</v>
      </c>
      <c r="V27" s="12">
        <v>16</v>
      </c>
      <c r="W27" s="12">
        <v>17</v>
      </c>
      <c r="X27" s="16">
        <v>0.94117647058823528</v>
      </c>
      <c r="Y27" s="12">
        <v>10</v>
      </c>
      <c r="Z27" s="12">
        <v>21</v>
      </c>
      <c r="AA27" s="12">
        <v>31</v>
      </c>
      <c r="AB27" s="12">
        <v>19</v>
      </c>
      <c r="AC27" s="12">
        <v>16</v>
      </c>
      <c r="AD27" s="12">
        <v>12</v>
      </c>
      <c r="AE27" s="12">
        <v>2</v>
      </c>
      <c r="AF27" s="12">
        <v>2</v>
      </c>
      <c r="AG27" s="12">
        <v>19</v>
      </c>
      <c r="AH27" s="12">
        <v>17</v>
      </c>
      <c r="AI27" s="17">
        <v>93</v>
      </c>
      <c r="AJ27" s="12">
        <v>-5</v>
      </c>
      <c r="AK27" s="12">
        <v>81</v>
      </c>
      <c r="AL27" s="12">
        <v>91</v>
      </c>
      <c r="AM27" s="19">
        <v>0.94505494505494503</v>
      </c>
      <c r="AN27" s="19">
        <v>0.94791666666666663</v>
      </c>
      <c r="AO27" s="18">
        <v>106.17283950617285</v>
      </c>
      <c r="AP27" s="18">
        <v>110.97560975609757</v>
      </c>
      <c r="AQ27" s="18">
        <v>-4.8027702499247198</v>
      </c>
      <c r="AR27" s="53">
        <v>0.52238805970149249</v>
      </c>
      <c r="AS27" s="53">
        <v>0.57333333333333336</v>
      </c>
      <c r="AT27" s="16">
        <v>0.18681318681318682</v>
      </c>
      <c r="AU27" s="19">
        <v>1.1764705882352942</v>
      </c>
      <c r="AV27" s="16">
        <v>0.12087912087912088</v>
      </c>
      <c r="AW27" s="19">
        <v>1.4545454545454546</v>
      </c>
      <c r="AX27" s="16">
        <v>0.12087912087912088</v>
      </c>
      <c r="AY27" s="19">
        <v>0.90909090909090906</v>
      </c>
      <c r="AZ27" s="16">
        <v>5.4945054945054944E-2</v>
      </c>
      <c r="BA27" s="19">
        <v>1.8</v>
      </c>
      <c r="BB27" s="16">
        <v>0.25274725274725274</v>
      </c>
      <c r="BC27" s="21">
        <v>0.65217391304347827</v>
      </c>
      <c r="BD27" s="16">
        <v>8.7912087912087919E-2</v>
      </c>
      <c r="BE27" s="16">
        <v>0.17582417582417584</v>
      </c>
      <c r="BF27" s="16">
        <v>0.48717948717948717</v>
      </c>
      <c r="BG27" s="16">
        <v>0.43478260869565216</v>
      </c>
      <c r="BH27" s="16">
        <v>0.875</v>
      </c>
      <c r="BI27" s="16">
        <v>0.25</v>
      </c>
      <c r="BJ27" s="16">
        <v>0.2087912087912088</v>
      </c>
      <c r="BK27" s="21">
        <v>1.1875</v>
      </c>
      <c r="BL27" s="16">
        <v>0.2857142857142857</v>
      </c>
      <c r="BM27" s="16">
        <v>0.29411764705882354</v>
      </c>
      <c r="BN27" s="16">
        <v>0.25</v>
      </c>
      <c r="BO27" s="16" t="s">
        <v>269</v>
      </c>
      <c r="BP27" s="16">
        <v>0.6</v>
      </c>
      <c r="BQ27" s="16">
        <v>0.53846153846153844</v>
      </c>
      <c r="BR27" s="16">
        <v>0.58333333333333337</v>
      </c>
      <c r="BS27" s="16">
        <v>1</v>
      </c>
      <c r="BT27" s="16">
        <v>0.44285714285714284</v>
      </c>
      <c r="BU27" s="16">
        <v>0.14634146341463414</v>
      </c>
      <c r="BV27" s="16">
        <v>2.9411764705882353E-2</v>
      </c>
      <c r="BW27" s="16">
        <v>4</v>
      </c>
      <c r="BX27" s="16">
        <v>0.57894736842105265</v>
      </c>
      <c r="BY27" s="16">
        <v>0.52941176470588236</v>
      </c>
      <c r="BZ27" s="12">
        <v>10</v>
      </c>
      <c r="CA27" s="12">
        <v>7</v>
      </c>
      <c r="CB27" s="12">
        <v>2</v>
      </c>
      <c r="CC27" s="12">
        <v>4</v>
      </c>
      <c r="CD27" s="12">
        <v>3</v>
      </c>
      <c r="CE27" s="12">
        <v>0</v>
      </c>
      <c r="CF27" s="12">
        <v>0</v>
      </c>
      <c r="CG27" s="12">
        <v>0</v>
      </c>
      <c r="CH27" s="12">
        <v>2</v>
      </c>
      <c r="CI27" s="12">
        <v>0</v>
      </c>
      <c r="CJ27" s="12">
        <v>0</v>
      </c>
      <c r="CK27" s="12">
        <v>0</v>
      </c>
      <c r="CL27" s="12">
        <v>5</v>
      </c>
      <c r="CM27" s="12">
        <v>0</v>
      </c>
      <c r="CN27" s="12">
        <v>0</v>
      </c>
      <c r="CO27" s="12">
        <v>0</v>
      </c>
      <c r="CP27" s="12">
        <v>2</v>
      </c>
      <c r="CQ27" s="12">
        <v>0</v>
      </c>
      <c r="CR27" s="12">
        <v>3</v>
      </c>
      <c r="CS27" s="12">
        <v>0</v>
      </c>
      <c r="CT27" s="12">
        <v>2</v>
      </c>
      <c r="CU27" s="12">
        <v>0</v>
      </c>
      <c r="CV27" s="12">
        <v>1</v>
      </c>
      <c r="CW27" s="12">
        <v>0</v>
      </c>
      <c r="CX27" s="12">
        <v>12</v>
      </c>
      <c r="CY27" s="12">
        <v>1</v>
      </c>
      <c r="CZ27" s="12">
        <v>1</v>
      </c>
      <c r="DA27" s="12">
        <v>0</v>
      </c>
      <c r="DB27" s="12">
        <v>0</v>
      </c>
      <c r="DC27" s="12">
        <v>0</v>
      </c>
      <c r="DD27" s="12">
        <v>1</v>
      </c>
      <c r="DE27" s="12">
        <v>1</v>
      </c>
      <c r="DF27" s="12">
        <v>15</v>
      </c>
      <c r="DG27" s="12">
        <v>16</v>
      </c>
      <c r="DH27" s="12">
        <v>0</v>
      </c>
      <c r="DI27" s="12">
        <v>0</v>
      </c>
      <c r="DJ27" s="12">
        <v>0</v>
      </c>
      <c r="DK27" s="12">
        <v>0</v>
      </c>
      <c r="DL27" s="12">
        <v>10</v>
      </c>
      <c r="DM27" s="12">
        <v>17</v>
      </c>
      <c r="DN27" s="12">
        <v>8</v>
      </c>
      <c r="DO27" s="12">
        <v>11</v>
      </c>
      <c r="DP27" s="12">
        <v>5</v>
      </c>
      <c r="DQ27" s="12">
        <v>11</v>
      </c>
      <c r="DR27" s="12">
        <v>3</v>
      </c>
      <c r="DS27" s="12">
        <v>5</v>
      </c>
      <c r="DT27" s="12">
        <v>5</v>
      </c>
      <c r="DU27" s="12">
        <v>23</v>
      </c>
      <c r="DV27" s="12">
        <v>0</v>
      </c>
      <c r="DW27" s="12">
        <v>0</v>
      </c>
      <c r="DX27" s="12">
        <v>91</v>
      </c>
      <c r="DY27" s="12">
        <v>21</v>
      </c>
      <c r="DZ27" s="12">
        <v>35</v>
      </c>
      <c r="EA27" s="16">
        <v>0.6</v>
      </c>
      <c r="EB27" s="12">
        <v>12</v>
      </c>
      <c r="EC27" s="12">
        <v>33</v>
      </c>
      <c r="ED27" s="16">
        <v>0.36363636363636365</v>
      </c>
      <c r="EE27" s="12">
        <v>33</v>
      </c>
      <c r="EF27" s="12">
        <v>68</v>
      </c>
      <c r="EG27" s="16">
        <v>0.48529411764705882</v>
      </c>
      <c r="EH27" s="12">
        <v>13</v>
      </c>
      <c r="EI27" s="12">
        <v>19</v>
      </c>
      <c r="EJ27" s="16">
        <v>0.68421052631578949</v>
      </c>
      <c r="EK27" s="12">
        <v>14</v>
      </c>
      <c r="EL27" s="12">
        <v>25</v>
      </c>
      <c r="EM27" s="12">
        <v>39</v>
      </c>
      <c r="EN27" s="12">
        <v>19</v>
      </c>
      <c r="EO27" s="12">
        <v>17</v>
      </c>
      <c r="EP27" s="12">
        <v>19</v>
      </c>
      <c r="EQ27" s="12">
        <v>8</v>
      </c>
      <c r="ER27" s="12">
        <v>20</v>
      </c>
      <c r="ES27" s="12">
        <v>2</v>
      </c>
      <c r="ET27" s="12">
        <v>2</v>
      </c>
      <c r="EU27" s="12">
        <v>98</v>
      </c>
      <c r="EV27" s="12">
        <v>5</v>
      </c>
      <c r="EW27" s="12">
        <v>82</v>
      </c>
      <c r="EX27" s="12">
        <v>96</v>
      </c>
      <c r="EY27" s="12">
        <v>4</v>
      </c>
      <c r="EZ27" s="12">
        <v>9</v>
      </c>
      <c r="FA27" s="12">
        <v>8</v>
      </c>
      <c r="FB27" s="12">
        <v>2</v>
      </c>
      <c r="FC27" s="12">
        <v>4</v>
      </c>
      <c r="FD27" s="12">
        <v>4</v>
      </c>
      <c r="FE27" s="12">
        <v>0</v>
      </c>
      <c r="FF27" s="12">
        <v>1</v>
      </c>
      <c r="FG27" s="12">
        <v>0</v>
      </c>
      <c r="FH27" s="12">
        <v>1</v>
      </c>
      <c r="FI27" s="12">
        <v>0</v>
      </c>
      <c r="FJ27" s="12">
        <v>0</v>
      </c>
      <c r="FK27" s="12">
        <v>0</v>
      </c>
      <c r="FL27" s="12">
        <v>8</v>
      </c>
      <c r="FM27" s="12">
        <v>2</v>
      </c>
      <c r="FN27" s="12">
        <v>0</v>
      </c>
      <c r="FO27" s="12">
        <v>0</v>
      </c>
      <c r="FP27" s="12">
        <v>4</v>
      </c>
      <c r="FQ27" s="12">
        <v>0</v>
      </c>
      <c r="FR27" s="12">
        <v>3</v>
      </c>
      <c r="FS27" s="12">
        <v>1</v>
      </c>
      <c r="FT27" s="12">
        <v>4</v>
      </c>
      <c r="FU27" s="12">
        <v>0</v>
      </c>
      <c r="FV27" s="12">
        <v>2</v>
      </c>
      <c r="FW27" s="12">
        <v>0</v>
      </c>
      <c r="FX27" s="12">
        <v>12</v>
      </c>
      <c r="FY27" s="12">
        <v>1</v>
      </c>
      <c r="FZ27" s="12">
        <v>0</v>
      </c>
      <c r="GA27" s="12">
        <v>0</v>
      </c>
      <c r="GB27" s="12">
        <v>0</v>
      </c>
      <c r="GC27" s="12">
        <v>0</v>
      </c>
      <c r="GD27" s="12">
        <v>3</v>
      </c>
      <c r="GE27" s="12">
        <v>3</v>
      </c>
      <c r="GF27" s="12">
        <v>10</v>
      </c>
      <c r="GG27" s="12">
        <v>16</v>
      </c>
      <c r="GH27" s="12">
        <v>1</v>
      </c>
      <c r="GI27" s="12">
        <v>0</v>
      </c>
      <c r="GJ27" s="12">
        <v>0</v>
      </c>
      <c r="GK27" s="12">
        <v>0</v>
      </c>
      <c r="GL27" s="12">
        <v>15</v>
      </c>
      <c r="GM27" s="12">
        <v>21</v>
      </c>
      <c r="GN27" s="12">
        <v>5</v>
      </c>
      <c r="GO27" s="12">
        <v>9</v>
      </c>
      <c r="GP27" s="12">
        <v>1</v>
      </c>
      <c r="GQ27" s="12">
        <v>5</v>
      </c>
      <c r="GR27" s="12">
        <v>4</v>
      </c>
      <c r="GS27" s="12">
        <v>5</v>
      </c>
      <c r="GT27" s="12">
        <v>8</v>
      </c>
      <c r="GU27" s="12">
        <v>28</v>
      </c>
      <c r="GV27" s="12">
        <v>0</v>
      </c>
      <c r="GW27" s="12">
        <v>0</v>
      </c>
    </row>
    <row r="28" spans="2:205" ht="15" customHeight="1" x14ac:dyDescent="0.2">
      <c r="B28" s="12">
        <v>2</v>
      </c>
      <c r="C28" s="12" t="s">
        <v>282</v>
      </c>
      <c r="D28" s="12" t="s">
        <v>294</v>
      </c>
      <c r="E28" s="14" t="s">
        <v>284</v>
      </c>
      <c r="F28" s="14" t="s">
        <v>296</v>
      </c>
      <c r="G28" s="15">
        <v>45211</v>
      </c>
      <c r="H28" s="15" t="s">
        <v>271</v>
      </c>
      <c r="I28" s="12" t="s">
        <v>269</v>
      </c>
      <c r="J28" s="12" t="s">
        <v>272</v>
      </c>
      <c r="K28" s="12">
        <v>200</v>
      </c>
      <c r="L28" s="12">
        <v>78</v>
      </c>
      <c r="M28" s="12">
        <v>17</v>
      </c>
      <c r="N28" s="12">
        <v>28</v>
      </c>
      <c r="O28" s="16">
        <v>0.6071428571428571</v>
      </c>
      <c r="P28" s="12">
        <v>9</v>
      </c>
      <c r="Q28" s="12">
        <v>24</v>
      </c>
      <c r="R28" s="16">
        <v>0.375</v>
      </c>
      <c r="S28" s="12">
        <v>26</v>
      </c>
      <c r="T28" s="12">
        <v>52</v>
      </c>
      <c r="U28" s="16">
        <v>0.5</v>
      </c>
      <c r="V28" s="12">
        <v>17</v>
      </c>
      <c r="W28" s="12">
        <v>19</v>
      </c>
      <c r="X28" s="16">
        <v>0.89473684210526316</v>
      </c>
      <c r="Y28" s="12">
        <v>6</v>
      </c>
      <c r="Z28" s="12">
        <v>26</v>
      </c>
      <c r="AA28" s="12">
        <v>32</v>
      </c>
      <c r="AB28" s="12">
        <v>12</v>
      </c>
      <c r="AC28" s="12">
        <v>14</v>
      </c>
      <c r="AD28" s="12">
        <v>6</v>
      </c>
      <c r="AE28" s="12">
        <v>2</v>
      </c>
      <c r="AF28" s="12">
        <v>3</v>
      </c>
      <c r="AG28" s="12">
        <v>16</v>
      </c>
      <c r="AH28" s="12">
        <v>20</v>
      </c>
      <c r="AI28" s="17">
        <v>89</v>
      </c>
      <c r="AJ28" s="12">
        <v>7</v>
      </c>
      <c r="AK28" s="12">
        <v>69</v>
      </c>
      <c r="AL28" s="12">
        <v>75</v>
      </c>
      <c r="AM28" s="19">
        <v>1.04</v>
      </c>
      <c r="AN28" s="19">
        <v>0.85542168674698793</v>
      </c>
      <c r="AO28" s="18">
        <v>113.04347826086956</v>
      </c>
      <c r="AP28" s="18">
        <v>104.41176470588236</v>
      </c>
      <c r="AQ28" s="18">
        <v>8.6317135549872006</v>
      </c>
      <c r="AR28" s="53">
        <v>0.58653846153846156</v>
      </c>
      <c r="AS28" s="53">
        <v>0.63934426229508201</v>
      </c>
      <c r="AT28" s="16">
        <v>0.10666666666666667</v>
      </c>
      <c r="AU28" s="19">
        <v>1.75</v>
      </c>
      <c r="AV28" s="16">
        <v>0.18666666666666668</v>
      </c>
      <c r="AW28" s="19">
        <v>1.1428571428571428</v>
      </c>
      <c r="AX28" s="16">
        <v>0.08</v>
      </c>
      <c r="AY28" s="19">
        <v>0.66666666666666663</v>
      </c>
      <c r="AZ28" s="16">
        <v>0.08</v>
      </c>
      <c r="BA28" s="19">
        <v>2.5</v>
      </c>
      <c r="BB28" s="16">
        <v>0.24</v>
      </c>
      <c r="BC28" s="21">
        <v>0.66666666666666663</v>
      </c>
      <c r="BD28" s="16">
        <v>0.12</v>
      </c>
      <c r="BE28" s="16">
        <v>0.18666666666666668</v>
      </c>
      <c r="BF28" s="16">
        <v>0.34285714285714286</v>
      </c>
      <c r="BG28" s="16">
        <v>0.11764705882352941</v>
      </c>
      <c r="BH28" s="16">
        <v>0.77777777777777779</v>
      </c>
      <c r="BI28" s="16">
        <v>0.33333333333333331</v>
      </c>
      <c r="BJ28" s="16">
        <v>0.16</v>
      </c>
      <c r="BK28" s="21">
        <v>0.8571428571428571</v>
      </c>
      <c r="BL28" s="16">
        <v>0.23076923076923078</v>
      </c>
      <c r="BM28" s="16">
        <v>0.41666666666666669</v>
      </c>
      <c r="BN28" s="16">
        <v>0.14285714285714285</v>
      </c>
      <c r="BO28" s="16">
        <v>0</v>
      </c>
      <c r="BP28" s="16">
        <v>0.65</v>
      </c>
      <c r="BQ28" s="16">
        <v>0.69565217391304346</v>
      </c>
      <c r="BR28" s="16">
        <v>0.66666666666666663</v>
      </c>
      <c r="BS28" s="16" t="s">
        <v>269</v>
      </c>
      <c r="BT28" s="16">
        <v>0.48484848484848486</v>
      </c>
      <c r="BU28" s="16">
        <v>8.8235294117647065E-2</v>
      </c>
      <c r="BV28" s="16">
        <v>2.8169014084507043E-2</v>
      </c>
      <c r="BW28" s="16">
        <v>3</v>
      </c>
      <c r="BX28" s="16">
        <v>0.3125</v>
      </c>
      <c r="BY28" s="16">
        <v>0.5</v>
      </c>
      <c r="BZ28" s="12">
        <v>2</v>
      </c>
      <c r="CA28" s="12">
        <v>7</v>
      </c>
      <c r="CB28" s="12">
        <v>3</v>
      </c>
      <c r="CC28" s="12">
        <v>4</v>
      </c>
      <c r="CD28" s="12">
        <v>0</v>
      </c>
      <c r="CE28" s="12">
        <v>0</v>
      </c>
      <c r="CF28" s="12">
        <v>3</v>
      </c>
      <c r="CG28" s="12">
        <v>1</v>
      </c>
      <c r="CH28" s="12">
        <v>1</v>
      </c>
      <c r="CI28" s="12">
        <v>0</v>
      </c>
      <c r="CJ28" s="12">
        <v>0</v>
      </c>
      <c r="CK28" s="12">
        <v>0</v>
      </c>
      <c r="CL28" s="12">
        <v>2</v>
      </c>
      <c r="CM28" s="12">
        <v>0</v>
      </c>
      <c r="CN28" s="12">
        <v>0</v>
      </c>
      <c r="CO28" s="12">
        <v>0</v>
      </c>
      <c r="CP28" s="12">
        <v>3</v>
      </c>
      <c r="CQ28" s="12">
        <v>0</v>
      </c>
      <c r="CR28" s="12">
        <v>5</v>
      </c>
      <c r="CS28" s="12">
        <v>0</v>
      </c>
      <c r="CT28" s="12">
        <v>6</v>
      </c>
      <c r="CU28" s="12">
        <v>2</v>
      </c>
      <c r="CV28" s="12">
        <v>0</v>
      </c>
      <c r="CW28" s="12">
        <v>0</v>
      </c>
      <c r="CX28" s="12">
        <v>12</v>
      </c>
      <c r="CY28" s="12">
        <v>2</v>
      </c>
      <c r="CZ28" s="12">
        <v>0</v>
      </c>
      <c r="DA28" s="12">
        <v>0</v>
      </c>
      <c r="DB28" s="12">
        <v>0</v>
      </c>
      <c r="DC28" s="12">
        <v>0</v>
      </c>
      <c r="DD28" s="12">
        <v>1</v>
      </c>
      <c r="DE28" s="12">
        <v>1</v>
      </c>
      <c r="DF28" s="12">
        <v>16</v>
      </c>
      <c r="DG28" s="12">
        <v>18</v>
      </c>
      <c r="DH28" s="12">
        <v>0</v>
      </c>
      <c r="DI28" s="12">
        <v>0</v>
      </c>
      <c r="DJ28" s="12">
        <v>0</v>
      </c>
      <c r="DK28" s="12">
        <v>0</v>
      </c>
      <c r="DL28" s="12">
        <v>7</v>
      </c>
      <c r="DM28" s="12">
        <v>8</v>
      </c>
      <c r="DN28" s="12">
        <v>8</v>
      </c>
      <c r="DO28" s="12">
        <v>14</v>
      </c>
      <c r="DP28" s="12">
        <v>2</v>
      </c>
      <c r="DQ28" s="12">
        <v>6</v>
      </c>
      <c r="DR28" s="12">
        <v>5</v>
      </c>
      <c r="DS28" s="12">
        <v>6</v>
      </c>
      <c r="DT28" s="12">
        <v>4</v>
      </c>
      <c r="DU28" s="12">
        <v>18</v>
      </c>
      <c r="DV28" s="12">
        <v>0</v>
      </c>
      <c r="DW28" s="12">
        <v>0</v>
      </c>
      <c r="DX28" s="12">
        <v>71</v>
      </c>
      <c r="DY28" s="12">
        <v>23</v>
      </c>
      <c r="DZ28" s="12">
        <v>44</v>
      </c>
      <c r="EA28" s="16">
        <v>0.52272727272727271</v>
      </c>
      <c r="EB28" s="12">
        <v>6</v>
      </c>
      <c r="EC28" s="12">
        <v>27</v>
      </c>
      <c r="ED28" s="16">
        <v>0.22222222222222221</v>
      </c>
      <c r="EE28" s="12">
        <v>29</v>
      </c>
      <c r="EF28" s="12">
        <v>71</v>
      </c>
      <c r="EG28" s="16">
        <v>0.40845070422535212</v>
      </c>
      <c r="EH28" s="12">
        <v>7</v>
      </c>
      <c r="EI28" s="12">
        <v>7</v>
      </c>
      <c r="EJ28" s="16">
        <v>1</v>
      </c>
      <c r="EK28" s="12">
        <v>14</v>
      </c>
      <c r="EL28" s="12">
        <v>20</v>
      </c>
      <c r="EM28" s="12">
        <v>34</v>
      </c>
      <c r="EN28" s="12">
        <v>11</v>
      </c>
      <c r="EO28" s="12">
        <v>20</v>
      </c>
      <c r="EP28" s="12">
        <v>16</v>
      </c>
      <c r="EQ28" s="12">
        <v>7</v>
      </c>
      <c r="ER28" s="12">
        <v>10</v>
      </c>
      <c r="ES28" s="12">
        <v>3</v>
      </c>
      <c r="ET28" s="12">
        <v>2</v>
      </c>
      <c r="EU28" s="12">
        <v>68</v>
      </c>
      <c r="EV28" s="12">
        <v>-7</v>
      </c>
      <c r="EW28" s="12">
        <v>68</v>
      </c>
      <c r="EX28" s="12">
        <v>83</v>
      </c>
      <c r="EY28" s="12">
        <v>5</v>
      </c>
      <c r="EZ28" s="12">
        <v>5</v>
      </c>
      <c r="FA28" s="12">
        <v>6</v>
      </c>
      <c r="FB28" s="12">
        <v>0</v>
      </c>
      <c r="FC28" s="12">
        <v>0</v>
      </c>
      <c r="FD28" s="12">
        <v>3</v>
      </c>
      <c r="FE28" s="12">
        <v>0</v>
      </c>
      <c r="FF28" s="12">
        <v>3</v>
      </c>
      <c r="FG28" s="12">
        <v>0</v>
      </c>
      <c r="FH28" s="12">
        <v>1</v>
      </c>
      <c r="FI28" s="12">
        <v>0</v>
      </c>
      <c r="FJ28" s="12">
        <v>1</v>
      </c>
      <c r="FK28" s="12">
        <v>0</v>
      </c>
      <c r="FL28" s="12">
        <v>6</v>
      </c>
      <c r="FM28" s="12">
        <v>0</v>
      </c>
      <c r="FN28" s="12">
        <v>0</v>
      </c>
      <c r="FO28" s="12">
        <v>0</v>
      </c>
      <c r="FP28" s="12">
        <v>1</v>
      </c>
      <c r="FQ28" s="12">
        <v>0</v>
      </c>
      <c r="FR28" s="12">
        <v>3</v>
      </c>
      <c r="FS28" s="12">
        <v>0</v>
      </c>
      <c r="FT28" s="12">
        <v>3</v>
      </c>
      <c r="FU28" s="12">
        <v>0</v>
      </c>
      <c r="FV28" s="12">
        <v>1</v>
      </c>
      <c r="FW28" s="12">
        <v>0</v>
      </c>
      <c r="FX28" s="12">
        <v>11</v>
      </c>
      <c r="FY28" s="12">
        <v>0</v>
      </c>
      <c r="FZ28" s="12">
        <v>1</v>
      </c>
      <c r="GA28" s="12">
        <v>0</v>
      </c>
      <c r="GB28" s="12">
        <v>0</v>
      </c>
      <c r="GC28" s="12">
        <v>0</v>
      </c>
      <c r="GD28" s="12">
        <v>3</v>
      </c>
      <c r="GE28" s="12">
        <v>3</v>
      </c>
      <c r="GF28" s="12">
        <v>4</v>
      </c>
      <c r="GG28" s="12">
        <v>4</v>
      </c>
      <c r="GH28" s="12">
        <v>0</v>
      </c>
      <c r="GI28" s="12">
        <v>0</v>
      </c>
      <c r="GJ28" s="12">
        <v>0</v>
      </c>
      <c r="GK28" s="12">
        <v>0</v>
      </c>
      <c r="GL28" s="12">
        <v>13</v>
      </c>
      <c r="GM28" s="12">
        <v>19</v>
      </c>
      <c r="GN28" s="12">
        <v>9</v>
      </c>
      <c r="GO28" s="12">
        <v>17</v>
      </c>
      <c r="GP28" s="12">
        <v>1</v>
      </c>
      <c r="GQ28" s="12">
        <v>8</v>
      </c>
      <c r="GR28" s="12">
        <v>2</v>
      </c>
      <c r="GS28" s="12">
        <v>3</v>
      </c>
      <c r="GT28" s="12">
        <v>4</v>
      </c>
      <c r="GU28" s="12">
        <v>23</v>
      </c>
      <c r="GV28" s="12">
        <v>0</v>
      </c>
      <c r="GW28" s="12">
        <v>1</v>
      </c>
    </row>
    <row r="29" spans="2:205" ht="15" customHeight="1" x14ac:dyDescent="0.2">
      <c r="B29" s="12">
        <v>2</v>
      </c>
      <c r="C29" s="12" t="s">
        <v>294</v>
      </c>
      <c r="D29" s="12" t="s">
        <v>282</v>
      </c>
      <c r="E29" s="14" t="s">
        <v>296</v>
      </c>
      <c r="F29" s="14" t="s">
        <v>284</v>
      </c>
      <c r="G29" s="15">
        <v>45211</v>
      </c>
      <c r="H29" s="15" t="s">
        <v>268</v>
      </c>
      <c r="I29" s="12" t="s">
        <v>269</v>
      </c>
      <c r="J29" s="12" t="s">
        <v>270</v>
      </c>
      <c r="K29" s="12">
        <v>200</v>
      </c>
      <c r="L29" s="12">
        <v>71</v>
      </c>
      <c r="M29" s="12">
        <v>23</v>
      </c>
      <c r="N29" s="12">
        <v>44</v>
      </c>
      <c r="O29" s="16">
        <v>0.52272727272727271</v>
      </c>
      <c r="P29" s="12">
        <v>6</v>
      </c>
      <c r="Q29" s="12">
        <v>27</v>
      </c>
      <c r="R29" s="16">
        <v>0.22222222222222221</v>
      </c>
      <c r="S29" s="12">
        <v>29</v>
      </c>
      <c r="T29" s="12">
        <v>71</v>
      </c>
      <c r="U29" s="16">
        <v>0.40845070422535212</v>
      </c>
      <c r="V29" s="12">
        <v>7</v>
      </c>
      <c r="W29" s="12">
        <v>7</v>
      </c>
      <c r="X29" s="16">
        <v>1</v>
      </c>
      <c r="Y29" s="12">
        <v>14</v>
      </c>
      <c r="Z29" s="12">
        <v>20</v>
      </c>
      <c r="AA29" s="12">
        <v>34</v>
      </c>
      <c r="AB29" s="12">
        <v>11</v>
      </c>
      <c r="AC29" s="12">
        <v>10</v>
      </c>
      <c r="AD29" s="12">
        <v>7</v>
      </c>
      <c r="AE29" s="12">
        <v>3</v>
      </c>
      <c r="AF29" s="12">
        <v>2</v>
      </c>
      <c r="AG29" s="12">
        <v>20</v>
      </c>
      <c r="AH29" s="12">
        <v>16</v>
      </c>
      <c r="AI29" s="17">
        <v>68</v>
      </c>
      <c r="AJ29" s="12">
        <v>-7</v>
      </c>
      <c r="AK29" s="12">
        <v>68</v>
      </c>
      <c r="AL29" s="12">
        <v>83</v>
      </c>
      <c r="AM29" s="19">
        <v>0.85542168674698793</v>
      </c>
      <c r="AN29" s="19">
        <v>1.04</v>
      </c>
      <c r="AO29" s="18">
        <v>104.41176470588236</v>
      </c>
      <c r="AP29" s="18">
        <v>113.04347826086956</v>
      </c>
      <c r="AQ29" s="18">
        <v>-8.6317135549872006</v>
      </c>
      <c r="AR29" s="53">
        <v>0.45070422535211269</v>
      </c>
      <c r="AS29" s="53">
        <v>0.4863013698630137</v>
      </c>
      <c r="AT29" s="16">
        <v>0.2289156626506024</v>
      </c>
      <c r="AU29" s="19">
        <v>1.368421052631579</v>
      </c>
      <c r="AV29" s="16">
        <v>0.20481927710843373</v>
      </c>
      <c r="AW29" s="19">
        <v>1.0588235294117647</v>
      </c>
      <c r="AX29" s="16">
        <v>9.6385542168674704E-2</v>
      </c>
      <c r="AY29" s="19">
        <v>0.25</v>
      </c>
      <c r="AZ29" s="16">
        <v>3.614457831325301E-2</v>
      </c>
      <c r="BA29" s="19">
        <v>2</v>
      </c>
      <c r="BB29" s="16">
        <v>0.27710843373493976</v>
      </c>
      <c r="BC29" s="21">
        <v>0.52173913043478259</v>
      </c>
      <c r="BD29" s="16">
        <v>2.4096385542168676E-2</v>
      </c>
      <c r="BE29" s="16">
        <v>0.12195121951219512</v>
      </c>
      <c r="BF29" s="16">
        <v>0.35483870967741937</v>
      </c>
      <c r="BG29" s="16">
        <v>0.21739130434782608</v>
      </c>
      <c r="BH29" s="16">
        <v>1</v>
      </c>
      <c r="BI29" s="16">
        <v>0</v>
      </c>
      <c r="BJ29" s="16">
        <v>0.13414634146341464</v>
      </c>
      <c r="BK29" s="21">
        <v>1.1000000000000001</v>
      </c>
      <c r="BL29" s="16">
        <v>0.35</v>
      </c>
      <c r="BM29" s="16">
        <v>0.30434782608695654</v>
      </c>
      <c r="BN29" s="16">
        <v>0.33333333333333331</v>
      </c>
      <c r="BO29" s="16" t="s">
        <v>269</v>
      </c>
      <c r="BP29" s="16">
        <v>0.76923076923076927</v>
      </c>
      <c r="BQ29" s="16">
        <v>0.58333333333333337</v>
      </c>
      <c r="BR29" s="16">
        <v>0.8571428571428571</v>
      </c>
      <c r="BS29" s="16">
        <v>1</v>
      </c>
      <c r="BT29" s="16">
        <v>0.51515151515151514</v>
      </c>
      <c r="BU29" s="16">
        <v>0.10144927536231885</v>
      </c>
      <c r="BV29" s="16">
        <v>5.7692307692307696E-2</v>
      </c>
      <c r="BW29" s="16">
        <v>5</v>
      </c>
      <c r="BX29" s="16">
        <v>0.5</v>
      </c>
      <c r="BY29" s="16">
        <v>0.3125</v>
      </c>
      <c r="BZ29" s="12">
        <v>5</v>
      </c>
      <c r="CA29" s="12">
        <v>6</v>
      </c>
      <c r="CB29" s="12">
        <v>0</v>
      </c>
      <c r="CC29" s="12">
        <v>0</v>
      </c>
      <c r="CD29" s="12">
        <v>3</v>
      </c>
      <c r="CE29" s="12">
        <v>0</v>
      </c>
      <c r="CF29" s="12">
        <v>3</v>
      </c>
      <c r="CG29" s="12">
        <v>0</v>
      </c>
      <c r="CH29" s="12">
        <v>1</v>
      </c>
      <c r="CI29" s="12">
        <v>0</v>
      </c>
      <c r="CJ29" s="12">
        <v>1</v>
      </c>
      <c r="CK29" s="12">
        <v>0</v>
      </c>
      <c r="CL29" s="12">
        <v>6</v>
      </c>
      <c r="CM29" s="12">
        <v>0</v>
      </c>
      <c r="CN29" s="12">
        <v>0</v>
      </c>
      <c r="CO29" s="12">
        <v>0</v>
      </c>
      <c r="CP29" s="12">
        <v>1</v>
      </c>
      <c r="CQ29" s="12">
        <v>0</v>
      </c>
      <c r="CR29" s="12">
        <v>3</v>
      </c>
      <c r="CS29" s="12">
        <v>0</v>
      </c>
      <c r="CT29" s="12">
        <v>3</v>
      </c>
      <c r="CU29" s="12">
        <v>0</v>
      </c>
      <c r="CV29" s="12">
        <v>1</v>
      </c>
      <c r="CW29" s="12">
        <v>0</v>
      </c>
      <c r="CX29" s="12">
        <v>11</v>
      </c>
      <c r="CY29" s="12">
        <v>0</v>
      </c>
      <c r="CZ29" s="12">
        <v>1</v>
      </c>
      <c r="DA29" s="12">
        <v>0</v>
      </c>
      <c r="DB29" s="12">
        <v>0</v>
      </c>
      <c r="DC29" s="12">
        <v>0</v>
      </c>
      <c r="DD29" s="12">
        <v>3</v>
      </c>
      <c r="DE29" s="12">
        <v>3</v>
      </c>
      <c r="DF29" s="12">
        <v>4</v>
      </c>
      <c r="DG29" s="12">
        <v>4</v>
      </c>
      <c r="DH29" s="12">
        <v>0</v>
      </c>
      <c r="DI29" s="12">
        <v>0</v>
      </c>
      <c r="DJ29" s="12">
        <v>0</v>
      </c>
      <c r="DK29" s="12">
        <v>0</v>
      </c>
      <c r="DL29" s="12">
        <v>13</v>
      </c>
      <c r="DM29" s="12">
        <v>19</v>
      </c>
      <c r="DN29" s="12">
        <v>9</v>
      </c>
      <c r="DO29" s="12">
        <v>17</v>
      </c>
      <c r="DP29" s="12">
        <v>1</v>
      </c>
      <c r="DQ29" s="12">
        <v>8</v>
      </c>
      <c r="DR29" s="12">
        <v>2</v>
      </c>
      <c r="DS29" s="12">
        <v>3</v>
      </c>
      <c r="DT29" s="12">
        <v>4</v>
      </c>
      <c r="DU29" s="12">
        <v>23</v>
      </c>
      <c r="DV29" s="12">
        <v>0</v>
      </c>
      <c r="DW29" s="12">
        <v>1</v>
      </c>
      <c r="DX29" s="12">
        <v>78</v>
      </c>
      <c r="DY29" s="12">
        <v>17</v>
      </c>
      <c r="DZ29" s="12">
        <v>28</v>
      </c>
      <c r="EA29" s="16">
        <v>0.6071428571428571</v>
      </c>
      <c r="EB29" s="12">
        <v>9</v>
      </c>
      <c r="EC29" s="12">
        <v>24</v>
      </c>
      <c r="ED29" s="16">
        <v>0.375</v>
      </c>
      <c r="EE29" s="12">
        <v>26</v>
      </c>
      <c r="EF29" s="12">
        <v>52</v>
      </c>
      <c r="EG29" s="16">
        <v>0.5</v>
      </c>
      <c r="EH29" s="12">
        <v>17</v>
      </c>
      <c r="EI29" s="12">
        <v>19</v>
      </c>
      <c r="EJ29" s="16">
        <v>0.89473684210526316</v>
      </c>
      <c r="EK29" s="12">
        <v>6</v>
      </c>
      <c r="EL29" s="12">
        <v>26</v>
      </c>
      <c r="EM29" s="12">
        <v>32</v>
      </c>
      <c r="EN29" s="12">
        <v>12</v>
      </c>
      <c r="EO29" s="12">
        <v>16</v>
      </c>
      <c r="EP29" s="12">
        <v>20</v>
      </c>
      <c r="EQ29" s="12">
        <v>6</v>
      </c>
      <c r="ER29" s="12">
        <v>14</v>
      </c>
      <c r="ES29" s="12">
        <v>2</v>
      </c>
      <c r="ET29" s="12">
        <v>3</v>
      </c>
      <c r="EU29" s="12">
        <v>89</v>
      </c>
      <c r="EV29" s="12">
        <v>7</v>
      </c>
      <c r="EW29" s="12">
        <v>69</v>
      </c>
      <c r="EX29" s="12">
        <v>75</v>
      </c>
      <c r="EY29" s="12">
        <v>3</v>
      </c>
      <c r="EZ29" s="12">
        <v>2</v>
      </c>
      <c r="FA29" s="12">
        <v>7</v>
      </c>
      <c r="FB29" s="12">
        <v>3</v>
      </c>
      <c r="FC29" s="12">
        <v>4</v>
      </c>
      <c r="FD29" s="12">
        <v>0</v>
      </c>
      <c r="FE29" s="12">
        <v>0</v>
      </c>
      <c r="FF29" s="12">
        <v>3</v>
      </c>
      <c r="FG29" s="12">
        <v>1</v>
      </c>
      <c r="FH29" s="12">
        <v>1</v>
      </c>
      <c r="FI29" s="12">
        <v>0</v>
      </c>
      <c r="FJ29" s="12">
        <v>0</v>
      </c>
      <c r="FK29" s="12">
        <v>0</v>
      </c>
      <c r="FL29" s="12">
        <v>2</v>
      </c>
      <c r="FM29" s="12">
        <v>0</v>
      </c>
      <c r="FN29" s="12">
        <v>0</v>
      </c>
      <c r="FO29" s="12">
        <v>0</v>
      </c>
      <c r="FP29" s="12">
        <v>3</v>
      </c>
      <c r="FQ29" s="12">
        <v>0</v>
      </c>
      <c r="FR29" s="12">
        <v>5</v>
      </c>
      <c r="FS29" s="12">
        <v>0</v>
      </c>
      <c r="FT29" s="12">
        <v>6</v>
      </c>
      <c r="FU29" s="12">
        <v>2</v>
      </c>
      <c r="FV29" s="12">
        <v>0</v>
      </c>
      <c r="FW29" s="12">
        <v>0</v>
      </c>
      <c r="FX29" s="12">
        <v>12</v>
      </c>
      <c r="FY29" s="12">
        <v>2</v>
      </c>
      <c r="FZ29" s="12">
        <v>0</v>
      </c>
      <c r="GA29" s="12">
        <v>0</v>
      </c>
      <c r="GB29" s="12">
        <v>0</v>
      </c>
      <c r="GC29" s="12">
        <v>0</v>
      </c>
      <c r="GD29" s="12">
        <v>1</v>
      </c>
      <c r="GE29" s="12">
        <v>1</v>
      </c>
      <c r="GF29" s="12">
        <v>16</v>
      </c>
      <c r="GG29" s="12">
        <v>18</v>
      </c>
      <c r="GH29" s="12">
        <v>0</v>
      </c>
      <c r="GI29" s="12">
        <v>0</v>
      </c>
      <c r="GJ29" s="12">
        <v>0</v>
      </c>
      <c r="GK29" s="12">
        <v>0</v>
      </c>
      <c r="GL29" s="12">
        <v>7</v>
      </c>
      <c r="GM29" s="12">
        <v>8</v>
      </c>
      <c r="GN29" s="12">
        <v>8</v>
      </c>
      <c r="GO29" s="12">
        <v>14</v>
      </c>
      <c r="GP29" s="12">
        <v>2</v>
      </c>
      <c r="GQ29" s="12">
        <v>6</v>
      </c>
      <c r="GR29" s="12">
        <v>5</v>
      </c>
      <c r="GS29" s="12">
        <v>6</v>
      </c>
      <c r="GT29" s="12">
        <v>4</v>
      </c>
      <c r="GU29" s="12">
        <v>18</v>
      </c>
      <c r="GV29" s="12">
        <v>0</v>
      </c>
      <c r="GW29" s="12">
        <v>0</v>
      </c>
    </row>
    <row r="30" spans="2:205" ht="15" customHeight="1" x14ac:dyDescent="0.2">
      <c r="B30" s="12">
        <v>2</v>
      </c>
      <c r="C30" s="12" t="s">
        <v>264</v>
      </c>
      <c r="D30" s="12" t="s">
        <v>286</v>
      </c>
      <c r="E30" s="14" t="s">
        <v>266</v>
      </c>
      <c r="F30" s="14" t="s">
        <v>288</v>
      </c>
      <c r="G30" s="15">
        <v>45212</v>
      </c>
      <c r="H30" s="15" t="s">
        <v>271</v>
      </c>
      <c r="I30" s="12" t="s">
        <v>269</v>
      </c>
      <c r="J30" s="12" t="s">
        <v>272</v>
      </c>
      <c r="K30" s="12">
        <v>200</v>
      </c>
      <c r="L30" s="12">
        <v>79</v>
      </c>
      <c r="M30" s="12">
        <v>25</v>
      </c>
      <c r="N30" s="12">
        <v>39</v>
      </c>
      <c r="O30" s="16">
        <v>0.64102564102564108</v>
      </c>
      <c r="P30" s="12">
        <v>7</v>
      </c>
      <c r="Q30" s="12">
        <v>23</v>
      </c>
      <c r="R30" s="16">
        <v>0.30434782608695654</v>
      </c>
      <c r="S30" s="12">
        <v>32</v>
      </c>
      <c r="T30" s="12">
        <v>62</v>
      </c>
      <c r="U30" s="16">
        <v>0.5161290322580645</v>
      </c>
      <c r="V30" s="12">
        <v>8</v>
      </c>
      <c r="W30" s="12">
        <v>14</v>
      </c>
      <c r="X30" s="16">
        <v>0.5714285714285714</v>
      </c>
      <c r="Y30" s="12">
        <v>10</v>
      </c>
      <c r="Z30" s="12">
        <v>24</v>
      </c>
      <c r="AA30" s="12">
        <v>34</v>
      </c>
      <c r="AB30" s="12">
        <v>17</v>
      </c>
      <c r="AC30" s="12">
        <v>8</v>
      </c>
      <c r="AD30" s="12">
        <v>5</v>
      </c>
      <c r="AE30" s="12">
        <v>5</v>
      </c>
      <c r="AF30" s="12">
        <v>1</v>
      </c>
      <c r="AG30" s="12">
        <v>22</v>
      </c>
      <c r="AH30" s="12">
        <v>21</v>
      </c>
      <c r="AI30" s="17">
        <v>94</v>
      </c>
      <c r="AJ30" s="12">
        <v>5</v>
      </c>
      <c r="AK30" s="12">
        <v>66</v>
      </c>
      <c r="AL30" s="12">
        <v>76</v>
      </c>
      <c r="AM30" s="19">
        <v>1.0394736842105263</v>
      </c>
      <c r="AN30" s="19">
        <v>0.85057471264367812</v>
      </c>
      <c r="AO30" s="18">
        <v>119.6969696969697</v>
      </c>
      <c r="AP30" s="18">
        <v>110.44776119402985</v>
      </c>
      <c r="AQ30" s="18">
        <v>9.249208502939851</v>
      </c>
      <c r="AR30" s="53">
        <v>0.57258064516129037</v>
      </c>
      <c r="AS30" s="53">
        <v>0.58088235294117652</v>
      </c>
      <c r="AT30" s="16">
        <v>0.23684210526315788</v>
      </c>
      <c r="AU30" s="19">
        <v>1.6666666666666667</v>
      </c>
      <c r="AV30" s="16">
        <v>0.17105263157894737</v>
      </c>
      <c r="AW30" s="19">
        <v>0.92307692307692313</v>
      </c>
      <c r="AX30" s="16">
        <v>0.10526315789473684</v>
      </c>
      <c r="AY30" s="19">
        <v>1</v>
      </c>
      <c r="AZ30" s="16">
        <v>3.9473684210526314E-2</v>
      </c>
      <c r="BA30" s="19">
        <v>2</v>
      </c>
      <c r="BB30" s="16">
        <v>0.26315789473684209</v>
      </c>
      <c r="BC30" s="21">
        <v>0.75</v>
      </c>
      <c r="BD30" s="16">
        <v>7.8947368421052627E-2</v>
      </c>
      <c r="BE30" s="16">
        <v>0.10526315789473684</v>
      </c>
      <c r="BF30" s="16">
        <v>0.44736842105263158</v>
      </c>
      <c r="BG30" s="16">
        <v>0.4</v>
      </c>
      <c r="BH30" s="16">
        <v>0.7142857142857143</v>
      </c>
      <c r="BI30" s="16">
        <v>0.33333333333333331</v>
      </c>
      <c r="BJ30" s="16">
        <v>0.22368421052631579</v>
      </c>
      <c r="BK30" s="21">
        <v>2.125</v>
      </c>
      <c r="BL30" s="16">
        <v>0.32258064516129031</v>
      </c>
      <c r="BM30" s="16">
        <v>0.2</v>
      </c>
      <c r="BN30" s="16">
        <v>0.35294117647058826</v>
      </c>
      <c r="BO30" s="16">
        <v>0.5</v>
      </c>
      <c r="BP30" s="16">
        <v>0.54545454545454541</v>
      </c>
      <c r="BQ30" s="16">
        <v>0.48275862068965519</v>
      </c>
      <c r="BR30" s="16">
        <v>0.55000000000000004</v>
      </c>
      <c r="BS30" s="16">
        <v>0.33333333333333331</v>
      </c>
      <c r="BT30" s="16">
        <v>0.45333333333333331</v>
      </c>
      <c r="BU30" s="16">
        <v>7.4626865671641784E-2</v>
      </c>
      <c r="BV30" s="16">
        <v>7.2463768115942032E-2</v>
      </c>
      <c r="BW30" s="16">
        <v>4</v>
      </c>
      <c r="BX30" s="16">
        <v>0.45454545454545453</v>
      </c>
      <c r="BY30" s="16">
        <v>0.38095238095238093</v>
      </c>
      <c r="BZ30" s="12">
        <v>10</v>
      </c>
      <c r="CA30" s="12">
        <v>5</v>
      </c>
      <c r="CB30" s="12">
        <v>2</v>
      </c>
      <c r="CC30" s="12">
        <v>4</v>
      </c>
      <c r="CD30" s="12">
        <v>0</v>
      </c>
      <c r="CE30" s="12">
        <v>0</v>
      </c>
      <c r="CF30" s="12">
        <v>1</v>
      </c>
      <c r="CG30" s="12">
        <v>0</v>
      </c>
      <c r="CH30" s="12">
        <v>2</v>
      </c>
      <c r="CI30" s="12">
        <v>0</v>
      </c>
      <c r="CJ30" s="12">
        <v>1</v>
      </c>
      <c r="CK30" s="12">
        <v>0</v>
      </c>
      <c r="CL30" s="12">
        <v>5</v>
      </c>
      <c r="CM30" s="12">
        <v>0</v>
      </c>
      <c r="CN30" s="12">
        <v>1</v>
      </c>
      <c r="CO30" s="12">
        <v>0</v>
      </c>
      <c r="CP30" s="12">
        <v>3</v>
      </c>
      <c r="CQ30" s="12">
        <v>0</v>
      </c>
      <c r="CR30" s="12">
        <v>7</v>
      </c>
      <c r="CS30" s="12">
        <v>0</v>
      </c>
      <c r="CT30" s="12">
        <v>4</v>
      </c>
      <c r="CU30" s="12">
        <v>0</v>
      </c>
      <c r="CV30" s="12">
        <v>3</v>
      </c>
      <c r="CW30" s="12">
        <v>1</v>
      </c>
      <c r="CX30" s="12">
        <v>6</v>
      </c>
      <c r="CY30" s="12">
        <v>1</v>
      </c>
      <c r="CZ30" s="12">
        <v>1</v>
      </c>
      <c r="DA30" s="12">
        <v>0</v>
      </c>
      <c r="DB30" s="12">
        <v>0</v>
      </c>
      <c r="DC30" s="12">
        <v>0</v>
      </c>
      <c r="DD30" s="12">
        <v>1</v>
      </c>
      <c r="DE30" s="12">
        <v>2</v>
      </c>
      <c r="DF30" s="12">
        <v>7</v>
      </c>
      <c r="DG30" s="12">
        <v>12</v>
      </c>
      <c r="DH30" s="12">
        <v>0</v>
      </c>
      <c r="DI30" s="12">
        <v>0</v>
      </c>
      <c r="DJ30" s="12">
        <v>0</v>
      </c>
      <c r="DK30" s="12">
        <v>0</v>
      </c>
      <c r="DL30" s="12">
        <v>15</v>
      </c>
      <c r="DM30" s="12">
        <v>18</v>
      </c>
      <c r="DN30" s="12">
        <v>6</v>
      </c>
      <c r="DO30" s="12">
        <v>13</v>
      </c>
      <c r="DP30" s="12">
        <v>4</v>
      </c>
      <c r="DQ30" s="12">
        <v>8</v>
      </c>
      <c r="DR30" s="12">
        <v>2</v>
      </c>
      <c r="DS30" s="12">
        <v>3</v>
      </c>
      <c r="DT30" s="12">
        <v>5</v>
      </c>
      <c r="DU30" s="12">
        <v>20</v>
      </c>
      <c r="DV30" s="12">
        <v>0</v>
      </c>
      <c r="DW30" s="12">
        <v>0</v>
      </c>
      <c r="DX30" s="12">
        <v>74</v>
      </c>
      <c r="DY30" s="12">
        <v>20</v>
      </c>
      <c r="DZ30" s="12">
        <v>46</v>
      </c>
      <c r="EA30" s="16">
        <v>0.43478260869565216</v>
      </c>
      <c r="EB30" s="12">
        <v>6</v>
      </c>
      <c r="EC30" s="12">
        <v>23</v>
      </c>
      <c r="ED30" s="16">
        <v>0.2608695652173913</v>
      </c>
      <c r="EE30" s="12">
        <v>26</v>
      </c>
      <c r="EF30" s="12">
        <v>69</v>
      </c>
      <c r="EG30" s="16">
        <v>0.37681159420289856</v>
      </c>
      <c r="EH30" s="12">
        <v>16</v>
      </c>
      <c r="EI30" s="12">
        <v>20</v>
      </c>
      <c r="EJ30" s="16">
        <v>0.8</v>
      </c>
      <c r="EK30" s="12">
        <v>20</v>
      </c>
      <c r="EL30" s="12">
        <v>21</v>
      </c>
      <c r="EM30" s="12">
        <v>41</v>
      </c>
      <c r="EN30" s="12">
        <v>13</v>
      </c>
      <c r="EO30" s="12">
        <v>21</v>
      </c>
      <c r="EP30" s="12">
        <v>22</v>
      </c>
      <c r="EQ30" s="12">
        <v>3</v>
      </c>
      <c r="ER30" s="12">
        <v>10</v>
      </c>
      <c r="ES30" s="12">
        <v>1</v>
      </c>
      <c r="ET30" s="12">
        <v>5</v>
      </c>
      <c r="EU30" s="12">
        <v>71</v>
      </c>
      <c r="EV30" s="12">
        <v>-5</v>
      </c>
      <c r="EW30" s="12">
        <v>67</v>
      </c>
      <c r="EX30" s="12">
        <v>87</v>
      </c>
      <c r="EY30" s="12">
        <v>2</v>
      </c>
      <c r="EZ30" s="12">
        <v>8</v>
      </c>
      <c r="FA30" s="12">
        <v>4</v>
      </c>
      <c r="FB30" s="12">
        <v>1</v>
      </c>
      <c r="FC30" s="12">
        <v>2</v>
      </c>
      <c r="FD30" s="12">
        <v>4</v>
      </c>
      <c r="FE30" s="12">
        <v>3</v>
      </c>
      <c r="FF30" s="12">
        <v>6</v>
      </c>
      <c r="FG30" s="12">
        <v>1</v>
      </c>
      <c r="FH30" s="12">
        <v>1</v>
      </c>
      <c r="FI30" s="12">
        <v>0</v>
      </c>
      <c r="FJ30" s="12">
        <v>1</v>
      </c>
      <c r="FK30" s="12">
        <v>0</v>
      </c>
      <c r="FL30" s="12">
        <v>7</v>
      </c>
      <c r="FM30" s="12">
        <v>1</v>
      </c>
      <c r="FN30" s="12">
        <v>1</v>
      </c>
      <c r="FO30" s="12">
        <v>1</v>
      </c>
      <c r="FP30" s="12">
        <v>3</v>
      </c>
      <c r="FQ30" s="12">
        <v>1</v>
      </c>
      <c r="FR30" s="12">
        <v>6</v>
      </c>
      <c r="FS30" s="12">
        <v>0</v>
      </c>
      <c r="FT30" s="12">
        <v>2</v>
      </c>
      <c r="FU30" s="12">
        <v>0</v>
      </c>
      <c r="FV30" s="12">
        <v>0</v>
      </c>
      <c r="FW30" s="12">
        <v>0</v>
      </c>
      <c r="FX30" s="12">
        <v>9</v>
      </c>
      <c r="FY30" s="12">
        <v>2</v>
      </c>
      <c r="FZ30" s="12">
        <v>1</v>
      </c>
      <c r="GA30" s="12">
        <v>0</v>
      </c>
      <c r="GB30" s="12">
        <v>0</v>
      </c>
      <c r="GC30" s="12">
        <v>0</v>
      </c>
      <c r="GD30" s="12">
        <v>1</v>
      </c>
      <c r="GE30" s="12">
        <v>2</v>
      </c>
      <c r="GF30" s="12">
        <v>9</v>
      </c>
      <c r="GG30" s="12">
        <v>12</v>
      </c>
      <c r="GH30" s="12">
        <v>0</v>
      </c>
      <c r="GI30" s="12">
        <v>6</v>
      </c>
      <c r="GJ30" s="12">
        <v>6</v>
      </c>
      <c r="GK30" s="12">
        <v>0</v>
      </c>
      <c r="GL30" s="12">
        <v>17</v>
      </c>
      <c r="GM30" s="12">
        <v>24</v>
      </c>
      <c r="GN30" s="12">
        <v>2</v>
      </c>
      <c r="GO30" s="12">
        <v>15</v>
      </c>
      <c r="GP30" s="12">
        <v>1</v>
      </c>
      <c r="GQ30" s="12">
        <v>7</v>
      </c>
      <c r="GR30" s="12">
        <v>0</v>
      </c>
      <c r="GS30" s="12">
        <v>4</v>
      </c>
      <c r="GT30" s="12">
        <v>6</v>
      </c>
      <c r="GU30" s="12">
        <v>19</v>
      </c>
      <c r="GV30" s="12">
        <v>0</v>
      </c>
      <c r="GW30" s="12">
        <v>0</v>
      </c>
    </row>
    <row r="31" spans="2:205" ht="15" customHeight="1" x14ac:dyDescent="0.2">
      <c r="B31" s="12">
        <v>2</v>
      </c>
      <c r="C31" s="12" t="s">
        <v>286</v>
      </c>
      <c r="D31" s="12" t="s">
        <v>264</v>
      </c>
      <c r="E31" s="14" t="s">
        <v>288</v>
      </c>
      <c r="F31" s="14" t="s">
        <v>266</v>
      </c>
      <c r="G31" s="15">
        <v>45212</v>
      </c>
      <c r="H31" s="15" t="s">
        <v>268</v>
      </c>
      <c r="I31" s="12" t="s">
        <v>269</v>
      </c>
      <c r="J31" s="12" t="s">
        <v>270</v>
      </c>
      <c r="K31" s="12">
        <v>200</v>
      </c>
      <c r="L31" s="12">
        <v>74</v>
      </c>
      <c r="M31" s="12">
        <v>20</v>
      </c>
      <c r="N31" s="12">
        <v>46</v>
      </c>
      <c r="O31" s="16">
        <v>0.43478260869565216</v>
      </c>
      <c r="P31" s="12">
        <v>6</v>
      </c>
      <c r="Q31" s="12">
        <v>23</v>
      </c>
      <c r="R31" s="16">
        <v>0.2608695652173913</v>
      </c>
      <c r="S31" s="12">
        <v>26</v>
      </c>
      <c r="T31" s="12">
        <v>69</v>
      </c>
      <c r="U31" s="16">
        <v>0.37681159420289856</v>
      </c>
      <c r="V31" s="12">
        <v>16</v>
      </c>
      <c r="W31" s="12">
        <v>20</v>
      </c>
      <c r="X31" s="16">
        <v>0.8</v>
      </c>
      <c r="Y31" s="12">
        <v>20</v>
      </c>
      <c r="Z31" s="12">
        <v>21</v>
      </c>
      <c r="AA31" s="12">
        <v>41</v>
      </c>
      <c r="AB31" s="12">
        <v>13</v>
      </c>
      <c r="AC31" s="12">
        <v>10</v>
      </c>
      <c r="AD31" s="12">
        <v>3</v>
      </c>
      <c r="AE31" s="12">
        <v>1</v>
      </c>
      <c r="AF31" s="12">
        <v>5</v>
      </c>
      <c r="AG31" s="12">
        <v>21</v>
      </c>
      <c r="AH31" s="12">
        <v>22</v>
      </c>
      <c r="AI31" s="17">
        <v>71</v>
      </c>
      <c r="AJ31" s="12">
        <v>-5</v>
      </c>
      <c r="AK31" s="12">
        <v>67</v>
      </c>
      <c r="AL31" s="12">
        <v>87</v>
      </c>
      <c r="AM31" s="19">
        <v>0.85057471264367812</v>
      </c>
      <c r="AN31" s="19">
        <v>1.0394736842105263</v>
      </c>
      <c r="AO31" s="18">
        <v>110.44776119402985</v>
      </c>
      <c r="AP31" s="18">
        <v>119.6969696969697</v>
      </c>
      <c r="AQ31" s="18">
        <v>-9.249208502939851</v>
      </c>
      <c r="AR31" s="53">
        <v>0.42028985507246375</v>
      </c>
      <c r="AS31" s="53">
        <v>0.48051948051948051</v>
      </c>
      <c r="AT31" s="16">
        <v>0.27586206896551724</v>
      </c>
      <c r="AU31" s="19">
        <v>1.4166666666666667</v>
      </c>
      <c r="AV31" s="16">
        <v>0.17241379310344829</v>
      </c>
      <c r="AW31" s="19">
        <v>0.26666666666666666</v>
      </c>
      <c r="AX31" s="16">
        <v>8.0459770114942528E-2</v>
      </c>
      <c r="AY31" s="19">
        <v>0.2857142857142857</v>
      </c>
      <c r="AZ31" s="16">
        <v>4.5977011494252873E-2</v>
      </c>
      <c r="BA31" s="19">
        <v>0</v>
      </c>
      <c r="BB31" s="16">
        <v>0.21839080459770116</v>
      </c>
      <c r="BC31" s="21">
        <v>0.94736842105263153</v>
      </c>
      <c r="BD31" s="16">
        <v>9.1954022988505746E-2</v>
      </c>
      <c r="BE31" s="16">
        <v>0.11494252873563218</v>
      </c>
      <c r="BF31" s="16">
        <v>0.38235294117647056</v>
      </c>
      <c r="BG31" s="16">
        <v>0.4</v>
      </c>
      <c r="BH31" s="16">
        <v>0.66666666666666663</v>
      </c>
      <c r="BI31" s="16">
        <v>0.125</v>
      </c>
      <c r="BJ31" s="16">
        <v>0.14942528735632185</v>
      </c>
      <c r="BK31" s="21">
        <v>1.3</v>
      </c>
      <c r="BL31" s="16">
        <v>0.45454545454545453</v>
      </c>
      <c r="BM31" s="16">
        <v>0.51724137931034486</v>
      </c>
      <c r="BN31" s="16">
        <v>0.45</v>
      </c>
      <c r="BO31" s="16">
        <v>0.66666666666666663</v>
      </c>
      <c r="BP31" s="16">
        <v>0.67741935483870963</v>
      </c>
      <c r="BQ31" s="16">
        <v>0.8</v>
      </c>
      <c r="BR31" s="16">
        <v>0.6470588235294118</v>
      </c>
      <c r="BS31" s="16">
        <v>0.5</v>
      </c>
      <c r="BT31" s="16">
        <v>0.54666666666666663</v>
      </c>
      <c r="BU31" s="16">
        <v>4.5454545454545456E-2</v>
      </c>
      <c r="BV31" s="16">
        <v>1.6129032258064516E-2</v>
      </c>
      <c r="BW31" s="16">
        <v>2</v>
      </c>
      <c r="BX31" s="16">
        <v>0.38095238095238093</v>
      </c>
      <c r="BY31" s="16">
        <v>0.45454545454545453</v>
      </c>
      <c r="BZ31" s="12">
        <v>8</v>
      </c>
      <c r="CA31" s="12">
        <v>4</v>
      </c>
      <c r="CB31" s="12">
        <v>1</v>
      </c>
      <c r="CC31" s="12">
        <v>2</v>
      </c>
      <c r="CD31" s="12">
        <v>4</v>
      </c>
      <c r="CE31" s="12">
        <v>3</v>
      </c>
      <c r="CF31" s="12">
        <v>6</v>
      </c>
      <c r="CG31" s="12">
        <v>1</v>
      </c>
      <c r="CH31" s="12">
        <v>1</v>
      </c>
      <c r="CI31" s="12">
        <v>0</v>
      </c>
      <c r="CJ31" s="12">
        <v>1</v>
      </c>
      <c r="CK31" s="12">
        <v>0</v>
      </c>
      <c r="CL31" s="12">
        <v>7</v>
      </c>
      <c r="CM31" s="12">
        <v>1</v>
      </c>
      <c r="CN31" s="12">
        <v>1</v>
      </c>
      <c r="CO31" s="12">
        <v>1</v>
      </c>
      <c r="CP31" s="12">
        <v>3</v>
      </c>
      <c r="CQ31" s="12">
        <v>1</v>
      </c>
      <c r="CR31" s="12">
        <v>6</v>
      </c>
      <c r="CS31" s="12">
        <v>0</v>
      </c>
      <c r="CT31" s="12">
        <v>2</v>
      </c>
      <c r="CU31" s="12">
        <v>0</v>
      </c>
      <c r="CV31" s="12">
        <v>0</v>
      </c>
      <c r="CW31" s="12">
        <v>0</v>
      </c>
      <c r="CX31" s="12">
        <v>9</v>
      </c>
      <c r="CY31" s="12">
        <v>2</v>
      </c>
      <c r="CZ31" s="12">
        <v>1</v>
      </c>
      <c r="DA31" s="12">
        <v>0</v>
      </c>
      <c r="DB31" s="12">
        <v>0</v>
      </c>
      <c r="DC31" s="12">
        <v>0</v>
      </c>
      <c r="DD31" s="12">
        <v>1</v>
      </c>
      <c r="DE31" s="12">
        <v>2</v>
      </c>
      <c r="DF31" s="12">
        <v>9</v>
      </c>
      <c r="DG31" s="12">
        <v>12</v>
      </c>
      <c r="DH31" s="12">
        <v>0</v>
      </c>
      <c r="DI31" s="12">
        <v>6</v>
      </c>
      <c r="DJ31" s="12">
        <v>6</v>
      </c>
      <c r="DK31" s="12">
        <v>0</v>
      </c>
      <c r="DL31" s="12">
        <v>17</v>
      </c>
      <c r="DM31" s="12">
        <v>24</v>
      </c>
      <c r="DN31" s="12">
        <v>2</v>
      </c>
      <c r="DO31" s="12">
        <v>15</v>
      </c>
      <c r="DP31" s="12">
        <v>1</v>
      </c>
      <c r="DQ31" s="12">
        <v>7</v>
      </c>
      <c r="DR31" s="12">
        <v>0</v>
      </c>
      <c r="DS31" s="12">
        <v>4</v>
      </c>
      <c r="DT31" s="12">
        <v>6</v>
      </c>
      <c r="DU31" s="12">
        <v>19</v>
      </c>
      <c r="DV31" s="12">
        <v>0</v>
      </c>
      <c r="DW31" s="12">
        <v>0</v>
      </c>
      <c r="DX31" s="12">
        <v>79</v>
      </c>
      <c r="DY31" s="12">
        <v>25</v>
      </c>
      <c r="DZ31" s="12">
        <v>39</v>
      </c>
      <c r="EA31" s="16">
        <v>0.64102564102564108</v>
      </c>
      <c r="EB31" s="12">
        <v>7</v>
      </c>
      <c r="EC31" s="12">
        <v>23</v>
      </c>
      <c r="ED31" s="16">
        <v>0.30434782608695654</v>
      </c>
      <c r="EE31" s="12">
        <v>32</v>
      </c>
      <c r="EF31" s="12">
        <v>62</v>
      </c>
      <c r="EG31" s="16">
        <v>0.5161290322580645</v>
      </c>
      <c r="EH31" s="12">
        <v>8</v>
      </c>
      <c r="EI31" s="12">
        <v>14</v>
      </c>
      <c r="EJ31" s="16">
        <v>0.5714285714285714</v>
      </c>
      <c r="EK31" s="12">
        <v>10</v>
      </c>
      <c r="EL31" s="12">
        <v>24</v>
      </c>
      <c r="EM31" s="12">
        <v>34</v>
      </c>
      <c r="EN31" s="12">
        <v>17</v>
      </c>
      <c r="EO31" s="12">
        <v>22</v>
      </c>
      <c r="EP31" s="12">
        <v>21</v>
      </c>
      <c r="EQ31" s="12">
        <v>5</v>
      </c>
      <c r="ER31" s="12">
        <v>8</v>
      </c>
      <c r="ES31" s="12">
        <v>5</v>
      </c>
      <c r="ET31" s="12">
        <v>1</v>
      </c>
      <c r="EU31" s="12">
        <v>94</v>
      </c>
      <c r="EV31" s="12">
        <v>5</v>
      </c>
      <c r="EW31" s="12">
        <v>66</v>
      </c>
      <c r="EX31" s="12">
        <v>76</v>
      </c>
      <c r="EY31" s="12">
        <v>4</v>
      </c>
      <c r="EZ31" s="12">
        <v>10</v>
      </c>
      <c r="FA31" s="12">
        <v>5</v>
      </c>
      <c r="FB31" s="12">
        <v>2</v>
      </c>
      <c r="FC31" s="12">
        <v>4</v>
      </c>
      <c r="FD31" s="12">
        <v>0</v>
      </c>
      <c r="FE31" s="12">
        <v>0</v>
      </c>
      <c r="FF31" s="12">
        <v>1</v>
      </c>
      <c r="FG31" s="12">
        <v>0</v>
      </c>
      <c r="FH31" s="12">
        <v>2</v>
      </c>
      <c r="FI31" s="12">
        <v>0</v>
      </c>
      <c r="FJ31" s="12">
        <v>1</v>
      </c>
      <c r="FK31" s="12">
        <v>0</v>
      </c>
      <c r="FL31" s="12">
        <v>5</v>
      </c>
      <c r="FM31" s="12">
        <v>0</v>
      </c>
      <c r="FN31" s="12">
        <v>1</v>
      </c>
      <c r="FO31" s="12">
        <v>0</v>
      </c>
      <c r="FP31" s="12">
        <v>3</v>
      </c>
      <c r="FQ31" s="12">
        <v>0</v>
      </c>
      <c r="FR31" s="12">
        <v>7</v>
      </c>
      <c r="FS31" s="12">
        <v>0</v>
      </c>
      <c r="FT31" s="12">
        <v>4</v>
      </c>
      <c r="FU31" s="12">
        <v>0</v>
      </c>
      <c r="FV31" s="12">
        <v>3</v>
      </c>
      <c r="FW31" s="12">
        <v>1</v>
      </c>
      <c r="FX31" s="12">
        <v>6</v>
      </c>
      <c r="FY31" s="12">
        <v>1</v>
      </c>
      <c r="FZ31" s="12">
        <v>1</v>
      </c>
      <c r="GA31" s="12">
        <v>0</v>
      </c>
      <c r="GB31" s="12">
        <v>0</v>
      </c>
      <c r="GC31" s="12">
        <v>0</v>
      </c>
      <c r="GD31" s="12">
        <v>1</v>
      </c>
      <c r="GE31" s="12">
        <v>2</v>
      </c>
      <c r="GF31" s="12">
        <v>7</v>
      </c>
      <c r="GG31" s="12">
        <v>12</v>
      </c>
      <c r="GH31" s="12">
        <v>0</v>
      </c>
      <c r="GI31" s="12">
        <v>0</v>
      </c>
      <c r="GJ31" s="12">
        <v>0</v>
      </c>
      <c r="GK31" s="12">
        <v>0</v>
      </c>
      <c r="GL31" s="12">
        <v>15</v>
      </c>
      <c r="GM31" s="12">
        <v>18</v>
      </c>
      <c r="GN31" s="12">
        <v>6</v>
      </c>
      <c r="GO31" s="12">
        <v>13</v>
      </c>
      <c r="GP31" s="12">
        <v>4</v>
      </c>
      <c r="GQ31" s="12">
        <v>8</v>
      </c>
      <c r="GR31" s="12">
        <v>2</v>
      </c>
      <c r="GS31" s="12">
        <v>3</v>
      </c>
      <c r="GT31" s="12">
        <v>5</v>
      </c>
      <c r="GU31" s="12">
        <v>20</v>
      </c>
      <c r="GV31" s="12">
        <v>0</v>
      </c>
      <c r="GW31" s="12">
        <v>0</v>
      </c>
    </row>
    <row r="32" spans="2:205" ht="15" customHeight="1" x14ac:dyDescent="0.2">
      <c r="B32" s="12">
        <v>2</v>
      </c>
      <c r="C32" s="12" t="s">
        <v>301</v>
      </c>
      <c r="D32" s="12" t="s">
        <v>285</v>
      </c>
      <c r="E32" s="14" t="s">
        <v>302</v>
      </c>
      <c r="F32" s="14" t="s">
        <v>287</v>
      </c>
      <c r="G32" s="15">
        <v>45212</v>
      </c>
      <c r="H32" s="15" t="s">
        <v>268</v>
      </c>
      <c r="I32" s="12" t="s">
        <v>269</v>
      </c>
      <c r="J32" s="12" t="s">
        <v>272</v>
      </c>
      <c r="K32" s="12">
        <v>200</v>
      </c>
      <c r="L32" s="12">
        <v>83</v>
      </c>
      <c r="M32" s="12">
        <v>13</v>
      </c>
      <c r="N32" s="12">
        <v>30</v>
      </c>
      <c r="O32" s="16">
        <v>0.43333333333333335</v>
      </c>
      <c r="P32" s="12">
        <v>16</v>
      </c>
      <c r="Q32" s="12">
        <v>31</v>
      </c>
      <c r="R32" s="16">
        <v>0.5161290322580645</v>
      </c>
      <c r="S32" s="12">
        <v>29</v>
      </c>
      <c r="T32" s="12">
        <v>61</v>
      </c>
      <c r="U32" s="16">
        <v>0.47540983606557374</v>
      </c>
      <c r="V32" s="12">
        <v>9</v>
      </c>
      <c r="W32" s="12">
        <v>13</v>
      </c>
      <c r="X32" s="16">
        <v>0.69230769230769229</v>
      </c>
      <c r="Y32" s="12">
        <v>15</v>
      </c>
      <c r="Z32" s="12">
        <v>31</v>
      </c>
      <c r="AA32" s="12">
        <v>46</v>
      </c>
      <c r="AB32" s="12">
        <v>18</v>
      </c>
      <c r="AC32" s="12">
        <v>14</v>
      </c>
      <c r="AD32" s="12">
        <v>4</v>
      </c>
      <c r="AE32" s="12">
        <v>1</v>
      </c>
      <c r="AF32" s="12">
        <v>1</v>
      </c>
      <c r="AG32" s="12">
        <v>27</v>
      </c>
      <c r="AH32" s="12">
        <v>19</v>
      </c>
      <c r="AI32" s="17">
        <v>93</v>
      </c>
      <c r="AJ32" s="12">
        <v>24</v>
      </c>
      <c r="AK32" s="12">
        <v>66</v>
      </c>
      <c r="AL32" s="12">
        <v>81</v>
      </c>
      <c r="AM32" s="19">
        <v>1.0246913580246915</v>
      </c>
      <c r="AN32" s="19">
        <v>0.71084337349397586</v>
      </c>
      <c r="AO32" s="18">
        <v>125.75757575757575</v>
      </c>
      <c r="AP32" s="18">
        <v>90.769230769230774</v>
      </c>
      <c r="AQ32" s="18">
        <v>34.988344988344977</v>
      </c>
      <c r="AR32" s="53">
        <v>0.60655737704918034</v>
      </c>
      <c r="AS32" s="53">
        <v>0.61940298507462688</v>
      </c>
      <c r="AT32" s="16">
        <v>2.4691358024691357E-2</v>
      </c>
      <c r="AU32" s="19">
        <v>1</v>
      </c>
      <c r="AV32" s="16">
        <v>0.30864197530864196</v>
      </c>
      <c r="AW32" s="19">
        <v>0.96</v>
      </c>
      <c r="AX32" s="16">
        <v>3.7037037037037035E-2</v>
      </c>
      <c r="AY32" s="19">
        <v>0</v>
      </c>
      <c r="AZ32" s="16">
        <v>0</v>
      </c>
      <c r="BA32" s="19" t="s">
        <v>269</v>
      </c>
      <c r="BB32" s="16">
        <v>0.38271604938271603</v>
      </c>
      <c r="BC32" s="21">
        <v>1.5483870967741935</v>
      </c>
      <c r="BD32" s="16">
        <v>7.407407407407407E-2</v>
      </c>
      <c r="BE32" s="16">
        <v>0.1728395061728395</v>
      </c>
      <c r="BF32" s="16">
        <v>0.52941176470588236</v>
      </c>
      <c r="BG32" s="16">
        <v>0.30769230769230771</v>
      </c>
      <c r="BH32" s="16">
        <v>0.875</v>
      </c>
      <c r="BI32" s="16">
        <v>0</v>
      </c>
      <c r="BJ32" s="16">
        <v>0.22222222222222221</v>
      </c>
      <c r="BK32" s="21">
        <v>1.2857142857142858</v>
      </c>
      <c r="BL32" s="16">
        <v>0.45454545454545453</v>
      </c>
      <c r="BM32" s="16">
        <v>0.4</v>
      </c>
      <c r="BN32" s="16">
        <v>0.52941176470588236</v>
      </c>
      <c r="BO32" s="16">
        <v>0</v>
      </c>
      <c r="BP32" s="16">
        <v>0.64583333333333337</v>
      </c>
      <c r="BQ32" s="16">
        <v>0.77777777777777779</v>
      </c>
      <c r="BR32" s="16">
        <v>0.45</v>
      </c>
      <c r="BS32" s="16">
        <v>0.625</v>
      </c>
      <c r="BT32" s="16">
        <v>0.5679012345679012</v>
      </c>
      <c r="BU32" s="16">
        <v>6.1538461538461542E-2</v>
      </c>
      <c r="BV32" s="16">
        <v>1.5625E-2</v>
      </c>
      <c r="BW32" s="16">
        <v>6</v>
      </c>
      <c r="BX32" s="16">
        <v>0.51851851851851849</v>
      </c>
      <c r="BY32" s="16">
        <v>0.31578947368421051</v>
      </c>
      <c r="BZ32" s="12">
        <v>4</v>
      </c>
      <c r="CA32" s="12">
        <v>14</v>
      </c>
      <c r="CB32" s="12">
        <v>0</v>
      </c>
      <c r="CC32" s="12">
        <v>0</v>
      </c>
      <c r="CD32" s="12">
        <v>0</v>
      </c>
      <c r="CE32" s="12">
        <v>0</v>
      </c>
      <c r="CF32" s="12">
        <v>7</v>
      </c>
      <c r="CG32" s="12">
        <v>1</v>
      </c>
      <c r="CH32" s="12">
        <v>0</v>
      </c>
      <c r="CI32" s="12">
        <v>0</v>
      </c>
      <c r="CJ32" s="12">
        <v>0</v>
      </c>
      <c r="CK32" s="12">
        <v>0</v>
      </c>
      <c r="CL32" s="12">
        <v>8</v>
      </c>
      <c r="CM32" s="12">
        <v>1</v>
      </c>
      <c r="CN32" s="12">
        <v>0</v>
      </c>
      <c r="CO32" s="12">
        <v>0</v>
      </c>
      <c r="CP32" s="12">
        <v>3</v>
      </c>
      <c r="CQ32" s="12">
        <v>0</v>
      </c>
      <c r="CR32" s="12">
        <v>10</v>
      </c>
      <c r="CS32" s="12">
        <v>2</v>
      </c>
      <c r="CT32" s="12">
        <v>5</v>
      </c>
      <c r="CU32" s="12">
        <v>1</v>
      </c>
      <c r="CV32" s="12">
        <v>0</v>
      </c>
      <c r="CW32" s="12">
        <v>0</v>
      </c>
      <c r="CX32" s="12">
        <v>9</v>
      </c>
      <c r="CY32" s="12">
        <v>0</v>
      </c>
      <c r="CZ32" s="12">
        <v>4</v>
      </c>
      <c r="DA32" s="12">
        <v>1</v>
      </c>
      <c r="DB32" s="12">
        <v>0</v>
      </c>
      <c r="DC32" s="12">
        <v>0</v>
      </c>
      <c r="DD32" s="12">
        <v>0</v>
      </c>
      <c r="DE32" s="12">
        <v>0</v>
      </c>
      <c r="DF32" s="12">
        <v>7</v>
      </c>
      <c r="DG32" s="12">
        <v>10</v>
      </c>
      <c r="DH32" s="12">
        <v>1</v>
      </c>
      <c r="DI32" s="12">
        <v>2</v>
      </c>
      <c r="DJ32" s="12">
        <v>3</v>
      </c>
      <c r="DK32" s="12">
        <v>0</v>
      </c>
      <c r="DL32" s="12">
        <v>1</v>
      </c>
      <c r="DM32" s="12">
        <v>2</v>
      </c>
      <c r="DN32" s="12">
        <v>12</v>
      </c>
      <c r="DO32" s="12">
        <v>25</v>
      </c>
      <c r="DP32" s="12">
        <v>0</v>
      </c>
      <c r="DQ32" s="12">
        <v>3</v>
      </c>
      <c r="DR32" s="12">
        <v>0</v>
      </c>
      <c r="DS32" s="12">
        <v>0</v>
      </c>
      <c r="DT32" s="12">
        <v>16</v>
      </c>
      <c r="DU32" s="12">
        <v>31</v>
      </c>
      <c r="DV32" s="12">
        <v>0</v>
      </c>
      <c r="DW32" s="12">
        <v>0</v>
      </c>
      <c r="DX32" s="12">
        <v>59</v>
      </c>
      <c r="DY32" s="12">
        <v>17</v>
      </c>
      <c r="DZ32" s="12">
        <v>42</v>
      </c>
      <c r="EA32" s="16">
        <v>0.40476190476190477</v>
      </c>
      <c r="EB32" s="12">
        <v>4</v>
      </c>
      <c r="EC32" s="12">
        <v>22</v>
      </c>
      <c r="ED32" s="16">
        <v>0.18181818181818182</v>
      </c>
      <c r="EE32" s="12">
        <v>21</v>
      </c>
      <c r="EF32" s="12">
        <v>64</v>
      </c>
      <c r="EG32" s="16">
        <v>0.328125</v>
      </c>
      <c r="EH32" s="12">
        <v>13</v>
      </c>
      <c r="EI32" s="12">
        <v>25</v>
      </c>
      <c r="EJ32" s="16">
        <v>0.52</v>
      </c>
      <c r="EK32" s="12">
        <v>17</v>
      </c>
      <c r="EL32" s="12">
        <v>18</v>
      </c>
      <c r="EM32" s="12">
        <v>35</v>
      </c>
      <c r="EN32" s="12">
        <v>9</v>
      </c>
      <c r="EO32" s="12">
        <v>19</v>
      </c>
      <c r="EP32" s="12">
        <v>27</v>
      </c>
      <c r="EQ32" s="12">
        <v>4</v>
      </c>
      <c r="ER32" s="12">
        <v>8</v>
      </c>
      <c r="ES32" s="12">
        <v>1</v>
      </c>
      <c r="ET32" s="12">
        <v>1</v>
      </c>
      <c r="EU32" s="12">
        <v>52</v>
      </c>
      <c r="EV32" s="12">
        <v>-24</v>
      </c>
      <c r="EW32" s="12">
        <v>65</v>
      </c>
      <c r="EX32" s="12">
        <v>83</v>
      </c>
      <c r="EY32" s="12">
        <v>1</v>
      </c>
      <c r="EZ32" s="12">
        <v>7</v>
      </c>
      <c r="FA32" s="12">
        <v>1</v>
      </c>
      <c r="FB32" s="12">
        <v>1</v>
      </c>
      <c r="FC32" s="12">
        <v>2</v>
      </c>
      <c r="FD32" s="12">
        <v>1</v>
      </c>
      <c r="FE32" s="12">
        <v>0</v>
      </c>
      <c r="FF32" s="12">
        <v>4</v>
      </c>
      <c r="FG32" s="12">
        <v>0</v>
      </c>
      <c r="FH32" s="12">
        <v>1</v>
      </c>
      <c r="FI32" s="12">
        <v>0</v>
      </c>
      <c r="FJ32" s="12">
        <v>0</v>
      </c>
      <c r="FK32" s="12">
        <v>0</v>
      </c>
      <c r="FL32" s="12">
        <v>9</v>
      </c>
      <c r="FM32" s="12">
        <v>2</v>
      </c>
      <c r="FN32" s="12">
        <v>2</v>
      </c>
      <c r="FO32" s="12">
        <v>1</v>
      </c>
      <c r="FP32" s="12">
        <v>1</v>
      </c>
      <c r="FQ32" s="12">
        <v>0</v>
      </c>
      <c r="FR32" s="12">
        <v>6</v>
      </c>
      <c r="FS32" s="12">
        <v>1</v>
      </c>
      <c r="FT32" s="12">
        <v>3</v>
      </c>
      <c r="FU32" s="12">
        <v>1</v>
      </c>
      <c r="FV32" s="12">
        <v>0</v>
      </c>
      <c r="FW32" s="12">
        <v>0</v>
      </c>
      <c r="FX32" s="12">
        <v>7</v>
      </c>
      <c r="FY32" s="12">
        <v>1</v>
      </c>
      <c r="FZ32" s="12">
        <v>1</v>
      </c>
      <c r="GA32" s="12">
        <v>0</v>
      </c>
      <c r="GB32" s="12">
        <v>0</v>
      </c>
      <c r="GC32" s="12">
        <v>0</v>
      </c>
      <c r="GD32" s="12">
        <v>1</v>
      </c>
      <c r="GE32" s="12">
        <v>3</v>
      </c>
      <c r="GF32" s="12">
        <v>12</v>
      </c>
      <c r="GG32" s="12">
        <v>22</v>
      </c>
      <c r="GH32" s="12">
        <v>3</v>
      </c>
      <c r="GI32" s="12">
        <v>0</v>
      </c>
      <c r="GJ32" s="12">
        <v>0</v>
      </c>
      <c r="GK32" s="12">
        <v>0</v>
      </c>
      <c r="GL32" s="12">
        <v>6</v>
      </c>
      <c r="GM32" s="12">
        <v>10</v>
      </c>
      <c r="GN32" s="12">
        <v>10</v>
      </c>
      <c r="GO32" s="12">
        <v>25</v>
      </c>
      <c r="GP32" s="12">
        <v>1</v>
      </c>
      <c r="GQ32" s="12">
        <v>7</v>
      </c>
      <c r="GR32" s="12">
        <v>0</v>
      </c>
      <c r="GS32" s="12">
        <v>0</v>
      </c>
      <c r="GT32" s="12">
        <v>4</v>
      </c>
      <c r="GU32" s="12">
        <v>22</v>
      </c>
      <c r="GV32" s="12">
        <v>0</v>
      </c>
      <c r="GW32" s="12">
        <v>0</v>
      </c>
    </row>
    <row r="33" spans="2:205" ht="15" customHeight="1" x14ac:dyDescent="0.2">
      <c r="B33" s="12">
        <v>2</v>
      </c>
      <c r="C33" s="12" t="s">
        <v>285</v>
      </c>
      <c r="D33" s="12" t="s">
        <v>301</v>
      </c>
      <c r="E33" s="14" t="s">
        <v>287</v>
      </c>
      <c r="F33" s="14" t="s">
        <v>302</v>
      </c>
      <c r="G33" s="15">
        <v>45212</v>
      </c>
      <c r="H33" s="15" t="s">
        <v>271</v>
      </c>
      <c r="I33" s="12" t="s">
        <v>269</v>
      </c>
      <c r="J33" s="12" t="s">
        <v>270</v>
      </c>
      <c r="K33" s="12">
        <v>200</v>
      </c>
      <c r="L33" s="12">
        <v>59</v>
      </c>
      <c r="M33" s="12">
        <v>17</v>
      </c>
      <c r="N33" s="12">
        <v>42</v>
      </c>
      <c r="O33" s="16">
        <v>0.40476190476190477</v>
      </c>
      <c r="P33" s="12">
        <v>4</v>
      </c>
      <c r="Q33" s="12">
        <v>22</v>
      </c>
      <c r="R33" s="16">
        <v>0.18181818181818182</v>
      </c>
      <c r="S33" s="12">
        <v>21</v>
      </c>
      <c r="T33" s="12">
        <v>64</v>
      </c>
      <c r="U33" s="16">
        <v>0.328125</v>
      </c>
      <c r="V33" s="12">
        <v>13</v>
      </c>
      <c r="W33" s="12">
        <v>25</v>
      </c>
      <c r="X33" s="16">
        <v>0.52</v>
      </c>
      <c r="Y33" s="12">
        <v>17</v>
      </c>
      <c r="Z33" s="12">
        <v>18</v>
      </c>
      <c r="AA33" s="12">
        <v>35</v>
      </c>
      <c r="AB33" s="12">
        <v>9</v>
      </c>
      <c r="AC33" s="12">
        <v>8</v>
      </c>
      <c r="AD33" s="12">
        <v>4</v>
      </c>
      <c r="AE33" s="12">
        <v>1</v>
      </c>
      <c r="AF33" s="12">
        <v>1</v>
      </c>
      <c r="AG33" s="12">
        <v>19</v>
      </c>
      <c r="AH33" s="12">
        <v>27</v>
      </c>
      <c r="AI33" s="17">
        <v>52</v>
      </c>
      <c r="AJ33" s="12">
        <v>-24</v>
      </c>
      <c r="AK33" s="12">
        <v>65</v>
      </c>
      <c r="AL33" s="12">
        <v>83</v>
      </c>
      <c r="AM33" s="19">
        <v>0.71084337349397586</v>
      </c>
      <c r="AN33" s="19">
        <v>1.0246913580246915</v>
      </c>
      <c r="AO33" s="18">
        <v>90.769230769230774</v>
      </c>
      <c r="AP33" s="18">
        <v>125.75757575757575</v>
      </c>
      <c r="AQ33" s="18">
        <v>-34.988344988344977</v>
      </c>
      <c r="AR33" s="53">
        <v>0.359375</v>
      </c>
      <c r="AS33" s="53">
        <v>0.39333333333333331</v>
      </c>
      <c r="AT33" s="16">
        <v>0.12048192771084337</v>
      </c>
      <c r="AU33" s="19">
        <v>1.2</v>
      </c>
      <c r="AV33" s="16">
        <v>0.30120481927710846</v>
      </c>
      <c r="AW33" s="19">
        <v>0.8</v>
      </c>
      <c r="AX33" s="16">
        <v>8.4337349397590355E-2</v>
      </c>
      <c r="AY33" s="19">
        <v>0.2857142857142857</v>
      </c>
      <c r="AZ33" s="16">
        <v>0</v>
      </c>
      <c r="BA33" s="19" t="s">
        <v>269</v>
      </c>
      <c r="BB33" s="16">
        <v>0.26506024096385544</v>
      </c>
      <c r="BC33" s="21">
        <v>0.54545454545454541</v>
      </c>
      <c r="BD33" s="16">
        <v>0.13253012048192772</v>
      </c>
      <c r="BE33" s="16">
        <v>9.7560975609756101E-2</v>
      </c>
      <c r="BF33" s="16">
        <v>0.31034482758620691</v>
      </c>
      <c r="BG33" s="16">
        <v>0.41176470588235292</v>
      </c>
      <c r="BH33" s="16">
        <v>0.25</v>
      </c>
      <c r="BI33" s="16">
        <v>0.125</v>
      </c>
      <c r="BJ33" s="16">
        <v>0.10975609756097561</v>
      </c>
      <c r="BK33" s="21">
        <v>1.125</v>
      </c>
      <c r="BL33" s="16">
        <v>0.35416666666666669</v>
      </c>
      <c r="BM33" s="16">
        <v>0.22222222222222221</v>
      </c>
      <c r="BN33" s="16">
        <v>0.55000000000000004</v>
      </c>
      <c r="BO33" s="16">
        <v>0.375</v>
      </c>
      <c r="BP33" s="16">
        <v>0.54545454545454541</v>
      </c>
      <c r="BQ33" s="16">
        <v>0.6</v>
      </c>
      <c r="BR33" s="16">
        <v>0.47058823529411764</v>
      </c>
      <c r="BS33" s="16">
        <v>1</v>
      </c>
      <c r="BT33" s="16">
        <v>0.43209876543209874</v>
      </c>
      <c r="BU33" s="16">
        <v>6.0606060606060608E-2</v>
      </c>
      <c r="BV33" s="16">
        <v>1.6393442622950821E-2</v>
      </c>
      <c r="BW33" s="16">
        <v>1</v>
      </c>
      <c r="BX33" s="16">
        <v>0.31578947368421051</v>
      </c>
      <c r="BY33" s="16">
        <v>0.51851851851851849</v>
      </c>
      <c r="BZ33" s="12">
        <v>7</v>
      </c>
      <c r="CA33" s="12">
        <v>1</v>
      </c>
      <c r="CB33" s="12">
        <v>1</v>
      </c>
      <c r="CC33" s="12">
        <v>2</v>
      </c>
      <c r="CD33" s="12">
        <v>1</v>
      </c>
      <c r="CE33" s="12">
        <v>0</v>
      </c>
      <c r="CF33" s="12">
        <v>4</v>
      </c>
      <c r="CG33" s="12">
        <v>0</v>
      </c>
      <c r="CH33" s="12">
        <v>1</v>
      </c>
      <c r="CI33" s="12">
        <v>0</v>
      </c>
      <c r="CJ33" s="12">
        <v>0</v>
      </c>
      <c r="CK33" s="12">
        <v>0</v>
      </c>
      <c r="CL33" s="12">
        <v>9</v>
      </c>
      <c r="CM33" s="12">
        <v>2</v>
      </c>
      <c r="CN33" s="12">
        <v>2</v>
      </c>
      <c r="CO33" s="12">
        <v>1</v>
      </c>
      <c r="CP33" s="12">
        <v>1</v>
      </c>
      <c r="CQ33" s="12">
        <v>0</v>
      </c>
      <c r="CR33" s="12">
        <v>6</v>
      </c>
      <c r="CS33" s="12">
        <v>1</v>
      </c>
      <c r="CT33" s="12">
        <v>3</v>
      </c>
      <c r="CU33" s="12">
        <v>1</v>
      </c>
      <c r="CV33" s="12">
        <v>0</v>
      </c>
      <c r="CW33" s="12">
        <v>0</v>
      </c>
      <c r="CX33" s="12">
        <v>7</v>
      </c>
      <c r="CY33" s="12">
        <v>1</v>
      </c>
      <c r="CZ33" s="12">
        <v>1</v>
      </c>
      <c r="DA33" s="12">
        <v>0</v>
      </c>
      <c r="DB33" s="12">
        <v>0</v>
      </c>
      <c r="DC33" s="12">
        <v>0</v>
      </c>
      <c r="DD33" s="12">
        <v>1</v>
      </c>
      <c r="DE33" s="12">
        <v>3</v>
      </c>
      <c r="DF33" s="12">
        <v>12</v>
      </c>
      <c r="DG33" s="12">
        <v>22</v>
      </c>
      <c r="DH33" s="12">
        <v>3</v>
      </c>
      <c r="DI33" s="12">
        <v>0</v>
      </c>
      <c r="DJ33" s="12">
        <v>0</v>
      </c>
      <c r="DK33" s="12">
        <v>0</v>
      </c>
      <c r="DL33" s="12">
        <v>6</v>
      </c>
      <c r="DM33" s="12">
        <v>10</v>
      </c>
      <c r="DN33" s="12">
        <v>10</v>
      </c>
      <c r="DO33" s="12">
        <v>25</v>
      </c>
      <c r="DP33" s="12">
        <v>1</v>
      </c>
      <c r="DQ33" s="12">
        <v>7</v>
      </c>
      <c r="DR33" s="12">
        <v>0</v>
      </c>
      <c r="DS33" s="12">
        <v>0</v>
      </c>
      <c r="DT33" s="12">
        <v>4</v>
      </c>
      <c r="DU33" s="12">
        <v>22</v>
      </c>
      <c r="DV33" s="12">
        <v>0</v>
      </c>
      <c r="DW33" s="12">
        <v>0</v>
      </c>
      <c r="DX33" s="12">
        <v>83</v>
      </c>
      <c r="DY33" s="12">
        <v>13</v>
      </c>
      <c r="DZ33" s="12">
        <v>30</v>
      </c>
      <c r="EA33" s="16">
        <v>0.43333333333333335</v>
      </c>
      <c r="EB33" s="12">
        <v>16</v>
      </c>
      <c r="EC33" s="12">
        <v>31</v>
      </c>
      <c r="ED33" s="16">
        <v>0.5161290322580645</v>
      </c>
      <c r="EE33" s="12">
        <v>29</v>
      </c>
      <c r="EF33" s="12">
        <v>61</v>
      </c>
      <c r="EG33" s="16">
        <v>0.47540983606557374</v>
      </c>
      <c r="EH33" s="12">
        <v>9</v>
      </c>
      <c r="EI33" s="12">
        <v>13</v>
      </c>
      <c r="EJ33" s="16">
        <v>0.69230769230769229</v>
      </c>
      <c r="EK33" s="12">
        <v>15</v>
      </c>
      <c r="EL33" s="12">
        <v>31</v>
      </c>
      <c r="EM33" s="12">
        <v>46</v>
      </c>
      <c r="EN33" s="12">
        <v>18</v>
      </c>
      <c r="EO33" s="12">
        <v>27</v>
      </c>
      <c r="EP33" s="12">
        <v>19</v>
      </c>
      <c r="EQ33" s="12">
        <v>4</v>
      </c>
      <c r="ER33" s="12">
        <v>14</v>
      </c>
      <c r="ES33" s="12">
        <v>1</v>
      </c>
      <c r="ET33" s="12">
        <v>1</v>
      </c>
      <c r="EU33" s="12">
        <v>93</v>
      </c>
      <c r="EV33" s="12">
        <v>24</v>
      </c>
      <c r="EW33" s="12">
        <v>66</v>
      </c>
      <c r="EX33" s="12">
        <v>81</v>
      </c>
      <c r="EY33" s="12">
        <v>6</v>
      </c>
      <c r="EZ33" s="12">
        <v>4</v>
      </c>
      <c r="FA33" s="12">
        <v>14</v>
      </c>
      <c r="FB33" s="12">
        <v>0</v>
      </c>
      <c r="FC33" s="12">
        <v>0</v>
      </c>
      <c r="FD33" s="12">
        <v>0</v>
      </c>
      <c r="FE33" s="12">
        <v>0</v>
      </c>
      <c r="FF33" s="12">
        <v>7</v>
      </c>
      <c r="FG33" s="12">
        <v>1</v>
      </c>
      <c r="FH33" s="12">
        <v>0</v>
      </c>
      <c r="FI33" s="12">
        <v>0</v>
      </c>
      <c r="FJ33" s="12">
        <v>0</v>
      </c>
      <c r="FK33" s="12">
        <v>0</v>
      </c>
      <c r="FL33" s="12">
        <v>8</v>
      </c>
      <c r="FM33" s="12">
        <v>1</v>
      </c>
      <c r="FN33" s="12">
        <v>0</v>
      </c>
      <c r="FO33" s="12">
        <v>0</v>
      </c>
      <c r="FP33" s="12">
        <v>3</v>
      </c>
      <c r="FQ33" s="12">
        <v>0</v>
      </c>
      <c r="FR33" s="12">
        <v>10</v>
      </c>
      <c r="FS33" s="12">
        <v>2</v>
      </c>
      <c r="FT33" s="12">
        <v>5</v>
      </c>
      <c r="FU33" s="12">
        <v>1</v>
      </c>
      <c r="FV33" s="12">
        <v>0</v>
      </c>
      <c r="FW33" s="12">
        <v>0</v>
      </c>
      <c r="FX33" s="12">
        <v>9</v>
      </c>
      <c r="FY33" s="12">
        <v>0</v>
      </c>
      <c r="FZ33" s="12">
        <v>4</v>
      </c>
      <c r="GA33" s="12">
        <v>1</v>
      </c>
      <c r="GB33" s="12">
        <v>0</v>
      </c>
      <c r="GC33" s="12">
        <v>0</v>
      </c>
      <c r="GD33" s="12">
        <v>0</v>
      </c>
      <c r="GE33" s="12">
        <v>0</v>
      </c>
      <c r="GF33" s="12">
        <v>7</v>
      </c>
      <c r="GG33" s="12">
        <v>10</v>
      </c>
      <c r="GH33" s="12">
        <v>1</v>
      </c>
      <c r="GI33" s="12">
        <v>2</v>
      </c>
      <c r="GJ33" s="12">
        <v>3</v>
      </c>
      <c r="GK33" s="12">
        <v>0</v>
      </c>
      <c r="GL33" s="12">
        <v>1</v>
      </c>
      <c r="GM33" s="12">
        <v>2</v>
      </c>
      <c r="GN33" s="12">
        <v>12</v>
      </c>
      <c r="GO33" s="12">
        <v>25</v>
      </c>
      <c r="GP33" s="12">
        <v>0</v>
      </c>
      <c r="GQ33" s="12">
        <v>3</v>
      </c>
      <c r="GR33" s="12">
        <v>0</v>
      </c>
      <c r="GS33" s="12">
        <v>0</v>
      </c>
      <c r="GT33" s="12">
        <v>16</v>
      </c>
      <c r="GU33" s="12">
        <v>31</v>
      </c>
      <c r="GV33" s="12">
        <v>0</v>
      </c>
      <c r="GW33" s="12">
        <v>0</v>
      </c>
    </row>
    <row r="34" spans="2:205" ht="15" customHeight="1" x14ac:dyDescent="0.2">
      <c r="B34" s="12">
        <v>2</v>
      </c>
      <c r="C34" s="12" t="s">
        <v>278</v>
      </c>
      <c r="D34" s="12" t="s">
        <v>293</v>
      </c>
      <c r="E34" s="14" t="s">
        <v>280</v>
      </c>
      <c r="F34" s="14" t="s">
        <v>295</v>
      </c>
      <c r="G34" s="15">
        <v>45212</v>
      </c>
      <c r="H34" s="15" t="s">
        <v>271</v>
      </c>
      <c r="I34" s="12" t="s">
        <v>269</v>
      </c>
      <c r="J34" s="12" t="s">
        <v>270</v>
      </c>
      <c r="K34" s="12">
        <v>200</v>
      </c>
      <c r="L34" s="12">
        <v>68</v>
      </c>
      <c r="M34" s="12">
        <v>21</v>
      </c>
      <c r="N34" s="12">
        <v>39</v>
      </c>
      <c r="O34" s="16">
        <v>0.53846153846153844</v>
      </c>
      <c r="P34" s="12">
        <v>7</v>
      </c>
      <c r="Q34" s="12">
        <v>25</v>
      </c>
      <c r="R34" s="16">
        <v>0.28000000000000003</v>
      </c>
      <c r="S34" s="12">
        <v>28</v>
      </c>
      <c r="T34" s="12">
        <v>64</v>
      </c>
      <c r="U34" s="16">
        <v>0.4375</v>
      </c>
      <c r="V34" s="12">
        <v>5</v>
      </c>
      <c r="W34" s="12">
        <v>7</v>
      </c>
      <c r="X34" s="16">
        <v>0.7142857142857143</v>
      </c>
      <c r="Y34" s="12">
        <v>10</v>
      </c>
      <c r="Z34" s="12">
        <v>16</v>
      </c>
      <c r="AA34" s="12">
        <v>26</v>
      </c>
      <c r="AB34" s="12">
        <v>17</v>
      </c>
      <c r="AC34" s="12">
        <v>12</v>
      </c>
      <c r="AD34" s="12">
        <v>11</v>
      </c>
      <c r="AE34" s="12">
        <v>2</v>
      </c>
      <c r="AF34" s="12">
        <v>3</v>
      </c>
      <c r="AG34" s="12">
        <v>16</v>
      </c>
      <c r="AH34" s="12">
        <v>15</v>
      </c>
      <c r="AI34" s="17">
        <v>70</v>
      </c>
      <c r="AJ34" s="12">
        <v>-9</v>
      </c>
      <c r="AK34" s="12">
        <v>67</v>
      </c>
      <c r="AL34" s="12">
        <v>77</v>
      </c>
      <c r="AM34" s="19">
        <v>0.88311688311688308</v>
      </c>
      <c r="AN34" s="19">
        <v>1.0694444444444444</v>
      </c>
      <c r="AO34" s="18">
        <v>101.49253731343283</v>
      </c>
      <c r="AP34" s="18">
        <v>118.46153846153847</v>
      </c>
      <c r="AQ34" s="18">
        <v>-16.969001148105633</v>
      </c>
      <c r="AR34" s="53">
        <v>0.4921875</v>
      </c>
      <c r="AS34" s="53">
        <v>0.52307692307692311</v>
      </c>
      <c r="AT34" s="16">
        <v>0.25974025974025972</v>
      </c>
      <c r="AU34" s="19">
        <v>1.4</v>
      </c>
      <c r="AV34" s="16">
        <v>0.19480519480519481</v>
      </c>
      <c r="AW34" s="19">
        <v>0.66666666666666663</v>
      </c>
      <c r="AX34" s="16">
        <v>5.1948051948051951E-2</v>
      </c>
      <c r="AY34" s="19">
        <v>1</v>
      </c>
      <c r="AZ34" s="16">
        <v>5.1948051948051951E-2</v>
      </c>
      <c r="BA34" s="19">
        <v>1.5</v>
      </c>
      <c r="BB34" s="16">
        <v>0.27272727272727271</v>
      </c>
      <c r="BC34" s="21">
        <v>0.7142857142857143</v>
      </c>
      <c r="BD34" s="16">
        <v>1.2987012987012988E-2</v>
      </c>
      <c r="BE34" s="16">
        <v>0.15584415584415584</v>
      </c>
      <c r="BF34" s="16">
        <v>0.58620689655172409</v>
      </c>
      <c r="BG34" s="16">
        <v>0.5714285714285714</v>
      </c>
      <c r="BH34" s="16">
        <v>0.7142857142857143</v>
      </c>
      <c r="BI34" s="16">
        <v>0</v>
      </c>
      <c r="BJ34" s="16">
        <v>0.22077922077922077</v>
      </c>
      <c r="BK34" s="21">
        <v>1.4166666666666667</v>
      </c>
      <c r="BL34" s="16">
        <v>0.2857142857142857</v>
      </c>
      <c r="BM34" s="16">
        <v>0.47619047619047616</v>
      </c>
      <c r="BN34" s="16">
        <v>0.25</v>
      </c>
      <c r="BO34" s="16">
        <v>0</v>
      </c>
      <c r="BP34" s="16">
        <v>0.69565217391304346</v>
      </c>
      <c r="BQ34" s="16">
        <v>0.66666666666666663</v>
      </c>
      <c r="BR34" s="16">
        <v>0.61538461538461542</v>
      </c>
      <c r="BS34" s="16">
        <v>1</v>
      </c>
      <c r="BT34" s="16">
        <v>0.44827586206896552</v>
      </c>
      <c r="BU34" s="16">
        <v>0.16923076923076924</v>
      </c>
      <c r="BV34" s="16">
        <v>4.0816326530612242E-2</v>
      </c>
      <c r="BW34" s="16">
        <v>4</v>
      </c>
      <c r="BX34" s="16">
        <v>0.3125</v>
      </c>
      <c r="BY34" s="16">
        <v>0.33333333333333331</v>
      </c>
      <c r="BZ34" s="12">
        <v>12</v>
      </c>
      <c r="CA34" s="12">
        <v>5</v>
      </c>
      <c r="CB34" s="12">
        <v>0</v>
      </c>
      <c r="CC34" s="12">
        <v>0</v>
      </c>
      <c r="CD34" s="12">
        <v>3</v>
      </c>
      <c r="CE34" s="12">
        <v>3</v>
      </c>
      <c r="CF34" s="12">
        <v>2</v>
      </c>
      <c r="CG34" s="12">
        <v>0</v>
      </c>
      <c r="CH34" s="12">
        <v>1</v>
      </c>
      <c r="CI34" s="12">
        <v>1</v>
      </c>
      <c r="CJ34" s="12">
        <v>1</v>
      </c>
      <c r="CK34" s="12">
        <v>0</v>
      </c>
      <c r="CL34" s="12">
        <v>3</v>
      </c>
      <c r="CM34" s="12">
        <v>1</v>
      </c>
      <c r="CN34" s="12">
        <v>0</v>
      </c>
      <c r="CO34" s="12">
        <v>0</v>
      </c>
      <c r="CP34" s="12">
        <v>2</v>
      </c>
      <c r="CQ34" s="12">
        <v>0</v>
      </c>
      <c r="CR34" s="12">
        <v>2</v>
      </c>
      <c r="CS34" s="12">
        <v>0</v>
      </c>
      <c r="CT34" s="12">
        <v>3</v>
      </c>
      <c r="CU34" s="12">
        <v>1</v>
      </c>
      <c r="CV34" s="12">
        <v>0</v>
      </c>
      <c r="CW34" s="12">
        <v>0</v>
      </c>
      <c r="CX34" s="12">
        <v>8</v>
      </c>
      <c r="CY34" s="12">
        <v>0</v>
      </c>
      <c r="CZ34" s="12">
        <v>1</v>
      </c>
      <c r="DA34" s="12">
        <v>0</v>
      </c>
      <c r="DB34" s="12">
        <v>1</v>
      </c>
      <c r="DC34" s="12">
        <v>1</v>
      </c>
      <c r="DD34" s="12">
        <v>2</v>
      </c>
      <c r="DE34" s="12">
        <v>4</v>
      </c>
      <c r="DF34" s="12">
        <v>2</v>
      </c>
      <c r="DG34" s="12">
        <v>2</v>
      </c>
      <c r="DH34" s="12">
        <v>0</v>
      </c>
      <c r="DI34" s="12">
        <v>0</v>
      </c>
      <c r="DJ34" s="12">
        <v>0</v>
      </c>
      <c r="DK34" s="12">
        <v>0</v>
      </c>
      <c r="DL34" s="12">
        <v>14</v>
      </c>
      <c r="DM34" s="12">
        <v>20</v>
      </c>
      <c r="DN34" s="12">
        <v>5</v>
      </c>
      <c r="DO34" s="12">
        <v>15</v>
      </c>
      <c r="DP34" s="12">
        <v>2</v>
      </c>
      <c r="DQ34" s="12">
        <v>4</v>
      </c>
      <c r="DR34" s="12">
        <v>2</v>
      </c>
      <c r="DS34" s="12">
        <v>4</v>
      </c>
      <c r="DT34" s="12">
        <v>5</v>
      </c>
      <c r="DU34" s="12">
        <v>21</v>
      </c>
      <c r="DV34" s="12">
        <v>0</v>
      </c>
      <c r="DW34" s="12">
        <v>0</v>
      </c>
      <c r="DX34" s="12">
        <v>77</v>
      </c>
      <c r="DY34" s="12">
        <v>12</v>
      </c>
      <c r="DZ34" s="12">
        <v>23</v>
      </c>
      <c r="EA34" s="16">
        <v>0.52173913043478259</v>
      </c>
      <c r="EB34" s="12">
        <v>15</v>
      </c>
      <c r="EC34" s="12">
        <v>26</v>
      </c>
      <c r="ED34" s="16">
        <v>0.57692307692307687</v>
      </c>
      <c r="EE34" s="12">
        <v>27</v>
      </c>
      <c r="EF34" s="12">
        <v>49</v>
      </c>
      <c r="EG34" s="16">
        <v>0.55102040816326525</v>
      </c>
      <c r="EH34" s="12">
        <v>8</v>
      </c>
      <c r="EI34" s="12">
        <v>10</v>
      </c>
      <c r="EJ34" s="16">
        <v>0.8</v>
      </c>
      <c r="EK34" s="12">
        <v>7</v>
      </c>
      <c r="EL34" s="12">
        <v>25</v>
      </c>
      <c r="EM34" s="12">
        <v>32</v>
      </c>
      <c r="EN34" s="12">
        <v>20</v>
      </c>
      <c r="EO34" s="12">
        <v>16</v>
      </c>
      <c r="EP34" s="12">
        <v>16</v>
      </c>
      <c r="EQ34" s="12">
        <v>7</v>
      </c>
      <c r="ER34" s="12">
        <v>18</v>
      </c>
      <c r="ES34" s="12">
        <v>3</v>
      </c>
      <c r="ET34" s="12">
        <v>2</v>
      </c>
      <c r="EU34" s="12">
        <v>95</v>
      </c>
      <c r="EV34" s="12">
        <v>9</v>
      </c>
      <c r="EW34" s="12">
        <v>65</v>
      </c>
      <c r="EX34" s="12">
        <v>72</v>
      </c>
      <c r="EY34" s="12">
        <v>5</v>
      </c>
      <c r="EZ34" s="12">
        <v>6</v>
      </c>
      <c r="FA34" s="12">
        <v>13</v>
      </c>
      <c r="FB34" s="12">
        <v>0</v>
      </c>
      <c r="FC34" s="12">
        <v>0</v>
      </c>
      <c r="FD34" s="12">
        <v>2</v>
      </c>
      <c r="FE34" s="12">
        <v>0</v>
      </c>
      <c r="FF34" s="12">
        <v>1</v>
      </c>
      <c r="FG34" s="12">
        <v>0</v>
      </c>
      <c r="FH34" s="12">
        <v>1</v>
      </c>
      <c r="FI34" s="12">
        <v>0</v>
      </c>
      <c r="FJ34" s="12">
        <v>0</v>
      </c>
      <c r="FK34" s="12">
        <v>0</v>
      </c>
      <c r="FL34" s="12">
        <v>3</v>
      </c>
      <c r="FM34" s="12">
        <v>2</v>
      </c>
      <c r="FN34" s="12">
        <v>0</v>
      </c>
      <c r="FO34" s="12">
        <v>0</v>
      </c>
      <c r="FP34" s="12">
        <v>2</v>
      </c>
      <c r="FQ34" s="12">
        <v>0</v>
      </c>
      <c r="FR34" s="12">
        <v>7</v>
      </c>
      <c r="FS34" s="12">
        <v>1</v>
      </c>
      <c r="FT34" s="12">
        <v>1</v>
      </c>
      <c r="FU34" s="12">
        <v>0</v>
      </c>
      <c r="FV34" s="12">
        <v>1</v>
      </c>
      <c r="FW34" s="12">
        <v>0</v>
      </c>
      <c r="FX34" s="12">
        <v>12</v>
      </c>
      <c r="FY34" s="12">
        <v>2</v>
      </c>
      <c r="FZ34" s="12">
        <v>1</v>
      </c>
      <c r="GA34" s="12">
        <v>0</v>
      </c>
      <c r="GB34" s="12">
        <v>0</v>
      </c>
      <c r="GC34" s="12">
        <v>0</v>
      </c>
      <c r="GD34" s="12">
        <v>0</v>
      </c>
      <c r="GE34" s="12">
        <v>0</v>
      </c>
      <c r="GF34" s="12">
        <v>8</v>
      </c>
      <c r="GG34" s="12">
        <v>10</v>
      </c>
      <c r="GH34" s="12">
        <v>0</v>
      </c>
      <c r="GI34" s="12">
        <v>0</v>
      </c>
      <c r="GJ34" s="12">
        <v>0</v>
      </c>
      <c r="GK34" s="12">
        <v>0</v>
      </c>
      <c r="GL34" s="12">
        <v>4</v>
      </c>
      <c r="GM34" s="12">
        <v>8</v>
      </c>
      <c r="GN34" s="12">
        <v>7</v>
      </c>
      <c r="GO34" s="12">
        <v>10</v>
      </c>
      <c r="GP34" s="12">
        <v>1</v>
      </c>
      <c r="GQ34" s="12">
        <v>5</v>
      </c>
      <c r="GR34" s="12">
        <v>2</v>
      </c>
      <c r="GS34" s="12">
        <v>2</v>
      </c>
      <c r="GT34" s="12">
        <v>13</v>
      </c>
      <c r="GU34" s="12">
        <v>24</v>
      </c>
      <c r="GV34" s="12">
        <v>0</v>
      </c>
      <c r="GW34" s="12">
        <v>0</v>
      </c>
    </row>
    <row r="35" spans="2:205" ht="15" customHeight="1" x14ac:dyDescent="0.2">
      <c r="B35" s="12">
        <v>2</v>
      </c>
      <c r="C35" s="12" t="s">
        <v>293</v>
      </c>
      <c r="D35" s="12" t="s">
        <v>278</v>
      </c>
      <c r="E35" s="14" t="s">
        <v>295</v>
      </c>
      <c r="F35" s="14" t="s">
        <v>280</v>
      </c>
      <c r="G35" s="15">
        <v>45212</v>
      </c>
      <c r="H35" s="15" t="s">
        <v>268</v>
      </c>
      <c r="I35" s="12" t="s">
        <v>269</v>
      </c>
      <c r="J35" s="12" t="s">
        <v>272</v>
      </c>
      <c r="K35" s="12">
        <v>200</v>
      </c>
      <c r="L35" s="12">
        <v>77</v>
      </c>
      <c r="M35" s="12">
        <v>12</v>
      </c>
      <c r="N35" s="12">
        <v>23</v>
      </c>
      <c r="O35" s="16">
        <v>0.52173913043478259</v>
      </c>
      <c r="P35" s="12">
        <v>15</v>
      </c>
      <c r="Q35" s="12">
        <v>26</v>
      </c>
      <c r="R35" s="16">
        <v>0.57692307692307687</v>
      </c>
      <c r="S35" s="12">
        <v>27</v>
      </c>
      <c r="T35" s="12">
        <v>49</v>
      </c>
      <c r="U35" s="16">
        <v>0.55102040816326525</v>
      </c>
      <c r="V35" s="12">
        <v>8</v>
      </c>
      <c r="W35" s="12">
        <v>10</v>
      </c>
      <c r="X35" s="16">
        <v>0.8</v>
      </c>
      <c r="Y35" s="12">
        <v>7</v>
      </c>
      <c r="Z35" s="12">
        <v>25</v>
      </c>
      <c r="AA35" s="12">
        <v>32</v>
      </c>
      <c r="AB35" s="12">
        <v>20</v>
      </c>
      <c r="AC35" s="12">
        <v>18</v>
      </c>
      <c r="AD35" s="12">
        <v>7</v>
      </c>
      <c r="AE35" s="12">
        <v>3</v>
      </c>
      <c r="AF35" s="12">
        <v>2</v>
      </c>
      <c r="AG35" s="12">
        <v>15</v>
      </c>
      <c r="AH35" s="12">
        <v>16</v>
      </c>
      <c r="AI35" s="17">
        <v>96</v>
      </c>
      <c r="AJ35" s="12">
        <v>9</v>
      </c>
      <c r="AK35" s="12">
        <v>65</v>
      </c>
      <c r="AL35" s="12">
        <v>72</v>
      </c>
      <c r="AM35" s="19">
        <v>1.0694444444444444</v>
      </c>
      <c r="AN35" s="19">
        <v>0.88311688311688308</v>
      </c>
      <c r="AO35" s="18">
        <v>118.46153846153847</v>
      </c>
      <c r="AP35" s="18">
        <v>101.49253731343283</v>
      </c>
      <c r="AQ35" s="18">
        <v>16.969001148105633</v>
      </c>
      <c r="AR35" s="53">
        <v>0.70408163265306123</v>
      </c>
      <c r="AS35" s="53">
        <v>0.71296296296296291</v>
      </c>
      <c r="AT35" s="16">
        <v>0.1111111111111111</v>
      </c>
      <c r="AU35" s="19">
        <v>1</v>
      </c>
      <c r="AV35" s="16">
        <v>0.1388888888888889</v>
      </c>
      <c r="AW35" s="19">
        <v>1.4</v>
      </c>
      <c r="AX35" s="16">
        <v>6.9444444444444448E-2</v>
      </c>
      <c r="AY35" s="19">
        <v>0.4</v>
      </c>
      <c r="AZ35" s="16">
        <v>2.7777777777777776E-2</v>
      </c>
      <c r="BA35" s="19">
        <v>3</v>
      </c>
      <c r="BB35" s="16">
        <v>0.33333333333333331</v>
      </c>
      <c r="BC35" s="21">
        <v>1.625</v>
      </c>
      <c r="BD35" s="16">
        <v>6.9444444444444448E-2</v>
      </c>
      <c r="BE35" s="16">
        <v>0.25</v>
      </c>
      <c r="BF35" s="16">
        <v>0.59375</v>
      </c>
      <c r="BG35" s="16">
        <v>0.5</v>
      </c>
      <c r="BH35" s="16">
        <v>0.8666666666666667</v>
      </c>
      <c r="BI35" s="16">
        <v>0</v>
      </c>
      <c r="BJ35" s="16">
        <v>0.27777777777777779</v>
      </c>
      <c r="BK35" s="21">
        <v>1.1111111111111112</v>
      </c>
      <c r="BL35" s="16">
        <v>0.30434782608695654</v>
      </c>
      <c r="BM35" s="16">
        <v>0.33333333333333331</v>
      </c>
      <c r="BN35" s="16">
        <v>0.38461538461538464</v>
      </c>
      <c r="BO35" s="16">
        <v>0</v>
      </c>
      <c r="BP35" s="16">
        <v>0.7142857142857143</v>
      </c>
      <c r="BQ35" s="16">
        <v>0.52380952380952384</v>
      </c>
      <c r="BR35" s="16">
        <v>0.75</v>
      </c>
      <c r="BS35" s="16">
        <v>1</v>
      </c>
      <c r="BT35" s="16">
        <v>0.55172413793103448</v>
      </c>
      <c r="BU35" s="16">
        <v>0.1044776119402985</v>
      </c>
      <c r="BV35" s="16">
        <v>4.6875E-2</v>
      </c>
      <c r="BW35" s="16">
        <v>5</v>
      </c>
      <c r="BX35" s="16">
        <v>0.33333333333333331</v>
      </c>
      <c r="BY35" s="16">
        <v>0.3125</v>
      </c>
      <c r="BZ35" s="12">
        <v>6</v>
      </c>
      <c r="CA35" s="12">
        <v>13</v>
      </c>
      <c r="CB35" s="12">
        <v>0</v>
      </c>
      <c r="CC35" s="12">
        <v>0</v>
      </c>
      <c r="CD35" s="12">
        <v>2</v>
      </c>
      <c r="CE35" s="12">
        <v>0</v>
      </c>
      <c r="CF35" s="12">
        <v>1</v>
      </c>
      <c r="CG35" s="12">
        <v>0</v>
      </c>
      <c r="CH35" s="12">
        <v>1</v>
      </c>
      <c r="CI35" s="12">
        <v>0</v>
      </c>
      <c r="CJ35" s="12">
        <v>0</v>
      </c>
      <c r="CK35" s="12">
        <v>0</v>
      </c>
      <c r="CL35" s="12">
        <v>3</v>
      </c>
      <c r="CM35" s="12">
        <v>2</v>
      </c>
      <c r="CN35" s="12">
        <v>0</v>
      </c>
      <c r="CO35" s="12">
        <v>0</v>
      </c>
      <c r="CP35" s="12">
        <v>2</v>
      </c>
      <c r="CQ35" s="12">
        <v>0</v>
      </c>
      <c r="CR35" s="12">
        <v>7</v>
      </c>
      <c r="CS35" s="12">
        <v>1</v>
      </c>
      <c r="CT35" s="12">
        <v>1</v>
      </c>
      <c r="CU35" s="12">
        <v>0</v>
      </c>
      <c r="CV35" s="12">
        <v>1</v>
      </c>
      <c r="CW35" s="12">
        <v>0</v>
      </c>
      <c r="CX35" s="12">
        <v>12</v>
      </c>
      <c r="CY35" s="12">
        <v>2</v>
      </c>
      <c r="CZ35" s="12">
        <v>1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8</v>
      </c>
      <c r="DG35" s="12">
        <v>10</v>
      </c>
      <c r="DH35" s="12">
        <v>0</v>
      </c>
      <c r="DI35" s="12">
        <v>0</v>
      </c>
      <c r="DJ35" s="12">
        <v>0</v>
      </c>
      <c r="DK35" s="12">
        <v>0</v>
      </c>
      <c r="DL35" s="12">
        <v>4</v>
      </c>
      <c r="DM35" s="12">
        <v>8</v>
      </c>
      <c r="DN35" s="12">
        <v>7</v>
      </c>
      <c r="DO35" s="12">
        <v>10</v>
      </c>
      <c r="DP35" s="12">
        <v>1</v>
      </c>
      <c r="DQ35" s="12">
        <v>5</v>
      </c>
      <c r="DR35" s="12">
        <v>2</v>
      </c>
      <c r="DS35" s="12">
        <v>2</v>
      </c>
      <c r="DT35" s="12">
        <v>13</v>
      </c>
      <c r="DU35" s="12">
        <v>24</v>
      </c>
      <c r="DV35" s="12">
        <v>0</v>
      </c>
      <c r="DW35" s="12">
        <v>0</v>
      </c>
      <c r="DX35" s="12">
        <v>68</v>
      </c>
      <c r="DY35" s="12">
        <v>21</v>
      </c>
      <c r="DZ35" s="12">
        <v>39</v>
      </c>
      <c r="EA35" s="16">
        <v>0.53846153846153844</v>
      </c>
      <c r="EB35" s="12">
        <v>7</v>
      </c>
      <c r="EC35" s="12">
        <v>25</v>
      </c>
      <c r="ED35" s="16">
        <v>0.28000000000000003</v>
      </c>
      <c r="EE35" s="12">
        <v>28</v>
      </c>
      <c r="EF35" s="12">
        <v>64</v>
      </c>
      <c r="EG35" s="16">
        <v>0.4375</v>
      </c>
      <c r="EH35" s="12">
        <v>5</v>
      </c>
      <c r="EI35" s="12">
        <v>7</v>
      </c>
      <c r="EJ35" s="16">
        <v>0.7142857142857143</v>
      </c>
      <c r="EK35" s="12">
        <v>10</v>
      </c>
      <c r="EL35" s="12">
        <v>16</v>
      </c>
      <c r="EM35" s="12">
        <v>26</v>
      </c>
      <c r="EN35" s="12">
        <v>17</v>
      </c>
      <c r="EO35" s="12">
        <v>16</v>
      </c>
      <c r="EP35" s="12">
        <v>15</v>
      </c>
      <c r="EQ35" s="12">
        <v>11</v>
      </c>
      <c r="ER35" s="12">
        <v>12</v>
      </c>
      <c r="ES35" s="12">
        <v>2</v>
      </c>
      <c r="ET35" s="12">
        <v>3</v>
      </c>
      <c r="EU35" s="12">
        <v>70</v>
      </c>
      <c r="EV35" s="12">
        <v>-9</v>
      </c>
      <c r="EW35" s="12">
        <v>67</v>
      </c>
      <c r="EX35" s="12">
        <v>77</v>
      </c>
      <c r="EY35" s="12">
        <v>4</v>
      </c>
      <c r="EZ35" s="12">
        <v>12</v>
      </c>
      <c r="FA35" s="12">
        <v>5</v>
      </c>
      <c r="FB35" s="12">
        <v>0</v>
      </c>
      <c r="FC35" s="12">
        <v>0</v>
      </c>
      <c r="FD35" s="12">
        <v>3</v>
      </c>
      <c r="FE35" s="12">
        <v>3</v>
      </c>
      <c r="FF35" s="12">
        <v>2</v>
      </c>
      <c r="FG35" s="12">
        <v>0</v>
      </c>
      <c r="FH35" s="12">
        <v>1</v>
      </c>
      <c r="FI35" s="12">
        <v>1</v>
      </c>
      <c r="FJ35" s="12">
        <v>1</v>
      </c>
      <c r="FK35" s="12">
        <v>0</v>
      </c>
      <c r="FL35" s="12">
        <v>3</v>
      </c>
      <c r="FM35" s="12">
        <v>1</v>
      </c>
      <c r="FN35" s="12">
        <v>0</v>
      </c>
      <c r="FO35" s="12">
        <v>0</v>
      </c>
      <c r="FP35" s="12">
        <v>2</v>
      </c>
      <c r="FQ35" s="12">
        <v>0</v>
      </c>
      <c r="FR35" s="12">
        <v>2</v>
      </c>
      <c r="FS35" s="12">
        <v>0</v>
      </c>
      <c r="FT35" s="12">
        <v>3</v>
      </c>
      <c r="FU35" s="12">
        <v>1</v>
      </c>
      <c r="FV35" s="12">
        <v>0</v>
      </c>
      <c r="FW35" s="12">
        <v>0</v>
      </c>
      <c r="FX35" s="12">
        <v>8</v>
      </c>
      <c r="FY35" s="12">
        <v>0</v>
      </c>
      <c r="FZ35" s="12">
        <v>1</v>
      </c>
      <c r="GA35" s="12">
        <v>0</v>
      </c>
      <c r="GB35" s="12">
        <v>1</v>
      </c>
      <c r="GC35" s="12">
        <v>1</v>
      </c>
      <c r="GD35" s="12">
        <v>2</v>
      </c>
      <c r="GE35" s="12">
        <v>4</v>
      </c>
      <c r="GF35" s="12">
        <v>2</v>
      </c>
      <c r="GG35" s="12">
        <v>2</v>
      </c>
      <c r="GH35" s="12">
        <v>0</v>
      </c>
      <c r="GI35" s="12">
        <v>0</v>
      </c>
      <c r="GJ35" s="12">
        <v>0</v>
      </c>
      <c r="GK35" s="12">
        <v>0</v>
      </c>
      <c r="GL35" s="12">
        <v>14</v>
      </c>
      <c r="GM35" s="12">
        <v>20</v>
      </c>
      <c r="GN35" s="12">
        <v>5</v>
      </c>
      <c r="GO35" s="12">
        <v>15</v>
      </c>
      <c r="GP35" s="12">
        <v>2</v>
      </c>
      <c r="GQ35" s="12">
        <v>4</v>
      </c>
      <c r="GR35" s="12">
        <v>2</v>
      </c>
      <c r="GS35" s="12">
        <v>4</v>
      </c>
      <c r="GT35" s="12">
        <v>5</v>
      </c>
      <c r="GU35" s="12">
        <v>21</v>
      </c>
      <c r="GV35" s="12">
        <v>0</v>
      </c>
      <c r="GW35" s="12">
        <v>0</v>
      </c>
    </row>
    <row r="36" spans="2:205" ht="15" customHeight="1" x14ac:dyDescent="0.2">
      <c r="B36" s="12">
        <v>2</v>
      </c>
      <c r="C36" s="12" t="s">
        <v>290</v>
      </c>
      <c r="D36" s="12" t="s">
        <v>93</v>
      </c>
      <c r="E36" s="14" t="s">
        <v>292</v>
      </c>
      <c r="F36" s="14" t="s">
        <v>303</v>
      </c>
      <c r="G36" s="15">
        <v>45212</v>
      </c>
      <c r="H36" s="15" t="s">
        <v>271</v>
      </c>
      <c r="I36" s="12" t="s">
        <v>269</v>
      </c>
      <c r="J36" s="12" t="s">
        <v>272</v>
      </c>
      <c r="K36" s="12">
        <v>200</v>
      </c>
      <c r="L36" s="12">
        <v>77</v>
      </c>
      <c r="M36" s="12">
        <v>24</v>
      </c>
      <c r="N36" s="12">
        <v>49</v>
      </c>
      <c r="O36" s="16">
        <v>0.48979591836734693</v>
      </c>
      <c r="P36" s="12">
        <v>4</v>
      </c>
      <c r="Q36" s="12">
        <v>13</v>
      </c>
      <c r="R36" s="16">
        <v>0.30769230769230771</v>
      </c>
      <c r="S36" s="12">
        <v>28</v>
      </c>
      <c r="T36" s="12">
        <v>62</v>
      </c>
      <c r="U36" s="16">
        <v>0.45161290322580644</v>
      </c>
      <c r="V36" s="12">
        <v>17</v>
      </c>
      <c r="W36" s="12">
        <v>24</v>
      </c>
      <c r="X36" s="16">
        <v>0.70833333333333337</v>
      </c>
      <c r="Y36" s="12">
        <v>14</v>
      </c>
      <c r="Z36" s="12">
        <v>28</v>
      </c>
      <c r="AA36" s="12">
        <v>42</v>
      </c>
      <c r="AB36" s="12">
        <v>17</v>
      </c>
      <c r="AC36" s="12">
        <v>12</v>
      </c>
      <c r="AD36" s="12">
        <v>4</v>
      </c>
      <c r="AE36" s="12">
        <v>2</v>
      </c>
      <c r="AF36" s="12">
        <v>6</v>
      </c>
      <c r="AG36" s="12">
        <v>21</v>
      </c>
      <c r="AH36" s="12">
        <v>26</v>
      </c>
      <c r="AI36" s="17">
        <v>88</v>
      </c>
      <c r="AJ36" s="12">
        <v>3</v>
      </c>
      <c r="AK36" s="12">
        <v>69</v>
      </c>
      <c r="AL36" s="12">
        <v>83</v>
      </c>
      <c r="AM36" s="19">
        <v>0.92771084337349397</v>
      </c>
      <c r="AN36" s="19">
        <v>0.89156626506024095</v>
      </c>
      <c r="AO36" s="18">
        <v>111.59420289855073</v>
      </c>
      <c r="AP36" s="18">
        <v>104.22535211267605</v>
      </c>
      <c r="AQ36" s="18">
        <v>7.3688507858746846</v>
      </c>
      <c r="AR36" s="53">
        <v>0.4838709677419355</v>
      </c>
      <c r="AS36" s="53">
        <v>0.54225352112676062</v>
      </c>
      <c r="AT36" s="16">
        <v>0.30120481927710846</v>
      </c>
      <c r="AU36" s="19">
        <v>0.88</v>
      </c>
      <c r="AV36" s="16">
        <v>0.12048192771084337</v>
      </c>
      <c r="AW36" s="19">
        <v>1</v>
      </c>
      <c r="AX36" s="16">
        <v>0.16867469879518071</v>
      </c>
      <c r="AY36" s="19">
        <v>1.1428571428571428</v>
      </c>
      <c r="AZ36" s="16">
        <v>3.614457831325301E-2</v>
      </c>
      <c r="BA36" s="19">
        <v>1</v>
      </c>
      <c r="BB36" s="16">
        <v>0.12048192771084337</v>
      </c>
      <c r="BC36" s="21">
        <v>0.9</v>
      </c>
      <c r="BD36" s="16">
        <v>0.10843373493975904</v>
      </c>
      <c r="BE36" s="16">
        <v>0.14457831325301204</v>
      </c>
      <c r="BF36" s="16">
        <v>0.47222222222222221</v>
      </c>
      <c r="BG36" s="16">
        <v>0.5</v>
      </c>
      <c r="BH36" s="16">
        <v>0.75</v>
      </c>
      <c r="BI36" s="16">
        <v>0.25</v>
      </c>
      <c r="BJ36" s="16">
        <v>0.20481927710843373</v>
      </c>
      <c r="BK36" s="21">
        <v>1.4166666666666667</v>
      </c>
      <c r="BL36" s="16">
        <v>0.41176470588235292</v>
      </c>
      <c r="BM36" s="16">
        <v>0.39285714285714285</v>
      </c>
      <c r="BN36" s="16">
        <v>0.5</v>
      </c>
      <c r="BO36" s="16">
        <v>0</v>
      </c>
      <c r="BP36" s="16">
        <v>0.7</v>
      </c>
      <c r="BQ36" s="16">
        <v>0.5714285714285714</v>
      </c>
      <c r="BR36" s="16">
        <v>0.72413793103448276</v>
      </c>
      <c r="BS36" s="16">
        <v>0.5</v>
      </c>
      <c r="BT36" s="16">
        <v>0.56756756756756754</v>
      </c>
      <c r="BU36" s="16">
        <v>5.6338028169014086E-2</v>
      </c>
      <c r="BV36" s="16">
        <v>3.0769230769230771E-2</v>
      </c>
      <c r="BW36" s="16">
        <v>6</v>
      </c>
      <c r="BX36" s="16">
        <v>0.42857142857142855</v>
      </c>
      <c r="BY36" s="16">
        <v>0.46153846153846156</v>
      </c>
      <c r="BZ36" s="12">
        <v>12</v>
      </c>
      <c r="CA36" s="12">
        <v>3</v>
      </c>
      <c r="CB36" s="12">
        <v>2</v>
      </c>
      <c r="CC36" s="12">
        <v>5</v>
      </c>
      <c r="CD36" s="12">
        <v>6</v>
      </c>
      <c r="CE36" s="12">
        <v>2</v>
      </c>
      <c r="CF36" s="12">
        <v>1</v>
      </c>
      <c r="CG36" s="12">
        <v>0</v>
      </c>
      <c r="CH36" s="12">
        <v>2</v>
      </c>
      <c r="CI36" s="12">
        <v>0</v>
      </c>
      <c r="CJ36" s="12">
        <v>1</v>
      </c>
      <c r="CK36" s="12">
        <v>0</v>
      </c>
      <c r="CL36" s="12">
        <v>4</v>
      </c>
      <c r="CM36" s="12">
        <v>0</v>
      </c>
      <c r="CN36" s="12">
        <v>0</v>
      </c>
      <c r="CO36" s="12">
        <v>0</v>
      </c>
      <c r="CP36" s="12">
        <v>2</v>
      </c>
      <c r="CQ36" s="12">
        <v>0</v>
      </c>
      <c r="CR36" s="12">
        <v>5</v>
      </c>
      <c r="CS36" s="12">
        <v>0</v>
      </c>
      <c r="CT36" s="12">
        <v>1</v>
      </c>
      <c r="CU36" s="12">
        <v>0</v>
      </c>
      <c r="CV36" s="12">
        <v>6</v>
      </c>
      <c r="CW36" s="12">
        <v>1</v>
      </c>
      <c r="CX36" s="12">
        <v>12</v>
      </c>
      <c r="CY36" s="12">
        <v>2</v>
      </c>
      <c r="CZ36" s="12">
        <v>1</v>
      </c>
      <c r="DA36" s="12">
        <v>0</v>
      </c>
      <c r="DB36" s="12">
        <v>2</v>
      </c>
      <c r="DC36" s="12">
        <v>2</v>
      </c>
      <c r="DD36" s="12">
        <v>2</v>
      </c>
      <c r="DE36" s="12">
        <v>3</v>
      </c>
      <c r="DF36" s="12">
        <v>10</v>
      </c>
      <c r="DG36" s="12">
        <v>16</v>
      </c>
      <c r="DH36" s="12">
        <v>1</v>
      </c>
      <c r="DI36" s="12">
        <v>3</v>
      </c>
      <c r="DJ36" s="12">
        <v>3</v>
      </c>
      <c r="DK36" s="12">
        <v>0</v>
      </c>
      <c r="DL36" s="12">
        <v>11</v>
      </c>
      <c r="DM36" s="12">
        <v>25</v>
      </c>
      <c r="DN36" s="12">
        <v>5</v>
      </c>
      <c r="DO36" s="12">
        <v>10</v>
      </c>
      <c r="DP36" s="12">
        <v>8</v>
      </c>
      <c r="DQ36" s="12">
        <v>14</v>
      </c>
      <c r="DR36" s="12">
        <v>1</v>
      </c>
      <c r="DS36" s="12">
        <v>3</v>
      </c>
      <c r="DT36" s="12">
        <v>3</v>
      </c>
      <c r="DU36" s="12">
        <v>10</v>
      </c>
      <c r="DV36" s="12">
        <v>0</v>
      </c>
      <c r="DW36" s="12">
        <v>0</v>
      </c>
      <c r="DX36" s="12">
        <v>74</v>
      </c>
      <c r="DY36" s="12">
        <v>15</v>
      </c>
      <c r="DZ36" s="12">
        <v>28</v>
      </c>
      <c r="EA36" s="16">
        <v>0.5357142857142857</v>
      </c>
      <c r="EB36" s="12">
        <v>11</v>
      </c>
      <c r="EC36" s="12">
        <v>37</v>
      </c>
      <c r="ED36" s="16">
        <v>0.29729729729729731</v>
      </c>
      <c r="EE36" s="12">
        <v>26</v>
      </c>
      <c r="EF36" s="12">
        <v>65</v>
      </c>
      <c r="EG36" s="16">
        <v>0.4</v>
      </c>
      <c r="EH36" s="12">
        <v>11</v>
      </c>
      <c r="EI36" s="12">
        <v>19</v>
      </c>
      <c r="EJ36" s="16">
        <v>0.57894736842105265</v>
      </c>
      <c r="EK36" s="12">
        <v>12</v>
      </c>
      <c r="EL36" s="12">
        <v>20</v>
      </c>
      <c r="EM36" s="12">
        <v>32</v>
      </c>
      <c r="EN36" s="12">
        <v>13</v>
      </c>
      <c r="EO36" s="12">
        <v>28</v>
      </c>
      <c r="EP36" s="12">
        <v>21</v>
      </c>
      <c r="EQ36" s="12">
        <v>6</v>
      </c>
      <c r="ER36" s="12">
        <v>9</v>
      </c>
      <c r="ES36" s="12">
        <v>6</v>
      </c>
      <c r="ET36" s="12">
        <v>2</v>
      </c>
      <c r="EU36" s="12">
        <v>66</v>
      </c>
      <c r="EV36" s="12">
        <v>-3</v>
      </c>
      <c r="EW36" s="12">
        <v>71</v>
      </c>
      <c r="EX36" s="12">
        <v>83</v>
      </c>
      <c r="EY36" s="12">
        <v>3</v>
      </c>
      <c r="EZ36" s="12">
        <v>5</v>
      </c>
      <c r="FA36" s="12">
        <v>7</v>
      </c>
      <c r="FB36" s="12">
        <v>1</v>
      </c>
      <c r="FC36" s="12">
        <v>0</v>
      </c>
      <c r="FD36" s="12">
        <v>4</v>
      </c>
      <c r="FE36" s="12">
        <v>1</v>
      </c>
      <c r="FF36" s="12">
        <v>0</v>
      </c>
      <c r="FG36" s="12">
        <v>0</v>
      </c>
      <c r="FH36" s="12">
        <v>1</v>
      </c>
      <c r="FI36" s="12">
        <v>0</v>
      </c>
      <c r="FJ36" s="12">
        <v>0</v>
      </c>
      <c r="FK36" s="12">
        <v>0</v>
      </c>
      <c r="FL36" s="12">
        <v>6</v>
      </c>
      <c r="FM36" s="12">
        <v>2</v>
      </c>
      <c r="FN36" s="12">
        <v>1</v>
      </c>
      <c r="FO36" s="12">
        <v>0</v>
      </c>
      <c r="FP36" s="12">
        <v>7</v>
      </c>
      <c r="FQ36" s="12">
        <v>0</v>
      </c>
      <c r="FR36" s="12">
        <v>4</v>
      </c>
      <c r="FS36" s="12">
        <v>1</v>
      </c>
      <c r="FT36" s="12">
        <v>4</v>
      </c>
      <c r="FU36" s="12">
        <v>1</v>
      </c>
      <c r="FV36" s="12">
        <v>1</v>
      </c>
      <c r="FW36" s="12">
        <v>0</v>
      </c>
      <c r="FX36" s="12">
        <v>3</v>
      </c>
      <c r="FY36" s="12">
        <v>1</v>
      </c>
      <c r="FZ36" s="12">
        <v>1</v>
      </c>
      <c r="GA36" s="12">
        <v>0</v>
      </c>
      <c r="GB36" s="12">
        <v>0</v>
      </c>
      <c r="GC36" s="12">
        <v>1</v>
      </c>
      <c r="GD36" s="12">
        <v>0</v>
      </c>
      <c r="GE36" s="12">
        <v>0</v>
      </c>
      <c r="GF36" s="12">
        <v>11</v>
      </c>
      <c r="GG36" s="12">
        <v>18</v>
      </c>
      <c r="GH36" s="12">
        <v>1</v>
      </c>
      <c r="GI36" s="12">
        <v>0</v>
      </c>
      <c r="GJ36" s="12">
        <v>0</v>
      </c>
      <c r="GK36" s="12">
        <v>0</v>
      </c>
      <c r="GL36" s="12">
        <v>11</v>
      </c>
      <c r="GM36" s="12">
        <v>17</v>
      </c>
      <c r="GN36" s="12">
        <v>3</v>
      </c>
      <c r="GO36" s="12">
        <v>8</v>
      </c>
      <c r="GP36" s="12">
        <v>1</v>
      </c>
      <c r="GQ36" s="12">
        <v>3</v>
      </c>
      <c r="GR36" s="12">
        <v>2</v>
      </c>
      <c r="GS36" s="12">
        <v>8</v>
      </c>
      <c r="GT36" s="12">
        <v>9</v>
      </c>
      <c r="GU36" s="12">
        <v>28</v>
      </c>
      <c r="GV36" s="12">
        <v>0</v>
      </c>
      <c r="GW36" s="12">
        <v>1</v>
      </c>
    </row>
    <row r="37" spans="2:205" ht="15" customHeight="1" x14ac:dyDescent="0.2">
      <c r="B37" s="12">
        <v>2</v>
      </c>
      <c r="C37" s="12" t="s">
        <v>93</v>
      </c>
      <c r="D37" s="12" t="s">
        <v>290</v>
      </c>
      <c r="E37" s="14" t="s">
        <v>303</v>
      </c>
      <c r="F37" s="14" t="s">
        <v>292</v>
      </c>
      <c r="G37" s="15">
        <v>45212</v>
      </c>
      <c r="H37" s="15" t="s">
        <v>268</v>
      </c>
      <c r="I37" s="12" t="s">
        <v>269</v>
      </c>
      <c r="J37" s="12" t="s">
        <v>270</v>
      </c>
      <c r="K37" s="12">
        <v>200</v>
      </c>
      <c r="L37" s="12">
        <v>74</v>
      </c>
      <c r="M37" s="12">
        <v>15</v>
      </c>
      <c r="N37" s="12">
        <v>28</v>
      </c>
      <c r="O37" s="16">
        <v>0.5357142857142857</v>
      </c>
      <c r="P37" s="12">
        <v>11</v>
      </c>
      <c r="Q37" s="12">
        <v>37</v>
      </c>
      <c r="R37" s="16">
        <v>0.29729729729729731</v>
      </c>
      <c r="S37" s="12">
        <v>26</v>
      </c>
      <c r="T37" s="12">
        <v>65</v>
      </c>
      <c r="U37" s="16">
        <v>0.4</v>
      </c>
      <c r="V37" s="12">
        <v>11</v>
      </c>
      <c r="W37" s="12">
        <v>19</v>
      </c>
      <c r="X37" s="16">
        <v>0.57894736842105265</v>
      </c>
      <c r="Y37" s="12">
        <v>12</v>
      </c>
      <c r="Z37" s="12">
        <v>20</v>
      </c>
      <c r="AA37" s="12">
        <v>32</v>
      </c>
      <c r="AB37" s="12">
        <v>13</v>
      </c>
      <c r="AC37" s="12">
        <v>9</v>
      </c>
      <c r="AD37" s="12">
        <v>6</v>
      </c>
      <c r="AE37" s="12">
        <v>6</v>
      </c>
      <c r="AF37" s="12">
        <v>2</v>
      </c>
      <c r="AG37" s="12">
        <v>27</v>
      </c>
      <c r="AH37" s="12">
        <v>21</v>
      </c>
      <c r="AI37" s="17">
        <v>67</v>
      </c>
      <c r="AJ37" s="12">
        <v>-3</v>
      </c>
      <c r="AK37" s="12">
        <v>71</v>
      </c>
      <c r="AL37" s="12">
        <v>83</v>
      </c>
      <c r="AM37" s="19">
        <v>0.89156626506024095</v>
      </c>
      <c r="AN37" s="19">
        <v>0.92771084337349397</v>
      </c>
      <c r="AO37" s="18">
        <v>104.22535211267605</v>
      </c>
      <c r="AP37" s="18">
        <v>111.59420289855073</v>
      </c>
      <c r="AQ37" s="18">
        <v>-7.3688507858746846</v>
      </c>
      <c r="AR37" s="53">
        <v>0.48461538461538461</v>
      </c>
      <c r="AS37" s="53">
        <v>0.5</v>
      </c>
      <c r="AT37" s="16">
        <v>0.20481927710843373</v>
      </c>
      <c r="AU37" s="19">
        <v>1.2941176470588236</v>
      </c>
      <c r="AV37" s="16">
        <v>9.6385542168674704E-2</v>
      </c>
      <c r="AW37" s="19">
        <v>0.75</v>
      </c>
      <c r="AX37" s="16">
        <v>3.614457831325301E-2</v>
      </c>
      <c r="AY37" s="19">
        <v>0.66666666666666663</v>
      </c>
      <c r="AZ37" s="16">
        <v>9.6385542168674704E-2</v>
      </c>
      <c r="BA37" s="19">
        <v>0.75</v>
      </c>
      <c r="BB37" s="16">
        <v>0.33734939759036142</v>
      </c>
      <c r="BC37" s="21">
        <v>0.9642857142857143</v>
      </c>
      <c r="BD37" s="16">
        <v>0.10843373493975904</v>
      </c>
      <c r="BE37" s="16">
        <v>0.10843373493975904</v>
      </c>
      <c r="BF37" s="16">
        <v>0.38235294117647056</v>
      </c>
      <c r="BG37" s="16">
        <v>0.33333333333333331</v>
      </c>
      <c r="BH37" s="16">
        <v>0.63636363636363635</v>
      </c>
      <c r="BI37" s="16">
        <v>0.125</v>
      </c>
      <c r="BJ37" s="16">
        <v>0.15662650602409639</v>
      </c>
      <c r="BK37" s="21">
        <v>1.4444444444444444</v>
      </c>
      <c r="BL37" s="16">
        <v>0.3</v>
      </c>
      <c r="BM37" s="16">
        <v>0.42857142857142855</v>
      </c>
      <c r="BN37" s="16">
        <v>0.27586206896551724</v>
      </c>
      <c r="BO37" s="16">
        <v>0.5</v>
      </c>
      <c r="BP37" s="16">
        <v>0.58823529411764708</v>
      </c>
      <c r="BQ37" s="16">
        <v>0.6071428571428571</v>
      </c>
      <c r="BR37" s="16">
        <v>0.5</v>
      </c>
      <c r="BS37" s="16">
        <v>1</v>
      </c>
      <c r="BT37" s="16">
        <v>0.43243243243243246</v>
      </c>
      <c r="BU37" s="16">
        <v>8.6956521739130432E-2</v>
      </c>
      <c r="BV37" s="16">
        <v>9.6774193548387094E-2</v>
      </c>
      <c r="BW37" s="16">
        <v>3</v>
      </c>
      <c r="BX37" s="16">
        <v>0.44444444444444442</v>
      </c>
      <c r="BY37" s="16">
        <v>0.42857142857142855</v>
      </c>
      <c r="BZ37" s="12">
        <v>5</v>
      </c>
      <c r="CA37" s="12">
        <v>7</v>
      </c>
      <c r="CB37" s="12">
        <v>1</v>
      </c>
      <c r="CC37" s="12">
        <v>0</v>
      </c>
      <c r="CD37" s="12">
        <v>4</v>
      </c>
      <c r="CE37" s="12">
        <v>1</v>
      </c>
      <c r="CF37" s="12">
        <v>0</v>
      </c>
      <c r="CG37" s="12">
        <v>0</v>
      </c>
      <c r="CH37" s="12">
        <v>1</v>
      </c>
      <c r="CI37" s="12">
        <v>0</v>
      </c>
      <c r="CJ37" s="12">
        <v>0</v>
      </c>
      <c r="CK37" s="12">
        <v>0</v>
      </c>
      <c r="CL37" s="12">
        <v>6</v>
      </c>
      <c r="CM37" s="12">
        <v>2</v>
      </c>
      <c r="CN37" s="12">
        <v>1</v>
      </c>
      <c r="CO37" s="12">
        <v>0</v>
      </c>
      <c r="CP37" s="12">
        <v>7</v>
      </c>
      <c r="CQ37" s="12">
        <v>0</v>
      </c>
      <c r="CR37" s="12">
        <v>4</v>
      </c>
      <c r="CS37" s="12">
        <v>1</v>
      </c>
      <c r="CT37" s="12">
        <v>4</v>
      </c>
      <c r="CU37" s="12">
        <v>1</v>
      </c>
      <c r="CV37" s="12">
        <v>1</v>
      </c>
      <c r="CW37" s="12">
        <v>0</v>
      </c>
      <c r="CX37" s="12">
        <v>3</v>
      </c>
      <c r="CY37" s="12">
        <v>1</v>
      </c>
      <c r="CZ37" s="12">
        <v>1</v>
      </c>
      <c r="DA37" s="12">
        <v>0</v>
      </c>
      <c r="DB37" s="12">
        <v>0</v>
      </c>
      <c r="DC37" s="12">
        <v>1</v>
      </c>
      <c r="DD37" s="12">
        <v>0</v>
      </c>
      <c r="DE37" s="12">
        <v>0</v>
      </c>
      <c r="DF37" s="12">
        <v>11</v>
      </c>
      <c r="DG37" s="12">
        <v>18</v>
      </c>
      <c r="DH37" s="12">
        <v>1</v>
      </c>
      <c r="DI37" s="12">
        <v>0</v>
      </c>
      <c r="DJ37" s="12">
        <v>0</v>
      </c>
      <c r="DK37" s="12">
        <v>0</v>
      </c>
      <c r="DL37" s="12">
        <v>11</v>
      </c>
      <c r="DM37" s="12">
        <v>17</v>
      </c>
      <c r="DN37" s="12">
        <v>3</v>
      </c>
      <c r="DO37" s="12">
        <v>8</v>
      </c>
      <c r="DP37" s="12">
        <v>1</v>
      </c>
      <c r="DQ37" s="12">
        <v>3</v>
      </c>
      <c r="DR37" s="12">
        <v>2</v>
      </c>
      <c r="DS37" s="12">
        <v>8</v>
      </c>
      <c r="DT37" s="12">
        <v>9</v>
      </c>
      <c r="DU37" s="12">
        <v>28</v>
      </c>
      <c r="DV37" s="12">
        <v>0</v>
      </c>
      <c r="DW37" s="12">
        <v>1</v>
      </c>
      <c r="DX37" s="12">
        <v>77</v>
      </c>
      <c r="DY37" s="12">
        <v>24</v>
      </c>
      <c r="DZ37" s="12">
        <v>49</v>
      </c>
      <c r="EA37" s="16">
        <v>0.48979591836734693</v>
      </c>
      <c r="EB37" s="12">
        <v>4</v>
      </c>
      <c r="EC37" s="12">
        <v>13</v>
      </c>
      <c r="ED37" s="16">
        <v>0.30769230769230771</v>
      </c>
      <c r="EE37" s="12">
        <v>28</v>
      </c>
      <c r="EF37" s="12">
        <v>62</v>
      </c>
      <c r="EG37" s="16">
        <v>0.45161290322580644</v>
      </c>
      <c r="EH37" s="12">
        <v>17</v>
      </c>
      <c r="EI37" s="12">
        <v>24</v>
      </c>
      <c r="EJ37" s="16">
        <v>0.70833333333333337</v>
      </c>
      <c r="EK37" s="12">
        <v>14</v>
      </c>
      <c r="EL37" s="12">
        <v>28</v>
      </c>
      <c r="EM37" s="12">
        <v>42</v>
      </c>
      <c r="EN37" s="12">
        <v>17</v>
      </c>
      <c r="EO37" s="12">
        <v>22</v>
      </c>
      <c r="EP37" s="12">
        <v>26</v>
      </c>
      <c r="EQ37" s="12">
        <v>4</v>
      </c>
      <c r="ER37" s="12">
        <v>12</v>
      </c>
      <c r="ES37" s="12">
        <v>2</v>
      </c>
      <c r="ET37" s="12">
        <v>6</v>
      </c>
      <c r="EU37" s="12">
        <v>87</v>
      </c>
      <c r="EV37" s="12">
        <v>3</v>
      </c>
      <c r="EW37" s="12">
        <v>69</v>
      </c>
      <c r="EX37" s="12">
        <v>83</v>
      </c>
      <c r="EY37" s="12">
        <v>6</v>
      </c>
      <c r="EZ37" s="12">
        <v>12</v>
      </c>
      <c r="FA37" s="12">
        <v>3</v>
      </c>
      <c r="FB37" s="12">
        <v>2</v>
      </c>
      <c r="FC37" s="12">
        <v>5</v>
      </c>
      <c r="FD37" s="12">
        <v>6</v>
      </c>
      <c r="FE37" s="12">
        <v>2</v>
      </c>
      <c r="FF37" s="12">
        <v>1</v>
      </c>
      <c r="FG37" s="12">
        <v>0</v>
      </c>
      <c r="FH37" s="12">
        <v>2</v>
      </c>
      <c r="FI37" s="12">
        <v>0</v>
      </c>
      <c r="FJ37" s="12">
        <v>1</v>
      </c>
      <c r="FK37" s="12">
        <v>0</v>
      </c>
      <c r="FL37" s="12">
        <v>4</v>
      </c>
      <c r="FM37" s="12">
        <v>0</v>
      </c>
      <c r="FN37" s="12">
        <v>0</v>
      </c>
      <c r="FO37" s="12">
        <v>0</v>
      </c>
      <c r="FP37" s="12">
        <v>2</v>
      </c>
      <c r="FQ37" s="12">
        <v>0</v>
      </c>
      <c r="FR37" s="12">
        <v>5</v>
      </c>
      <c r="FS37" s="12">
        <v>0</v>
      </c>
      <c r="FT37" s="12">
        <v>1</v>
      </c>
      <c r="FU37" s="12">
        <v>0</v>
      </c>
      <c r="FV37" s="12">
        <v>6</v>
      </c>
      <c r="FW37" s="12">
        <v>1</v>
      </c>
      <c r="FX37" s="12">
        <v>12</v>
      </c>
      <c r="FY37" s="12">
        <v>2</v>
      </c>
      <c r="FZ37" s="12">
        <v>1</v>
      </c>
      <c r="GA37" s="12">
        <v>0</v>
      </c>
      <c r="GB37" s="12">
        <v>2</v>
      </c>
      <c r="GC37" s="12">
        <v>2</v>
      </c>
      <c r="GD37" s="12">
        <v>2</v>
      </c>
      <c r="GE37" s="12">
        <v>3</v>
      </c>
      <c r="GF37" s="12">
        <v>10</v>
      </c>
      <c r="GG37" s="12">
        <v>16</v>
      </c>
      <c r="GH37" s="12">
        <v>1</v>
      </c>
      <c r="GI37" s="12">
        <v>3</v>
      </c>
      <c r="GJ37" s="12">
        <v>3</v>
      </c>
      <c r="GK37" s="12">
        <v>0</v>
      </c>
      <c r="GL37" s="12">
        <v>11</v>
      </c>
      <c r="GM37" s="12">
        <v>25</v>
      </c>
      <c r="GN37" s="12">
        <v>5</v>
      </c>
      <c r="GO37" s="12">
        <v>10</v>
      </c>
      <c r="GP37" s="12">
        <v>8</v>
      </c>
      <c r="GQ37" s="12">
        <v>14</v>
      </c>
      <c r="GR37" s="12">
        <v>1</v>
      </c>
      <c r="GS37" s="12">
        <v>3</v>
      </c>
      <c r="GT37" s="12">
        <v>3</v>
      </c>
      <c r="GU37" s="12">
        <v>10</v>
      </c>
      <c r="GV37" s="12">
        <v>0</v>
      </c>
      <c r="GW37" s="12">
        <v>0</v>
      </c>
    </row>
    <row r="38" spans="2:205" ht="15" customHeight="1" x14ac:dyDescent="0.2">
      <c r="B38" s="12">
        <v>3</v>
      </c>
      <c r="C38" s="12" t="s">
        <v>278</v>
      </c>
      <c r="D38" s="12" t="s">
        <v>274</v>
      </c>
      <c r="E38" s="14" t="s">
        <v>280</v>
      </c>
      <c r="F38" s="14" t="s">
        <v>276</v>
      </c>
      <c r="G38" s="15">
        <v>45216</v>
      </c>
      <c r="H38" s="15" t="s">
        <v>271</v>
      </c>
      <c r="I38" s="12" t="s">
        <v>269</v>
      </c>
      <c r="J38" s="12" t="s">
        <v>270</v>
      </c>
      <c r="K38" s="12">
        <v>200</v>
      </c>
      <c r="L38" s="12">
        <v>83</v>
      </c>
      <c r="M38" s="12">
        <v>27</v>
      </c>
      <c r="N38" s="12">
        <v>50</v>
      </c>
      <c r="O38" s="16">
        <v>0.54</v>
      </c>
      <c r="P38" s="12">
        <v>4</v>
      </c>
      <c r="Q38" s="12">
        <v>12</v>
      </c>
      <c r="R38" s="16">
        <v>0.33333333333333331</v>
      </c>
      <c r="S38" s="12">
        <v>31</v>
      </c>
      <c r="T38" s="12">
        <v>62</v>
      </c>
      <c r="U38" s="16">
        <v>0.5</v>
      </c>
      <c r="V38" s="12">
        <v>17</v>
      </c>
      <c r="W38" s="12">
        <v>24</v>
      </c>
      <c r="X38" s="16">
        <v>0.70833333333333337</v>
      </c>
      <c r="Y38" s="12">
        <v>9</v>
      </c>
      <c r="Z38" s="12">
        <v>24</v>
      </c>
      <c r="AA38" s="12">
        <v>33</v>
      </c>
      <c r="AB38" s="12">
        <v>11</v>
      </c>
      <c r="AC38" s="12">
        <v>6</v>
      </c>
      <c r="AD38" s="12">
        <v>3</v>
      </c>
      <c r="AE38" s="12">
        <v>2</v>
      </c>
      <c r="AF38" s="12">
        <v>3</v>
      </c>
      <c r="AG38" s="12">
        <v>20</v>
      </c>
      <c r="AH38" s="12">
        <v>23</v>
      </c>
      <c r="AI38" s="17">
        <v>88</v>
      </c>
      <c r="AJ38" s="12">
        <v>-9</v>
      </c>
      <c r="AK38" s="12">
        <v>69</v>
      </c>
      <c r="AL38" s="12">
        <v>78</v>
      </c>
      <c r="AM38" s="19">
        <v>1.0641025641025641</v>
      </c>
      <c r="AN38" s="19">
        <v>1.0454545454545454</v>
      </c>
      <c r="AO38" s="18">
        <v>120.28985507246377</v>
      </c>
      <c r="AP38" s="18">
        <v>129.57746478873241</v>
      </c>
      <c r="AQ38" s="18">
        <v>-9.2876097162686477</v>
      </c>
      <c r="AR38" s="53">
        <v>0.532258064516129</v>
      </c>
      <c r="AS38" s="53">
        <v>0.57638888888888884</v>
      </c>
      <c r="AT38" s="16">
        <v>0.19230769230769232</v>
      </c>
      <c r="AU38" s="19">
        <v>1.8666666666666667</v>
      </c>
      <c r="AV38" s="16">
        <v>0.29487179487179488</v>
      </c>
      <c r="AW38" s="19">
        <v>0.78260869565217395</v>
      </c>
      <c r="AX38" s="16">
        <v>0.15384615384615385</v>
      </c>
      <c r="AY38" s="19">
        <v>0.66666666666666663</v>
      </c>
      <c r="AZ38" s="16">
        <v>3.8461538461538464E-2</v>
      </c>
      <c r="BA38" s="19">
        <v>1</v>
      </c>
      <c r="BB38" s="16">
        <v>0.11538461538461539</v>
      </c>
      <c r="BC38" s="21">
        <v>1</v>
      </c>
      <c r="BD38" s="16">
        <v>0.12820512820512819</v>
      </c>
      <c r="BE38" s="16">
        <v>7.6923076923076927E-2</v>
      </c>
      <c r="BF38" s="16">
        <v>0.28205128205128205</v>
      </c>
      <c r="BG38" s="16">
        <v>0.29629629629629628</v>
      </c>
      <c r="BH38" s="16">
        <v>0.5</v>
      </c>
      <c r="BI38" s="16">
        <v>0.125</v>
      </c>
      <c r="BJ38" s="16">
        <v>0.14102564102564102</v>
      </c>
      <c r="BK38" s="21">
        <v>1.8333333333333333</v>
      </c>
      <c r="BL38" s="16">
        <v>0.25714285714285712</v>
      </c>
      <c r="BM38" s="16">
        <v>0.34782608695652173</v>
      </c>
      <c r="BN38" s="16">
        <v>0.125</v>
      </c>
      <c r="BO38" s="16">
        <v>0.4</v>
      </c>
      <c r="BP38" s="16">
        <v>0.6</v>
      </c>
      <c r="BQ38" s="16">
        <v>0.63636363636363635</v>
      </c>
      <c r="BR38" s="16">
        <v>0.70833333333333337</v>
      </c>
      <c r="BS38" s="16" t="s">
        <v>269</v>
      </c>
      <c r="BT38" s="16">
        <v>0.44</v>
      </c>
      <c r="BU38" s="16">
        <v>4.2253521126760563E-2</v>
      </c>
      <c r="BV38" s="16">
        <v>2.8169014084507043E-2</v>
      </c>
      <c r="BW38" s="16">
        <v>4</v>
      </c>
      <c r="BX38" s="16">
        <v>0.5</v>
      </c>
      <c r="BY38" s="16">
        <v>0.60869565217391308</v>
      </c>
      <c r="BZ38" s="12">
        <v>8</v>
      </c>
      <c r="CA38" s="12">
        <v>2</v>
      </c>
      <c r="CB38" s="12">
        <v>1</v>
      </c>
      <c r="CC38" s="12">
        <v>2</v>
      </c>
      <c r="CD38" s="12">
        <v>0</v>
      </c>
      <c r="CE38" s="12">
        <v>0</v>
      </c>
      <c r="CF38" s="12">
        <v>6</v>
      </c>
      <c r="CG38" s="12">
        <v>1</v>
      </c>
      <c r="CH38" s="12">
        <v>1</v>
      </c>
      <c r="CI38" s="12">
        <v>0</v>
      </c>
      <c r="CJ38" s="12">
        <v>1</v>
      </c>
      <c r="CK38" s="12">
        <v>0</v>
      </c>
      <c r="CL38" s="12">
        <v>0</v>
      </c>
      <c r="CM38" s="12">
        <v>0</v>
      </c>
      <c r="CN38" s="12">
        <v>1</v>
      </c>
      <c r="CO38" s="12">
        <v>1</v>
      </c>
      <c r="CP38" s="12">
        <v>1</v>
      </c>
      <c r="CQ38" s="12">
        <v>0</v>
      </c>
      <c r="CR38" s="12">
        <v>8</v>
      </c>
      <c r="CS38" s="12">
        <v>2</v>
      </c>
      <c r="CT38" s="12">
        <v>3</v>
      </c>
      <c r="CU38" s="12">
        <v>0</v>
      </c>
      <c r="CV38" s="12">
        <v>4</v>
      </c>
      <c r="CW38" s="12">
        <v>1</v>
      </c>
      <c r="CX38" s="12">
        <v>8</v>
      </c>
      <c r="CY38" s="12">
        <v>4</v>
      </c>
      <c r="CZ38" s="12">
        <v>0</v>
      </c>
      <c r="DA38" s="12">
        <v>0</v>
      </c>
      <c r="DB38" s="12">
        <v>0</v>
      </c>
      <c r="DC38" s="12">
        <v>0</v>
      </c>
      <c r="DD38" s="12">
        <v>2</v>
      </c>
      <c r="DE38" s="12">
        <v>4</v>
      </c>
      <c r="DF38" s="12">
        <v>15</v>
      </c>
      <c r="DG38" s="12">
        <v>20</v>
      </c>
      <c r="DH38" s="12">
        <v>2</v>
      </c>
      <c r="DI38" s="12">
        <v>0</v>
      </c>
      <c r="DJ38" s="12">
        <v>0</v>
      </c>
      <c r="DK38" s="12">
        <v>0</v>
      </c>
      <c r="DL38" s="12">
        <v>14</v>
      </c>
      <c r="DM38" s="12">
        <v>15</v>
      </c>
      <c r="DN38" s="12">
        <v>9</v>
      </c>
      <c r="DO38" s="12">
        <v>23</v>
      </c>
      <c r="DP38" s="12">
        <v>4</v>
      </c>
      <c r="DQ38" s="12">
        <v>12</v>
      </c>
      <c r="DR38" s="12">
        <v>1</v>
      </c>
      <c r="DS38" s="12">
        <v>3</v>
      </c>
      <c r="DT38" s="12">
        <v>3</v>
      </c>
      <c r="DU38" s="12">
        <v>9</v>
      </c>
      <c r="DV38" s="12">
        <v>0</v>
      </c>
      <c r="DW38" s="12">
        <v>0</v>
      </c>
      <c r="DX38" s="12">
        <v>92</v>
      </c>
      <c r="DY38" s="12">
        <v>17</v>
      </c>
      <c r="DZ38" s="12">
        <v>39</v>
      </c>
      <c r="EA38" s="16">
        <v>0.4358974358974359</v>
      </c>
      <c r="EB38" s="12">
        <v>13</v>
      </c>
      <c r="EC38" s="12">
        <v>32</v>
      </c>
      <c r="ED38" s="16">
        <v>0.40625</v>
      </c>
      <c r="EE38" s="12">
        <v>30</v>
      </c>
      <c r="EF38" s="12">
        <v>71</v>
      </c>
      <c r="EG38" s="16">
        <v>0.42253521126760563</v>
      </c>
      <c r="EH38" s="12">
        <v>19</v>
      </c>
      <c r="EI38" s="12">
        <v>20</v>
      </c>
      <c r="EJ38" s="16">
        <v>0.95</v>
      </c>
      <c r="EK38" s="12">
        <v>16</v>
      </c>
      <c r="EL38" s="12">
        <v>26</v>
      </c>
      <c r="EM38" s="12">
        <v>42</v>
      </c>
      <c r="EN38" s="12">
        <v>24</v>
      </c>
      <c r="EO38" s="12">
        <v>23</v>
      </c>
      <c r="EP38" s="12">
        <v>20</v>
      </c>
      <c r="EQ38" s="12">
        <v>4</v>
      </c>
      <c r="ER38" s="12">
        <v>7</v>
      </c>
      <c r="ES38" s="12">
        <v>3</v>
      </c>
      <c r="ET38" s="12">
        <v>2</v>
      </c>
      <c r="EU38" s="12">
        <v>111</v>
      </c>
      <c r="EV38" s="12">
        <v>9</v>
      </c>
      <c r="EW38" s="12">
        <v>71</v>
      </c>
      <c r="EX38" s="12">
        <v>88</v>
      </c>
      <c r="EY38" s="12">
        <v>4</v>
      </c>
      <c r="EZ38" s="12">
        <v>8</v>
      </c>
      <c r="FA38" s="12">
        <v>12</v>
      </c>
      <c r="FB38" s="12">
        <v>4</v>
      </c>
      <c r="FC38" s="12">
        <v>8</v>
      </c>
      <c r="FD38" s="12">
        <v>1</v>
      </c>
      <c r="FE38" s="12">
        <v>0</v>
      </c>
      <c r="FF38" s="12">
        <v>5</v>
      </c>
      <c r="FG38" s="12">
        <v>0</v>
      </c>
      <c r="FH38" s="12">
        <v>2</v>
      </c>
      <c r="FI38" s="12">
        <v>0</v>
      </c>
      <c r="FJ38" s="12">
        <v>3</v>
      </c>
      <c r="FK38" s="12">
        <v>0</v>
      </c>
      <c r="FL38" s="12">
        <v>4</v>
      </c>
      <c r="FM38" s="12">
        <v>0</v>
      </c>
      <c r="FN38" s="12">
        <v>0</v>
      </c>
      <c r="FO38" s="12">
        <v>0</v>
      </c>
      <c r="FP38" s="12">
        <v>1</v>
      </c>
      <c r="FQ38" s="12">
        <v>0</v>
      </c>
      <c r="FR38" s="12">
        <v>7</v>
      </c>
      <c r="FS38" s="12">
        <v>0</v>
      </c>
      <c r="FT38" s="12">
        <v>7</v>
      </c>
      <c r="FU38" s="12">
        <v>0</v>
      </c>
      <c r="FV38" s="12">
        <v>1</v>
      </c>
      <c r="FW38" s="12">
        <v>0</v>
      </c>
      <c r="FX38" s="12">
        <v>6</v>
      </c>
      <c r="FY38" s="12">
        <v>0</v>
      </c>
      <c r="FZ38" s="12">
        <v>3</v>
      </c>
      <c r="GA38" s="12">
        <v>0</v>
      </c>
      <c r="GB38" s="12">
        <v>0</v>
      </c>
      <c r="GC38" s="12">
        <v>0</v>
      </c>
      <c r="GD38" s="12">
        <v>0</v>
      </c>
      <c r="GE38" s="12">
        <v>0</v>
      </c>
      <c r="GF38" s="12">
        <v>19</v>
      </c>
      <c r="GG38" s="12">
        <v>20</v>
      </c>
      <c r="GH38" s="12">
        <v>0</v>
      </c>
      <c r="GI38" s="12">
        <v>0</v>
      </c>
      <c r="GJ38" s="12">
        <v>0</v>
      </c>
      <c r="GK38" s="12">
        <v>0</v>
      </c>
      <c r="GL38" s="12">
        <v>10</v>
      </c>
      <c r="GM38" s="12">
        <v>12</v>
      </c>
      <c r="GN38" s="12">
        <v>4</v>
      </c>
      <c r="GO38" s="12">
        <v>18</v>
      </c>
      <c r="GP38" s="12">
        <v>3</v>
      </c>
      <c r="GQ38" s="12">
        <v>9</v>
      </c>
      <c r="GR38" s="12">
        <v>2</v>
      </c>
      <c r="GS38" s="12">
        <v>9</v>
      </c>
      <c r="GT38" s="12">
        <v>11</v>
      </c>
      <c r="GU38" s="12">
        <v>23</v>
      </c>
      <c r="GV38" s="12">
        <v>0</v>
      </c>
      <c r="GW38" s="12">
        <v>0</v>
      </c>
    </row>
    <row r="39" spans="2:205" ht="15" customHeight="1" x14ac:dyDescent="0.2">
      <c r="B39" s="12">
        <v>3</v>
      </c>
      <c r="C39" s="12" t="s">
        <v>274</v>
      </c>
      <c r="D39" s="12" t="s">
        <v>278</v>
      </c>
      <c r="E39" s="14" t="s">
        <v>276</v>
      </c>
      <c r="F39" s="14" t="s">
        <v>280</v>
      </c>
      <c r="G39" s="15">
        <v>45216</v>
      </c>
      <c r="H39" s="15" t="s">
        <v>268</v>
      </c>
      <c r="I39" s="12" t="s">
        <v>269</v>
      </c>
      <c r="J39" s="12" t="s">
        <v>272</v>
      </c>
      <c r="K39" s="12">
        <v>200</v>
      </c>
      <c r="L39" s="12">
        <v>92</v>
      </c>
      <c r="M39" s="12">
        <v>17</v>
      </c>
      <c r="N39" s="12">
        <v>39</v>
      </c>
      <c r="O39" s="16">
        <v>0.4358974358974359</v>
      </c>
      <c r="P39" s="12">
        <v>13</v>
      </c>
      <c r="Q39" s="12">
        <v>32</v>
      </c>
      <c r="R39" s="16">
        <v>0.40625</v>
      </c>
      <c r="S39" s="12">
        <v>30</v>
      </c>
      <c r="T39" s="12">
        <v>71</v>
      </c>
      <c r="U39" s="16">
        <v>0.42253521126760563</v>
      </c>
      <c r="V39" s="12">
        <v>19</v>
      </c>
      <c r="W39" s="12">
        <v>20</v>
      </c>
      <c r="X39" s="16">
        <v>0.95</v>
      </c>
      <c r="Y39" s="12">
        <v>16</v>
      </c>
      <c r="Z39" s="12">
        <v>26</v>
      </c>
      <c r="AA39" s="12">
        <v>42</v>
      </c>
      <c r="AB39" s="12">
        <v>24</v>
      </c>
      <c r="AC39" s="12">
        <v>7</v>
      </c>
      <c r="AD39" s="12">
        <v>4</v>
      </c>
      <c r="AE39" s="12">
        <v>3</v>
      </c>
      <c r="AF39" s="12">
        <v>2</v>
      </c>
      <c r="AG39" s="12">
        <v>23</v>
      </c>
      <c r="AH39" s="12">
        <v>20</v>
      </c>
      <c r="AI39" s="17">
        <v>111</v>
      </c>
      <c r="AJ39" s="12">
        <v>9</v>
      </c>
      <c r="AK39" s="12">
        <v>71</v>
      </c>
      <c r="AL39" s="12">
        <v>88</v>
      </c>
      <c r="AM39" s="19">
        <v>1.0454545454545454</v>
      </c>
      <c r="AN39" s="19">
        <v>1.0641025641025641</v>
      </c>
      <c r="AO39" s="18">
        <v>129.57746478873241</v>
      </c>
      <c r="AP39" s="18">
        <v>120.28985507246377</v>
      </c>
      <c r="AQ39" s="18">
        <v>9.2876097162686477</v>
      </c>
      <c r="AR39" s="53">
        <v>0.5140845070422535</v>
      </c>
      <c r="AS39" s="53">
        <v>0.5679012345679012</v>
      </c>
      <c r="AT39" s="16">
        <v>0.13636363636363635</v>
      </c>
      <c r="AU39" s="19">
        <v>1.6666666666666667</v>
      </c>
      <c r="AV39" s="16">
        <v>0.20454545454545456</v>
      </c>
      <c r="AW39" s="19">
        <v>0.44444444444444442</v>
      </c>
      <c r="AX39" s="16">
        <v>0.10227272727272728</v>
      </c>
      <c r="AY39" s="19">
        <v>0.66666666666666663</v>
      </c>
      <c r="AZ39" s="16">
        <v>0.10227272727272728</v>
      </c>
      <c r="BA39" s="19">
        <v>0.66666666666666663</v>
      </c>
      <c r="BB39" s="16">
        <v>0.26136363636363635</v>
      </c>
      <c r="BC39" s="21">
        <v>1.4347826086956521</v>
      </c>
      <c r="BD39" s="16">
        <v>0.11363636363636363</v>
      </c>
      <c r="BE39" s="16">
        <v>8.0459770114942528E-2</v>
      </c>
      <c r="BF39" s="16">
        <v>0.6</v>
      </c>
      <c r="BG39" s="16">
        <v>0.47058823529411764</v>
      </c>
      <c r="BH39" s="16">
        <v>0.92307692307692313</v>
      </c>
      <c r="BI39" s="16">
        <v>0.4</v>
      </c>
      <c r="BJ39" s="16">
        <v>0.27586206896551724</v>
      </c>
      <c r="BK39" s="21">
        <v>3.4285714285714284</v>
      </c>
      <c r="BL39" s="16">
        <v>0.4</v>
      </c>
      <c r="BM39" s="16">
        <v>0.36363636363636365</v>
      </c>
      <c r="BN39" s="16">
        <v>0.29166666666666669</v>
      </c>
      <c r="BO39" s="16" t="s">
        <v>269</v>
      </c>
      <c r="BP39" s="16">
        <v>0.74285714285714288</v>
      </c>
      <c r="BQ39" s="16">
        <v>0.65217391304347827</v>
      </c>
      <c r="BR39" s="16">
        <v>0.875</v>
      </c>
      <c r="BS39" s="16">
        <v>0.6</v>
      </c>
      <c r="BT39" s="16">
        <v>0.56000000000000005</v>
      </c>
      <c r="BU39" s="16">
        <v>5.7971014492753624E-2</v>
      </c>
      <c r="BV39" s="16">
        <v>4.8387096774193547E-2</v>
      </c>
      <c r="BW39" s="16">
        <v>4</v>
      </c>
      <c r="BX39" s="16">
        <v>0.60869565217391308</v>
      </c>
      <c r="BY39" s="16">
        <v>0.5</v>
      </c>
      <c r="BZ39" s="12">
        <v>8</v>
      </c>
      <c r="CA39" s="12">
        <v>12</v>
      </c>
      <c r="CB39" s="12">
        <v>4</v>
      </c>
      <c r="CC39" s="12">
        <v>8</v>
      </c>
      <c r="CD39" s="12">
        <v>1</v>
      </c>
      <c r="CE39" s="12">
        <v>0</v>
      </c>
      <c r="CF39" s="12">
        <v>5</v>
      </c>
      <c r="CG39" s="12">
        <v>0</v>
      </c>
      <c r="CH39" s="12">
        <v>2</v>
      </c>
      <c r="CI39" s="12">
        <v>0</v>
      </c>
      <c r="CJ39" s="12">
        <v>3</v>
      </c>
      <c r="CK39" s="12">
        <v>0</v>
      </c>
      <c r="CL39" s="12">
        <v>4</v>
      </c>
      <c r="CM39" s="12">
        <v>0</v>
      </c>
      <c r="CN39" s="12">
        <v>0</v>
      </c>
      <c r="CO39" s="12">
        <v>0</v>
      </c>
      <c r="CP39" s="12">
        <v>1</v>
      </c>
      <c r="CQ39" s="12">
        <v>0</v>
      </c>
      <c r="CR39" s="12">
        <v>7</v>
      </c>
      <c r="CS39" s="12">
        <v>0</v>
      </c>
      <c r="CT39" s="12">
        <v>7</v>
      </c>
      <c r="CU39" s="12">
        <v>0</v>
      </c>
      <c r="CV39" s="12">
        <v>1</v>
      </c>
      <c r="CW39" s="12">
        <v>0</v>
      </c>
      <c r="CX39" s="12">
        <v>6</v>
      </c>
      <c r="CY39" s="12">
        <v>0</v>
      </c>
      <c r="CZ39" s="12">
        <v>3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19</v>
      </c>
      <c r="DG39" s="12">
        <v>20</v>
      </c>
      <c r="DH39" s="12">
        <v>0</v>
      </c>
      <c r="DI39" s="12">
        <v>0</v>
      </c>
      <c r="DJ39" s="12">
        <v>0</v>
      </c>
      <c r="DK39" s="12">
        <v>0</v>
      </c>
      <c r="DL39" s="12">
        <v>10</v>
      </c>
      <c r="DM39" s="12">
        <v>12</v>
      </c>
      <c r="DN39" s="12">
        <v>4</v>
      </c>
      <c r="DO39" s="12">
        <v>18</v>
      </c>
      <c r="DP39" s="12">
        <v>3</v>
      </c>
      <c r="DQ39" s="12">
        <v>9</v>
      </c>
      <c r="DR39" s="12">
        <v>2</v>
      </c>
      <c r="DS39" s="12">
        <v>9</v>
      </c>
      <c r="DT39" s="12">
        <v>11</v>
      </c>
      <c r="DU39" s="12">
        <v>23</v>
      </c>
      <c r="DV39" s="12">
        <v>0</v>
      </c>
      <c r="DW39" s="12">
        <v>0</v>
      </c>
      <c r="DX39" s="12">
        <v>83</v>
      </c>
      <c r="DY39" s="12">
        <v>27</v>
      </c>
      <c r="DZ39" s="12">
        <v>50</v>
      </c>
      <c r="EA39" s="16">
        <v>0.54</v>
      </c>
      <c r="EB39" s="12">
        <v>4</v>
      </c>
      <c r="EC39" s="12">
        <v>12</v>
      </c>
      <c r="ED39" s="16">
        <v>0.33333333333333331</v>
      </c>
      <c r="EE39" s="12">
        <v>31</v>
      </c>
      <c r="EF39" s="12">
        <v>62</v>
      </c>
      <c r="EG39" s="16">
        <v>0.5</v>
      </c>
      <c r="EH39" s="12">
        <v>17</v>
      </c>
      <c r="EI39" s="12">
        <v>24</v>
      </c>
      <c r="EJ39" s="16">
        <v>0.70833333333333337</v>
      </c>
      <c r="EK39" s="12">
        <v>9</v>
      </c>
      <c r="EL39" s="12">
        <v>24</v>
      </c>
      <c r="EM39" s="12">
        <v>33</v>
      </c>
      <c r="EN39" s="12">
        <v>11</v>
      </c>
      <c r="EO39" s="12">
        <v>20</v>
      </c>
      <c r="EP39" s="12">
        <v>23</v>
      </c>
      <c r="EQ39" s="12">
        <v>3</v>
      </c>
      <c r="ER39" s="12">
        <v>6</v>
      </c>
      <c r="ES39" s="12">
        <v>2</v>
      </c>
      <c r="ET39" s="12">
        <v>3</v>
      </c>
      <c r="EU39" s="12">
        <v>88</v>
      </c>
      <c r="EV39" s="12">
        <v>-9</v>
      </c>
      <c r="EW39" s="12">
        <v>69</v>
      </c>
      <c r="EX39" s="12">
        <v>78</v>
      </c>
      <c r="EY39" s="12">
        <v>4</v>
      </c>
      <c r="EZ39" s="12">
        <v>8</v>
      </c>
      <c r="FA39" s="12">
        <v>2</v>
      </c>
      <c r="FB39" s="12">
        <v>1</v>
      </c>
      <c r="FC39" s="12">
        <v>2</v>
      </c>
      <c r="FD39" s="12">
        <v>0</v>
      </c>
      <c r="FE39" s="12">
        <v>0</v>
      </c>
      <c r="FF39" s="12">
        <v>6</v>
      </c>
      <c r="FG39" s="12">
        <v>1</v>
      </c>
      <c r="FH39" s="12">
        <v>1</v>
      </c>
      <c r="FI39" s="12">
        <v>0</v>
      </c>
      <c r="FJ39" s="12">
        <v>1</v>
      </c>
      <c r="FK39" s="12">
        <v>0</v>
      </c>
      <c r="FL39" s="12">
        <v>0</v>
      </c>
      <c r="FM39" s="12">
        <v>0</v>
      </c>
      <c r="FN39" s="12">
        <v>1</v>
      </c>
      <c r="FO39" s="12">
        <v>1</v>
      </c>
      <c r="FP39" s="12">
        <v>1</v>
      </c>
      <c r="FQ39" s="12">
        <v>0</v>
      </c>
      <c r="FR39" s="12">
        <v>8</v>
      </c>
      <c r="FS39" s="12">
        <v>2</v>
      </c>
      <c r="FT39" s="12">
        <v>3</v>
      </c>
      <c r="FU39" s="12">
        <v>0</v>
      </c>
      <c r="FV39" s="12">
        <v>4</v>
      </c>
      <c r="FW39" s="12">
        <v>1</v>
      </c>
      <c r="FX39" s="12">
        <v>8</v>
      </c>
      <c r="FY39" s="12">
        <v>4</v>
      </c>
      <c r="FZ39" s="12">
        <v>0</v>
      </c>
      <c r="GA39" s="12">
        <v>0</v>
      </c>
      <c r="GB39" s="12">
        <v>0</v>
      </c>
      <c r="GC39" s="12">
        <v>0</v>
      </c>
      <c r="GD39" s="12">
        <v>2</v>
      </c>
      <c r="GE39" s="12">
        <v>4</v>
      </c>
      <c r="GF39" s="12">
        <v>15</v>
      </c>
      <c r="GG39" s="12">
        <v>20</v>
      </c>
      <c r="GH39" s="12">
        <v>2</v>
      </c>
      <c r="GI39" s="12">
        <v>0</v>
      </c>
      <c r="GJ39" s="12">
        <v>0</v>
      </c>
      <c r="GK39" s="12">
        <v>0</v>
      </c>
      <c r="GL39" s="12">
        <v>14</v>
      </c>
      <c r="GM39" s="12">
        <v>15</v>
      </c>
      <c r="GN39" s="12">
        <v>9</v>
      </c>
      <c r="GO39" s="12">
        <v>23</v>
      </c>
      <c r="GP39" s="12">
        <v>4</v>
      </c>
      <c r="GQ39" s="12">
        <v>12</v>
      </c>
      <c r="GR39" s="12">
        <v>1</v>
      </c>
      <c r="GS39" s="12">
        <v>3</v>
      </c>
      <c r="GT39" s="12">
        <v>3</v>
      </c>
      <c r="GU39" s="12">
        <v>9</v>
      </c>
      <c r="GV39" s="12">
        <v>0</v>
      </c>
      <c r="GW39" s="12">
        <v>0</v>
      </c>
    </row>
    <row r="40" spans="2:205" ht="15" customHeight="1" x14ac:dyDescent="0.2">
      <c r="B40" s="12">
        <v>3</v>
      </c>
      <c r="C40" s="12" t="s">
        <v>290</v>
      </c>
      <c r="D40" s="12" t="s">
        <v>294</v>
      </c>
      <c r="E40" s="14" t="s">
        <v>292</v>
      </c>
      <c r="F40" s="14" t="s">
        <v>296</v>
      </c>
      <c r="G40" s="15">
        <v>45216</v>
      </c>
      <c r="H40" s="15" t="s">
        <v>268</v>
      </c>
      <c r="I40" s="12" t="s">
        <v>269</v>
      </c>
      <c r="J40" s="12" t="s">
        <v>270</v>
      </c>
      <c r="K40" s="12">
        <v>200</v>
      </c>
      <c r="L40" s="12">
        <v>69</v>
      </c>
      <c r="M40" s="12">
        <v>19</v>
      </c>
      <c r="N40" s="12">
        <v>32</v>
      </c>
      <c r="O40" s="16">
        <v>0.59375</v>
      </c>
      <c r="P40" s="12">
        <v>7</v>
      </c>
      <c r="Q40" s="12">
        <v>23</v>
      </c>
      <c r="R40" s="16">
        <v>0.30434782608695654</v>
      </c>
      <c r="S40" s="12">
        <v>26</v>
      </c>
      <c r="T40" s="12">
        <v>55</v>
      </c>
      <c r="U40" s="16">
        <v>0.47272727272727272</v>
      </c>
      <c r="V40" s="12">
        <v>10</v>
      </c>
      <c r="W40" s="12">
        <v>19</v>
      </c>
      <c r="X40" s="16">
        <v>0.52631578947368418</v>
      </c>
      <c r="Y40" s="12">
        <v>10</v>
      </c>
      <c r="Z40" s="12">
        <v>18</v>
      </c>
      <c r="AA40" s="12">
        <v>28</v>
      </c>
      <c r="AB40" s="12">
        <v>11</v>
      </c>
      <c r="AC40" s="12">
        <v>13</v>
      </c>
      <c r="AD40" s="12">
        <v>5</v>
      </c>
      <c r="AE40" s="12">
        <v>1</v>
      </c>
      <c r="AF40" s="12">
        <v>1</v>
      </c>
      <c r="AG40" s="12">
        <v>17</v>
      </c>
      <c r="AH40" s="12">
        <v>22</v>
      </c>
      <c r="AI40" s="17">
        <v>67</v>
      </c>
      <c r="AJ40" s="12">
        <v>-14</v>
      </c>
      <c r="AK40" s="12">
        <v>67</v>
      </c>
      <c r="AL40" s="12">
        <v>77</v>
      </c>
      <c r="AM40" s="19">
        <v>0.89610389610389607</v>
      </c>
      <c r="AN40" s="19">
        <v>1.0375000000000001</v>
      </c>
      <c r="AO40" s="18">
        <v>102.98507462686568</v>
      </c>
      <c r="AP40" s="18">
        <v>120.28985507246377</v>
      </c>
      <c r="AQ40" s="18">
        <v>-17.304780445598084</v>
      </c>
      <c r="AR40" s="53">
        <v>0.53636363636363638</v>
      </c>
      <c r="AS40" s="53">
        <v>0.5390625</v>
      </c>
      <c r="AT40" s="16">
        <v>0.14285714285714285</v>
      </c>
      <c r="AU40" s="19">
        <v>1.6363636363636365</v>
      </c>
      <c r="AV40" s="16">
        <v>0.19480519480519481</v>
      </c>
      <c r="AW40" s="19">
        <v>1.0666666666666667</v>
      </c>
      <c r="AX40" s="16">
        <v>7.792207792207792E-2</v>
      </c>
      <c r="AY40" s="19">
        <v>0.66666666666666663</v>
      </c>
      <c r="AZ40" s="16">
        <v>7.792207792207792E-2</v>
      </c>
      <c r="BA40" s="19">
        <v>1</v>
      </c>
      <c r="BB40" s="16">
        <v>0.20779220779220781</v>
      </c>
      <c r="BC40" s="21">
        <v>0.9375</v>
      </c>
      <c r="BD40" s="16">
        <v>0.11688311688311688</v>
      </c>
      <c r="BE40" s="16">
        <v>0.16883116883116883</v>
      </c>
      <c r="BF40" s="16">
        <v>0.34375</v>
      </c>
      <c r="BG40" s="16">
        <v>0.31578947368421051</v>
      </c>
      <c r="BH40" s="16">
        <v>0.5714285714285714</v>
      </c>
      <c r="BI40" s="16">
        <v>0.16666666666666666</v>
      </c>
      <c r="BJ40" s="16">
        <v>0.14285714285714285</v>
      </c>
      <c r="BK40" s="21">
        <v>0.84615384615384615</v>
      </c>
      <c r="BL40" s="16">
        <v>0.30303030303030304</v>
      </c>
      <c r="BM40" s="16">
        <v>0.2857142857142857</v>
      </c>
      <c r="BN40" s="16">
        <v>0.3125</v>
      </c>
      <c r="BO40" s="16">
        <v>0.2</v>
      </c>
      <c r="BP40" s="16">
        <v>0.62068965517241381</v>
      </c>
      <c r="BQ40" s="16">
        <v>0.7857142857142857</v>
      </c>
      <c r="BR40" s="16">
        <v>0.52941176470588236</v>
      </c>
      <c r="BS40" s="16" t="s">
        <v>269</v>
      </c>
      <c r="BT40" s="16">
        <v>0.45161290322580644</v>
      </c>
      <c r="BU40" s="16">
        <v>7.2463768115942032E-2</v>
      </c>
      <c r="BV40" s="16">
        <v>1.6393442622950821E-2</v>
      </c>
      <c r="BW40" s="16">
        <v>4</v>
      </c>
      <c r="BX40" s="16">
        <v>0.35294117647058826</v>
      </c>
      <c r="BY40" s="16">
        <v>0.45454545454545453</v>
      </c>
      <c r="BZ40" s="12">
        <v>6</v>
      </c>
      <c r="CA40" s="12">
        <v>4</v>
      </c>
      <c r="CB40" s="12">
        <v>1</v>
      </c>
      <c r="CC40" s="12">
        <v>2</v>
      </c>
      <c r="CD40" s="12">
        <v>0</v>
      </c>
      <c r="CE40" s="12">
        <v>0</v>
      </c>
      <c r="CF40" s="12">
        <v>3</v>
      </c>
      <c r="CG40" s="12">
        <v>1</v>
      </c>
      <c r="CH40" s="12">
        <v>0</v>
      </c>
      <c r="CI40" s="12">
        <v>0</v>
      </c>
      <c r="CJ40" s="12">
        <v>2</v>
      </c>
      <c r="CK40" s="12">
        <v>0</v>
      </c>
      <c r="CL40" s="12">
        <v>3</v>
      </c>
      <c r="CM40" s="12">
        <v>0</v>
      </c>
      <c r="CN40" s="12">
        <v>1</v>
      </c>
      <c r="CO40" s="12">
        <v>0</v>
      </c>
      <c r="CP40" s="12">
        <v>0</v>
      </c>
      <c r="CQ40" s="12">
        <v>0</v>
      </c>
      <c r="CR40" s="12">
        <v>5</v>
      </c>
      <c r="CS40" s="12">
        <v>1</v>
      </c>
      <c r="CT40" s="12">
        <v>5</v>
      </c>
      <c r="CU40" s="12">
        <v>0</v>
      </c>
      <c r="CV40" s="12">
        <v>1</v>
      </c>
      <c r="CW40" s="12">
        <v>0</v>
      </c>
      <c r="CX40" s="12">
        <v>7</v>
      </c>
      <c r="CY40" s="12">
        <v>1</v>
      </c>
      <c r="CZ40" s="12">
        <v>0</v>
      </c>
      <c r="DA40" s="12">
        <v>0</v>
      </c>
      <c r="DB40" s="12">
        <v>0</v>
      </c>
      <c r="DC40" s="12">
        <v>0</v>
      </c>
      <c r="DD40" s="12">
        <v>1</v>
      </c>
      <c r="DE40" s="12">
        <v>1</v>
      </c>
      <c r="DF40" s="12">
        <v>9</v>
      </c>
      <c r="DG40" s="12">
        <v>18</v>
      </c>
      <c r="DH40" s="12">
        <v>3</v>
      </c>
      <c r="DI40" s="12">
        <v>0</v>
      </c>
      <c r="DJ40" s="12">
        <v>0</v>
      </c>
      <c r="DK40" s="12">
        <v>0</v>
      </c>
      <c r="DL40" s="12">
        <v>9</v>
      </c>
      <c r="DM40" s="12">
        <v>11</v>
      </c>
      <c r="DN40" s="12">
        <v>8</v>
      </c>
      <c r="DO40" s="12">
        <v>15</v>
      </c>
      <c r="DP40" s="12">
        <v>2</v>
      </c>
      <c r="DQ40" s="12">
        <v>6</v>
      </c>
      <c r="DR40" s="12">
        <v>2</v>
      </c>
      <c r="DS40" s="12">
        <v>6</v>
      </c>
      <c r="DT40" s="12">
        <v>5</v>
      </c>
      <c r="DU40" s="12">
        <v>16</v>
      </c>
      <c r="DV40" s="12">
        <v>0</v>
      </c>
      <c r="DW40" s="12">
        <v>1</v>
      </c>
      <c r="DX40" s="12">
        <v>83</v>
      </c>
      <c r="DY40" s="12">
        <v>18</v>
      </c>
      <c r="DZ40" s="12">
        <v>31</v>
      </c>
      <c r="EA40" s="16">
        <v>0.58064516129032262</v>
      </c>
      <c r="EB40" s="12">
        <v>12</v>
      </c>
      <c r="EC40" s="12">
        <v>30</v>
      </c>
      <c r="ED40" s="16">
        <v>0.4</v>
      </c>
      <c r="EE40" s="12">
        <v>30</v>
      </c>
      <c r="EF40" s="12">
        <v>61</v>
      </c>
      <c r="EG40" s="16">
        <v>0.49180327868852458</v>
      </c>
      <c r="EH40" s="12">
        <v>11</v>
      </c>
      <c r="EI40" s="12">
        <v>12</v>
      </c>
      <c r="EJ40" s="16">
        <v>0.91666666666666663</v>
      </c>
      <c r="EK40" s="12">
        <v>11</v>
      </c>
      <c r="EL40" s="12">
        <v>23</v>
      </c>
      <c r="EM40" s="12">
        <v>34</v>
      </c>
      <c r="EN40" s="12">
        <v>20</v>
      </c>
      <c r="EO40" s="12">
        <v>22</v>
      </c>
      <c r="EP40" s="12">
        <v>17</v>
      </c>
      <c r="EQ40" s="12">
        <v>6</v>
      </c>
      <c r="ER40" s="12">
        <v>13</v>
      </c>
      <c r="ES40" s="12">
        <v>1</v>
      </c>
      <c r="ET40" s="12">
        <v>1</v>
      </c>
      <c r="EU40" s="12">
        <v>93</v>
      </c>
      <c r="EV40" s="12">
        <v>14</v>
      </c>
      <c r="EW40" s="12">
        <v>69</v>
      </c>
      <c r="EX40" s="12">
        <v>80</v>
      </c>
      <c r="EY40" s="12">
        <v>4</v>
      </c>
      <c r="EZ40" s="12">
        <v>11</v>
      </c>
      <c r="FA40" s="12">
        <v>8</v>
      </c>
      <c r="FB40" s="12">
        <v>1</v>
      </c>
      <c r="FC40" s="12">
        <v>2</v>
      </c>
      <c r="FD40" s="12">
        <v>1</v>
      </c>
      <c r="FE40" s="12">
        <v>0</v>
      </c>
      <c r="FF40" s="12">
        <v>1</v>
      </c>
      <c r="FG40" s="12">
        <v>0</v>
      </c>
      <c r="FH40" s="12">
        <v>1</v>
      </c>
      <c r="FI40" s="12">
        <v>0</v>
      </c>
      <c r="FJ40" s="12">
        <v>1</v>
      </c>
      <c r="FK40" s="12">
        <v>1</v>
      </c>
      <c r="FL40" s="12">
        <v>6</v>
      </c>
      <c r="FM40" s="12">
        <v>0</v>
      </c>
      <c r="FN40" s="12">
        <v>0</v>
      </c>
      <c r="FO40" s="12">
        <v>0</v>
      </c>
      <c r="FP40" s="12">
        <v>1</v>
      </c>
      <c r="FQ40" s="12">
        <v>0</v>
      </c>
      <c r="FR40" s="12">
        <v>4</v>
      </c>
      <c r="FS40" s="12">
        <v>1</v>
      </c>
      <c r="FT40" s="12">
        <v>4</v>
      </c>
      <c r="FU40" s="12">
        <v>0</v>
      </c>
      <c r="FV40" s="12">
        <v>2</v>
      </c>
      <c r="FW40" s="12">
        <v>0</v>
      </c>
      <c r="FX40" s="12">
        <v>8</v>
      </c>
      <c r="FY40" s="12">
        <v>1</v>
      </c>
      <c r="FZ40" s="12">
        <v>4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11</v>
      </c>
      <c r="GG40" s="12">
        <v>12</v>
      </c>
      <c r="GH40" s="12">
        <v>0</v>
      </c>
      <c r="GI40" s="12">
        <v>0</v>
      </c>
      <c r="GJ40" s="12">
        <v>0</v>
      </c>
      <c r="GK40" s="12">
        <v>0</v>
      </c>
      <c r="GL40" s="12">
        <v>13</v>
      </c>
      <c r="GM40" s="12">
        <v>14</v>
      </c>
      <c r="GN40" s="12">
        <v>4</v>
      </c>
      <c r="GO40" s="12">
        <v>10</v>
      </c>
      <c r="GP40" s="12">
        <v>1</v>
      </c>
      <c r="GQ40" s="12">
        <v>7</v>
      </c>
      <c r="GR40" s="12">
        <v>1</v>
      </c>
      <c r="GS40" s="12">
        <v>3</v>
      </c>
      <c r="GT40" s="12">
        <v>10</v>
      </c>
      <c r="GU40" s="12">
        <v>26</v>
      </c>
      <c r="GV40" s="12">
        <v>0</v>
      </c>
      <c r="GW40" s="12">
        <v>0</v>
      </c>
    </row>
    <row r="41" spans="2:205" ht="15" customHeight="1" x14ac:dyDescent="0.2">
      <c r="B41" s="12">
        <v>3</v>
      </c>
      <c r="C41" s="12" t="s">
        <v>294</v>
      </c>
      <c r="D41" s="12" t="s">
        <v>290</v>
      </c>
      <c r="E41" s="14" t="s">
        <v>296</v>
      </c>
      <c r="F41" s="14" t="s">
        <v>292</v>
      </c>
      <c r="G41" s="15">
        <v>45216</v>
      </c>
      <c r="H41" s="15" t="s">
        <v>271</v>
      </c>
      <c r="I41" s="12" t="s">
        <v>269</v>
      </c>
      <c r="J41" s="12" t="s">
        <v>272</v>
      </c>
      <c r="K41" s="12">
        <v>200</v>
      </c>
      <c r="L41" s="12">
        <v>83</v>
      </c>
      <c r="M41" s="12">
        <v>18</v>
      </c>
      <c r="N41" s="12">
        <v>31</v>
      </c>
      <c r="O41" s="16">
        <v>0.58064516129032262</v>
      </c>
      <c r="P41" s="12">
        <v>12</v>
      </c>
      <c r="Q41" s="12">
        <v>30</v>
      </c>
      <c r="R41" s="16">
        <v>0.4</v>
      </c>
      <c r="S41" s="12">
        <v>30</v>
      </c>
      <c r="T41" s="12">
        <v>61</v>
      </c>
      <c r="U41" s="16">
        <v>0.49180327868852458</v>
      </c>
      <c r="V41" s="12">
        <v>11</v>
      </c>
      <c r="W41" s="12">
        <v>12</v>
      </c>
      <c r="X41" s="16">
        <v>0.91666666666666663</v>
      </c>
      <c r="Y41" s="12">
        <v>11</v>
      </c>
      <c r="Z41" s="12">
        <v>23</v>
      </c>
      <c r="AA41" s="12">
        <v>34</v>
      </c>
      <c r="AB41" s="12">
        <v>20</v>
      </c>
      <c r="AC41" s="12">
        <v>13</v>
      </c>
      <c r="AD41" s="12">
        <v>6</v>
      </c>
      <c r="AE41" s="12">
        <v>1</v>
      </c>
      <c r="AF41" s="12">
        <v>1</v>
      </c>
      <c r="AG41" s="12">
        <v>22</v>
      </c>
      <c r="AH41" s="12">
        <v>17</v>
      </c>
      <c r="AI41" s="17">
        <v>93</v>
      </c>
      <c r="AJ41" s="12">
        <v>14</v>
      </c>
      <c r="AK41" s="12">
        <v>69</v>
      </c>
      <c r="AL41" s="12">
        <v>80</v>
      </c>
      <c r="AM41" s="19">
        <v>1.0375000000000001</v>
      </c>
      <c r="AN41" s="19">
        <v>0.89610389610389607</v>
      </c>
      <c r="AO41" s="18">
        <v>120.28985507246377</v>
      </c>
      <c r="AP41" s="18">
        <v>102.98507462686568</v>
      </c>
      <c r="AQ41" s="18">
        <v>17.304780445598084</v>
      </c>
      <c r="AR41" s="53">
        <v>0.5901639344262295</v>
      </c>
      <c r="AS41" s="53">
        <v>0.61940298507462688</v>
      </c>
      <c r="AT41" s="16">
        <v>0.17499999999999999</v>
      </c>
      <c r="AU41" s="19">
        <v>1.8571428571428572</v>
      </c>
      <c r="AV41" s="16">
        <v>0.125</v>
      </c>
      <c r="AW41" s="19">
        <v>0.8</v>
      </c>
      <c r="AX41" s="16">
        <v>8.7499999999999994E-2</v>
      </c>
      <c r="AY41" s="19">
        <v>0.2857142857142857</v>
      </c>
      <c r="AZ41" s="16">
        <v>3.7499999999999999E-2</v>
      </c>
      <c r="BA41" s="19">
        <v>1</v>
      </c>
      <c r="BB41" s="16">
        <v>0.32500000000000001</v>
      </c>
      <c r="BC41" s="21">
        <v>1.1538461538461537</v>
      </c>
      <c r="BD41" s="16">
        <v>7.4999999999999997E-2</v>
      </c>
      <c r="BE41" s="16">
        <v>0.16250000000000001</v>
      </c>
      <c r="BF41" s="16">
        <v>0.55555555555555558</v>
      </c>
      <c r="BG41" s="16">
        <v>0.61111111111111116</v>
      </c>
      <c r="BH41" s="16">
        <v>0.66666666666666663</v>
      </c>
      <c r="BI41" s="16">
        <v>0.16666666666666666</v>
      </c>
      <c r="BJ41" s="16">
        <v>0.25</v>
      </c>
      <c r="BK41" s="21">
        <v>1.5384615384615385</v>
      </c>
      <c r="BL41" s="16">
        <v>0.37931034482758619</v>
      </c>
      <c r="BM41" s="16">
        <v>0.21428571428571427</v>
      </c>
      <c r="BN41" s="16">
        <v>0.47058823529411764</v>
      </c>
      <c r="BO41" s="16" t="s">
        <v>269</v>
      </c>
      <c r="BP41" s="16">
        <v>0.69696969696969702</v>
      </c>
      <c r="BQ41" s="16">
        <v>0.7142857142857143</v>
      </c>
      <c r="BR41" s="16">
        <v>0.6875</v>
      </c>
      <c r="BS41" s="16">
        <v>0.8</v>
      </c>
      <c r="BT41" s="16">
        <v>0.54838709677419351</v>
      </c>
      <c r="BU41" s="16">
        <v>8.9552238805970144E-2</v>
      </c>
      <c r="BV41" s="16">
        <v>1.8181818181818181E-2</v>
      </c>
      <c r="BW41" s="16">
        <v>4</v>
      </c>
      <c r="BX41" s="16">
        <v>0.45454545454545453</v>
      </c>
      <c r="BY41" s="16">
        <v>0.35294117647058826</v>
      </c>
      <c r="BZ41" s="12">
        <v>11</v>
      </c>
      <c r="CA41" s="12">
        <v>8</v>
      </c>
      <c r="CB41" s="12">
        <v>1</v>
      </c>
      <c r="CC41" s="12">
        <v>2</v>
      </c>
      <c r="CD41" s="12">
        <v>1</v>
      </c>
      <c r="CE41" s="12">
        <v>0</v>
      </c>
      <c r="CF41" s="12">
        <v>1</v>
      </c>
      <c r="CG41" s="12">
        <v>0</v>
      </c>
      <c r="CH41" s="12">
        <v>1</v>
      </c>
      <c r="CI41" s="12">
        <v>0</v>
      </c>
      <c r="CJ41" s="12">
        <v>1</v>
      </c>
      <c r="CK41" s="12">
        <v>1</v>
      </c>
      <c r="CL41" s="12">
        <v>6</v>
      </c>
      <c r="CM41" s="12">
        <v>0</v>
      </c>
      <c r="CN41" s="12">
        <v>0</v>
      </c>
      <c r="CO41" s="12">
        <v>0</v>
      </c>
      <c r="CP41" s="12">
        <v>1</v>
      </c>
      <c r="CQ41" s="12">
        <v>0</v>
      </c>
      <c r="CR41" s="12">
        <v>4</v>
      </c>
      <c r="CS41" s="12">
        <v>1</v>
      </c>
      <c r="CT41" s="12">
        <v>4</v>
      </c>
      <c r="CU41" s="12">
        <v>0</v>
      </c>
      <c r="CV41" s="12">
        <v>2</v>
      </c>
      <c r="CW41" s="12">
        <v>0</v>
      </c>
      <c r="CX41" s="12">
        <v>8</v>
      </c>
      <c r="CY41" s="12">
        <v>1</v>
      </c>
      <c r="CZ41" s="12">
        <v>4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11</v>
      </c>
      <c r="DG41" s="12">
        <v>12</v>
      </c>
      <c r="DH41" s="12">
        <v>0</v>
      </c>
      <c r="DI41" s="12">
        <v>0</v>
      </c>
      <c r="DJ41" s="12">
        <v>0</v>
      </c>
      <c r="DK41" s="12">
        <v>0</v>
      </c>
      <c r="DL41" s="12">
        <v>13</v>
      </c>
      <c r="DM41" s="12">
        <v>14</v>
      </c>
      <c r="DN41" s="12">
        <v>4</v>
      </c>
      <c r="DO41" s="12">
        <v>10</v>
      </c>
      <c r="DP41" s="12">
        <v>1</v>
      </c>
      <c r="DQ41" s="12">
        <v>7</v>
      </c>
      <c r="DR41" s="12">
        <v>1</v>
      </c>
      <c r="DS41" s="12">
        <v>3</v>
      </c>
      <c r="DT41" s="12">
        <v>10</v>
      </c>
      <c r="DU41" s="12">
        <v>26</v>
      </c>
      <c r="DV41" s="12">
        <v>0</v>
      </c>
      <c r="DW41" s="12">
        <v>0</v>
      </c>
      <c r="DX41" s="12">
        <v>69</v>
      </c>
      <c r="DY41" s="12">
        <v>19</v>
      </c>
      <c r="DZ41" s="12">
        <v>32</v>
      </c>
      <c r="EA41" s="16">
        <v>0.59375</v>
      </c>
      <c r="EB41" s="12">
        <v>7</v>
      </c>
      <c r="EC41" s="12">
        <v>23</v>
      </c>
      <c r="ED41" s="16">
        <v>0.30434782608695654</v>
      </c>
      <c r="EE41" s="12">
        <v>26</v>
      </c>
      <c r="EF41" s="12">
        <v>55</v>
      </c>
      <c r="EG41" s="16">
        <v>0.47272727272727272</v>
      </c>
      <c r="EH41" s="12">
        <v>10</v>
      </c>
      <c r="EI41" s="12">
        <v>19</v>
      </c>
      <c r="EJ41" s="16">
        <v>0.52631578947368418</v>
      </c>
      <c r="EK41" s="12">
        <v>10</v>
      </c>
      <c r="EL41" s="12">
        <v>18</v>
      </c>
      <c r="EM41" s="12">
        <v>28</v>
      </c>
      <c r="EN41" s="12">
        <v>11</v>
      </c>
      <c r="EO41" s="12">
        <v>17</v>
      </c>
      <c r="EP41" s="12">
        <v>22</v>
      </c>
      <c r="EQ41" s="12">
        <v>5</v>
      </c>
      <c r="ER41" s="12">
        <v>13</v>
      </c>
      <c r="ES41" s="12">
        <v>1</v>
      </c>
      <c r="ET41" s="12">
        <v>1</v>
      </c>
      <c r="EU41" s="12">
        <v>67</v>
      </c>
      <c r="EV41" s="12">
        <v>-14</v>
      </c>
      <c r="EW41" s="12">
        <v>67</v>
      </c>
      <c r="EX41" s="12">
        <v>77</v>
      </c>
      <c r="EY41" s="12">
        <v>4</v>
      </c>
      <c r="EZ41" s="12">
        <v>6</v>
      </c>
      <c r="FA41" s="12">
        <v>4</v>
      </c>
      <c r="FB41" s="12">
        <v>1</v>
      </c>
      <c r="FC41" s="12">
        <v>2</v>
      </c>
      <c r="FD41" s="12">
        <v>0</v>
      </c>
      <c r="FE41" s="12">
        <v>0</v>
      </c>
      <c r="FF41" s="12">
        <v>3</v>
      </c>
      <c r="FG41" s="12">
        <v>1</v>
      </c>
      <c r="FH41" s="12">
        <v>0</v>
      </c>
      <c r="FI41" s="12">
        <v>0</v>
      </c>
      <c r="FJ41" s="12">
        <v>2</v>
      </c>
      <c r="FK41" s="12">
        <v>0</v>
      </c>
      <c r="FL41" s="12">
        <v>3</v>
      </c>
      <c r="FM41" s="12">
        <v>0</v>
      </c>
      <c r="FN41" s="12">
        <v>1</v>
      </c>
      <c r="FO41" s="12">
        <v>0</v>
      </c>
      <c r="FP41" s="12">
        <v>0</v>
      </c>
      <c r="FQ41" s="12">
        <v>0</v>
      </c>
      <c r="FR41" s="12">
        <v>5</v>
      </c>
      <c r="FS41" s="12">
        <v>1</v>
      </c>
      <c r="FT41" s="12">
        <v>5</v>
      </c>
      <c r="FU41" s="12">
        <v>0</v>
      </c>
      <c r="FV41" s="12">
        <v>1</v>
      </c>
      <c r="FW41" s="12">
        <v>0</v>
      </c>
      <c r="FX41" s="12">
        <v>7</v>
      </c>
      <c r="FY41" s="12">
        <v>1</v>
      </c>
      <c r="FZ41" s="12">
        <v>0</v>
      </c>
      <c r="GA41" s="12">
        <v>0</v>
      </c>
      <c r="GB41" s="12">
        <v>0</v>
      </c>
      <c r="GC41" s="12">
        <v>0</v>
      </c>
      <c r="GD41" s="12">
        <v>1</v>
      </c>
      <c r="GE41" s="12">
        <v>1</v>
      </c>
      <c r="GF41" s="12">
        <v>9</v>
      </c>
      <c r="GG41" s="12">
        <v>18</v>
      </c>
      <c r="GH41" s="12">
        <v>3</v>
      </c>
      <c r="GI41" s="12">
        <v>0</v>
      </c>
      <c r="GJ41" s="12">
        <v>0</v>
      </c>
      <c r="GK41" s="12">
        <v>0</v>
      </c>
      <c r="GL41" s="12">
        <v>9</v>
      </c>
      <c r="GM41" s="12">
        <v>11</v>
      </c>
      <c r="GN41" s="12">
        <v>8</v>
      </c>
      <c r="GO41" s="12">
        <v>15</v>
      </c>
      <c r="GP41" s="12">
        <v>2</v>
      </c>
      <c r="GQ41" s="12">
        <v>6</v>
      </c>
      <c r="GR41" s="12">
        <v>2</v>
      </c>
      <c r="GS41" s="12">
        <v>6</v>
      </c>
      <c r="GT41" s="12">
        <v>5</v>
      </c>
      <c r="GU41" s="12">
        <v>16</v>
      </c>
      <c r="GV41" s="12">
        <v>0</v>
      </c>
      <c r="GW41" s="12">
        <v>1</v>
      </c>
    </row>
    <row r="42" spans="2:205" ht="15" customHeight="1" x14ac:dyDescent="0.2">
      <c r="B42" s="12">
        <v>3</v>
      </c>
      <c r="C42" s="12" t="s">
        <v>277</v>
      </c>
      <c r="D42" s="12" t="s">
        <v>265</v>
      </c>
      <c r="E42" s="14" t="s">
        <v>279</v>
      </c>
      <c r="F42" s="14" t="s">
        <v>267</v>
      </c>
      <c r="G42" s="15">
        <v>45216</v>
      </c>
      <c r="H42" s="15" t="s">
        <v>268</v>
      </c>
      <c r="I42" s="12" t="s">
        <v>269</v>
      </c>
      <c r="J42" s="12" t="s">
        <v>270</v>
      </c>
      <c r="K42" s="12">
        <v>200</v>
      </c>
      <c r="L42" s="12">
        <v>84</v>
      </c>
      <c r="M42" s="12">
        <v>18</v>
      </c>
      <c r="N42" s="12">
        <v>35</v>
      </c>
      <c r="O42" s="16">
        <v>0.51428571428571423</v>
      </c>
      <c r="P42" s="12">
        <v>10</v>
      </c>
      <c r="Q42" s="12">
        <v>27</v>
      </c>
      <c r="R42" s="16">
        <v>0.37037037037037035</v>
      </c>
      <c r="S42" s="12">
        <v>28</v>
      </c>
      <c r="T42" s="12">
        <v>62</v>
      </c>
      <c r="U42" s="16">
        <v>0.45161290322580644</v>
      </c>
      <c r="V42" s="12">
        <v>18</v>
      </c>
      <c r="W42" s="12">
        <v>21</v>
      </c>
      <c r="X42" s="16">
        <v>0.8571428571428571</v>
      </c>
      <c r="Y42" s="12">
        <v>7</v>
      </c>
      <c r="Z42" s="12">
        <v>17</v>
      </c>
      <c r="AA42" s="12">
        <v>24</v>
      </c>
      <c r="AB42" s="12">
        <v>15</v>
      </c>
      <c r="AC42" s="12">
        <v>13</v>
      </c>
      <c r="AD42" s="12">
        <v>6</v>
      </c>
      <c r="AE42" s="12">
        <v>3</v>
      </c>
      <c r="AF42" s="12">
        <v>2</v>
      </c>
      <c r="AG42" s="12">
        <v>19</v>
      </c>
      <c r="AH42" s="12">
        <v>20</v>
      </c>
      <c r="AI42" s="17">
        <v>81</v>
      </c>
      <c r="AJ42" s="12">
        <v>-5</v>
      </c>
      <c r="AK42" s="12">
        <v>76</v>
      </c>
      <c r="AL42" s="12">
        <v>84</v>
      </c>
      <c r="AM42" s="19">
        <v>1</v>
      </c>
      <c r="AN42" s="19">
        <v>1.1125</v>
      </c>
      <c r="AO42" s="18">
        <v>110.5263157894737</v>
      </c>
      <c r="AP42" s="18">
        <v>121.91780821917808</v>
      </c>
      <c r="AQ42" s="18">
        <v>-11.391492429704385</v>
      </c>
      <c r="AR42" s="53">
        <v>0.532258064516129</v>
      </c>
      <c r="AS42" s="53">
        <v>0.59154929577464788</v>
      </c>
      <c r="AT42" s="16">
        <v>8.3333333333333329E-2</v>
      </c>
      <c r="AU42" s="19">
        <v>1.4285714285714286</v>
      </c>
      <c r="AV42" s="16">
        <v>0.25</v>
      </c>
      <c r="AW42" s="19">
        <v>0.8571428571428571</v>
      </c>
      <c r="AX42" s="16">
        <v>8.3333333333333329E-2</v>
      </c>
      <c r="AY42" s="19">
        <v>1.1428571428571428</v>
      </c>
      <c r="AZ42" s="16">
        <v>0</v>
      </c>
      <c r="BA42" s="19" t="s">
        <v>269</v>
      </c>
      <c r="BB42" s="16">
        <v>0.32142857142857145</v>
      </c>
      <c r="BC42" s="21">
        <v>1.1111111111111112</v>
      </c>
      <c r="BD42" s="16">
        <v>0.10714285714285714</v>
      </c>
      <c r="BE42" s="16">
        <v>0.15662650602409639</v>
      </c>
      <c r="BF42" s="16">
        <v>0.3783783783783784</v>
      </c>
      <c r="BG42" s="16">
        <v>0.22222222222222221</v>
      </c>
      <c r="BH42" s="16">
        <v>0.7</v>
      </c>
      <c r="BI42" s="16">
        <v>0.33333333333333331</v>
      </c>
      <c r="BJ42" s="16">
        <v>0.18072289156626506</v>
      </c>
      <c r="BK42" s="21">
        <v>1.1538461538461537</v>
      </c>
      <c r="BL42" s="16">
        <v>0.20588235294117646</v>
      </c>
      <c r="BM42" s="16">
        <v>0.17647058823529413</v>
      </c>
      <c r="BN42" s="16">
        <v>0.23529411764705882</v>
      </c>
      <c r="BO42" s="16">
        <v>0</v>
      </c>
      <c r="BP42" s="16">
        <v>0.70833333333333337</v>
      </c>
      <c r="BQ42" s="16">
        <v>0.7</v>
      </c>
      <c r="BR42" s="16">
        <v>0.58823529411764708</v>
      </c>
      <c r="BS42" s="16">
        <v>1</v>
      </c>
      <c r="BT42" s="16">
        <v>0.41379310344827586</v>
      </c>
      <c r="BU42" s="16">
        <v>8.2191780821917804E-2</v>
      </c>
      <c r="BV42" s="16">
        <v>5.5555555555555552E-2</v>
      </c>
      <c r="BW42" s="16">
        <v>4</v>
      </c>
      <c r="BX42" s="16">
        <v>0.57894736842105265</v>
      </c>
      <c r="BY42" s="16">
        <v>0.55000000000000004</v>
      </c>
      <c r="BZ42" s="12">
        <v>4</v>
      </c>
      <c r="CA42" s="12">
        <v>7</v>
      </c>
      <c r="CB42" s="12">
        <v>3</v>
      </c>
      <c r="CC42" s="12">
        <v>7</v>
      </c>
      <c r="CD42" s="12">
        <v>1</v>
      </c>
      <c r="CE42" s="12">
        <v>0</v>
      </c>
      <c r="CF42" s="12">
        <v>2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4</v>
      </c>
      <c r="CM42" s="12">
        <v>0</v>
      </c>
      <c r="CN42" s="12">
        <v>0</v>
      </c>
      <c r="CO42" s="12">
        <v>0</v>
      </c>
      <c r="CP42" s="12">
        <v>1</v>
      </c>
      <c r="CQ42" s="12">
        <v>1</v>
      </c>
      <c r="CR42" s="12">
        <v>4</v>
      </c>
      <c r="CS42" s="12">
        <v>0</v>
      </c>
      <c r="CT42" s="12">
        <v>1</v>
      </c>
      <c r="CU42" s="12">
        <v>0</v>
      </c>
      <c r="CV42" s="12">
        <v>2</v>
      </c>
      <c r="CW42" s="12">
        <v>0</v>
      </c>
      <c r="CX42" s="12">
        <v>8</v>
      </c>
      <c r="CY42" s="12">
        <v>0</v>
      </c>
      <c r="CZ42" s="12">
        <v>1</v>
      </c>
      <c r="DA42" s="12">
        <v>0</v>
      </c>
      <c r="DB42" s="12">
        <v>0</v>
      </c>
      <c r="DC42" s="12">
        <v>0</v>
      </c>
      <c r="DD42" s="12">
        <v>0</v>
      </c>
      <c r="DE42" s="12">
        <v>2</v>
      </c>
      <c r="DF42" s="12">
        <v>15</v>
      </c>
      <c r="DG42" s="12">
        <v>16</v>
      </c>
      <c r="DH42" s="12">
        <v>0</v>
      </c>
      <c r="DI42" s="12">
        <v>3</v>
      </c>
      <c r="DJ42" s="12">
        <v>3</v>
      </c>
      <c r="DK42" s="12">
        <v>0</v>
      </c>
      <c r="DL42" s="12">
        <v>5</v>
      </c>
      <c r="DM42" s="12">
        <v>7</v>
      </c>
      <c r="DN42" s="12">
        <v>9</v>
      </c>
      <c r="DO42" s="12">
        <v>21</v>
      </c>
      <c r="DP42" s="12">
        <v>4</v>
      </c>
      <c r="DQ42" s="12">
        <v>7</v>
      </c>
      <c r="DR42" s="12">
        <v>0</v>
      </c>
      <c r="DS42" s="12">
        <v>0</v>
      </c>
      <c r="DT42" s="12">
        <v>10</v>
      </c>
      <c r="DU42" s="12">
        <v>27</v>
      </c>
      <c r="DV42" s="12">
        <v>0</v>
      </c>
      <c r="DW42" s="12">
        <v>0</v>
      </c>
      <c r="DX42" s="12">
        <v>89</v>
      </c>
      <c r="DY42" s="12">
        <v>22</v>
      </c>
      <c r="DZ42" s="12">
        <v>30</v>
      </c>
      <c r="EA42" s="16">
        <v>0.73333333333333328</v>
      </c>
      <c r="EB42" s="12">
        <v>9</v>
      </c>
      <c r="EC42" s="12">
        <v>24</v>
      </c>
      <c r="ED42" s="16">
        <v>0.375</v>
      </c>
      <c r="EE42" s="12">
        <v>31</v>
      </c>
      <c r="EF42" s="12">
        <v>54</v>
      </c>
      <c r="EG42" s="16">
        <v>0.57407407407407407</v>
      </c>
      <c r="EH42" s="12">
        <v>18</v>
      </c>
      <c r="EI42" s="12">
        <v>22</v>
      </c>
      <c r="EJ42" s="16">
        <v>0.81818181818181823</v>
      </c>
      <c r="EK42" s="12">
        <v>7</v>
      </c>
      <c r="EL42" s="12">
        <v>27</v>
      </c>
      <c r="EM42" s="12">
        <v>34</v>
      </c>
      <c r="EN42" s="12">
        <v>20</v>
      </c>
      <c r="EO42" s="12">
        <v>20</v>
      </c>
      <c r="EP42" s="12">
        <v>19</v>
      </c>
      <c r="EQ42" s="12">
        <v>7</v>
      </c>
      <c r="ER42" s="12">
        <v>16</v>
      </c>
      <c r="ES42" s="12">
        <v>2</v>
      </c>
      <c r="ET42" s="12">
        <v>3</v>
      </c>
      <c r="EU42" s="12">
        <v>105</v>
      </c>
      <c r="EV42" s="12">
        <v>5</v>
      </c>
      <c r="EW42" s="12">
        <v>73</v>
      </c>
      <c r="EX42" s="12">
        <v>80</v>
      </c>
      <c r="EY42" s="12">
        <v>5</v>
      </c>
      <c r="EZ42" s="12">
        <v>14</v>
      </c>
      <c r="FA42" s="12">
        <v>5</v>
      </c>
      <c r="FB42" s="12">
        <v>1</v>
      </c>
      <c r="FC42" s="12">
        <v>2</v>
      </c>
      <c r="FD42" s="12">
        <v>0</v>
      </c>
      <c r="FE42" s="12">
        <v>0</v>
      </c>
      <c r="FF42" s="12">
        <v>2</v>
      </c>
      <c r="FG42" s="12">
        <v>1</v>
      </c>
      <c r="FH42" s="12">
        <v>0</v>
      </c>
      <c r="FI42" s="12">
        <v>0</v>
      </c>
      <c r="FJ42" s="12">
        <v>0</v>
      </c>
      <c r="FK42" s="12">
        <v>0</v>
      </c>
      <c r="FL42" s="12">
        <v>5</v>
      </c>
      <c r="FM42" s="12">
        <v>2</v>
      </c>
      <c r="FN42" s="12">
        <v>0</v>
      </c>
      <c r="FO42" s="12">
        <v>0</v>
      </c>
      <c r="FP42" s="12">
        <v>1</v>
      </c>
      <c r="FQ42" s="12">
        <v>0</v>
      </c>
      <c r="FR42" s="12">
        <v>10</v>
      </c>
      <c r="FS42" s="12">
        <v>1</v>
      </c>
      <c r="FT42" s="12">
        <v>2</v>
      </c>
      <c r="FU42" s="12">
        <v>0</v>
      </c>
      <c r="FV42" s="12">
        <v>0</v>
      </c>
      <c r="FW42" s="12">
        <v>0</v>
      </c>
      <c r="FX42" s="12">
        <v>12</v>
      </c>
      <c r="FY42" s="12">
        <v>1</v>
      </c>
      <c r="FZ42" s="12">
        <v>2</v>
      </c>
      <c r="GA42" s="12">
        <v>1</v>
      </c>
      <c r="GB42" s="12">
        <v>0</v>
      </c>
      <c r="GC42" s="12">
        <v>0</v>
      </c>
      <c r="GD42" s="12">
        <v>1</v>
      </c>
      <c r="GE42" s="12">
        <v>1</v>
      </c>
      <c r="GF42" s="12">
        <v>16</v>
      </c>
      <c r="GG42" s="12">
        <v>20</v>
      </c>
      <c r="GH42" s="12">
        <v>1</v>
      </c>
      <c r="GI42" s="12">
        <v>0</v>
      </c>
      <c r="GJ42" s="12">
        <v>0</v>
      </c>
      <c r="GK42" s="12">
        <v>0</v>
      </c>
      <c r="GL42" s="12">
        <v>10</v>
      </c>
      <c r="GM42" s="12">
        <v>11</v>
      </c>
      <c r="GN42" s="12">
        <v>12</v>
      </c>
      <c r="GO42" s="12">
        <v>18</v>
      </c>
      <c r="GP42" s="12">
        <v>0</v>
      </c>
      <c r="GQ42" s="12">
        <v>1</v>
      </c>
      <c r="GR42" s="12">
        <v>0</v>
      </c>
      <c r="GS42" s="12">
        <v>2</v>
      </c>
      <c r="GT42" s="12">
        <v>9</v>
      </c>
      <c r="GU42" s="12">
        <v>22</v>
      </c>
      <c r="GV42" s="12">
        <v>0</v>
      </c>
      <c r="GW42" s="12">
        <v>0</v>
      </c>
    </row>
    <row r="43" spans="2:205" ht="15" customHeight="1" x14ac:dyDescent="0.2">
      <c r="B43" s="12">
        <v>3</v>
      </c>
      <c r="C43" s="12" t="s">
        <v>265</v>
      </c>
      <c r="D43" s="12" t="s">
        <v>277</v>
      </c>
      <c r="E43" s="14" t="s">
        <v>267</v>
      </c>
      <c r="F43" s="14" t="s">
        <v>279</v>
      </c>
      <c r="G43" s="15">
        <v>45216</v>
      </c>
      <c r="H43" s="15" t="s">
        <v>271</v>
      </c>
      <c r="I43" s="12" t="s">
        <v>269</v>
      </c>
      <c r="J43" s="12" t="s">
        <v>272</v>
      </c>
      <c r="K43" s="12">
        <v>200</v>
      </c>
      <c r="L43" s="12">
        <v>89</v>
      </c>
      <c r="M43" s="12">
        <v>22</v>
      </c>
      <c r="N43" s="12">
        <v>30</v>
      </c>
      <c r="O43" s="16">
        <v>0.73333333333333328</v>
      </c>
      <c r="P43" s="12">
        <v>9</v>
      </c>
      <c r="Q43" s="12">
        <v>24</v>
      </c>
      <c r="R43" s="16">
        <v>0.375</v>
      </c>
      <c r="S43" s="12">
        <v>31</v>
      </c>
      <c r="T43" s="12">
        <v>54</v>
      </c>
      <c r="U43" s="16">
        <v>0.57407407407407407</v>
      </c>
      <c r="V43" s="12">
        <v>18</v>
      </c>
      <c r="W43" s="12">
        <v>22</v>
      </c>
      <c r="X43" s="16">
        <v>0.81818181818181823</v>
      </c>
      <c r="Y43" s="12">
        <v>7</v>
      </c>
      <c r="Z43" s="12">
        <v>27</v>
      </c>
      <c r="AA43" s="12">
        <v>34</v>
      </c>
      <c r="AB43" s="12">
        <v>20</v>
      </c>
      <c r="AC43" s="12">
        <v>16</v>
      </c>
      <c r="AD43" s="12">
        <v>7</v>
      </c>
      <c r="AE43" s="12">
        <v>2</v>
      </c>
      <c r="AF43" s="12">
        <v>3</v>
      </c>
      <c r="AG43" s="12">
        <v>20</v>
      </c>
      <c r="AH43" s="12">
        <v>19</v>
      </c>
      <c r="AI43" s="17">
        <v>105</v>
      </c>
      <c r="AJ43" s="12">
        <v>5</v>
      </c>
      <c r="AK43" s="12">
        <v>73</v>
      </c>
      <c r="AL43" s="12">
        <v>80</v>
      </c>
      <c r="AM43" s="19">
        <v>1.1125</v>
      </c>
      <c r="AN43" s="19">
        <v>1</v>
      </c>
      <c r="AO43" s="18">
        <v>121.91780821917808</v>
      </c>
      <c r="AP43" s="18">
        <v>110.5263157894737</v>
      </c>
      <c r="AQ43" s="18">
        <v>11.391492429704385</v>
      </c>
      <c r="AR43" s="53">
        <v>0.65740740740740744</v>
      </c>
      <c r="AS43" s="53">
        <v>0.6953125</v>
      </c>
      <c r="AT43" s="16">
        <v>0.13750000000000001</v>
      </c>
      <c r="AU43" s="19">
        <v>1.8181818181818181</v>
      </c>
      <c r="AV43" s="16">
        <v>0.22500000000000001</v>
      </c>
      <c r="AW43" s="19">
        <v>1.3333333333333333</v>
      </c>
      <c r="AX43" s="16">
        <v>1.2500000000000001E-2</v>
      </c>
      <c r="AY43" s="19">
        <v>0</v>
      </c>
      <c r="AZ43" s="16">
        <v>2.5000000000000001E-2</v>
      </c>
      <c r="BA43" s="19">
        <v>0</v>
      </c>
      <c r="BB43" s="16">
        <v>0.27500000000000002</v>
      </c>
      <c r="BC43" s="21">
        <v>1.2272727272727273</v>
      </c>
      <c r="BD43" s="16">
        <v>0.125</v>
      </c>
      <c r="BE43" s="16">
        <v>0.2</v>
      </c>
      <c r="BF43" s="16">
        <v>0.5</v>
      </c>
      <c r="BG43" s="16">
        <v>0.63636363636363635</v>
      </c>
      <c r="BH43" s="16">
        <v>0.55555555555555558</v>
      </c>
      <c r="BI43" s="16">
        <v>0.1111111111111111</v>
      </c>
      <c r="BJ43" s="16">
        <v>0.25</v>
      </c>
      <c r="BK43" s="21">
        <v>1.25</v>
      </c>
      <c r="BL43" s="16">
        <v>0.29166666666666669</v>
      </c>
      <c r="BM43" s="16">
        <v>0.3</v>
      </c>
      <c r="BN43" s="16">
        <v>0.41176470588235292</v>
      </c>
      <c r="BO43" s="16">
        <v>0</v>
      </c>
      <c r="BP43" s="16">
        <v>0.79411764705882348</v>
      </c>
      <c r="BQ43" s="16">
        <v>0.82352941176470584</v>
      </c>
      <c r="BR43" s="16">
        <v>0.76470588235294112</v>
      </c>
      <c r="BS43" s="16">
        <v>1</v>
      </c>
      <c r="BT43" s="16">
        <v>0.58620689655172409</v>
      </c>
      <c r="BU43" s="16">
        <v>9.2105263157894732E-2</v>
      </c>
      <c r="BV43" s="16">
        <v>3.2258064516129031E-2</v>
      </c>
      <c r="BW43" s="16">
        <v>5</v>
      </c>
      <c r="BX43" s="16">
        <v>0.55000000000000004</v>
      </c>
      <c r="BY43" s="16">
        <v>0.63157894736842102</v>
      </c>
      <c r="BZ43" s="12">
        <v>14</v>
      </c>
      <c r="CA43" s="12">
        <v>5</v>
      </c>
      <c r="CB43" s="12">
        <v>1</v>
      </c>
      <c r="CC43" s="12">
        <v>2</v>
      </c>
      <c r="CD43" s="12">
        <v>0</v>
      </c>
      <c r="CE43" s="12">
        <v>0</v>
      </c>
      <c r="CF43" s="12">
        <v>2</v>
      </c>
      <c r="CG43" s="12">
        <v>1</v>
      </c>
      <c r="CH43" s="12">
        <v>0</v>
      </c>
      <c r="CI43" s="12">
        <v>0</v>
      </c>
      <c r="CJ43" s="12">
        <v>0</v>
      </c>
      <c r="CK43" s="12">
        <v>0</v>
      </c>
      <c r="CL43" s="12">
        <v>5</v>
      </c>
      <c r="CM43" s="12">
        <v>2</v>
      </c>
      <c r="CN43" s="12">
        <v>0</v>
      </c>
      <c r="CO43" s="12">
        <v>0</v>
      </c>
      <c r="CP43" s="12">
        <v>1</v>
      </c>
      <c r="CQ43" s="12">
        <v>0</v>
      </c>
      <c r="CR43" s="12">
        <v>10</v>
      </c>
      <c r="CS43" s="12">
        <v>1</v>
      </c>
      <c r="CT43" s="12">
        <v>2</v>
      </c>
      <c r="CU43" s="12">
        <v>0</v>
      </c>
      <c r="CV43" s="12">
        <v>0</v>
      </c>
      <c r="CW43" s="12">
        <v>0</v>
      </c>
      <c r="CX43" s="12">
        <v>12</v>
      </c>
      <c r="CY43" s="12">
        <v>1</v>
      </c>
      <c r="CZ43" s="12">
        <v>2</v>
      </c>
      <c r="DA43" s="12">
        <v>1</v>
      </c>
      <c r="DB43" s="12">
        <v>0</v>
      </c>
      <c r="DC43" s="12">
        <v>0</v>
      </c>
      <c r="DD43" s="12">
        <v>2</v>
      </c>
      <c r="DE43" s="12">
        <v>2</v>
      </c>
      <c r="DF43" s="12">
        <v>16</v>
      </c>
      <c r="DG43" s="12">
        <v>20</v>
      </c>
      <c r="DH43" s="12">
        <v>1</v>
      </c>
      <c r="DI43" s="12">
        <v>0</v>
      </c>
      <c r="DJ43" s="12">
        <v>0</v>
      </c>
      <c r="DK43" s="12">
        <v>0</v>
      </c>
      <c r="DL43" s="12">
        <v>10</v>
      </c>
      <c r="DM43" s="12">
        <v>11</v>
      </c>
      <c r="DN43" s="12">
        <v>12</v>
      </c>
      <c r="DO43" s="12">
        <v>18</v>
      </c>
      <c r="DP43" s="12">
        <v>0</v>
      </c>
      <c r="DQ43" s="12">
        <v>1</v>
      </c>
      <c r="DR43" s="12">
        <v>0</v>
      </c>
      <c r="DS43" s="12">
        <v>2</v>
      </c>
      <c r="DT43" s="12">
        <v>9</v>
      </c>
      <c r="DU43" s="12">
        <v>22</v>
      </c>
      <c r="DV43" s="12">
        <v>0</v>
      </c>
      <c r="DW43" s="12">
        <v>0</v>
      </c>
      <c r="DX43" s="12">
        <v>84</v>
      </c>
      <c r="DY43" s="12">
        <v>18</v>
      </c>
      <c r="DZ43" s="12">
        <v>35</v>
      </c>
      <c r="EA43" s="16">
        <v>0.51428571428571423</v>
      </c>
      <c r="EB43" s="12">
        <v>10</v>
      </c>
      <c r="EC43" s="12">
        <v>27</v>
      </c>
      <c r="ED43" s="16">
        <v>0.37037037037037035</v>
      </c>
      <c r="EE43" s="12">
        <v>28</v>
      </c>
      <c r="EF43" s="12">
        <v>62</v>
      </c>
      <c r="EG43" s="16">
        <v>0.45161290322580644</v>
      </c>
      <c r="EH43" s="12">
        <v>18</v>
      </c>
      <c r="EI43" s="12">
        <v>21</v>
      </c>
      <c r="EJ43" s="16">
        <v>0.8571428571428571</v>
      </c>
      <c r="EK43" s="12">
        <v>7</v>
      </c>
      <c r="EL43" s="12">
        <v>17</v>
      </c>
      <c r="EM43" s="12">
        <v>24</v>
      </c>
      <c r="EN43" s="12">
        <v>15</v>
      </c>
      <c r="EO43" s="12">
        <v>19</v>
      </c>
      <c r="EP43" s="12">
        <v>20</v>
      </c>
      <c r="EQ43" s="12">
        <v>6</v>
      </c>
      <c r="ER43" s="12">
        <v>13</v>
      </c>
      <c r="ES43" s="12">
        <v>3</v>
      </c>
      <c r="ET43" s="12">
        <v>2</v>
      </c>
      <c r="EU43" s="12">
        <v>81</v>
      </c>
      <c r="EV43" s="12">
        <v>-5</v>
      </c>
      <c r="EW43" s="12">
        <v>76</v>
      </c>
      <c r="EX43" s="12">
        <v>84</v>
      </c>
      <c r="EY43" s="12">
        <v>4</v>
      </c>
      <c r="EZ43" s="12">
        <v>4</v>
      </c>
      <c r="FA43" s="12">
        <v>7</v>
      </c>
      <c r="FB43" s="12">
        <v>3</v>
      </c>
      <c r="FC43" s="12">
        <v>7</v>
      </c>
      <c r="FD43" s="12">
        <v>1</v>
      </c>
      <c r="FE43" s="12">
        <v>0</v>
      </c>
      <c r="FF43" s="12">
        <v>2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4</v>
      </c>
      <c r="FM43" s="12">
        <v>0</v>
      </c>
      <c r="FN43" s="12">
        <v>0</v>
      </c>
      <c r="FO43" s="12">
        <v>0</v>
      </c>
      <c r="FP43" s="12">
        <v>1</v>
      </c>
      <c r="FQ43" s="12">
        <v>1</v>
      </c>
      <c r="FR43" s="12">
        <v>4</v>
      </c>
      <c r="FS43" s="12">
        <v>0</v>
      </c>
      <c r="FT43" s="12">
        <v>1</v>
      </c>
      <c r="FU43" s="12">
        <v>0</v>
      </c>
      <c r="FV43" s="12">
        <v>2</v>
      </c>
      <c r="FW43" s="12">
        <v>0</v>
      </c>
      <c r="FX43" s="12">
        <v>8</v>
      </c>
      <c r="FY43" s="12">
        <v>0</v>
      </c>
      <c r="FZ43" s="12">
        <v>1</v>
      </c>
      <c r="GA43" s="12">
        <v>0</v>
      </c>
      <c r="GB43" s="12">
        <v>0</v>
      </c>
      <c r="GC43" s="12">
        <v>0</v>
      </c>
      <c r="GD43" s="12">
        <v>0</v>
      </c>
      <c r="GE43" s="12">
        <v>2</v>
      </c>
      <c r="GF43" s="12">
        <v>15</v>
      </c>
      <c r="GG43" s="12">
        <v>16</v>
      </c>
      <c r="GH43" s="12">
        <v>0</v>
      </c>
      <c r="GI43" s="12">
        <v>3</v>
      </c>
      <c r="GJ43" s="12">
        <v>3</v>
      </c>
      <c r="GK43" s="12">
        <v>0</v>
      </c>
      <c r="GL43" s="12">
        <v>5</v>
      </c>
      <c r="GM43" s="12">
        <v>7</v>
      </c>
      <c r="GN43" s="12">
        <v>9</v>
      </c>
      <c r="GO43" s="12">
        <v>21</v>
      </c>
      <c r="GP43" s="12">
        <v>4</v>
      </c>
      <c r="GQ43" s="12">
        <v>7</v>
      </c>
      <c r="GR43" s="12">
        <v>0</v>
      </c>
      <c r="GS43" s="12">
        <v>0</v>
      </c>
      <c r="GT43" s="12">
        <v>10</v>
      </c>
      <c r="GU43" s="12">
        <v>27</v>
      </c>
      <c r="GV43" s="12">
        <v>0</v>
      </c>
      <c r="GW43" s="12">
        <v>0</v>
      </c>
    </row>
    <row r="44" spans="2:205" ht="15" customHeight="1" x14ac:dyDescent="0.2">
      <c r="B44" s="12">
        <v>3</v>
      </c>
      <c r="C44" s="12" t="s">
        <v>297</v>
      </c>
      <c r="D44" s="12" t="s">
        <v>282</v>
      </c>
      <c r="E44" s="14" t="s">
        <v>299</v>
      </c>
      <c r="F44" s="14" t="s">
        <v>284</v>
      </c>
      <c r="G44" s="15">
        <v>45216</v>
      </c>
      <c r="H44" s="15" t="s">
        <v>268</v>
      </c>
      <c r="I44" s="12" t="s">
        <v>269</v>
      </c>
      <c r="J44" s="12" t="s">
        <v>272</v>
      </c>
      <c r="K44" s="12">
        <v>200</v>
      </c>
      <c r="L44" s="12">
        <v>76</v>
      </c>
      <c r="M44" s="12">
        <v>20</v>
      </c>
      <c r="N44" s="12">
        <v>30</v>
      </c>
      <c r="O44" s="16">
        <v>0.66666666666666663</v>
      </c>
      <c r="P44" s="12">
        <v>8</v>
      </c>
      <c r="Q44" s="12">
        <v>34</v>
      </c>
      <c r="R44" s="16">
        <v>0.23529411764705882</v>
      </c>
      <c r="S44" s="12">
        <v>28</v>
      </c>
      <c r="T44" s="12">
        <v>64</v>
      </c>
      <c r="U44" s="16">
        <v>0.4375</v>
      </c>
      <c r="V44" s="12">
        <v>12</v>
      </c>
      <c r="W44" s="12">
        <v>15</v>
      </c>
      <c r="X44" s="16">
        <v>0.8</v>
      </c>
      <c r="Y44" s="12">
        <v>14</v>
      </c>
      <c r="Z44" s="12">
        <v>29</v>
      </c>
      <c r="AA44" s="12">
        <v>43</v>
      </c>
      <c r="AB44" s="12">
        <v>17</v>
      </c>
      <c r="AC44" s="12">
        <v>14</v>
      </c>
      <c r="AD44" s="12">
        <v>7</v>
      </c>
      <c r="AE44" s="12">
        <v>5</v>
      </c>
      <c r="AF44" s="12">
        <v>2</v>
      </c>
      <c r="AG44" s="12">
        <v>18</v>
      </c>
      <c r="AH44" s="12">
        <v>20</v>
      </c>
      <c r="AI44" s="17">
        <v>95</v>
      </c>
      <c r="AJ44" s="12">
        <v>8</v>
      </c>
      <c r="AK44" s="12">
        <v>70</v>
      </c>
      <c r="AL44" s="12">
        <v>84</v>
      </c>
      <c r="AM44" s="19">
        <v>0.90476190476190477</v>
      </c>
      <c r="AN44" s="19">
        <v>0.8</v>
      </c>
      <c r="AO44" s="18">
        <v>108.57142857142857</v>
      </c>
      <c r="AP44" s="18">
        <v>94.444444444444443</v>
      </c>
      <c r="AQ44" s="18">
        <v>14.126984126984127</v>
      </c>
      <c r="AR44" s="53">
        <v>0.5</v>
      </c>
      <c r="AS44" s="53">
        <v>0.54285714285714282</v>
      </c>
      <c r="AT44" s="16">
        <v>4.7619047619047616E-2</v>
      </c>
      <c r="AU44" s="19">
        <v>2</v>
      </c>
      <c r="AV44" s="16">
        <v>0.21428571428571427</v>
      </c>
      <c r="AW44" s="19">
        <v>1.4444444444444444</v>
      </c>
      <c r="AX44" s="16">
        <v>9.5238095238095233E-2</v>
      </c>
      <c r="AY44" s="19">
        <v>0.75</v>
      </c>
      <c r="AZ44" s="16">
        <v>0</v>
      </c>
      <c r="BA44" s="19" t="s">
        <v>269</v>
      </c>
      <c r="BB44" s="16">
        <v>0.39285714285714285</v>
      </c>
      <c r="BC44" s="21">
        <v>0.72727272727272729</v>
      </c>
      <c r="BD44" s="16">
        <v>7.1428571428571425E-2</v>
      </c>
      <c r="BE44" s="16">
        <v>0.16666666666666666</v>
      </c>
      <c r="BF44" s="16">
        <v>0.5</v>
      </c>
      <c r="BG44" s="16">
        <v>0.45</v>
      </c>
      <c r="BH44" s="16">
        <v>0.875</v>
      </c>
      <c r="BI44" s="16">
        <v>0.16666666666666666</v>
      </c>
      <c r="BJ44" s="16">
        <v>0.20238095238095238</v>
      </c>
      <c r="BK44" s="21">
        <v>1.2142857142857142</v>
      </c>
      <c r="BL44" s="16">
        <v>0.4</v>
      </c>
      <c r="BM44" s="16">
        <v>0.45454545454545453</v>
      </c>
      <c r="BN44" s="16">
        <v>0.42857142857142855</v>
      </c>
      <c r="BO44" s="16" t="s">
        <v>269</v>
      </c>
      <c r="BP44" s="16">
        <v>0.70731707317073167</v>
      </c>
      <c r="BQ44" s="16">
        <v>0.65384615384615385</v>
      </c>
      <c r="BR44" s="16">
        <v>0.52631578947368418</v>
      </c>
      <c r="BS44" s="16">
        <v>1</v>
      </c>
      <c r="BT44" s="16">
        <v>0.56578947368421051</v>
      </c>
      <c r="BU44" s="16">
        <v>9.7222222222222224E-2</v>
      </c>
      <c r="BV44" s="16">
        <v>7.8125E-2</v>
      </c>
      <c r="BW44" s="16">
        <v>8</v>
      </c>
      <c r="BX44" s="16">
        <v>0.5</v>
      </c>
      <c r="BY44" s="16">
        <v>0.45</v>
      </c>
      <c r="BZ44" s="12">
        <v>9</v>
      </c>
      <c r="CA44" s="12">
        <v>7</v>
      </c>
      <c r="CB44" s="12">
        <v>1</v>
      </c>
      <c r="CC44" s="12">
        <v>2</v>
      </c>
      <c r="CD44" s="12">
        <v>0</v>
      </c>
      <c r="CE44" s="12">
        <v>0</v>
      </c>
      <c r="CF44" s="12">
        <v>1</v>
      </c>
      <c r="CG44" s="12">
        <v>1</v>
      </c>
      <c r="CH44" s="12">
        <v>3</v>
      </c>
      <c r="CI44" s="12">
        <v>0</v>
      </c>
      <c r="CJ44" s="12">
        <v>0</v>
      </c>
      <c r="CK44" s="12">
        <v>0</v>
      </c>
      <c r="CL44" s="12">
        <v>10</v>
      </c>
      <c r="CM44" s="12">
        <v>2</v>
      </c>
      <c r="CN44" s="12">
        <v>0</v>
      </c>
      <c r="CO44" s="12">
        <v>0</v>
      </c>
      <c r="CP44" s="12">
        <v>2</v>
      </c>
      <c r="CQ44" s="12">
        <v>0</v>
      </c>
      <c r="CR44" s="12">
        <v>11</v>
      </c>
      <c r="CS44" s="12">
        <v>1</v>
      </c>
      <c r="CT44" s="12">
        <v>3</v>
      </c>
      <c r="CU44" s="12">
        <v>0</v>
      </c>
      <c r="CV44" s="12">
        <v>0</v>
      </c>
      <c r="CW44" s="12">
        <v>0</v>
      </c>
      <c r="CX44" s="12">
        <v>10</v>
      </c>
      <c r="CY44" s="12">
        <v>0</v>
      </c>
      <c r="CZ44" s="12">
        <v>3</v>
      </c>
      <c r="DA44" s="12">
        <v>0</v>
      </c>
      <c r="DB44" s="12">
        <v>0</v>
      </c>
      <c r="DC44" s="12">
        <v>0</v>
      </c>
      <c r="DD44" s="12">
        <v>2</v>
      </c>
      <c r="DE44" s="12">
        <v>3</v>
      </c>
      <c r="DF44" s="12">
        <v>10</v>
      </c>
      <c r="DG44" s="12">
        <v>12</v>
      </c>
      <c r="DH44" s="12">
        <v>0</v>
      </c>
      <c r="DI44" s="12">
        <v>0</v>
      </c>
      <c r="DJ44" s="12">
        <v>0</v>
      </c>
      <c r="DK44" s="12">
        <v>0</v>
      </c>
      <c r="DL44" s="12">
        <v>4</v>
      </c>
      <c r="DM44" s="12">
        <v>4</v>
      </c>
      <c r="DN44" s="12">
        <v>13</v>
      </c>
      <c r="DO44" s="12">
        <v>18</v>
      </c>
      <c r="DP44" s="12">
        <v>3</v>
      </c>
      <c r="DQ44" s="12">
        <v>8</v>
      </c>
      <c r="DR44" s="12">
        <v>0</v>
      </c>
      <c r="DS44" s="12">
        <v>0</v>
      </c>
      <c r="DT44" s="12">
        <v>8</v>
      </c>
      <c r="DU44" s="12">
        <v>33</v>
      </c>
      <c r="DV44" s="12">
        <v>0</v>
      </c>
      <c r="DW44" s="12">
        <v>1</v>
      </c>
      <c r="DX44" s="12">
        <v>68</v>
      </c>
      <c r="DY44" s="12">
        <v>15</v>
      </c>
      <c r="DZ44" s="12">
        <v>37</v>
      </c>
      <c r="EA44" s="16">
        <v>0.40540540540540543</v>
      </c>
      <c r="EB44" s="12">
        <v>9</v>
      </c>
      <c r="EC44" s="12">
        <v>27</v>
      </c>
      <c r="ED44" s="16">
        <v>0.33333333333333331</v>
      </c>
      <c r="EE44" s="12">
        <v>24</v>
      </c>
      <c r="EF44" s="12">
        <v>64</v>
      </c>
      <c r="EG44" s="16">
        <v>0.375</v>
      </c>
      <c r="EH44" s="12">
        <v>11</v>
      </c>
      <c r="EI44" s="12">
        <v>17</v>
      </c>
      <c r="EJ44" s="16">
        <v>0.6470588235294118</v>
      </c>
      <c r="EK44" s="12">
        <v>12</v>
      </c>
      <c r="EL44" s="12">
        <v>21</v>
      </c>
      <c r="EM44" s="12">
        <v>33</v>
      </c>
      <c r="EN44" s="12">
        <v>15</v>
      </c>
      <c r="EO44" s="12">
        <v>20</v>
      </c>
      <c r="EP44" s="12">
        <v>18</v>
      </c>
      <c r="EQ44" s="12">
        <v>7</v>
      </c>
      <c r="ER44" s="12">
        <v>14</v>
      </c>
      <c r="ES44" s="12">
        <v>2</v>
      </c>
      <c r="ET44" s="12">
        <v>5</v>
      </c>
      <c r="EU44" s="12">
        <v>58</v>
      </c>
      <c r="EV44" s="12">
        <v>-8</v>
      </c>
      <c r="EW44" s="12">
        <v>72</v>
      </c>
      <c r="EX44" s="12">
        <v>85</v>
      </c>
      <c r="EY44" s="12">
        <v>3</v>
      </c>
      <c r="EZ44" s="12">
        <v>7</v>
      </c>
      <c r="FA44" s="12">
        <v>6</v>
      </c>
      <c r="FB44" s="12">
        <v>2</v>
      </c>
      <c r="FC44" s="12">
        <v>5</v>
      </c>
      <c r="FD44" s="12">
        <v>0</v>
      </c>
      <c r="FE44" s="12">
        <v>0</v>
      </c>
      <c r="FF44" s="12">
        <v>4</v>
      </c>
      <c r="FG44" s="12">
        <v>2</v>
      </c>
      <c r="FH44" s="12">
        <v>2</v>
      </c>
      <c r="FI44" s="12">
        <v>1</v>
      </c>
      <c r="FJ44" s="12">
        <v>0</v>
      </c>
      <c r="FK44" s="12">
        <v>0</v>
      </c>
      <c r="FL44" s="12">
        <v>6</v>
      </c>
      <c r="FM44" s="12">
        <v>3</v>
      </c>
      <c r="FN44" s="12">
        <v>0</v>
      </c>
      <c r="FO44" s="12">
        <v>0</v>
      </c>
      <c r="FP44" s="12">
        <v>0</v>
      </c>
      <c r="FQ44" s="12">
        <v>0</v>
      </c>
      <c r="FR44" s="12">
        <v>4</v>
      </c>
      <c r="FS44" s="12">
        <v>0</v>
      </c>
      <c r="FT44" s="12">
        <v>2</v>
      </c>
      <c r="FU44" s="12">
        <v>0</v>
      </c>
      <c r="FV44" s="12">
        <v>0</v>
      </c>
      <c r="FW44" s="12">
        <v>0</v>
      </c>
      <c r="FX44" s="12">
        <v>14</v>
      </c>
      <c r="FY44" s="12">
        <v>2</v>
      </c>
      <c r="FZ44" s="12">
        <v>0</v>
      </c>
      <c r="GA44" s="12">
        <v>0</v>
      </c>
      <c r="GB44" s="12">
        <v>0</v>
      </c>
      <c r="GC44" s="12">
        <v>0</v>
      </c>
      <c r="GD44" s="12">
        <v>1</v>
      </c>
      <c r="GE44" s="12">
        <v>2</v>
      </c>
      <c r="GF44" s="12">
        <v>8</v>
      </c>
      <c r="GG44" s="12">
        <v>12</v>
      </c>
      <c r="GH44" s="12">
        <v>0</v>
      </c>
      <c r="GI44" s="12">
        <v>2</v>
      </c>
      <c r="GJ44" s="12">
        <v>3</v>
      </c>
      <c r="GK44" s="12">
        <v>0</v>
      </c>
      <c r="GL44" s="12">
        <v>2</v>
      </c>
      <c r="GM44" s="12">
        <v>4</v>
      </c>
      <c r="GN44" s="12">
        <v>11</v>
      </c>
      <c r="GO44" s="12">
        <v>26</v>
      </c>
      <c r="GP44" s="12">
        <v>2</v>
      </c>
      <c r="GQ44" s="12">
        <v>7</v>
      </c>
      <c r="GR44" s="12">
        <v>0</v>
      </c>
      <c r="GS44" s="12">
        <v>0</v>
      </c>
      <c r="GT44" s="12">
        <v>9</v>
      </c>
      <c r="GU44" s="12">
        <v>25</v>
      </c>
      <c r="GV44" s="12">
        <v>0</v>
      </c>
      <c r="GW44" s="12">
        <v>2</v>
      </c>
    </row>
    <row r="45" spans="2:205" ht="15" customHeight="1" x14ac:dyDescent="0.2">
      <c r="B45" s="12">
        <v>3</v>
      </c>
      <c r="C45" s="12" t="s">
        <v>282</v>
      </c>
      <c r="D45" s="12" t="s">
        <v>297</v>
      </c>
      <c r="E45" s="14" t="s">
        <v>284</v>
      </c>
      <c r="F45" s="14" t="s">
        <v>299</v>
      </c>
      <c r="G45" s="15">
        <v>45216</v>
      </c>
      <c r="H45" s="15" t="s">
        <v>271</v>
      </c>
      <c r="I45" s="12" t="s">
        <v>269</v>
      </c>
      <c r="J45" s="12" t="s">
        <v>270</v>
      </c>
      <c r="K45" s="12">
        <v>200</v>
      </c>
      <c r="L45" s="12">
        <v>68</v>
      </c>
      <c r="M45" s="12">
        <v>15</v>
      </c>
      <c r="N45" s="12">
        <v>37</v>
      </c>
      <c r="O45" s="16">
        <v>0.40540540540540543</v>
      </c>
      <c r="P45" s="12">
        <v>9</v>
      </c>
      <c r="Q45" s="12">
        <v>27</v>
      </c>
      <c r="R45" s="16">
        <v>0.33333333333333331</v>
      </c>
      <c r="S45" s="12">
        <v>24</v>
      </c>
      <c r="T45" s="12">
        <v>64</v>
      </c>
      <c r="U45" s="16">
        <v>0.375</v>
      </c>
      <c r="V45" s="12">
        <v>11</v>
      </c>
      <c r="W45" s="12">
        <v>17</v>
      </c>
      <c r="X45" s="16">
        <v>0.6470588235294118</v>
      </c>
      <c r="Y45" s="12">
        <v>12</v>
      </c>
      <c r="Z45" s="12">
        <v>21</v>
      </c>
      <c r="AA45" s="12">
        <v>33</v>
      </c>
      <c r="AB45" s="12">
        <v>15</v>
      </c>
      <c r="AC45" s="12">
        <v>14</v>
      </c>
      <c r="AD45" s="12">
        <v>7</v>
      </c>
      <c r="AE45" s="12">
        <v>2</v>
      </c>
      <c r="AF45" s="12">
        <v>5</v>
      </c>
      <c r="AG45" s="12">
        <v>20</v>
      </c>
      <c r="AH45" s="12">
        <v>18</v>
      </c>
      <c r="AI45" s="17">
        <v>58</v>
      </c>
      <c r="AJ45" s="12">
        <v>-8</v>
      </c>
      <c r="AK45" s="12">
        <v>72</v>
      </c>
      <c r="AL45" s="12">
        <v>85</v>
      </c>
      <c r="AM45" s="19">
        <v>0.8</v>
      </c>
      <c r="AN45" s="19">
        <v>0.90476190476190477</v>
      </c>
      <c r="AO45" s="18">
        <v>94.444444444444443</v>
      </c>
      <c r="AP45" s="18">
        <v>108.57142857142857</v>
      </c>
      <c r="AQ45" s="18">
        <v>-14.126984126984127</v>
      </c>
      <c r="AR45" s="53">
        <v>0.4453125</v>
      </c>
      <c r="AS45" s="53">
        <v>0.47887323943661969</v>
      </c>
      <c r="AT45" s="16">
        <v>4.7058823529411764E-2</v>
      </c>
      <c r="AU45" s="19">
        <v>1</v>
      </c>
      <c r="AV45" s="16">
        <v>0.30588235294117649</v>
      </c>
      <c r="AW45" s="19">
        <v>0.84615384615384615</v>
      </c>
      <c r="AX45" s="16">
        <v>8.2352941176470587E-2</v>
      </c>
      <c r="AY45" s="19">
        <v>0.5714285714285714</v>
      </c>
      <c r="AZ45" s="16">
        <v>0</v>
      </c>
      <c r="BA45" s="19" t="s">
        <v>269</v>
      </c>
      <c r="BB45" s="16">
        <v>0.29411764705882354</v>
      </c>
      <c r="BC45" s="21">
        <v>1.08</v>
      </c>
      <c r="BD45" s="16">
        <v>8.2352941176470587E-2</v>
      </c>
      <c r="BE45" s="16">
        <v>0.16666666666666666</v>
      </c>
      <c r="BF45" s="16">
        <v>0.4838709677419355</v>
      </c>
      <c r="BG45" s="16">
        <v>0.46666666666666667</v>
      </c>
      <c r="BH45" s="16">
        <v>0.66666666666666663</v>
      </c>
      <c r="BI45" s="16">
        <v>0.2857142857142857</v>
      </c>
      <c r="BJ45" s="16">
        <v>0.17857142857142858</v>
      </c>
      <c r="BK45" s="21">
        <v>1.0714285714285714</v>
      </c>
      <c r="BL45" s="16">
        <v>0.29268292682926828</v>
      </c>
      <c r="BM45" s="16">
        <v>0.34615384615384615</v>
      </c>
      <c r="BN45" s="16">
        <v>0.47368421052631576</v>
      </c>
      <c r="BO45" s="16">
        <v>0</v>
      </c>
      <c r="BP45" s="16">
        <v>0.6</v>
      </c>
      <c r="BQ45" s="16">
        <v>0.54545454545454541</v>
      </c>
      <c r="BR45" s="16">
        <v>0.5714285714285714</v>
      </c>
      <c r="BS45" s="16" t="s">
        <v>269</v>
      </c>
      <c r="BT45" s="16">
        <v>0.43421052631578949</v>
      </c>
      <c r="BU45" s="16">
        <v>0.1</v>
      </c>
      <c r="BV45" s="16">
        <v>3.125E-2</v>
      </c>
      <c r="BW45" s="16">
        <v>3</v>
      </c>
      <c r="BX45" s="16">
        <v>0.45</v>
      </c>
      <c r="BY45" s="16">
        <v>0.5</v>
      </c>
      <c r="BZ45" s="12">
        <v>7</v>
      </c>
      <c r="CA45" s="12">
        <v>6</v>
      </c>
      <c r="CB45" s="12">
        <v>2</v>
      </c>
      <c r="CC45" s="12">
        <v>5</v>
      </c>
      <c r="CD45" s="12">
        <v>0</v>
      </c>
      <c r="CE45" s="12">
        <v>0</v>
      </c>
      <c r="CF45" s="12">
        <v>4</v>
      </c>
      <c r="CG45" s="12">
        <v>2</v>
      </c>
      <c r="CH45" s="12">
        <v>2</v>
      </c>
      <c r="CI45" s="12">
        <v>1</v>
      </c>
      <c r="CJ45" s="12">
        <v>0</v>
      </c>
      <c r="CK45" s="12">
        <v>0</v>
      </c>
      <c r="CL45" s="12">
        <v>6</v>
      </c>
      <c r="CM45" s="12">
        <v>3</v>
      </c>
      <c r="CN45" s="12">
        <v>0</v>
      </c>
      <c r="CO45" s="12">
        <v>0</v>
      </c>
      <c r="CP45" s="12">
        <v>0</v>
      </c>
      <c r="CQ45" s="12">
        <v>0</v>
      </c>
      <c r="CR45" s="12">
        <v>4</v>
      </c>
      <c r="CS45" s="12">
        <v>0</v>
      </c>
      <c r="CT45" s="12">
        <v>2</v>
      </c>
      <c r="CU45" s="12">
        <v>0</v>
      </c>
      <c r="CV45" s="12">
        <v>0</v>
      </c>
      <c r="CW45" s="12">
        <v>0</v>
      </c>
      <c r="CX45" s="12">
        <v>14</v>
      </c>
      <c r="CY45" s="12">
        <v>2</v>
      </c>
      <c r="CZ45" s="12">
        <v>0</v>
      </c>
      <c r="DA45" s="12">
        <v>0</v>
      </c>
      <c r="DB45" s="12">
        <v>0</v>
      </c>
      <c r="DC45" s="12">
        <v>0</v>
      </c>
      <c r="DD45" s="12">
        <v>1</v>
      </c>
      <c r="DE45" s="12">
        <v>2</v>
      </c>
      <c r="DF45" s="12">
        <v>8</v>
      </c>
      <c r="DG45" s="12">
        <v>12</v>
      </c>
      <c r="DH45" s="12">
        <v>0</v>
      </c>
      <c r="DI45" s="12">
        <v>2</v>
      </c>
      <c r="DJ45" s="12">
        <v>3</v>
      </c>
      <c r="DK45" s="12">
        <v>0</v>
      </c>
      <c r="DL45" s="12">
        <v>2</v>
      </c>
      <c r="DM45" s="12">
        <v>4</v>
      </c>
      <c r="DN45" s="12">
        <v>11</v>
      </c>
      <c r="DO45" s="12">
        <v>26</v>
      </c>
      <c r="DP45" s="12">
        <v>2</v>
      </c>
      <c r="DQ45" s="12">
        <v>7</v>
      </c>
      <c r="DR45" s="12">
        <v>0</v>
      </c>
      <c r="DS45" s="12">
        <v>0</v>
      </c>
      <c r="DT45" s="12">
        <v>9</v>
      </c>
      <c r="DU45" s="12">
        <v>25</v>
      </c>
      <c r="DV45" s="12">
        <v>0</v>
      </c>
      <c r="DW45" s="12">
        <v>2</v>
      </c>
      <c r="DX45" s="12">
        <v>76</v>
      </c>
      <c r="DY45" s="12">
        <v>20</v>
      </c>
      <c r="DZ45" s="12">
        <v>30</v>
      </c>
      <c r="EA45" s="16">
        <v>0.66666666666666663</v>
      </c>
      <c r="EB45" s="12">
        <v>8</v>
      </c>
      <c r="EC45" s="12">
        <v>34</v>
      </c>
      <c r="ED45" s="16">
        <v>0.23529411764705882</v>
      </c>
      <c r="EE45" s="12">
        <v>28</v>
      </c>
      <c r="EF45" s="12">
        <v>64</v>
      </c>
      <c r="EG45" s="16">
        <v>0.4375</v>
      </c>
      <c r="EH45" s="12">
        <v>12</v>
      </c>
      <c r="EI45" s="12">
        <v>15</v>
      </c>
      <c r="EJ45" s="16">
        <v>0.8</v>
      </c>
      <c r="EK45" s="12">
        <v>14</v>
      </c>
      <c r="EL45" s="12">
        <v>29</v>
      </c>
      <c r="EM45" s="12">
        <v>43</v>
      </c>
      <c r="EN45" s="12">
        <v>17</v>
      </c>
      <c r="EO45" s="12">
        <v>18</v>
      </c>
      <c r="EP45" s="12">
        <v>20</v>
      </c>
      <c r="EQ45" s="12">
        <v>7</v>
      </c>
      <c r="ER45" s="12">
        <v>14</v>
      </c>
      <c r="ES45" s="12">
        <v>5</v>
      </c>
      <c r="ET45" s="12">
        <v>2</v>
      </c>
      <c r="EU45" s="12">
        <v>95</v>
      </c>
      <c r="EV45" s="12">
        <v>8</v>
      </c>
      <c r="EW45" s="12">
        <v>70</v>
      </c>
      <c r="EX45" s="12">
        <v>84</v>
      </c>
      <c r="EY45" s="12">
        <v>8</v>
      </c>
      <c r="EZ45" s="12">
        <v>9</v>
      </c>
      <c r="FA45" s="12">
        <v>7</v>
      </c>
      <c r="FB45" s="12">
        <v>1</v>
      </c>
      <c r="FC45" s="12">
        <v>2</v>
      </c>
      <c r="FD45" s="12">
        <v>0</v>
      </c>
      <c r="FE45" s="12">
        <v>0</v>
      </c>
      <c r="FF45" s="12">
        <v>1</v>
      </c>
      <c r="FG45" s="12">
        <v>1</v>
      </c>
      <c r="FH45" s="12">
        <v>3</v>
      </c>
      <c r="FI45" s="12">
        <v>0</v>
      </c>
      <c r="FJ45" s="12">
        <v>0</v>
      </c>
      <c r="FK45" s="12">
        <v>0</v>
      </c>
      <c r="FL45" s="12">
        <v>10</v>
      </c>
      <c r="FM45" s="12">
        <v>2</v>
      </c>
      <c r="FN45" s="12">
        <v>0</v>
      </c>
      <c r="FO45" s="12">
        <v>0</v>
      </c>
      <c r="FP45" s="12">
        <v>2</v>
      </c>
      <c r="FQ45" s="12">
        <v>0</v>
      </c>
      <c r="FR45" s="12">
        <v>11</v>
      </c>
      <c r="FS45" s="12">
        <v>1</v>
      </c>
      <c r="FT45" s="12">
        <v>3</v>
      </c>
      <c r="FU45" s="12">
        <v>0</v>
      </c>
      <c r="FV45" s="12">
        <v>0</v>
      </c>
      <c r="FW45" s="12">
        <v>0</v>
      </c>
      <c r="FX45" s="12">
        <v>10</v>
      </c>
      <c r="FY45" s="12">
        <v>0</v>
      </c>
      <c r="FZ45" s="12">
        <v>3</v>
      </c>
      <c r="GA45" s="12">
        <v>0</v>
      </c>
      <c r="GB45" s="12">
        <v>0</v>
      </c>
      <c r="GC45" s="12">
        <v>0</v>
      </c>
      <c r="GD45" s="12">
        <v>2</v>
      </c>
      <c r="GE45" s="12">
        <v>3</v>
      </c>
      <c r="GF45" s="12">
        <v>10</v>
      </c>
      <c r="GG45" s="12">
        <v>12</v>
      </c>
      <c r="GH45" s="12">
        <v>0</v>
      </c>
      <c r="GI45" s="12">
        <v>0</v>
      </c>
      <c r="GJ45" s="12">
        <v>0</v>
      </c>
      <c r="GK45" s="12">
        <v>0</v>
      </c>
      <c r="GL45" s="12">
        <v>4</v>
      </c>
      <c r="GM45" s="12">
        <v>4</v>
      </c>
      <c r="GN45" s="12">
        <v>13</v>
      </c>
      <c r="GO45" s="12">
        <v>18</v>
      </c>
      <c r="GP45" s="12">
        <v>3</v>
      </c>
      <c r="GQ45" s="12">
        <v>8</v>
      </c>
      <c r="GR45" s="12">
        <v>0</v>
      </c>
      <c r="GS45" s="12">
        <v>0</v>
      </c>
      <c r="GT45" s="12">
        <v>8</v>
      </c>
      <c r="GU45" s="12">
        <v>33</v>
      </c>
      <c r="GV45" s="12">
        <v>0</v>
      </c>
      <c r="GW45" s="12">
        <v>1</v>
      </c>
    </row>
    <row r="46" spans="2:205" ht="15" customHeight="1" x14ac:dyDescent="0.2">
      <c r="B46" s="12">
        <v>3</v>
      </c>
      <c r="C46" s="12" t="s">
        <v>289</v>
      </c>
      <c r="D46" s="12" t="s">
        <v>293</v>
      </c>
      <c r="E46" s="14" t="s">
        <v>291</v>
      </c>
      <c r="F46" s="14" t="s">
        <v>295</v>
      </c>
      <c r="G46" s="15">
        <v>45216</v>
      </c>
      <c r="H46" s="15" t="s">
        <v>268</v>
      </c>
      <c r="I46" s="12" t="s">
        <v>269</v>
      </c>
      <c r="J46" s="12" t="s">
        <v>270</v>
      </c>
      <c r="K46" s="12">
        <v>200</v>
      </c>
      <c r="L46" s="12">
        <v>53</v>
      </c>
      <c r="M46" s="12">
        <v>14</v>
      </c>
      <c r="N46" s="12">
        <v>34</v>
      </c>
      <c r="O46" s="16">
        <v>0.41176470588235292</v>
      </c>
      <c r="P46" s="12">
        <v>5</v>
      </c>
      <c r="Q46" s="12">
        <v>19</v>
      </c>
      <c r="R46" s="16">
        <v>0.26315789473684209</v>
      </c>
      <c r="S46" s="12">
        <v>19</v>
      </c>
      <c r="T46" s="12">
        <v>53</v>
      </c>
      <c r="U46" s="16">
        <v>0.35849056603773582</v>
      </c>
      <c r="V46" s="12">
        <v>10</v>
      </c>
      <c r="W46" s="12">
        <v>12</v>
      </c>
      <c r="X46" s="16">
        <v>0.83333333333333337</v>
      </c>
      <c r="Y46" s="12">
        <v>11</v>
      </c>
      <c r="Z46" s="12">
        <v>20</v>
      </c>
      <c r="AA46" s="12">
        <v>31</v>
      </c>
      <c r="AB46" s="12">
        <v>12</v>
      </c>
      <c r="AC46" s="12">
        <v>15</v>
      </c>
      <c r="AD46" s="12">
        <v>6</v>
      </c>
      <c r="AE46" s="12">
        <v>2</v>
      </c>
      <c r="AF46" s="12">
        <v>0</v>
      </c>
      <c r="AG46" s="12">
        <v>18</v>
      </c>
      <c r="AH46" s="12">
        <v>20</v>
      </c>
      <c r="AI46" s="17">
        <v>55</v>
      </c>
      <c r="AJ46" s="12">
        <v>-12</v>
      </c>
      <c r="AK46" s="12">
        <v>62</v>
      </c>
      <c r="AL46" s="12">
        <v>73</v>
      </c>
      <c r="AM46" s="19">
        <v>0.72602739726027399</v>
      </c>
      <c r="AN46" s="19">
        <v>0.94202898550724634</v>
      </c>
      <c r="AO46" s="18">
        <v>85.483870967741936</v>
      </c>
      <c r="AP46" s="18">
        <v>104.83870967741935</v>
      </c>
      <c r="AQ46" s="18">
        <v>-19.354838709677409</v>
      </c>
      <c r="AR46" s="53">
        <v>0.40566037735849059</v>
      </c>
      <c r="AS46" s="53">
        <v>0.45689655172413796</v>
      </c>
      <c r="AT46" s="16">
        <v>0.16438356164383561</v>
      </c>
      <c r="AU46" s="19">
        <v>1.3333333333333333</v>
      </c>
      <c r="AV46" s="16">
        <v>0.23287671232876711</v>
      </c>
      <c r="AW46" s="19">
        <v>0.58823529411764708</v>
      </c>
      <c r="AX46" s="16">
        <v>6.8493150684931503E-2</v>
      </c>
      <c r="AY46" s="19">
        <v>0.4</v>
      </c>
      <c r="AZ46" s="16">
        <v>2.7397260273972601E-2</v>
      </c>
      <c r="BA46" s="19">
        <v>3</v>
      </c>
      <c r="BB46" s="16">
        <v>0.23287671232876711</v>
      </c>
      <c r="BC46" s="21">
        <v>0.52941176470588236</v>
      </c>
      <c r="BD46" s="16">
        <v>6.8493150684931503E-2</v>
      </c>
      <c r="BE46" s="16">
        <v>0.20547945205479451</v>
      </c>
      <c r="BF46" s="16">
        <v>0.5</v>
      </c>
      <c r="BG46" s="16">
        <v>0.5</v>
      </c>
      <c r="BH46" s="16">
        <v>0.8</v>
      </c>
      <c r="BI46" s="16">
        <v>0.2</v>
      </c>
      <c r="BJ46" s="16">
        <v>0.16438356164383561</v>
      </c>
      <c r="BK46" s="21">
        <v>0.8</v>
      </c>
      <c r="BL46" s="16">
        <v>0.33333333333333331</v>
      </c>
      <c r="BM46" s="16">
        <v>0.25</v>
      </c>
      <c r="BN46" s="16">
        <v>0.4375</v>
      </c>
      <c r="BO46" s="16" t="s">
        <v>269</v>
      </c>
      <c r="BP46" s="16">
        <v>0.7407407407407407</v>
      </c>
      <c r="BQ46" s="16">
        <v>0.76923076923076927</v>
      </c>
      <c r="BR46" s="16">
        <v>0.6875</v>
      </c>
      <c r="BS46" s="16" t="s">
        <v>269</v>
      </c>
      <c r="BT46" s="16">
        <v>0.51666666666666672</v>
      </c>
      <c r="BU46" s="16">
        <v>9.6774193548387094E-2</v>
      </c>
      <c r="BV46" s="16">
        <v>3.9215686274509803E-2</v>
      </c>
      <c r="BW46" s="16">
        <v>6</v>
      </c>
      <c r="BX46" s="16">
        <v>0.27777777777777779</v>
      </c>
      <c r="BY46" s="16">
        <v>0.3</v>
      </c>
      <c r="BZ46" s="12">
        <v>7</v>
      </c>
      <c r="CA46" s="12">
        <v>4</v>
      </c>
      <c r="CB46" s="12">
        <v>1</v>
      </c>
      <c r="CC46" s="12">
        <v>2</v>
      </c>
      <c r="CD46" s="12">
        <v>0</v>
      </c>
      <c r="CE46" s="12">
        <v>0</v>
      </c>
      <c r="CF46" s="12">
        <v>2</v>
      </c>
      <c r="CG46" s="12">
        <v>0</v>
      </c>
      <c r="CH46" s="12">
        <v>3</v>
      </c>
      <c r="CI46" s="12">
        <v>0</v>
      </c>
      <c r="CJ46" s="12">
        <v>0</v>
      </c>
      <c r="CK46" s="12">
        <v>0</v>
      </c>
      <c r="CL46" s="12">
        <v>6</v>
      </c>
      <c r="CM46" s="12">
        <v>1</v>
      </c>
      <c r="CN46" s="12">
        <v>0</v>
      </c>
      <c r="CO46" s="12">
        <v>0</v>
      </c>
      <c r="CP46" s="12">
        <v>0</v>
      </c>
      <c r="CQ46" s="12">
        <v>0</v>
      </c>
      <c r="CR46" s="12">
        <v>4</v>
      </c>
      <c r="CS46" s="12">
        <v>1</v>
      </c>
      <c r="CT46" s="12">
        <v>5</v>
      </c>
      <c r="CU46" s="12">
        <v>0</v>
      </c>
      <c r="CV46" s="12">
        <v>2</v>
      </c>
      <c r="CW46" s="12">
        <v>0</v>
      </c>
      <c r="CX46" s="12">
        <v>9</v>
      </c>
      <c r="CY46" s="12">
        <v>0</v>
      </c>
      <c r="CZ46" s="12">
        <v>0</v>
      </c>
      <c r="DA46" s="12">
        <v>0</v>
      </c>
      <c r="DB46" s="12">
        <v>0</v>
      </c>
      <c r="DC46" s="12">
        <v>1</v>
      </c>
      <c r="DD46" s="12">
        <v>1</v>
      </c>
      <c r="DE46" s="12">
        <v>1</v>
      </c>
      <c r="DF46" s="12">
        <v>9</v>
      </c>
      <c r="DG46" s="12">
        <v>10</v>
      </c>
      <c r="DH46" s="12">
        <v>0</v>
      </c>
      <c r="DI46" s="12">
        <v>0</v>
      </c>
      <c r="DJ46" s="12">
        <v>0</v>
      </c>
      <c r="DK46" s="12">
        <v>0</v>
      </c>
      <c r="DL46" s="12">
        <v>8</v>
      </c>
      <c r="DM46" s="12">
        <v>12</v>
      </c>
      <c r="DN46" s="12">
        <v>5</v>
      </c>
      <c r="DO46" s="12">
        <v>17</v>
      </c>
      <c r="DP46" s="12">
        <v>1</v>
      </c>
      <c r="DQ46" s="12">
        <v>5</v>
      </c>
      <c r="DR46" s="12">
        <v>2</v>
      </c>
      <c r="DS46" s="12">
        <v>2</v>
      </c>
      <c r="DT46" s="12">
        <v>3</v>
      </c>
      <c r="DU46" s="12">
        <v>17</v>
      </c>
      <c r="DV46" s="12">
        <v>0</v>
      </c>
      <c r="DW46" s="12">
        <v>0</v>
      </c>
      <c r="DX46" s="12">
        <v>65</v>
      </c>
      <c r="DY46" s="12">
        <v>16</v>
      </c>
      <c r="DZ46" s="12">
        <v>27</v>
      </c>
      <c r="EA46" s="16">
        <v>0.59259259259259256</v>
      </c>
      <c r="EB46" s="12">
        <v>8</v>
      </c>
      <c r="EC46" s="12">
        <v>24</v>
      </c>
      <c r="ED46" s="16">
        <v>0.33333333333333331</v>
      </c>
      <c r="EE46" s="12">
        <v>24</v>
      </c>
      <c r="EF46" s="12">
        <v>51</v>
      </c>
      <c r="EG46" s="16">
        <v>0.47058823529411764</v>
      </c>
      <c r="EH46" s="12">
        <v>9</v>
      </c>
      <c r="EI46" s="12">
        <v>11</v>
      </c>
      <c r="EJ46" s="16">
        <v>0.81818181818181823</v>
      </c>
      <c r="EK46" s="12">
        <v>7</v>
      </c>
      <c r="EL46" s="12">
        <v>22</v>
      </c>
      <c r="EM46" s="12">
        <v>29</v>
      </c>
      <c r="EN46" s="12">
        <v>14</v>
      </c>
      <c r="EO46" s="12">
        <v>21</v>
      </c>
      <c r="EP46" s="12">
        <v>16</v>
      </c>
      <c r="EQ46" s="12">
        <v>7</v>
      </c>
      <c r="ER46" s="12">
        <v>14</v>
      </c>
      <c r="ES46" s="12">
        <v>0</v>
      </c>
      <c r="ET46" s="12">
        <v>2</v>
      </c>
      <c r="EU46" s="12">
        <v>65</v>
      </c>
      <c r="EV46" s="12">
        <v>12</v>
      </c>
      <c r="EW46" s="12">
        <v>62</v>
      </c>
      <c r="EX46" s="12">
        <v>69</v>
      </c>
      <c r="EY46" s="12">
        <v>7</v>
      </c>
      <c r="EZ46" s="12">
        <v>7</v>
      </c>
      <c r="FA46" s="12">
        <v>6</v>
      </c>
      <c r="FB46" s="12">
        <v>1</v>
      </c>
      <c r="FC46" s="12">
        <v>2</v>
      </c>
      <c r="FD46" s="12">
        <v>0</v>
      </c>
      <c r="FE46" s="12">
        <v>0</v>
      </c>
      <c r="FF46" s="12">
        <v>1</v>
      </c>
      <c r="FG46" s="12">
        <v>0</v>
      </c>
      <c r="FH46" s="12">
        <v>1</v>
      </c>
      <c r="FI46" s="12">
        <v>1</v>
      </c>
      <c r="FJ46" s="12">
        <v>0</v>
      </c>
      <c r="FK46" s="12">
        <v>0</v>
      </c>
      <c r="FL46" s="12">
        <v>5</v>
      </c>
      <c r="FM46" s="12">
        <v>0</v>
      </c>
      <c r="FN46" s="12">
        <v>0</v>
      </c>
      <c r="FO46" s="12">
        <v>0</v>
      </c>
      <c r="FP46" s="12">
        <v>4</v>
      </c>
      <c r="FQ46" s="12">
        <v>1</v>
      </c>
      <c r="FR46" s="12">
        <v>10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8</v>
      </c>
      <c r="FY46" s="12">
        <v>1</v>
      </c>
      <c r="FZ46" s="12">
        <v>0</v>
      </c>
      <c r="GA46" s="12">
        <v>0</v>
      </c>
      <c r="GB46" s="12">
        <v>1</v>
      </c>
      <c r="GC46" s="12">
        <v>2</v>
      </c>
      <c r="GD46" s="12">
        <v>1</v>
      </c>
      <c r="GE46" s="12">
        <v>1</v>
      </c>
      <c r="GF46" s="12">
        <v>7</v>
      </c>
      <c r="GG46" s="12">
        <v>8</v>
      </c>
      <c r="GH46" s="12">
        <v>0</v>
      </c>
      <c r="GI46" s="12">
        <v>0</v>
      </c>
      <c r="GJ46" s="12">
        <v>0</v>
      </c>
      <c r="GK46" s="12">
        <v>0</v>
      </c>
      <c r="GL46" s="12">
        <v>7</v>
      </c>
      <c r="GM46" s="12">
        <v>7</v>
      </c>
      <c r="GN46" s="12">
        <v>6</v>
      </c>
      <c r="GO46" s="12">
        <v>11</v>
      </c>
      <c r="GP46" s="12">
        <v>3</v>
      </c>
      <c r="GQ46" s="12">
        <v>9</v>
      </c>
      <c r="GR46" s="12">
        <v>0</v>
      </c>
      <c r="GS46" s="12">
        <v>2</v>
      </c>
      <c r="GT46" s="12">
        <v>8</v>
      </c>
      <c r="GU46" s="12">
        <v>22</v>
      </c>
      <c r="GV46" s="12">
        <v>0</v>
      </c>
      <c r="GW46" s="12">
        <v>0</v>
      </c>
    </row>
    <row r="47" spans="2:205" ht="15" customHeight="1" x14ac:dyDescent="0.2">
      <c r="B47" s="12">
        <v>3</v>
      </c>
      <c r="C47" s="12" t="s">
        <v>293</v>
      </c>
      <c r="D47" s="12" t="s">
        <v>289</v>
      </c>
      <c r="E47" s="14" t="s">
        <v>295</v>
      </c>
      <c r="F47" s="14" t="s">
        <v>291</v>
      </c>
      <c r="G47" s="15">
        <v>45216</v>
      </c>
      <c r="H47" s="15" t="s">
        <v>271</v>
      </c>
      <c r="I47" s="12" t="s">
        <v>269</v>
      </c>
      <c r="J47" s="12" t="s">
        <v>272</v>
      </c>
      <c r="K47" s="12">
        <v>200</v>
      </c>
      <c r="L47" s="12">
        <v>65</v>
      </c>
      <c r="M47" s="12">
        <v>16</v>
      </c>
      <c r="N47" s="12">
        <v>27</v>
      </c>
      <c r="O47" s="16">
        <v>0.59259259259259256</v>
      </c>
      <c r="P47" s="12">
        <v>8</v>
      </c>
      <c r="Q47" s="12">
        <v>24</v>
      </c>
      <c r="R47" s="16">
        <v>0.33333333333333331</v>
      </c>
      <c r="S47" s="12">
        <v>24</v>
      </c>
      <c r="T47" s="12">
        <v>51</v>
      </c>
      <c r="U47" s="16">
        <v>0.47058823529411764</v>
      </c>
      <c r="V47" s="12">
        <v>9</v>
      </c>
      <c r="W47" s="12">
        <v>11</v>
      </c>
      <c r="X47" s="16">
        <v>0.81818181818181823</v>
      </c>
      <c r="Y47" s="12">
        <v>7</v>
      </c>
      <c r="Z47" s="12">
        <v>22</v>
      </c>
      <c r="AA47" s="12">
        <v>29</v>
      </c>
      <c r="AB47" s="12">
        <v>14</v>
      </c>
      <c r="AC47" s="12">
        <v>14</v>
      </c>
      <c r="AD47" s="12">
        <v>7</v>
      </c>
      <c r="AE47" s="12">
        <v>0</v>
      </c>
      <c r="AF47" s="12">
        <v>2</v>
      </c>
      <c r="AG47" s="12">
        <v>21</v>
      </c>
      <c r="AH47" s="12">
        <v>16</v>
      </c>
      <c r="AI47" s="17">
        <v>65</v>
      </c>
      <c r="AJ47" s="12">
        <v>12</v>
      </c>
      <c r="AK47" s="12">
        <v>62</v>
      </c>
      <c r="AL47" s="12">
        <v>69</v>
      </c>
      <c r="AM47" s="19">
        <v>0.94202898550724634</v>
      </c>
      <c r="AN47" s="19">
        <v>0.72602739726027399</v>
      </c>
      <c r="AO47" s="18">
        <v>104.83870967741935</v>
      </c>
      <c r="AP47" s="18">
        <v>85.483870967741936</v>
      </c>
      <c r="AQ47" s="18">
        <v>19.354838709677409</v>
      </c>
      <c r="AR47" s="53">
        <v>0.5490196078431373</v>
      </c>
      <c r="AS47" s="53">
        <v>0.59090909090909094</v>
      </c>
      <c r="AT47" s="16">
        <v>0.10144927536231885</v>
      </c>
      <c r="AU47" s="19">
        <v>2</v>
      </c>
      <c r="AV47" s="16">
        <v>0.15942028985507245</v>
      </c>
      <c r="AW47" s="19">
        <v>1.0909090909090908</v>
      </c>
      <c r="AX47" s="16">
        <v>0.13043478260869565</v>
      </c>
      <c r="AY47" s="19">
        <v>0.66666666666666663</v>
      </c>
      <c r="AZ47" s="16">
        <v>2.8985507246376812E-2</v>
      </c>
      <c r="BA47" s="19">
        <v>0</v>
      </c>
      <c r="BB47" s="16">
        <v>0.3188405797101449</v>
      </c>
      <c r="BC47" s="21">
        <v>1.0909090909090908</v>
      </c>
      <c r="BD47" s="16">
        <v>5.7971014492753624E-2</v>
      </c>
      <c r="BE47" s="16">
        <v>0.20289855072463769</v>
      </c>
      <c r="BF47" s="16">
        <v>0.5</v>
      </c>
      <c r="BG47" s="16">
        <v>0.4375</v>
      </c>
      <c r="BH47" s="16">
        <v>0.75</v>
      </c>
      <c r="BI47" s="16">
        <v>0.25</v>
      </c>
      <c r="BJ47" s="16">
        <v>0.20289855072463769</v>
      </c>
      <c r="BK47" s="21">
        <v>1</v>
      </c>
      <c r="BL47" s="16">
        <v>0.25925925925925924</v>
      </c>
      <c r="BM47" s="16">
        <v>0.23076923076923078</v>
      </c>
      <c r="BN47" s="16">
        <v>0.3125</v>
      </c>
      <c r="BO47" s="16" t="s">
        <v>269</v>
      </c>
      <c r="BP47" s="16">
        <v>0.66666666666666663</v>
      </c>
      <c r="BQ47" s="16">
        <v>0.75</v>
      </c>
      <c r="BR47" s="16">
        <v>0.5625</v>
      </c>
      <c r="BS47" s="16" t="s">
        <v>269</v>
      </c>
      <c r="BT47" s="16">
        <v>0.48333333333333334</v>
      </c>
      <c r="BU47" s="16">
        <v>0.11290322580645161</v>
      </c>
      <c r="BV47" s="16">
        <v>0</v>
      </c>
      <c r="BW47" s="16">
        <v>7</v>
      </c>
      <c r="BX47" s="16">
        <v>0.2857142857142857</v>
      </c>
      <c r="BY47" s="16">
        <v>0.3125</v>
      </c>
      <c r="BZ47" s="12">
        <v>7</v>
      </c>
      <c r="CA47" s="12">
        <v>6</v>
      </c>
      <c r="CB47" s="12">
        <v>1</v>
      </c>
      <c r="CC47" s="12">
        <v>2</v>
      </c>
      <c r="CD47" s="12">
        <v>0</v>
      </c>
      <c r="CE47" s="12">
        <v>0</v>
      </c>
      <c r="CF47" s="12">
        <v>1</v>
      </c>
      <c r="CG47" s="12">
        <v>0</v>
      </c>
      <c r="CH47" s="12">
        <v>1</v>
      </c>
      <c r="CI47" s="12">
        <v>1</v>
      </c>
      <c r="CJ47" s="12">
        <v>0</v>
      </c>
      <c r="CK47" s="12">
        <v>0</v>
      </c>
      <c r="CL47" s="12">
        <v>5</v>
      </c>
      <c r="CM47" s="12">
        <v>0</v>
      </c>
      <c r="CN47" s="12">
        <v>0</v>
      </c>
      <c r="CO47" s="12">
        <v>0</v>
      </c>
      <c r="CP47" s="12">
        <v>4</v>
      </c>
      <c r="CQ47" s="12">
        <v>1</v>
      </c>
      <c r="CR47" s="12">
        <v>10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8</v>
      </c>
      <c r="CY47" s="12">
        <v>1</v>
      </c>
      <c r="CZ47" s="12">
        <v>0</v>
      </c>
      <c r="DA47" s="12">
        <v>0</v>
      </c>
      <c r="DB47" s="12">
        <v>1</v>
      </c>
      <c r="DC47" s="12">
        <v>2</v>
      </c>
      <c r="DD47" s="12">
        <v>1</v>
      </c>
      <c r="DE47" s="12">
        <v>1</v>
      </c>
      <c r="DF47" s="12">
        <v>7</v>
      </c>
      <c r="DG47" s="12">
        <v>8</v>
      </c>
      <c r="DH47" s="12">
        <v>0</v>
      </c>
      <c r="DI47" s="12">
        <v>0</v>
      </c>
      <c r="DJ47" s="12">
        <v>0</v>
      </c>
      <c r="DK47" s="12">
        <v>0</v>
      </c>
      <c r="DL47" s="12">
        <v>7</v>
      </c>
      <c r="DM47" s="12">
        <v>7</v>
      </c>
      <c r="DN47" s="12">
        <v>6</v>
      </c>
      <c r="DO47" s="12">
        <v>11</v>
      </c>
      <c r="DP47" s="12">
        <v>3</v>
      </c>
      <c r="DQ47" s="12">
        <v>9</v>
      </c>
      <c r="DR47" s="12">
        <v>0</v>
      </c>
      <c r="DS47" s="12">
        <v>2</v>
      </c>
      <c r="DT47" s="12">
        <v>8</v>
      </c>
      <c r="DU47" s="12">
        <v>22</v>
      </c>
      <c r="DV47" s="12">
        <v>0</v>
      </c>
      <c r="DW47" s="12">
        <v>0</v>
      </c>
      <c r="DX47" s="12">
        <v>53</v>
      </c>
      <c r="DY47" s="12">
        <v>14</v>
      </c>
      <c r="DZ47" s="12">
        <v>34</v>
      </c>
      <c r="EA47" s="16">
        <v>0.41176470588235292</v>
      </c>
      <c r="EB47" s="12">
        <v>5</v>
      </c>
      <c r="EC47" s="12">
        <v>19</v>
      </c>
      <c r="ED47" s="16">
        <v>0.26315789473684209</v>
      </c>
      <c r="EE47" s="12">
        <v>19</v>
      </c>
      <c r="EF47" s="12">
        <v>53</v>
      </c>
      <c r="EG47" s="16">
        <v>0.35849056603773582</v>
      </c>
      <c r="EH47" s="12">
        <v>10</v>
      </c>
      <c r="EI47" s="12">
        <v>12</v>
      </c>
      <c r="EJ47" s="16">
        <v>0.83333333333333337</v>
      </c>
      <c r="EK47" s="12">
        <v>11</v>
      </c>
      <c r="EL47" s="12">
        <v>20</v>
      </c>
      <c r="EM47" s="12">
        <v>31</v>
      </c>
      <c r="EN47" s="12">
        <v>12</v>
      </c>
      <c r="EO47" s="12">
        <v>18</v>
      </c>
      <c r="EP47" s="12">
        <v>20</v>
      </c>
      <c r="EQ47" s="12">
        <v>6</v>
      </c>
      <c r="ER47" s="12">
        <v>15</v>
      </c>
      <c r="ES47" s="12">
        <v>2</v>
      </c>
      <c r="ET47" s="12">
        <v>0</v>
      </c>
      <c r="EU47" s="12">
        <v>55</v>
      </c>
      <c r="EV47" s="12">
        <v>-12</v>
      </c>
      <c r="EW47" s="12">
        <v>62</v>
      </c>
      <c r="EX47" s="12">
        <v>73</v>
      </c>
      <c r="EY47" s="12">
        <v>6</v>
      </c>
      <c r="EZ47" s="12">
        <v>7</v>
      </c>
      <c r="FA47" s="12">
        <v>4</v>
      </c>
      <c r="FB47" s="12">
        <v>1</v>
      </c>
      <c r="FC47" s="12">
        <v>2</v>
      </c>
      <c r="FD47" s="12">
        <v>0</v>
      </c>
      <c r="FE47" s="12">
        <v>0</v>
      </c>
      <c r="FF47" s="12">
        <v>2</v>
      </c>
      <c r="FG47" s="12">
        <v>0</v>
      </c>
      <c r="FH47" s="12">
        <v>3</v>
      </c>
      <c r="FI47" s="12">
        <v>0</v>
      </c>
      <c r="FJ47" s="12">
        <v>0</v>
      </c>
      <c r="FK47" s="12">
        <v>0</v>
      </c>
      <c r="FL47" s="12">
        <v>6</v>
      </c>
      <c r="FM47" s="12">
        <v>1</v>
      </c>
      <c r="FN47" s="12">
        <v>0</v>
      </c>
      <c r="FO47" s="12">
        <v>0</v>
      </c>
      <c r="FP47" s="12">
        <v>0</v>
      </c>
      <c r="FQ47" s="12">
        <v>0</v>
      </c>
      <c r="FR47" s="12">
        <v>4</v>
      </c>
      <c r="FS47" s="12">
        <v>1</v>
      </c>
      <c r="FT47" s="12">
        <v>5</v>
      </c>
      <c r="FU47" s="12">
        <v>0</v>
      </c>
      <c r="FV47" s="12">
        <v>2</v>
      </c>
      <c r="FW47" s="12">
        <v>0</v>
      </c>
      <c r="FX47" s="12">
        <v>9</v>
      </c>
      <c r="FY47" s="12">
        <v>0</v>
      </c>
      <c r="FZ47" s="12">
        <v>0</v>
      </c>
      <c r="GA47" s="12">
        <v>0</v>
      </c>
      <c r="GB47" s="12">
        <v>0</v>
      </c>
      <c r="GC47" s="12">
        <v>1</v>
      </c>
      <c r="GD47" s="12">
        <v>1</v>
      </c>
      <c r="GE47" s="12">
        <v>1</v>
      </c>
      <c r="GF47" s="12">
        <v>9</v>
      </c>
      <c r="GG47" s="12">
        <v>10</v>
      </c>
      <c r="GH47" s="12">
        <v>0</v>
      </c>
      <c r="GI47" s="12">
        <v>0</v>
      </c>
      <c r="GJ47" s="12">
        <v>0</v>
      </c>
      <c r="GK47" s="12">
        <v>0</v>
      </c>
      <c r="GL47" s="12">
        <v>8</v>
      </c>
      <c r="GM47" s="12">
        <v>12</v>
      </c>
      <c r="GN47" s="12">
        <v>5</v>
      </c>
      <c r="GO47" s="12">
        <v>17</v>
      </c>
      <c r="GP47" s="12">
        <v>1</v>
      </c>
      <c r="GQ47" s="12">
        <v>5</v>
      </c>
      <c r="GR47" s="12">
        <v>2</v>
      </c>
      <c r="GS47" s="12">
        <v>2</v>
      </c>
      <c r="GT47" s="12">
        <v>3</v>
      </c>
      <c r="GU47" s="12">
        <v>17</v>
      </c>
      <c r="GV47" s="12">
        <v>0</v>
      </c>
      <c r="GW47" s="12">
        <v>0</v>
      </c>
    </row>
    <row r="48" spans="2:205" ht="15" customHeight="1" x14ac:dyDescent="0.2">
      <c r="B48" s="12">
        <v>3</v>
      </c>
      <c r="C48" s="12" t="s">
        <v>298</v>
      </c>
      <c r="D48" s="12" t="s">
        <v>286</v>
      </c>
      <c r="E48" s="14" t="s">
        <v>300</v>
      </c>
      <c r="F48" s="14" t="s">
        <v>288</v>
      </c>
      <c r="G48" s="15">
        <v>45216</v>
      </c>
      <c r="H48" s="15" t="s">
        <v>268</v>
      </c>
      <c r="I48" s="12" t="s">
        <v>269</v>
      </c>
      <c r="J48" s="12" t="s">
        <v>270</v>
      </c>
      <c r="K48" s="12">
        <v>200</v>
      </c>
      <c r="L48" s="12">
        <v>79</v>
      </c>
      <c r="M48" s="12">
        <v>21</v>
      </c>
      <c r="N48" s="12">
        <v>48</v>
      </c>
      <c r="O48" s="16">
        <v>0.4375</v>
      </c>
      <c r="P48" s="12">
        <v>10</v>
      </c>
      <c r="Q48" s="12">
        <v>24</v>
      </c>
      <c r="R48" s="16">
        <v>0.41666666666666669</v>
      </c>
      <c r="S48" s="12">
        <v>31</v>
      </c>
      <c r="T48" s="12">
        <v>72</v>
      </c>
      <c r="U48" s="16">
        <v>0.43055555555555558</v>
      </c>
      <c r="V48" s="12">
        <v>7</v>
      </c>
      <c r="W48" s="12">
        <v>8</v>
      </c>
      <c r="X48" s="16">
        <v>0.875</v>
      </c>
      <c r="Y48" s="12">
        <v>11</v>
      </c>
      <c r="Z48" s="12">
        <v>21</v>
      </c>
      <c r="AA48" s="12">
        <v>32</v>
      </c>
      <c r="AB48" s="12">
        <v>14</v>
      </c>
      <c r="AC48" s="12">
        <v>10</v>
      </c>
      <c r="AD48" s="12">
        <v>5</v>
      </c>
      <c r="AE48" s="12">
        <v>1</v>
      </c>
      <c r="AF48" s="12">
        <v>6</v>
      </c>
      <c r="AG48" s="12">
        <v>19</v>
      </c>
      <c r="AH48" s="12">
        <v>18</v>
      </c>
      <c r="AI48" s="17">
        <v>72</v>
      </c>
      <c r="AJ48" s="12">
        <v>-14</v>
      </c>
      <c r="AK48" s="12">
        <v>73</v>
      </c>
      <c r="AL48" s="12">
        <v>85</v>
      </c>
      <c r="AM48" s="19">
        <v>0.92941176470588238</v>
      </c>
      <c r="AN48" s="19">
        <v>1.1625000000000001</v>
      </c>
      <c r="AO48" s="18">
        <v>108.21917808219179</v>
      </c>
      <c r="AP48" s="18">
        <v>127.39726027397261</v>
      </c>
      <c r="AQ48" s="18">
        <v>-19.178082191780817</v>
      </c>
      <c r="AR48" s="53">
        <v>0.5</v>
      </c>
      <c r="AS48" s="53">
        <v>0.52666666666666662</v>
      </c>
      <c r="AT48" s="16">
        <v>0.10588235294117647</v>
      </c>
      <c r="AU48" s="19">
        <v>1.3333333333333333</v>
      </c>
      <c r="AV48" s="16">
        <v>0.38823529411764707</v>
      </c>
      <c r="AW48" s="19">
        <v>0.84848484848484851</v>
      </c>
      <c r="AX48" s="16">
        <v>7.0588235294117646E-2</v>
      </c>
      <c r="AY48" s="19">
        <v>0.33333333333333331</v>
      </c>
      <c r="AZ48" s="16">
        <v>0</v>
      </c>
      <c r="BA48" s="19" t="s">
        <v>269</v>
      </c>
      <c r="BB48" s="16">
        <v>0.28235294117647058</v>
      </c>
      <c r="BC48" s="21">
        <v>1.25</v>
      </c>
      <c r="BD48" s="16">
        <v>3.5294117647058823E-2</v>
      </c>
      <c r="BE48" s="16">
        <v>0.11904761904761904</v>
      </c>
      <c r="BF48" s="16">
        <v>0.41176470588235292</v>
      </c>
      <c r="BG48" s="16">
        <v>0.38095238095238093</v>
      </c>
      <c r="BH48" s="16">
        <v>0.6</v>
      </c>
      <c r="BI48" s="16">
        <v>0</v>
      </c>
      <c r="BJ48" s="16">
        <v>0.16666666666666666</v>
      </c>
      <c r="BK48" s="21">
        <v>1.4</v>
      </c>
      <c r="BL48" s="16">
        <v>0.28205128205128205</v>
      </c>
      <c r="BM48" s="16">
        <v>0.30769230769230771</v>
      </c>
      <c r="BN48" s="16">
        <v>0.21428571428571427</v>
      </c>
      <c r="BO48" s="16" t="s">
        <v>269</v>
      </c>
      <c r="BP48" s="16">
        <v>0.75</v>
      </c>
      <c r="BQ48" s="16">
        <v>0.5714285714285714</v>
      </c>
      <c r="BR48" s="16">
        <v>0.83333333333333337</v>
      </c>
      <c r="BS48" s="16">
        <v>0.66666666666666663</v>
      </c>
      <c r="BT48" s="16">
        <v>0.47761194029850745</v>
      </c>
      <c r="BU48" s="16">
        <v>6.8493150684931503E-2</v>
      </c>
      <c r="BV48" s="16">
        <v>1.6949152542372881E-2</v>
      </c>
      <c r="BW48" s="16">
        <v>5</v>
      </c>
      <c r="BX48" s="16">
        <v>0.52631578947368418</v>
      </c>
      <c r="BY48" s="16">
        <v>0.27777777777777779</v>
      </c>
      <c r="BZ48" s="12">
        <v>8</v>
      </c>
      <c r="CA48" s="12">
        <v>6</v>
      </c>
      <c r="CB48" s="12">
        <v>0</v>
      </c>
      <c r="CC48" s="12">
        <v>0</v>
      </c>
      <c r="CD48" s="12">
        <v>0</v>
      </c>
      <c r="CE48" s="12">
        <v>0</v>
      </c>
      <c r="CF48" s="12">
        <v>6</v>
      </c>
      <c r="CG48" s="12">
        <v>0</v>
      </c>
      <c r="CH48" s="12">
        <v>2</v>
      </c>
      <c r="CI48" s="12">
        <v>0</v>
      </c>
      <c r="CJ48" s="12">
        <v>0</v>
      </c>
      <c r="CK48" s="12">
        <v>0</v>
      </c>
      <c r="CL48" s="12">
        <v>3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8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10</v>
      </c>
      <c r="CY48" s="12">
        <v>0</v>
      </c>
      <c r="CZ48" s="12">
        <v>2</v>
      </c>
      <c r="DA48" s="12">
        <v>0</v>
      </c>
      <c r="DB48" s="12">
        <v>0</v>
      </c>
      <c r="DC48" s="12">
        <v>0</v>
      </c>
      <c r="DD48" s="12">
        <v>2</v>
      </c>
      <c r="DE48" s="12">
        <v>2</v>
      </c>
      <c r="DF48" s="12">
        <v>5</v>
      </c>
      <c r="DG48" s="12">
        <v>6</v>
      </c>
      <c r="DH48" s="12">
        <v>0</v>
      </c>
      <c r="DI48" s="12">
        <v>0</v>
      </c>
      <c r="DJ48" s="12">
        <v>0</v>
      </c>
      <c r="DK48" s="12">
        <v>0</v>
      </c>
      <c r="DL48" s="12">
        <v>6</v>
      </c>
      <c r="DM48" s="12">
        <v>9</v>
      </c>
      <c r="DN48" s="12">
        <v>14</v>
      </c>
      <c r="DO48" s="12">
        <v>33</v>
      </c>
      <c r="DP48" s="12">
        <v>1</v>
      </c>
      <c r="DQ48" s="12">
        <v>6</v>
      </c>
      <c r="DR48" s="12">
        <v>0</v>
      </c>
      <c r="DS48" s="12">
        <v>0</v>
      </c>
      <c r="DT48" s="12">
        <v>10</v>
      </c>
      <c r="DU48" s="12">
        <v>24</v>
      </c>
      <c r="DV48" s="12">
        <v>0</v>
      </c>
      <c r="DW48" s="12">
        <v>0</v>
      </c>
      <c r="DX48" s="12">
        <v>93</v>
      </c>
      <c r="DY48" s="12">
        <v>22</v>
      </c>
      <c r="DZ48" s="12">
        <v>34</v>
      </c>
      <c r="EA48" s="16">
        <v>0.6470588235294118</v>
      </c>
      <c r="EB48" s="12">
        <v>12</v>
      </c>
      <c r="EC48" s="12">
        <v>25</v>
      </c>
      <c r="ED48" s="16">
        <v>0.48</v>
      </c>
      <c r="EE48" s="12">
        <v>34</v>
      </c>
      <c r="EF48" s="12">
        <v>59</v>
      </c>
      <c r="EG48" s="16">
        <v>0.57627118644067798</v>
      </c>
      <c r="EH48" s="12">
        <v>13</v>
      </c>
      <c r="EI48" s="12">
        <v>19</v>
      </c>
      <c r="EJ48" s="16">
        <v>0.68421052631578949</v>
      </c>
      <c r="EK48" s="12">
        <v>7</v>
      </c>
      <c r="EL48" s="12">
        <v>28</v>
      </c>
      <c r="EM48" s="12">
        <v>35</v>
      </c>
      <c r="EN48" s="12">
        <v>26</v>
      </c>
      <c r="EO48" s="12">
        <v>18</v>
      </c>
      <c r="EP48" s="12">
        <v>19</v>
      </c>
      <c r="EQ48" s="12">
        <v>6</v>
      </c>
      <c r="ER48" s="12">
        <v>13</v>
      </c>
      <c r="ES48" s="12">
        <v>6</v>
      </c>
      <c r="ET48" s="12">
        <v>1</v>
      </c>
      <c r="EU48" s="12">
        <v>122</v>
      </c>
      <c r="EV48" s="12">
        <v>14</v>
      </c>
      <c r="EW48" s="12">
        <v>73</v>
      </c>
      <c r="EX48" s="12">
        <v>80</v>
      </c>
      <c r="EY48" s="12">
        <v>4</v>
      </c>
      <c r="EZ48" s="12">
        <v>15</v>
      </c>
      <c r="FA48" s="12">
        <v>8</v>
      </c>
      <c r="FB48" s="12">
        <v>3</v>
      </c>
      <c r="FC48" s="12">
        <v>4</v>
      </c>
      <c r="FD48" s="12">
        <v>0</v>
      </c>
      <c r="FE48" s="12">
        <v>0</v>
      </c>
      <c r="FF48" s="12">
        <v>4</v>
      </c>
      <c r="FG48" s="12">
        <v>2</v>
      </c>
      <c r="FH48" s="12">
        <v>0</v>
      </c>
      <c r="FI48" s="12">
        <v>0</v>
      </c>
      <c r="FJ48" s="12">
        <v>0</v>
      </c>
      <c r="FK48" s="12">
        <v>0</v>
      </c>
      <c r="FL48" s="12">
        <v>2</v>
      </c>
      <c r="FM48" s="12">
        <v>0</v>
      </c>
      <c r="FN48" s="12">
        <v>1</v>
      </c>
      <c r="FO48" s="12">
        <v>0</v>
      </c>
      <c r="FP48" s="12">
        <v>2</v>
      </c>
      <c r="FQ48" s="12">
        <v>0</v>
      </c>
      <c r="FR48" s="12">
        <v>13</v>
      </c>
      <c r="FS48" s="12">
        <v>0</v>
      </c>
      <c r="FT48" s="12">
        <v>3</v>
      </c>
      <c r="FU48" s="12">
        <v>0</v>
      </c>
      <c r="FV48" s="12">
        <v>0</v>
      </c>
      <c r="FW48" s="12">
        <v>0</v>
      </c>
      <c r="FX48" s="12">
        <v>10</v>
      </c>
      <c r="FY48" s="12">
        <v>1</v>
      </c>
      <c r="FZ48" s="12">
        <v>0</v>
      </c>
      <c r="GA48" s="12">
        <v>0</v>
      </c>
      <c r="GB48" s="12">
        <v>0</v>
      </c>
      <c r="GC48" s="12">
        <v>1</v>
      </c>
      <c r="GD48" s="12">
        <v>0</v>
      </c>
      <c r="GE48" s="12">
        <v>2</v>
      </c>
      <c r="GF48" s="12">
        <v>13</v>
      </c>
      <c r="GG48" s="12">
        <v>16</v>
      </c>
      <c r="GH48" s="12">
        <v>0</v>
      </c>
      <c r="GI48" s="12">
        <v>0</v>
      </c>
      <c r="GJ48" s="12">
        <v>0</v>
      </c>
      <c r="GK48" s="12">
        <v>0</v>
      </c>
      <c r="GL48" s="12">
        <v>5</v>
      </c>
      <c r="GM48" s="12">
        <v>5</v>
      </c>
      <c r="GN48" s="12">
        <v>15</v>
      </c>
      <c r="GO48" s="12">
        <v>27</v>
      </c>
      <c r="GP48" s="12">
        <v>2</v>
      </c>
      <c r="GQ48" s="12">
        <v>2</v>
      </c>
      <c r="GR48" s="12">
        <v>0</v>
      </c>
      <c r="GS48" s="12">
        <v>0</v>
      </c>
      <c r="GT48" s="12">
        <v>12</v>
      </c>
      <c r="GU48" s="12">
        <v>25</v>
      </c>
      <c r="GV48" s="12">
        <v>0</v>
      </c>
      <c r="GW48" s="12">
        <v>0</v>
      </c>
    </row>
    <row r="49" spans="2:205" ht="15" customHeight="1" x14ac:dyDescent="0.2">
      <c r="B49" s="12">
        <v>3</v>
      </c>
      <c r="C49" s="12" t="s">
        <v>286</v>
      </c>
      <c r="D49" s="12" t="s">
        <v>298</v>
      </c>
      <c r="E49" s="14" t="s">
        <v>288</v>
      </c>
      <c r="F49" s="14" t="s">
        <v>300</v>
      </c>
      <c r="G49" s="15">
        <v>45216</v>
      </c>
      <c r="H49" s="15" t="s">
        <v>271</v>
      </c>
      <c r="I49" s="12" t="s">
        <v>269</v>
      </c>
      <c r="J49" s="12" t="s">
        <v>272</v>
      </c>
      <c r="K49" s="12">
        <v>200</v>
      </c>
      <c r="L49" s="12">
        <v>93</v>
      </c>
      <c r="M49" s="12">
        <v>22</v>
      </c>
      <c r="N49" s="12">
        <v>34</v>
      </c>
      <c r="O49" s="16">
        <v>0.6470588235294118</v>
      </c>
      <c r="P49" s="12">
        <v>12</v>
      </c>
      <c r="Q49" s="12">
        <v>25</v>
      </c>
      <c r="R49" s="16">
        <v>0.48</v>
      </c>
      <c r="S49" s="12">
        <v>34</v>
      </c>
      <c r="T49" s="12">
        <v>59</v>
      </c>
      <c r="U49" s="16">
        <v>0.57627118644067798</v>
      </c>
      <c r="V49" s="12">
        <v>13</v>
      </c>
      <c r="W49" s="12">
        <v>19</v>
      </c>
      <c r="X49" s="16">
        <v>0.68421052631578949</v>
      </c>
      <c r="Y49" s="12">
        <v>7</v>
      </c>
      <c r="Z49" s="12">
        <v>28</v>
      </c>
      <c r="AA49" s="12">
        <v>35</v>
      </c>
      <c r="AB49" s="12">
        <v>26</v>
      </c>
      <c r="AC49" s="12">
        <v>13</v>
      </c>
      <c r="AD49" s="12">
        <v>6</v>
      </c>
      <c r="AE49" s="12">
        <v>6</v>
      </c>
      <c r="AF49" s="12">
        <v>1</v>
      </c>
      <c r="AG49" s="12">
        <v>18</v>
      </c>
      <c r="AH49" s="12">
        <v>19</v>
      </c>
      <c r="AI49" s="17">
        <v>122</v>
      </c>
      <c r="AJ49" s="12">
        <v>14</v>
      </c>
      <c r="AK49" s="12">
        <v>73</v>
      </c>
      <c r="AL49" s="12">
        <v>80</v>
      </c>
      <c r="AM49" s="19">
        <v>1.1625000000000001</v>
      </c>
      <c r="AN49" s="19">
        <v>0.92941176470588238</v>
      </c>
      <c r="AO49" s="18">
        <v>127.39726027397261</v>
      </c>
      <c r="AP49" s="18">
        <v>108.21917808219179</v>
      </c>
      <c r="AQ49" s="18">
        <v>19.178082191780817</v>
      </c>
      <c r="AR49" s="53">
        <v>0.67796610169491522</v>
      </c>
      <c r="AS49" s="53">
        <v>0.69402985074626866</v>
      </c>
      <c r="AT49" s="16">
        <v>6.25E-2</v>
      </c>
      <c r="AU49" s="19">
        <v>2</v>
      </c>
      <c r="AV49" s="16">
        <v>0.33750000000000002</v>
      </c>
      <c r="AW49" s="19">
        <v>1.1111111111111112</v>
      </c>
      <c r="AX49" s="16">
        <v>2.5000000000000001E-2</v>
      </c>
      <c r="AY49" s="19">
        <v>2</v>
      </c>
      <c r="AZ49" s="16">
        <v>0</v>
      </c>
      <c r="BA49" s="19" t="s">
        <v>269</v>
      </c>
      <c r="BB49" s="16">
        <v>0.3125</v>
      </c>
      <c r="BC49" s="21">
        <v>1.44</v>
      </c>
      <c r="BD49" s="16">
        <v>0.1</v>
      </c>
      <c r="BE49" s="16">
        <v>0.16250000000000001</v>
      </c>
      <c r="BF49" s="16">
        <v>0.61904761904761907</v>
      </c>
      <c r="BG49" s="16">
        <v>0.68181818181818177</v>
      </c>
      <c r="BH49" s="16">
        <v>0.66666666666666663</v>
      </c>
      <c r="BI49" s="16">
        <v>0.375</v>
      </c>
      <c r="BJ49" s="16">
        <v>0.32500000000000001</v>
      </c>
      <c r="BK49" s="21">
        <v>2</v>
      </c>
      <c r="BL49" s="16">
        <v>0.25</v>
      </c>
      <c r="BM49" s="16">
        <v>0.42857142857142855</v>
      </c>
      <c r="BN49" s="16">
        <v>0.16666666666666666</v>
      </c>
      <c r="BO49" s="16">
        <v>0.33333333333333331</v>
      </c>
      <c r="BP49" s="16">
        <v>0.71794871794871795</v>
      </c>
      <c r="BQ49" s="16">
        <v>0.69230769230769229</v>
      </c>
      <c r="BR49" s="16">
        <v>0.7857142857142857</v>
      </c>
      <c r="BS49" s="16" t="s">
        <v>269</v>
      </c>
      <c r="BT49" s="16">
        <v>0.52238805970149249</v>
      </c>
      <c r="BU49" s="16">
        <v>8.2191780821917804E-2</v>
      </c>
      <c r="BV49" s="16">
        <v>8.3333333333333329E-2</v>
      </c>
      <c r="BW49" s="16">
        <v>4</v>
      </c>
      <c r="BX49" s="16">
        <v>0.27777777777777779</v>
      </c>
      <c r="BY49" s="16">
        <v>0.52631578947368418</v>
      </c>
      <c r="BZ49" s="12">
        <v>15</v>
      </c>
      <c r="CA49" s="12">
        <v>8</v>
      </c>
      <c r="CB49" s="12">
        <v>3</v>
      </c>
      <c r="CC49" s="12">
        <v>4</v>
      </c>
      <c r="CD49" s="12">
        <v>0</v>
      </c>
      <c r="CE49" s="12">
        <v>0</v>
      </c>
      <c r="CF49" s="12">
        <v>4</v>
      </c>
      <c r="CG49" s="12">
        <v>2</v>
      </c>
      <c r="CH49" s="12">
        <v>0</v>
      </c>
      <c r="CI49" s="12">
        <v>0</v>
      </c>
      <c r="CJ49" s="12">
        <v>0</v>
      </c>
      <c r="CK49" s="12">
        <v>0</v>
      </c>
      <c r="CL49" s="12">
        <v>2</v>
      </c>
      <c r="CM49" s="12">
        <v>0</v>
      </c>
      <c r="CN49" s="12">
        <v>1</v>
      </c>
      <c r="CO49" s="12">
        <v>0</v>
      </c>
      <c r="CP49" s="12">
        <v>2</v>
      </c>
      <c r="CQ49" s="12">
        <v>0</v>
      </c>
      <c r="CR49" s="12">
        <v>13</v>
      </c>
      <c r="CS49" s="12">
        <v>0</v>
      </c>
      <c r="CT49" s="12">
        <v>3</v>
      </c>
      <c r="CU49" s="12">
        <v>0</v>
      </c>
      <c r="CV49" s="12">
        <v>0</v>
      </c>
      <c r="CW49" s="12">
        <v>0</v>
      </c>
      <c r="CX49" s="12">
        <v>10</v>
      </c>
      <c r="CY49" s="12">
        <v>1</v>
      </c>
      <c r="CZ49" s="12">
        <v>0</v>
      </c>
      <c r="DA49" s="12">
        <v>0</v>
      </c>
      <c r="DB49" s="12">
        <v>0</v>
      </c>
      <c r="DC49" s="12">
        <v>1</v>
      </c>
      <c r="DD49" s="12">
        <v>0</v>
      </c>
      <c r="DE49" s="12">
        <v>2</v>
      </c>
      <c r="DF49" s="12">
        <v>13</v>
      </c>
      <c r="DG49" s="12">
        <v>16</v>
      </c>
      <c r="DH49" s="12">
        <v>0</v>
      </c>
      <c r="DI49" s="12">
        <v>0</v>
      </c>
      <c r="DJ49" s="12">
        <v>0</v>
      </c>
      <c r="DK49" s="12">
        <v>0</v>
      </c>
      <c r="DL49" s="12">
        <v>5</v>
      </c>
      <c r="DM49" s="12">
        <v>5</v>
      </c>
      <c r="DN49" s="12">
        <v>15</v>
      </c>
      <c r="DO49" s="12">
        <v>27</v>
      </c>
      <c r="DP49" s="12">
        <v>2</v>
      </c>
      <c r="DQ49" s="12">
        <v>2</v>
      </c>
      <c r="DR49" s="12">
        <v>0</v>
      </c>
      <c r="DS49" s="12">
        <v>0</v>
      </c>
      <c r="DT49" s="12">
        <v>12</v>
      </c>
      <c r="DU49" s="12">
        <v>25</v>
      </c>
      <c r="DV49" s="12">
        <v>0</v>
      </c>
      <c r="DW49" s="12">
        <v>0</v>
      </c>
      <c r="DX49" s="12">
        <v>79</v>
      </c>
      <c r="DY49" s="12">
        <v>21</v>
      </c>
      <c r="DZ49" s="12">
        <v>48</v>
      </c>
      <c r="EA49" s="16">
        <v>0.4375</v>
      </c>
      <c r="EB49" s="12">
        <v>10</v>
      </c>
      <c r="EC49" s="12">
        <v>24</v>
      </c>
      <c r="ED49" s="16">
        <v>0.41666666666666669</v>
      </c>
      <c r="EE49" s="12">
        <v>31</v>
      </c>
      <c r="EF49" s="12">
        <v>72</v>
      </c>
      <c r="EG49" s="16">
        <v>0.43055555555555558</v>
      </c>
      <c r="EH49" s="12">
        <v>7</v>
      </c>
      <c r="EI49" s="12">
        <v>8</v>
      </c>
      <c r="EJ49" s="16">
        <v>0.875</v>
      </c>
      <c r="EK49" s="12">
        <v>11</v>
      </c>
      <c r="EL49" s="12">
        <v>21</v>
      </c>
      <c r="EM49" s="12">
        <v>32</v>
      </c>
      <c r="EN49" s="12">
        <v>14</v>
      </c>
      <c r="EO49" s="12">
        <v>20</v>
      </c>
      <c r="EP49" s="12">
        <v>18</v>
      </c>
      <c r="EQ49" s="12">
        <v>5</v>
      </c>
      <c r="ER49" s="12">
        <v>10</v>
      </c>
      <c r="ES49" s="12">
        <v>1</v>
      </c>
      <c r="ET49" s="12">
        <v>6</v>
      </c>
      <c r="EU49" s="12">
        <v>71</v>
      </c>
      <c r="EV49" s="12">
        <v>-14</v>
      </c>
      <c r="EW49" s="12">
        <v>73</v>
      </c>
      <c r="EX49" s="12">
        <v>85</v>
      </c>
      <c r="EY49" s="12">
        <v>5</v>
      </c>
      <c r="EZ49" s="12">
        <v>8</v>
      </c>
      <c r="FA49" s="12">
        <v>6</v>
      </c>
      <c r="FB49" s="12">
        <v>0</v>
      </c>
      <c r="FC49" s="12">
        <v>0</v>
      </c>
      <c r="FD49" s="12">
        <v>0</v>
      </c>
      <c r="FE49" s="12">
        <v>0</v>
      </c>
      <c r="FF49" s="12">
        <v>6</v>
      </c>
      <c r="FG49" s="12">
        <v>0</v>
      </c>
      <c r="FH49" s="12">
        <v>2</v>
      </c>
      <c r="FI49" s="12">
        <v>0</v>
      </c>
      <c r="FJ49" s="12">
        <v>0</v>
      </c>
      <c r="FK49" s="12">
        <v>0</v>
      </c>
      <c r="FL49" s="12">
        <v>3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8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10</v>
      </c>
      <c r="FY49" s="12">
        <v>0</v>
      </c>
      <c r="FZ49" s="12">
        <v>2</v>
      </c>
      <c r="GA49" s="12">
        <v>0</v>
      </c>
      <c r="GB49" s="12">
        <v>0</v>
      </c>
      <c r="GC49" s="12">
        <v>0</v>
      </c>
      <c r="GD49" s="12">
        <v>2</v>
      </c>
      <c r="GE49" s="12">
        <v>2</v>
      </c>
      <c r="GF49" s="12">
        <v>5</v>
      </c>
      <c r="GG49" s="12">
        <v>6</v>
      </c>
      <c r="GH49" s="12">
        <v>0</v>
      </c>
      <c r="GI49" s="12">
        <v>0</v>
      </c>
      <c r="GJ49" s="12">
        <v>0</v>
      </c>
      <c r="GK49" s="12">
        <v>0</v>
      </c>
      <c r="GL49" s="12">
        <v>6</v>
      </c>
      <c r="GM49" s="12">
        <v>9</v>
      </c>
      <c r="GN49" s="12">
        <v>14</v>
      </c>
      <c r="GO49" s="12">
        <v>33</v>
      </c>
      <c r="GP49" s="12">
        <v>1</v>
      </c>
      <c r="GQ49" s="12">
        <v>6</v>
      </c>
      <c r="GR49" s="12">
        <v>0</v>
      </c>
      <c r="GS49" s="12">
        <v>0</v>
      </c>
      <c r="GT49" s="12">
        <v>10</v>
      </c>
      <c r="GU49" s="12">
        <v>24</v>
      </c>
      <c r="GV49" s="12">
        <v>0</v>
      </c>
      <c r="GW49" s="12">
        <v>0</v>
      </c>
    </row>
    <row r="50" spans="2:205" ht="15" customHeight="1" x14ac:dyDescent="0.2">
      <c r="B50" s="12">
        <v>3</v>
      </c>
      <c r="C50" s="12" t="s">
        <v>301</v>
      </c>
      <c r="D50" s="12" t="s">
        <v>264</v>
      </c>
      <c r="E50" s="14" t="s">
        <v>302</v>
      </c>
      <c r="F50" s="14" t="s">
        <v>266</v>
      </c>
      <c r="G50" s="15">
        <v>45217</v>
      </c>
      <c r="H50" s="15" t="s">
        <v>271</v>
      </c>
      <c r="I50" s="12" t="s">
        <v>269</v>
      </c>
      <c r="J50" s="12" t="s">
        <v>270</v>
      </c>
      <c r="K50" s="12">
        <v>200</v>
      </c>
      <c r="L50" s="12">
        <v>76</v>
      </c>
      <c r="M50" s="12">
        <v>17</v>
      </c>
      <c r="N50" s="12">
        <v>33</v>
      </c>
      <c r="O50" s="16">
        <v>0.51515151515151514</v>
      </c>
      <c r="P50" s="12">
        <v>10</v>
      </c>
      <c r="Q50" s="12">
        <v>34</v>
      </c>
      <c r="R50" s="16">
        <v>0.29411764705882354</v>
      </c>
      <c r="S50" s="12">
        <v>27</v>
      </c>
      <c r="T50" s="12">
        <v>67</v>
      </c>
      <c r="U50" s="16">
        <v>0.40298507462686567</v>
      </c>
      <c r="V50" s="12">
        <v>12</v>
      </c>
      <c r="W50" s="12">
        <v>13</v>
      </c>
      <c r="X50" s="16">
        <v>0.92307692307692313</v>
      </c>
      <c r="Y50" s="12">
        <v>16</v>
      </c>
      <c r="Z50" s="12">
        <v>14</v>
      </c>
      <c r="AA50" s="12">
        <v>30</v>
      </c>
      <c r="AB50" s="12">
        <v>19</v>
      </c>
      <c r="AC50" s="12">
        <v>10</v>
      </c>
      <c r="AD50" s="12">
        <v>9</v>
      </c>
      <c r="AE50" s="12">
        <v>1</v>
      </c>
      <c r="AF50" s="12">
        <v>2</v>
      </c>
      <c r="AG50" s="12">
        <v>20</v>
      </c>
      <c r="AH50" s="12">
        <v>21</v>
      </c>
      <c r="AI50" s="17">
        <v>83</v>
      </c>
      <c r="AJ50" s="12">
        <v>-6</v>
      </c>
      <c r="AK50" s="12">
        <v>67</v>
      </c>
      <c r="AL50" s="12">
        <v>83</v>
      </c>
      <c r="AM50" s="19">
        <v>0.91566265060240959</v>
      </c>
      <c r="AN50" s="19">
        <v>1.0512820512820513</v>
      </c>
      <c r="AO50" s="18">
        <v>113.43283582089552</v>
      </c>
      <c r="AP50" s="18">
        <v>124.24242424242425</v>
      </c>
      <c r="AQ50" s="18">
        <v>-10.80958842152873</v>
      </c>
      <c r="AR50" s="53">
        <v>0.47761194029850745</v>
      </c>
      <c r="AS50" s="53">
        <v>0.52054794520547942</v>
      </c>
      <c r="AT50" s="16">
        <v>0.13253012048192772</v>
      </c>
      <c r="AU50" s="19">
        <v>1.2727272727272727</v>
      </c>
      <c r="AV50" s="16">
        <v>0.21686746987951808</v>
      </c>
      <c r="AW50" s="19">
        <v>1.1111111111111112</v>
      </c>
      <c r="AX50" s="16">
        <v>4.8192771084337352E-2</v>
      </c>
      <c r="AY50" s="19">
        <v>0</v>
      </c>
      <c r="AZ50" s="16">
        <v>3.614457831325301E-2</v>
      </c>
      <c r="BA50" s="19">
        <v>2</v>
      </c>
      <c r="BB50" s="16">
        <v>0.37349397590361444</v>
      </c>
      <c r="BC50" s="21">
        <v>0.77419354838709675</v>
      </c>
      <c r="BD50" s="16">
        <v>7.2289156626506021E-2</v>
      </c>
      <c r="BE50" s="16">
        <v>0.12048192771084337</v>
      </c>
      <c r="BF50" s="16">
        <v>0.5757575757575758</v>
      </c>
      <c r="BG50" s="16">
        <v>0.52941176470588236</v>
      </c>
      <c r="BH50" s="16">
        <v>0.9</v>
      </c>
      <c r="BI50" s="16">
        <v>0.16666666666666666</v>
      </c>
      <c r="BJ50" s="16">
        <v>0.2289156626506024</v>
      </c>
      <c r="BK50" s="21">
        <v>1.9</v>
      </c>
      <c r="BL50" s="16">
        <v>0.41025641025641024</v>
      </c>
      <c r="BM50" s="16">
        <v>0.25</v>
      </c>
      <c r="BN50" s="16">
        <v>0.55555555555555558</v>
      </c>
      <c r="BO50" s="16" t="s">
        <v>269</v>
      </c>
      <c r="BP50" s="16">
        <v>0.53846153846153844</v>
      </c>
      <c r="BQ50" s="16">
        <v>0.53333333333333333</v>
      </c>
      <c r="BR50" s="16">
        <v>0.47058823529411764</v>
      </c>
      <c r="BS50" s="16" t="s">
        <v>269</v>
      </c>
      <c r="BT50" s="16">
        <v>0.46153846153846156</v>
      </c>
      <c r="BU50" s="16">
        <v>0.13636363636363635</v>
      </c>
      <c r="BV50" s="16">
        <v>1.7241379310344827E-2</v>
      </c>
      <c r="BW50" s="16">
        <v>3</v>
      </c>
      <c r="BX50" s="16">
        <v>0.35</v>
      </c>
      <c r="BY50" s="16">
        <v>0.33333333333333331</v>
      </c>
      <c r="BZ50" s="12">
        <v>9</v>
      </c>
      <c r="CA50" s="12">
        <v>9</v>
      </c>
      <c r="CB50" s="12">
        <v>1</v>
      </c>
      <c r="CC50" s="12">
        <v>2</v>
      </c>
      <c r="CD50" s="12">
        <v>0</v>
      </c>
      <c r="CE50" s="12">
        <v>0</v>
      </c>
      <c r="CF50" s="12">
        <v>2</v>
      </c>
      <c r="CG50" s="12">
        <v>0</v>
      </c>
      <c r="CH50" s="12">
        <v>2</v>
      </c>
      <c r="CI50" s="12">
        <v>0</v>
      </c>
      <c r="CJ50" s="12">
        <v>0</v>
      </c>
      <c r="CK50" s="12">
        <v>0</v>
      </c>
      <c r="CL50" s="12">
        <v>12</v>
      </c>
      <c r="CM50" s="12">
        <v>3</v>
      </c>
      <c r="CN50" s="12">
        <v>0</v>
      </c>
      <c r="CO50" s="12">
        <v>0</v>
      </c>
      <c r="CP50" s="12">
        <v>0</v>
      </c>
      <c r="CQ50" s="12">
        <v>0</v>
      </c>
      <c r="CR50" s="12">
        <v>4</v>
      </c>
      <c r="CS50" s="12">
        <v>1</v>
      </c>
      <c r="CT50" s="12">
        <v>3</v>
      </c>
      <c r="CU50" s="12">
        <v>0</v>
      </c>
      <c r="CV50" s="12">
        <v>0</v>
      </c>
      <c r="CW50" s="12">
        <v>0</v>
      </c>
      <c r="CX50" s="12">
        <v>7</v>
      </c>
      <c r="CY50" s="12">
        <v>1</v>
      </c>
      <c r="CZ50" s="12">
        <v>0</v>
      </c>
      <c r="DA50" s="12">
        <v>0</v>
      </c>
      <c r="DB50" s="12">
        <v>0</v>
      </c>
      <c r="DC50" s="12">
        <v>0</v>
      </c>
      <c r="DD50" s="12">
        <v>1</v>
      </c>
      <c r="DE50" s="12">
        <v>1</v>
      </c>
      <c r="DF50" s="12">
        <v>11</v>
      </c>
      <c r="DG50" s="12">
        <v>12</v>
      </c>
      <c r="DH50" s="12">
        <v>0</v>
      </c>
      <c r="DI50" s="12">
        <v>0</v>
      </c>
      <c r="DJ50" s="12">
        <v>0</v>
      </c>
      <c r="DK50" s="12">
        <v>0</v>
      </c>
      <c r="DL50" s="12">
        <v>7</v>
      </c>
      <c r="DM50" s="12">
        <v>11</v>
      </c>
      <c r="DN50" s="12">
        <v>10</v>
      </c>
      <c r="DO50" s="12">
        <v>18</v>
      </c>
      <c r="DP50" s="12">
        <v>0</v>
      </c>
      <c r="DQ50" s="12">
        <v>4</v>
      </c>
      <c r="DR50" s="12">
        <v>2</v>
      </c>
      <c r="DS50" s="12">
        <v>3</v>
      </c>
      <c r="DT50" s="12">
        <v>8</v>
      </c>
      <c r="DU50" s="12">
        <v>31</v>
      </c>
      <c r="DV50" s="12">
        <v>0</v>
      </c>
      <c r="DW50" s="12">
        <v>0</v>
      </c>
      <c r="DX50" s="12">
        <v>82</v>
      </c>
      <c r="DY50" s="12">
        <v>21</v>
      </c>
      <c r="DZ50" s="12">
        <v>35</v>
      </c>
      <c r="EA50" s="16">
        <v>0.6</v>
      </c>
      <c r="EB50" s="12">
        <v>10</v>
      </c>
      <c r="EC50" s="12">
        <v>23</v>
      </c>
      <c r="ED50" s="16">
        <v>0.43478260869565216</v>
      </c>
      <c r="EE50" s="12">
        <v>31</v>
      </c>
      <c r="EF50" s="12">
        <v>58</v>
      </c>
      <c r="EG50" s="16">
        <v>0.53448275862068961</v>
      </c>
      <c r="EH50" s="12">
        <v>10</v>
      </c>
      <c r="EI50" s="12">
        <v>13</v>
      </c>
      <c r="EJ50" s="16">
        <v>0.76923076923076927</v>
      </c>
      <c r="EK50" s="12">
        <v>12</v>
      </c>
      <c r="EL50" s="12">
        <v>23</v>
      </c>
      <c r="EM50" s="12">
        <v>35</v>
      </c>
      <c r="EN50" s="12">
        <v>23</v>
      </c>
      <c r="EO50" s="12">
        <v>21</v>
      </c>
      <c r="EP50" s="12">
        <v>20</v>
      </c>
      <c r="EQ50" s="12">
        <v>5</v>
      </c>
      <c r="ER50" s="12">
        <v>14</v>
      </c>
      <c r="ES50" s="12">
        <v>2</v>
      </c>
      <c r="ET50" s="12">
        <v>1</v>
      </c>
      <c r="EU50" s="12">
        <v>101</v>
      </c>
      <c r="EV50" s="12">
        <v>6</v>
      </c>
      <c r="EW50" s="12">
        <v>66</v>
      </c>
      <c r="EX50" s="12">
        <v>78</v>
      </c>
      <c r="EY50" s="12">
        <v>8</v>
      </c>
      <c r="EZ50" s="12">
        <v>13</v>
      </c>
      <c r="FA50" s="12">
        <v>9</v>
      </c>
      <c r="FB50" s="12">
        <v>1</v>
      </c>
      <c r="FC50" s="12">
        <v>2</v>
      </c>
      <c r="FD50" s="12">
        <v>1</v>
      </c>
      <c r="FE50" s="12">
        <v>0</v>
      </c>
      <c r="FF50" s="12">
        <v>4</v>
      </c>
      <c r="FG50" s="12">
        <v>1</v>
      </c>
      <c r="FH50" s="12">
        <v>1</v>
      </c>
      <c r="FI50" s="12">
        <v>0</v>
      </c>
      <c r="FJ50" s="12">
        <v>1</v>
      </c>
      <c r="FK50" s="12">
        <v>0</v>
      </c>
      <c r="FL50" s="12">
        <v>5</v>
      </c>
      <c r="FM50" s="12">
        <v>3</v>
      </c>
      <c r="FN50" s="12">
        <v>0</v>
      </c>
      <c r="FO50" s="12">
        <v>0</v>
      </c>
      <c r="FP50" s="12">
        <v>4</v>
      </c>
      <c r="FQ50" s="12">
        <v>0</v>
      </c>
      <c r="FR50" s="12">
        <v>6</v>
      </c>
      <c r="FS50" s="12">
        <v>0</v>
      </c>
      <c r="FT50" s="12">
        <v>2</v>
      </c>
      <c r="FU50" s="12">
        <v>0</v>
      </c>
      <c r="FV50" s="12">
        <v>1</v>
      </c>
      <c r="FW50" s="12">
        <v>0</v>
      </c>
      <c r="FX50" s="12">
        <v>10</v>
      </c>
      <c r="FY50" s="12">
        <v>1</v>
      </c>
      <c r="FZ50" s="12">
        <v>0</v>
      </c>
      <c r="GA50" s="12">
        <v>0</v>
      </c>
      <c r="GB50" s="12">
        <v>0</v>
      </c>
      <c r="GC50" s="12">
        <v>0</v>
      </c>
      <c r="GD50" s="12">
        <v>1</v>
      </c>
      <c r="GE50" s="12">
        <v>1</v>
      </c>
      <c r="GF50" s="12">
        <v>9</v>
      </c>
      <c r="GG50" s="12">
        <v>12</v>
      </c>
      <c r="GH50" s="12">
        <v>0</v>
      </c>
      <c r="GI50" s="12">
        <v>0</v>
      </c>
      <c r="GJ50" s="12">
        <v>0</v>
      </c>
      <c r="GK50" s="12">
        <v>0</v>
      </c>
      <c r="GL50" s="12">
        <v>6</v>
      </c>
      <c r="GM50" s="12">
        <v>7</v>
      </c>
      <c r="GN50" s="12">
        <v>8</v>
      </c>
      <c r="GO50" s="12">
        <v>17</v>
      </c>
      <c r="GP50" s="12">
        <v>7</v>
      </c>
      <c r="GQ50" s="12">
        <v>11</v>
      </c>
      <c r="GR50" s="12">
        <v>1</v>
      </c>
      <c r="GS50" s="12">
        <v>2</v>
      </c>
      <c r="GT50" s="12">
        <v>9</v>
      </c>
      <c r="GU50" s="12">
        <v>21</v>
      </c>
      <c r="GV50" s="12">
        <v>0</v>
      </c>
      <c r="GW50" s="12">
        <v>0</v>
      </c>
    </row>
    <row r="51" spans="2:205" ht="15" customHeight="1" x14ac:dyDescent="0.2">
      <c r="B51" s="12">
        <v>3</v>
      </c>
      <c r="C51" s="12" t="s">
        <v>264</v>
      </c>
      <c r="D51" s="12" t="s">
        <v>301</v>
      </c>
      <c r="E51" s="14" t="s">
        <v>266</v>
      </c>
      <c r="F51" s="14" t="s">
        <v>302</v>
      </c>
      <c r="G51" s="15">
        <v>45217</v>
      </c>
      <c r="H51" s="15" t="s">
        <v>268</v>
      </c>
      <c r="I51" s="12" t="s">
        <v>269</v>
      </c>
      <c r="J51" s="12" t="s">
        <v>272</v>
      </c>
      <c r="K51" s="12">
        <v>200</v>
      </c>
      <c r="L51" s="12">
        <v>82</v>
      </c>
      <c r="M51" s="12">
        <v>21</v>
      </c>
      <c r="N51" s="12">
        <v>35</v>
      </c>
      <c r="O51" s="16">
        <v>0.6</v>
      </c>
      <c r="P51" s="12">
        <v>10</v>
      </c>
      <c r="Q51" s="12">
        <v>23</v>
      </c>
      <c r="R51" s="16">
        <v>0.43478260869565216</v>
      </c>
      <c r="S51" s="12">
        <v>31</v>
      </c>
      <c r="T51" s="12">
        <v>58</v>
      </c>
      <c r="U51" s="16">
        <v>0.53448275862068961</v>
      </c>
      <c r="V51" s="12">
        <v>10</v>
      </c>
      <c r="W51" s="12">
        <v>13</v>
      </c>
      <c r="X51" s="16">
        <v>0.76923076923076927</v>
      </c>
      <c r="Y51" s="12">
        <v>12</v>
      </c>
      <c r="Z51" s="12">
        <v>23</v>
      </c>
      <c r="AA51" s="12">
        <v>35</v>
      </c>
      <c r="AB51" s="12">
        <v>23</v>
      </c>
      <c r="AC51" s="12">
        <v>14</v>
      </c>
      <c r="AD51" s="12">
        <v>5</v>
      </c>
      <c r="AE51" s="12">
        <v>2</v>
      </c>
      <c r="AF51" s="12">
        <v>1</v>
      </c>
      <c r="AG51" s="12">
        <v>21</v>
      </c>
      <c r="AH51" s="12">
        <v>20</v>
      </c>
      <c r="AI51" s="17">
        <v>101</v>
      </c>
      <c r="AJ51" s="12">
        <v>6</v>
      </c>
      <c r="AK51" s="12">
        <v>66</v>
      </c>
      <c r="AL51" s="12">
        <v>78</v>
      </c>
      <c r="AM51" s="19">
        <v>1.0512820512820513</v>
      </c>
      <c r="AN51" s="19">
        <v>0.91566265060240959</v>
      </c>
      <c r="AO51" s="18">
        <v>124.24242424242425</v>
      </c>
      <c r="AP51" s="18">
        <v>113.43283582089552</v>
      </c>
      <c r="AQ51" s="18">
        <v>10.80958842152873</v>
      </c>
      <c r="AR51" s="53">
        <v>0.62068965517241381</v>
      </c>
      <c r="AS51" s="53">
        <v>0.640625</v>
      </c>
      <c r="AT51" s="16">
        <v>8.9743589743589744E-2</v>
      </c>
      <c r="AU51" s="19">
        <v>1.7142857142857142</v>
      </c>
      <c r="AV51" s="16">
        <v>0.21794871794871795</v>
      </c>
      <c r="AW51" s="19">
        <v>0.94117647058823528</v>
      </c>
      <c r="AX51" s="16">
        <v>0.14102564102564102</v>
      </c>
      <c r="AY51" s="19">
        <v>1.2727272727272727</v>
      </c>
      <c r="AZ51" s="16">
        <v>2.564102564102564E-2</v>
      </c>
      <c r="BA51" s="19">
        <v>1.5</v>
      </c>
      <c r="BB51" s="16">
        <v>0.26923076923076922</v>
      </c>
      <c r="BC51" s="21">
        <v>1.2857142857142858</v>
      </c>
      <c r="BD51" s="16">
        <v>7.6923076923076927E-2</v>
      </c>
      <c r="BE51" s="16">
        <v>0.17948717948717949</v>
      </c>
      <c r="BF51" s="16">
        <v>0.6216216216216216</v>
      </c>
      <c r="BG51" s="16">
        <v>0.61904761904761907</v>
      </c>
      <c r="BH51" s="16">
        <v>0.9</v>
      </c>
      <c r="BI51" s="16">
        <v>0.16666666666666666</v>
      </c>
      <c r="BJ51" s="16">
        <v>0.29487179487179488</v>
      </c>
      <c r="BK51" s="21">
        <v>1.6428571428571428</v>
      </c>
      <c r="BL51" s="16">
        <v>0.46153846153846156</v>
      </c>
      <c r="BM51" s="16">
        <v>0.46666666666666667</v>
      </c>
      <c r="BN51" s="16">
        <v>0.52941176470588236</v>
      </c>
      <c r="BO51" s="16" t="s">
        <v>269</v>
      </c>
      <c r="BP51" s="16">
        <v>0.58974358974358976</v>
      </c>
      <c r="BQ51" s="16">
        <v>0.75</v>
      </c>
      <c r="BR51" s="16">
        <v>0.44444444444444442</v>
      </c>
      <c r="BS51" s="16" t="s">
        <v>269</v>
      </c>
      <c r="BT51" s="16">
        <v>0.53846153846153844</v>
      </c>
      <c r="BU51" s="16">
        <v>7.4626865671641784E-2</v>
      </c>
      <c r="BV51" s="16">
        <v>2.9850746268656716E-2</v>
      </c>
      <c r="BW51" s="16">
        <v>8</v>
      </c>
      <c r="BX51" s="16">
        <v>0.33333333333333331</v>
      </c>
      <c r="BY51" s="16">
        <v>0.35</v>
      </c>
      <c r="BZ51" s="12">
        <v>13</v>
      </c>
      <c r="CA51" s="12">
        <v>9</v>
      </c>
      <c r="CB51" s="12">
        <v>1</v>
      </c>
      <c r="CC51" s="12">
        <v>2</v>
      </c>
      <c r="CD51" s="12">
        <v>1</v>
      </c>
      <c r="CE51" s="12">
        <v>0</v>
      </c>
      <c r="CF51" s="12">
        <v>4</v>
      </c>
      <c r="CG51" s="12">
        <v>1</v>
      </c>
      <c r="CH51" s="12">
        <v>1</v>
      </c>
      <c r="CI51" s="12">
        <v>0</v>
      </c>
      <c r="CJ51" s="12">
        <v>1</v>
      </c>
      <c r="CK51" s="12">
        <v>0</v>
      </c>
      <c r="CL51" s="12">
        <v>5</v>
      </c>
      <c r="CM51" s="12">
        <v>3</v>
      </c>
      <c r="CN51" s="12">
        <v>0</v>
      </c>
      <c r="CO51" s="12">
        <v>0</v>
      </c>
      <c r="CP51" s="12">
        <v>4</v>
      </c>
      <c r="CQ51" s="12">
        <v>0</v>
      </c>
      <c r="CR51" s="12">
        <v>6</v>
      </c>
      <c r="CS51" s="12">
        <v>0</v>
      </c>
      <c r="CT51" s="12">
        <v>2</v>
      </c>
      <c r="CU51" s="12">
        <v>0</v>
      </c>
      <c r="CV51" s="12">
        <v>1</v>
      </c>
      <c r="CW51" s="12">
        <v>0</v>
      </c>
      <c r="CX51" s="12">
        <v>10</v>
      </c>
      <c r="CY51" s="12">
        <v>1</v>
      </c>
      <c r="CZ51" s="12">
        <v>0</v>
      </c>
      <c r="DA51" s="12">
        <v>0</v>
      </c>
      <c r="DB51" s="12">
        <v>0</v>
      </c>
      <c r="DC51" s="12">
        <v>0</v>
      </c>
      <c r="DD51" s="12">
        <v>1</v>
      </c>
      <c r="DE51" s="12">
        <v>1</v>
      </c>
      <c r="DF51" s="12">
        <v>9</v>
      </c>
      <c r="DG51" s="12">
        <v>12</v>
      </c>
      <c r="DH51" s="12">
        <v>0</v>
      </c>
      <c r="DI51" s="12">
        <v>0</v>
      </c>
      <c r="DJ51" s="12">
        <v>0</v>
      </c>
      <c r="DK51" s="12">
        <v>0</v>
      </c>
      <c r="DL51" s="12">
        <v>6</v>
      </c>
      <c r="DM51" s="12">
        <v>7</v>
      </c>
      <c r="DN51" s="12">
        <v>8</v>
      </c>
      <c r="DO51" s="12">
        <v>17</v>
      </c>
      <c r="DP51" s="12">
        <v>7</v>
      </c>
      <c r="DQ51" s="12">
        <v>11</v>
      </c>
      <c r="DR51" s="12">
        <v>1</v>
      </c>
      <c r="DS51" s="12">
        <v>2</v>
      </c>
      <c r="DT51" s="12">
        <v>9</v>
      </c>
      <c r="DU51" s="12">
        <v>21</v>
      </c>
      <c r="DV51" s="12">
        <v>0</v>
      </c>
      <c r="DW51" s="12">
        <v>0</v>
      </c>
      <c r="DX51" s="12">
        <v>76</v>
      </c>
      <c r="DY51" s="12">
        <v>17</v>
      </c>
      <c r="DZ51" s="12">
        <v>33</v>
      </c>
      <c r="EA51" s="16">
        <v>0.51515151515151514</v>
      </c>
      <c r="EB51" s="12">
        <v>10</v>
      </c>
      <c r="EC51" s="12">
        <v>34</v>
      </c>
      <c r="ED51" s="16">
        <v>0.29411764705882354</v>
      </c>
      <c r="EE51" s="12">
        <v>27</v>
      </c>
      <c r="EF51" s="12">
        <v>67</v>
      </c>
      <c r="EG51" s="16">
        <v>0.40298507462686567</v>
      </c>
      <c r="EH51" s="12">
        <v>12</v>
      </c>
      <c r="EI51" s="12">
        <v>13</v>
      </c>
      <c r="EJ51" s="16">
        <v>0.92307692307692313</v>
      </c>
      <c r="EK51" s="12">
        <v>16</v>
      </c>
      <c r="EL51" s="12">
        <v>14</v>
      </c>
      <c r="EM51" s="12">
        <v>30</v>
      </c>
      <c r="EN51" s="12">
        <v>19</v>
      </c>
      <c r="EO51" s="12">
        <v>20</v>
      </c>
      <c r="EP51" s="12">
        <v>21</v>
      </c>
      <c r="EQ51" s="12">
        <v>9</v>
      </c>
      <c r="ER51" s="12">
        <v>10</v>
      </c>
      <c r="ES51" s="12">
        <v>1</v>
      </c>
      <c r="ET51" s="12">
        <v>2</v>
      </c>
      <c r="EU51" s="12">
        <v>83</v>
      </c>
      <c r="EV51" s="12">
        <v>-6</v>
      </c>
      <c r="EW51" s="12">
        <v>67</v>
      </c>
      <c r="EX51" s="12">
        <v>83</v>
      </c>
      <c r="EY51" s="12">
        <v>3</v>
      </c>
      <c r="EZ51" s="12">
        <v>9</v>
      </c>
      <c r="FA51" s="12">
        <v>9</v>
      </c>
      <c r="FB51" s="12">
        <v>1</v>
      </c>
      <c r="FC51" s="12">
        <v>2</v>
      </c>
      <c r="FD51" s="12">
        <v>0</v>
      </c>
      <c r="FE51" s="12">
        <v>0</v>
      </c>
      <c r="FF51" s="12">
        <v>2</v>
      </c>
      <c r="FG51" s="12">
        <v>0</v>
      </c>
      <c r="FH51" s="12">
        <v>2</v>
      </c>
      <c r="FI51" s="12">
        <v>0</v>
      </c>
      <c r="FJ51" s="12">
        <v>0</v>
      </c>
      <c r="FK51" s="12">
        <v>0</v>
      </c>
      <c r="FL51" s="12">
        <v>12</v>
      </c>
      <c r="FM51" s="12">
        <v>3</v>
      </c>
      <c r="FN51" s="12">
        <v>0</v>
      </c>
      <c r="FO51" s="12">
        <v>0</v>
      </c>
      <c r="FP51" s="12">
        <v>0</v>
      </c>
      <c r="FQ51" s="12">
        <v>0</v>
      </c>
      <c r="FR51" s="12">
        <v>4</v>
      </c>
      <c r="FS51" s="12">
        <v>1</v>
      </c>
      <c r="FT51" s="12">
        <v>3</v>
      </c>
      <c r="FU51" s="12">
        <v>0</v>
      </c>
      <c r="FV51" s="12">
        <v>0</v>
      </c>
      <c r="FW51" s="12">
        <v>0</v>
      </c>
      <c r="FX51" s="12">
        <v>7</v>
      </c>
      <c r="FY51" s="12">
        <v>1</v>
      </c>
      <c r="FZ51" s="12">
        <v>0</v>
      </c>
      <c r="GA51" s="12">
        <v>0</v>
      </c>
      <c r="GB51" s="12">
        <v>0</v>
      </c>
      <c r="GC51" s="12">
        <v>0</v>
      </c>
      <c r="GD51" s="12">
        <v>1</v>
      </c>
      <c r="GE51" s="12">
        <v>1</v>
      </c>
      <c r="GF51" s="12">
        <v>11</v>
      </c>
      <c r="GG51" s="12">
        <v>12</v>
      </c>
      <c r="GH51" s="12">
        <v>0</v>
      </c>
      <c r="GI51" s="12">
        <v>0</v>
      </c>
      <c r="GJ51" s="12">
        <v>0</v>
      </c>
      <c r="GK51" s="12">
        <v>0</v>
      </c>
      <c r="GL51" s="12">
        <v>7</v>
      </c>
      <c r="GM51" s="12">
        <v>11</v>
      </c>
      <c r="GN51" s="12">
        <v>10</v>
      </c>
      <c r="GO51" s="12">
        <v>18</v>
      </c>
      <c r="GP51" s="12">
        <v>0</v>
      </c>
      <c r="GQ51" s="12">
        <v>4</v>
      </c>
      <c r="GR51" s="12">
        <v>2</v>
      </c>
      <c r="GS51" s="12">
        <v>3</v>
      </c>
      <c r="GT51" s="12">
        <v>8</v>
      </c>
      <c r="GU51" s="12">
        <v>31</v>
      </c>
      <c r="GV51" s="12">
        <v>0</v>
      </c>
      <c r="GW51" s="12">
        <v>0</v>
      </c>
    </row>
    <row r="52" spans="2:205" ht="15" customHeight="1" x14ac:dyDescent="0.2">
      <c r="B52" s="12">
        <v>3</v>
      </c>
      <c r="C52" s="12" t="s">
        <v>273</v>
      </c>
      <c r="D52" s="12" t="s">
        <v>93</v>
      </c>
      <c r="E52" s="14" t="s">
        <v>275</v>
      </c>
      <c r="F52" s="14" t="s">
        <v>303</v>
      </c>
      <c r="G52" s="15">
        <v>45217</v>
      </c>
      <c r="H52" s="15" t="s">
        <v>271</v>
      </c>
      <c r="I52" s="12" t="s">
        <v>269</v>
      </c>
      <c r="J52" s="12" t="s">
        <v>272</v>
      </c>
      <c r="K52" s="12">
        <v>200</v>
      </c>
      <c r="L52" s="12">
        <v>75</v>
      </c>
      <c r="M52" s="12">
        <v>20</v>
      </c>
      <c r="N52" s="12">
        <v>41</v>
      </c>
      <c r="O52" s="16">
        <v>0.48780487804878048</v>
      </c>
      <c r="P52" s="12">
        <v>7</v>
      </c>
      <c r="Q52" s="12">
        <v>16</v>
      </c>
      <c r="R52" s="16">
        <v>0.4375</v>
      </c>
      <c r="S52" s="12">
        <v>27</v>
      </c>
      <c r="T52" s="12">
        <v>57</v>
      </c>
      <c r="U52" s="16">
        <v>0.47368421052631576</v>
      </c>
      <c r="V52" s="12">
        <v>14</v>
      </c>
      <c r="W52" s="12">
        <v>17</v>
      </c>
      <c r="X52" s="16">
        <v>0.82352941176470584</v>
      </c>
      <c r="Y52" s="12">
        <v>11</v>
      </c>
      <c r="Z52" s="12">
        <v>24</v>
      </c>
      <c r="AA52" s="12">
        <v>35</v>
      </c>
      <c r="AB52" s="12">
        <v>20</v>
      </c>
      <c r="AC52" s="12">
        <v>16</v>
      </c>
      <c r="AD52" s="12">
        <v>8</v>
      </c>
      <c r="AE52" s="12">
        <v>3</v>
      </c>
      <c r="AF52" s="12">
        <v>3</v>
      </c>
      <c r="AG52" s="12">
        <v>19</v>
      </c>
      <c r="AH52" s="12">
        <v>19</v>
      </c>
      <c r="AI52" s="17">
        <v>89</v>
      </c>
      <c r="AJ52" s="12">
        <v>9</v>
      </c>
      <c r="AK52" s="12">
        <v>70</v>
      </c>
      <c r="AL52" s="12">
        <v>81</v>
      </c>
      <c r="AM52" s="19">
        <v>0.92592592592592593</v>
      </c>
      <c r="AN52" s="19">
        <v>0.84615384615384615</v>
      </c>
      <c r="AO52" s="18">
        <v>107.14285714285714</v>
      </c>
      <c r="AP52" s="18">
        <v>94.285714285714278</v>
      </c>
      <c r="AQ52" s="18">
        <v>12.857142857142861</v>
      </c>
      <c r="AR52" s="53">
        <v>0.53508771929824561</v>
      </c>
      <c r="AS52" s="53">
        <v>0.57692307692307687</v>
      </c>
      <c r="AT52" s="16">
        <v>0.27160493827160492</v>
      </c>
      <c r="AU52" s="19">
        <v>1.6363636363636365</v>
      </c>
      <c r="AV52" s="16">
        <v>9.8765432098765427E-2</v>
      </c>
      <c r="AW52" s="19">
        <v>0.5</v>
      </c>
      <c r="AX52" s="16">
        <v>0.13580246913580246</v>
      </c>
      <c r="AY52" s="19">
        <v>0</v>
      </c>
      <c r="AZ52" s="16">
        <v>0</v>
      </c>
      <c r="BA52" s="19" t="s">
        <v>269</v>
      </c>
      <c r="BB52" s="16">
        <v>0.19753086419753085</v>
      </c>
      <c r="BC52" s="21">
        <v>1.3125</v>
      </c>
      <c r="BD52" s="16">
        <v>9.8765432098765427E-2</v>
      </c>
      <c r="BE52" s="16">
        <v>0.19753086419753085</v>
      </c>
      <c r="BF52" s="16">
        <v>0.5714285714285714</v>
      </c>
      <c r="BG52" s="16">
        <v>0.55000000000000004</v>
      </c>
      <c r="BH52" s="16">
        <v>0.8571428571428571</v>
      </c>
      <c r="BI52" s="16">
        <v>0.375</v>
      </c>
      <c r="BJ52" s="16">
        <v>0.24691358024691357</v>
      </c>
      <c r="BK52" s="21">
        <v>1.25</v>
      </c>
      <c r="BL52" s="16">
        <v>0.36666666666666664</v>
      </c>
      <c r="BM52" s="16">
        <v>0.43478260869565216</v>
      </c>
      <c r="BN52" s="16">
        <v>0.36363636363636365</v>
      </c>
      <c r="BO52" s="16" t="s">
        <v>269</v>
      </c>
      <c r="BP52" s="16">
        <v>0.75</v>
      </c>
      <c r="BQ52" s="16">
        <v>0.8</v>
      </c>
      <c r="BR52" s="16">
        <v>0.6470588235294118</v>
      </c>
      <c r="BS52" s="16">
        <v>1</v>
      </c>
      <c r="BT52" s="16">
        <v>0.56451612903225812</v>
      </c>
      <c r="BU52" s="16">
        <v>0.11428571428571428</v>
      </c>
      <c r="BV52" s="16">
        <v>5.3571428571428568E-2</v>
      </c>
      <c r="BW52" s="16">
        <v>5</v>
      </c>
      <c r="BX52" s="16">
        <v>0.36842105263157893</v>
      </c>
      <c r="BY52" s="16">
        <v>0.42105263157894735</v>
      </c>
      <c r="BZ52" s="12">
        <v>11</v>
      </c>
      <c r="CA52" s="12">
        <v>6</v>
      </c>
      <c r="CB52" s="12">
        <v>3</v>
      </c>
      <c r="CC52" s="12">
        <v>7</v>
      </c>
      <c r="CD52" s="12">
        <v>2</v>
      </c>
      <c r="CE52" s="12">
        <v>1</v>
      </c>
      <c r="CF52" s="12">
        <v>3</v>
      </c>
      <c r="CG52" s="12">
        <v>1</v>
      </c>
      <c r="CH52" s="12">
        <v>3</v>
      </c>
      <c r="CI52" s="12">
        <v>0</v>
      </c>
      <c r="CJ52" s="12">
        <v>0</v>
      </c>
      <c r="CK52" s="12">
        <v>0</v>
      </c>
      <c r="CL52" s="12">
        <v>3</v>
      </c>
      <c r="CM52" s="12">
        <v>1</v>
      </c>
      <c r="CN52" s="12">
        <v>0</v>
      </c>
      <c r="CO52" s="12">
        <v>0</v>
      </c>
      <c r="CP52" s="12">
        <v>5</v>
      </c>
      <c r="CQ52" s="12">
        <v>0</v>
      </c>
      <c r="CR52" s="12">
        <v>6</v>
      </c>
      <c r="CS52" s="12">
        <v>0</v>
      </c>
      <c r="CT52" s="12">
        <v>1</v>
      </c>
      <c r="CU52" s="12">
        <v>0</v>
      </c>
      <c r="CV52" s="12">
        <v>1</v>
      </c>
      <c r="CW52" s="12">
        <v>0</v>
      </c>
      <c r="CX52" s="12">
        <v>10</v>
      </c>
      <c r="CY52" s="12">
        <v>0</v>
      </c>
      <c r="CZ52" s="12">
        <v>1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11</v>
      </c>
      <c r="DG52" s="12">
        <v>14</v>
      </c>
      <c r="DH52" s="12">
        <v>0</v>
      </c>
      <c r="DI52" s="12">
        <v>3</v>
      </c>
      <c r="DJ52" s="12">
        <v>3</v>
      </c>
      <c r="DK52" s="12">
        <v>0</v>
      </c>
      <c r="DL52" s="12">
        <v>18</v>
      </c>
      <c r="DM52" s="12">
        <v>22</v>
      </c>
      <c r="DN52" s="12">
        <v>2</v>
      </c>
      <c r="DO52" s="12">
        <v>8</v>
      </c>
      <c r="DP52" s="12">
        <v>0</v>
      </c>
      <c r="DQ52" s="12">
        <v>11</v>
      </c>
      <c r="DR52" s="12">
        <v>0</v>
      </c>
      <c r="DS52" s="12">
        <v>0</v>
      </c>
      <c r="DT52" s="12">
        <v>7</v>
      </c>
      <c r="DU52" s="12">
        <v>16</v>
      </c>
      <c r="DV52" s="12">
        <v>0</v>
      </c>
      <c r="DW52" s="12">
        <v>0</v>
      </c>
      <c r="DX52" s="12">
        <v>66</v>
      </c>
      <c r="DY52" s="12">
        <v>15</v>
      </c>
      <c r="DZ52" s="12">
        <v>30</v>
      </c>
      <c r="EA52" s="16">
        <v>0.5</v>
      </c>
      <c r="EB52" s="12">
        <v>8</v>
      </c>
      <c r="EC52" s="12">
        <v>26</v>
      </c>
      <c r="ED52" s="16">
        <v>0.30769230769230771</v>
      </c>
      <c r="EE52" s="12">
        <v>23</v>
      </c>
      <c r="EF52" s="12">
        <v>56</v>
      </c>
      <c r="EG52" s="16">
        <v>0.4107142857142857</v>
      </c>
      <c r="EH52" s="12">
        <v>12</v>
      </c>
      <c r="EI52" s="12">
        <v>17</v>
      </c>
      <c r="EJ52" s="16">
        <v>0.70588235294117652</v>
      </c>
      <c r="EK52" s="12">
        <v>8</v>
      </c>
      <c r="EL52" s="12">
        <v>19</v>
      </c>
      <c r="EM52" s="12">
        <v>27</v>
      </c>
      <c r="EN52" s="12">
        <v>18</v>
      </c>
      <c r="EO52" s="12">
        <v>19</v>
      </c>
      <c r="EP52" s="12">
        <v>18</v>
      </c>
      <c r="EQ52" s="12">
        <v>2</v>
      </c>
      <c r="ER52" s="12">
        <v>15</v>
      </c>
      <c r="ES52" s="12">
        <v>3</v>
      </c>
      <c r="ET52" s="12">
        <v>3</v>
      </c>
      <c r="EU52" s="12">
        <v>59</v>
      </c>
      <c r="EV52" s="12">
        <v>-9</v>
      </c>
      <c r="EW52" s="12">
        <v>70</v>
      </c>
      <c r="EX52" s="12">
        <v>78</v>
      </c>
      <c r="EY52" s="12">
        <v>5</v>
      </c>
      <c r="EZ52" s="12">
        <v>11</v>
      </c>
      <c r="FA52" s="12">
        <v>6</v>
      </c>
      <c r="FB52" s="12">
        <v>1</v>
      </c>
      <c r="FC52" s="12">
        <v>2</v>
      </c>
      <c r="FD52" s="12">
        <v>1</v>
      </c>
      <c r="FE52" s="12">
        <v>0</v>
      </c>
      <c r="FF52" s="12">
        <v>2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5</v>
      </c>
      <c r="FM52" s="12">
        <v>1</v>
      </c>
      <c r="FN52" s="12">
        <v>0</v>
      </c>
      <c r="FO52" s="12">
        <v>0</v>
      </c>
      <c r="FP52" s="12">
        <v>2</v>
      </c>
      <c r="FQ52" s="12">
        <v>0</v>
      </c>
      <c r="FR52" s="12">
        <v>2</v>
      </c>
      <c r="FS52" s="12">
        <v>1</v>
      </c>
      <c r="FT52" s="12">
        <v>8</v>
      </c>
      <c r="FU52" s="12">
        <v>0</v>
      </c>
      <c r="FV52" s="12">
        <v>0</v>
      </c>
      <c r="FW52" s="12">
        <v>0</v>
      </c>
      <c r="FX52" s="12">
        <v>6</v>
      </c>
      <c r="FY52" s="12">
        <v>1</v>
      </c>
      <c r="FZ52" s="12">
        <v>0</v>
      </c>
      <c r="GA52" s="12">
        <v>0</v>
      </c>
      <c r="GB52" s="12">
        <v>1</v>
      </c>
      <c r="GC52" s="12">
        <v>2</v>
      </c>
      <c r="GD52" s="12">
        <v>0</v>
      </c>
      <c r="GE52" s="12">
        <v>0</v>
      </c>
      <c r="GF52" s="12">
        <v>11</v>
      </c>
      <c r="GG52" s="12">
        <v>14</v>
      </c>
      <c r="GH52" s="12">
        <v>0</v>
      </c>
      <c r="GI52" s="12">
        <v>0</v>
      </c>
      <c r="GJ52" s="12">
        <v>0</v>
      </c>
      <c r="GK52" s="12">
        <v>0</v>
      </c>
      <c r="GL52" s="12">
        <v>8</v>
      </c>
      <c r="GM52" s="12">
        <v>14</v>
      </c>
      <c r="GN52" s="12">
        <v>5</v>
      </c>
      <c r="GO52" s="12">
        <v>13</v>
      </c>
      <c r="GP52" s="12">
        <v>2</v>
      </c>
      <c r="GQ52" s="12">
        <v>3</v>
      </c>
      <c r="GR52" s="12">
        <v>1</v>
      </c>
      <c r="GS52" s="12">
        <v>2</v>
      </c>
      <c r="GT52" s="12">
        <v>7</v>
      </c>
      <c r="GU52" s="12">
        <v>23</v>
      </c>
      <c r="GV52" s="12">
        <v>0</v>
      </c>
      <c r="GW52" s="12">
        <v>1</v>
      </c>
    </row>
    <row r="53" spans="2:205" ht="15" customHeight="1" x14ac:dyDescent="0.2">
      <c r="B53" s="12">
        <v>3</v>
      </c>
      <c r="C53" s="12" t="s">
        <v>93</v>
      </c>
      <c r="D53" s="12" t="s">
        <v>273</v>
      </c>
      <c r="E53" s="14" t="s">
        <v>303</v>
      </c>
      <c r="F53" s="14" t="s">
        <v>275</v>
      </c>
      <c r="G53" s="15">
        <v>45217</v>
      </c>
      <c r="H53" s="15" t="s">
        <v>268</v>
      </c>
      <c r="I53" s="12" t="s">
        <v>269</v>
      </c>
      <c r="J53" s="12" t="s">
        <v>270</v>
      </c>
      <c r="K53" s="12">
        <v>200</v>
      </c>
      <c r="L53" s="12">
        <v>66</v>
      </c>
      <c r="M53" s="12">
        <v>15</v>
      </c>
      <c r="N53" s="12">
        <v>30</v>
      </c>
      <c r="O53" s="16">
        <v>0.5</v>
      </c>
      <c r="P53" s="12">
        <v>8</v>
      </c>
      <c r="Q53" s="12">
        <v>26</v>
      </c>
      <c r="R53" s="16">
        <v>0.30769230769230771</v>
      </c>
      <c r="S53" s="12">
        <v>23</v>
      </c>
      <c r="T53" s="12">
        <v>56</v>
      </c>
      <c r="U53" s="16">
        <v>0.4107142857142857</v>
      </c>
      <c r="V53" s="12">
        <v>12</v>
      </c>
      <c r="W53" s="12">
        <v>17</v>
      </c>
      <c r="X53" s="16">
        <v>0.70588235294117652</v>
      </c>
      <c r="Y53" s="12">
        <v>8</v>
      </c>
      <c r="Z53" s="12">
        <v>19</v>
      </c>
      <c r="AA53" s="12">
        <v>27</v>
      </c>
      <c r="AB53" s="12">
        <v>18</v>
      </c>
      <c r="AC53" s="12">
        <v>15</v>
      </c>
      <c r="AD53" s="12">
        <v>2</v>
      </c>
      <c r="AE53" s="12">
        <v>3</v>
      </c>
      <c r="AF53" s="12">
        <v>3</v>
      </c>
      <c r="AG53" s="12">
        <v>19</v>
      </c>
      <c r="AH53" s="12">
        <v>18</v>
      </c>
      <c r="AI53" s="17">
        <v>59</v>
      </c>
      <c r="AJ53" s="12">
        <v>-9</v>
      </c>
      <c r="AK53" s="12">
        <v>70</v>
      </c>
      <c r="AL53" s="12">
        <v>78</v>
      </c>
      <c r="AM53" s="19">
        <v>0.84615384615384615</v>
      </c>
      <c r="AN53" s="19">
        <v>0.92592592592592593</v>
      </c>
      <c r="AO53" s="18">
        <v>94.285714285714278</v>
      </c>
      <c r="AP53" s="18">
        <v>107.14285714285714</v>
      </c>
      <c r="AQ53" s="18">
        <v>-12.857142857142861</v>
      </c>
      <c r="AR53" s="53">
        <v>0.48214285714285715</v>
      </c>
      <c r="AS53" s="53">
        <v>0.52380952380952384</v>
      </c>
      <c r="AT53" s="16">
        <v>0.17948717948717949</v>
      </c>
      <c r="AU53" s="19">
        <v>1.1428571428571428</v>
      </c>
      <c r="AV53" s="16">
        <v>0.16666666666666666</v>
      </c>
      <c r="AW53" s="19">
        <v>0.76923076923076927</v>
      </c>
      <c r="AX53" s="16">
        <v>3.8461538461538464E-2</v>
      </c>
      <c r="AY53" s="19">
        <v>1.3333333333333333</v>
      </c>
      <c r="AZ53" s="16">
        <v>2.564102564102564E-2</v>
      </c>
      <c r="BA53" s="19">
        <v>1.5</v>
      </c>
      <c r="BB53" s="16">
        <v>0.29487179487179488</v>
      </c>
      <c r="BC53" s="21">
        <v>0.91304347826086951</v>
      </c>
      <c r="BD53" s="16">
        <v>8.9743589743589744E-2</v>
      </c>
      <c r="BE53" s="16">
        <v>0.19230769230769232</v>
      </c>
      <c r="BF53" s="16">
        <v>0.6</v>
      </c>
      <c r="BG53" s="16">
        <v>0.73333333333333328</v>
      </c>
      <c r="BH53" s="16">
        <v>0.75</v>
      </c>
      <c r="BI53" s="16">
        <v>0.14285714285714285</v>
      </c>
      <c r="BJ53" s="16">
        <v>0.23076923076923078</v>
      </c>
      <c r="BK53" s="21">
        <v>1.2</v>
      </c>
      <c r="BL53" s="16">
        <v>0.25</v>
      </c>
      <c r="BM53" s="16">
        <v>0.2</v>
      </c>
      <c r="BN53" s="16">
        <v>0.35294117647058826</v>
      </c>
      <c r="BO53" s="16">
        <v>0</v>
      </c>
      <c r="BP53" s="16">
        <v>0.6333333333333333</v>
      </c>
      <c r="BQ53" s="16">
        <v>0.56521739130434778</v>
      </c>
      <c r="BR53" s="16">
        <v>0.63636363636363635</v>
      </c>
      <c r="BS53" s="16" t="s">
        <v>269</v>
      </c>
      <c r="BT53" s="16">
        <v>0.43548387096774194</v>
      </c>
      <c r="BU53" s="16">
        <v>2.8571428571428571E-2</v>
      </c>
      <c r="BV53" s="16">
        <v>5.2631578947368418E-2</v>
      </c>
      <c r="BW53" s="16">
        <v>5</v>
      </c>
      <c r="BX53" s="16">
        <v>0.42105263157894735</v>
      </c>
      <c r="BY53" s="16">
        <v>0.44444444444444442</v>
      </c>
      <c r="BZ53" s="12">
        <v>11</v>
      </c>
      <c r="CA53" s="12">
        <v>6</v>
      </c>
      <c r="CB53" s="12">
        <v>1</v>
      </c>
      <c r="CC53" s="12">
        <v>2</v>
      </c>
      <c r="CD53" s="12">
        <v>1</v>
      </c>
      <c r="CE53" s="12">
        <v>0</v>
      </c>
      <c r="CF53" s="12">
        <v>2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5</v>
      </c>
      <c r="CM53" s="12">
        <v>1</v>
      </c>
      <c r="CN53" s="12">
        <v>0</v>
      </c>
      <c r="CO53" s="12">
        <v>0</v>
      </c>
      <c r="CP53" s="12">
        <v>2</v>
      </c>
      <c r="CQ53" s="12">
        <v>0</v>
      </c>
      <c r="CR53" s="12">
        <v>2</v>
      </c>
      <c r="CS53" s="12">
        <v>1</v>
      </c>
      <c r="CT53" s="12">
        <v>8</v>
      </c>
      <c r="CU53" s="12">
        <v>0</v>
      </c>
      <c r="CV53" s="12">
        <v>0</v>
      </c>
      <c r="CW53" s="12">
        <v>0</v>
      </c>
      <c r="CX53" s="12">
        <v>6</v>
      </c>
      <c r="CY53" s="12">
        <v>1</v>
      </c>
      <c r="CZ53" s="12">
        <v>0</v>
      </c>
      <c r="DA53" s="12">
        <v>0</v>
      </c>
      <c r="DB53" s="12">
        <v>1</v>
      </c>
      <c r="DC53" s="12">
        <v>2</v>
      </c>
      <c r="DD53" s="12">
        <v>0</v>
      </c>
      <c r="DE53" s="12">
        <v>1</v>
      </c>
      <c r="DF53" s="12">
        <v>11</v>
      </c>
      <c r="DG53" s="12">
        <v>14</v>
      </c>
      <c r="DH53" s="12">
        <v>0</v>
      </c>
      <c r="DI53" s="12">
        <v>0</v>
      </c>
      <c r="DJ53" s="12">
        <v>0</v>
      </c>
      <c r="DK53" s="12">
        <v>0</v>
      </c>
      <c r="DL53" s="12">
        <v>8</v>
      </c>
      <c r="DM53" s="12">
        <v>14</v>
      </c>
      <c r="DN53" s="12">
        <v>5</v>
      </c>
      <c r="DO53" s="12">
        <v>13</v>
      </c>
      <c r="DP53" s="12">
        <v>2</v>
      </c>
      <c r="DQ53" s="12">
        <v>3</v>
      </c>
      <c r="DR53" s="12">
        <v>1</v>
      </c>
      <c r="DS53" s="12">
        <v>2</v>
      </c>
      <c r="DT53" s="12">
        <v>7</v>
      </c>
      <c r="DU53" s="12">
        <v>23</v>
      </c>
      <c r="DV53" s="12">
        <v>0</v>
      </c>
      <c r="DW53" s="12">
        <v>1</v>
      </c>
      <c r="DX53" s="12">
        <v>75</v>
      </c>
      <c r="DY53" s="12">
        <v>20</v>
      </c>
      <c r="DZ53" s="12">
        <v>41</v>
      </c>
      <c r="EA53" s="16">
        <v>0.48780487804878048</v>
      </c>
      <c r="EB53" s="12">
        <v>7</v>
      </c>
      <c r="EC53" s="12">
        <v>16</v>
      </c>
      <c r="ED53" s="16">
        <v>0.4375</v>
      </c>
      <c r="EE53" s="12">
        <v>27</v>
      </c>
      <c r="EF53" s="12">
        <v>57</v>
      </c>
      <c r="EG53" s="16">
        <v>0.47368421052631576</v>
      </c>
      <c r="EH53" s="12">
        <v>14</v>
      </c>
      <c r="EI53" s="12">
        <v>17</v>
      </c>
      <c r="EJ53" s="16">
        <v>0.82352941176470584</v>
      </c>
      <c r="EK53" s="12">
        <v>11</v>
      </c>
      <c r="EL53" s="12">
        <v>24</v>
      </c>
      <c r="EM53" s="12">
        <v>35</v>
      </c>
      <c r="EN53" s="12">
        <v>20</v>
      </c>
      <c r="EO53" s="12">
        <v>20</v>
      </c>
      <c r="EP53" s="12">
        <v>19</v>
      </c>
      <c r="EQ53" s="12">
        <v>8</v>
      </c>
      <c r="ER53" s="12">
        <v>16</v>
      </c>
      <c r="ES53" s="12">
        <v>3</v>
      </c>
      <c r="ET53" s="12">
        <v>3</v>
      </c>
      <c r="EU53" s="12">
        <v>88</v>
      </c>
      <c r="EV53" s="12">
        <v>9</v>
      </c>
      <c r="EW53" s="12">
        <v>70</v>
      </c>
      <c r="EX53" s="12">
        <v>81</v>
      </c>
      <c r="EY53" s="12">
        <v>5</v>
      </c>
      <c r="EZ53" s="12">
        <v>11</v>
      </c>
      <c r="FA53" s="12">
        <v>6</v>
      </c>
      <c r="FB53" s="12">
        <v>3</v>
      </c>
      <c r="FC53" s="12">
        <v>7</v>
      </c>
      <c r="FD53" s="12">
        <v>2</v>
      </c>
      <c r="FE53" s="12">
        <v>1</v>
      </c>
      <c r="FF53" s="12">
        <v>3</v>
      </c>
      <c r="FG53" s="12">
        <v>1</v>
      </c>
      <c r="FH53" s="12">
        <v>3</v>
      </c>
      <c r="FI53" s="12">
        <v>0</v>
      </c>
      <c r="FJ53" s="12">
        <v>0</v>
      </c>
      <c r="FK53" s="12">
        <v>0</v>
      </c>
      <c r="FL53" s="12">
        <v>3</v>
      </c>
      <c r="FM53" s="12">
        <v>1</v>
      </c>
      <c r="FN53" s="12">
        <v>0</v>
      </c>
      <c r="FO53" s="12">
        <v>0</v>
      </c>
      <c r="FP53" s="12">
        <v>5</v>
      </c>
      <c r="FQ53" s="12">
        <v>0</v>
      </c>
      <c r="FR53" s="12">
        <v>6</v>
      </c>
      <c r="FS53" s="12">
        <v>0</v>
      </c>
      <c r="FT53" s="12">
        <v>1</v>
      </c>
      <c r="FU53" s="12">
        <v>0</v>
      </c>
      <c r="FV53" s="12">
        <v>1</v>
      </c>
      <c r="FW53" s="12">
        <v>0</v>
      </c>
      <c r="FX53" s="12">
        <v>10</v>
      </c>
      <c r="FY53" s="12">
        <v>0</v>
      </c>
      <c r="FZ53" s="12">
        <v>1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11</v>
      </c>
      <c r="GG53" s="12">
        <v>14</v>
      </c>
      <c r="GH53" s="12">
        <v>0</v>
      </c>
      <c r="GI53" s="12">
        <v>3</v>
      </c>
      <c r="GJ53" s="12">
        <v>3</v>
      </c>
      <c r="GK53" s="12">
        <v>0</v>
      </c>
      <c r="GL53" s="12">
        <v>18</v>
      </c>
      <c r="GM53" s="12">
        <v>22</v>
      </c>
      <c r="GN53" s="12">
        <v>2</v>
      </c>
      <c r="GO53" s="12">
        <v>8</v>
      </c>
      <c r="GP53" s="12">
        <v>0</v>
      </c>
      <c r="GQ53" s="12">
        <v>11</v>
      </c>
      <c r="GR53" s="12">
        <v>0</v>
      </c>
      <c r="GS53" s="12">
        <v>0</v>
      </c>
      <c r="GT53" s="12">
        <v>7</v>
      </c>
      <c r="GU53" s="12">
        <v>16</v>
      </c>
      <c r="GV53" s="12">
        <v>0</v>
      </c>
      <c r="GW53" s="12">
        <v>0</v>
      </c>
    </row>
    <row r="54" spans="2:205" ht="15" customHeight="1" x14ac:dyDescent="0.2">
      <c r="B54" s="12">
        <v>3</v>
      </c>
      <c r="C54" s="12" t="s">
        <v>281</v>
      </c>
      <c r="D54" s="12" t="s">
        <v>285</v>
      </c>
      <c r="E54" s="14" t="s">
        <v>283</v>
      </c>
      <c r="F54" s="14" t="s">
        <v>287</v>
      </c>
      <c r="G54" s="15">
        <v>45217</v>
      </c>
      <c r="H54" s="15" t="s">
        <v>271</v>
      </c>
      <c r="I54" s="12" t="s">
        <v>269</v>
      </c>
      <c r="J54" s="12" t="s">
        <v>272</v>
      </c>
      <c r="K54" s="12">
        <v>200</v>
      </c>
      <c r="L54" s="12">
        <v>87</v>
      </c>
      <c r="M54" s="12">
        <v>22</v>
      </c>
      <c r="N54" s="12">
        <v>35</v>
      </c>
      <c r="O54" s="16">
        <v>0.62857142857142856</v>
      </c>
      <c r="P54" s="12">
        <v>10</v>
      </c>
      <c r="Q54" s="12">
        <v>29</v>
      </c>
      <c r="R54" s="16">
        <v>0.34482758620689657</v>
      </c>
      <c r="S54" s="12">
        <v>32</v>
      </c>
      <c r="T54" s="12">
        <v>64</v>
      </c>
      <c r="U54" s="16">
        <v>0.5</v>
      </c>
      <c r="V54" s="12">
        <v>13</v>
      </c>
      <c r="W54" s="12">
        <v>17</v>
      </c>
      <c r="X54" s="16">
        <v>0.76470588235294112</v>
      </c>
      <c r="Y54" s="12">
        <v>8</v>
      </c>
      <c r="Z54" s="12">
        <v>21</v>
      </c>
      <c r="AA54" s="12">
        <v>29</v>
      </c>
      <c r="AB54" s="12">
        <v>21</v>
      </c>
      <c r="AC54" s="12">
        <v>10</v>
      </c>
      <c r="AD54" s="12">
        <v>9</v>
      </c>
      <c r="AE54" s="12">
        <v>2</v>
      </c>
      <c r="AF54" s="12">
        <v>1</v>
      </c>
      <c r="AG54" s="12">
        <v>16</v>
      </c>
      <c r="AH54" s="12">
        <v>17</v>
      </c>
      <c r="AI54" s="17">
        <v>102</v>
      </c>
      <c r="AJ54" s="12">
        <v>11</v>
      </c>
      <c r="AK54" s="12">
        <v>73</v>
      </c>
      <c r="AL54" s="12">
        <v>81</v>
      </c>
      <c r="AM54" s="19">
        <v>1.0740740740740742</v>
      </c>
      <c r="AN54" s="19">
        <v>0.96202531645569622</v>
      </c>
      <c r="AO54" s="18">
        <v>119.17808219178083</v>
      </c>
      <c r="AP54" s="18">
        <v>105.55555555555556</v>
      </c>
      <c r="AQ54" s="18">
        <v>13.622526636225274</v>
      </c>
      <c r="AR54" s="53">
        <v>0.578125</v>
      </c>
      <c r="AS54" s="53">
        <v>0.61267605633802813</v>
      </c>
      <c r="AT54" s="16">
        <v>9.8765432098765427E-2</v>
      </c>
      <c r="AU54" s="19">
        <v>1.75</v>
      </c>
      <c r="AV54" s="16">
        <v>0.23456790123456789</v>
      </c>
      <c r="AW54" s="19">
        <v>1.263157894736842</v>
      </c>
      <c r="AX54" s="16">
        <v>9.8765432098765427E-2</v>
      </c>
      <c r="AY54" s="19">
        <v>0.75</v>
      </c>
      <c r="AZ54" s="16">
        <v>2.4691358024691357E-2</v>
      </c>
      <c r="BA54" s="19">
        <v>0</v>
      </c>
      <c r="BB54" s="16">
        <v>0.33333333333333331</v>
      </c>
      <c r="BC54" s="21">
        <v>1.1111111111111112</v>
      </c>
      <c r="BD54" s="16">
        <v>8.6419753086419748E-2</v>
      </c>
      <c r="BE54" s="16">
        <v>0.12345679012345678</v>
      </c>
      <c r="BF54" s="16">
        <v>0.53846153846153844</v>
      </c>
      <c r="BG54" s="16">
        <v>0.5</v>
      </c>
      <c r="BH54" s="16">
        <v>0.8</v>
      </c>
      <c r="BI54" s="16">
        <v>0.2857142857142857</v>
      </c>
      <c r="BJ54" s="16">
        <v>0.25925925925925924</v>
      </c>
      <c r="BK54" s="21">
        <v>2.1</v>
      </c>
      <c r="BL54" s="16">
        <v>0.24242424242424243</v>
      </c>
      <c r="BM54" s="16">
        <v>0.25</v>
      </c>
      <c r="BN54" s="16">
        <v>0.22222222222222221</v>
      </c>
      <c r="BO54" s="16">
        <v>0.5</v>
      </c>
      <c r="BP54" s="16">
        <v>0.75</v>
      </c>
      <c r="BQ54" s="16">
        <v>0.68421052631578949</v>
      </c>
      <c r="BR54" s="16">
        <v>0.90909090909090906</v>
      </c>
      <c r="BS54" s="16">
        <v>1</v>
      </c>
      <c r="BT54" s="16">
        <v>0.47540983606557374</v>
      </c>
      <c r="BU54" s="16">
        <v>0.125</v>
      </c>
      <c r="BV54" s="16">
        <v>3.5714285714285712E-2</v>
      </c>
      <c r="BW54" s="16">
        <v>5</v>
      </c>
      <c r="BX54" s="16">
        <v>0.4375</v>
      </c>
      <c r="BY54" s="16">
        <v>0.52941176470588236</v>
      </c>
      <c r="BZ54" s="12">
        <v>11</v>
      </c>
      <c r="CA54" s="12">
        <v>8</v>
      </c>
      <c r="CB54" s="12">
        <v>2</v>
      </c>
      <c r="CC54" s="12">
        <v>4</v>
      </c>
      <c r="CD54" s="12">
        <v>0</v>
      </c>
      <c r="CE54" s="12">
        <v>0</v>
      </c>
      <c r="CF54" s="12">
        <v>2</v>
      </c>
      <c r="CG54" s="12">
        <v>0</v>
      </c>
      <c r="CH54" s="12">
        <v>1</v>
      </c>
      <c r="CI54" s="12">
        <v>1</v>
      </c>
      <c r="CJ54" s="12">
        <v>0</v>
      </c>
      <c r="CK54" s="12">
        <v>0</v>
      </c>
      <c r="CL54" s="12">
        <v>4</v>
      </c>
      <c r="CM54" s="12">
        <v>0</v>
      </c>
      <c r="CN54" s="12">
        <v>1</v>
      </c>
      <c r="CO54" s="12">
        <v>0</v>
      </c>
      <c r="CP54" s="12">
        <v>1</v>
      </c>
      <c r="CQ54" s="12">
        <v>0</v>
      </c>
      <c r="CR54" s="12">
        <v>7</v>
      </c>
      <c r="CS54" s="12">
        <v>1</v>
      </c>
      <c r="CT54" s="12">
        <v>3</v>
      </c>
      <c r="CU54" s="12">
        <v>1</v>
      </c>
      <c r="CV54" s="12">
        <v>1</v>
      </c>
      <c r="CW54" s="12">
        <v>0</v>
      </c>
      <c r="CX54" s="12">
        <v>8</v>
      </c>
      <c r="CY54" s="12">
        <v>1</v>
      </c>
      <c r="CZ54" s="12">
        <v>1</v>
      </c>
      <c r="DA54" s="12">
        <v>0</v>
      </c>
      <c r="DB54" s="12">
        <v>0</v>
      </c>
      <c r="DC54" s="12">
        <v>0</v>
      </c>
      <c r="DD54" s="12">
        <v>1</v>
      </c>
      <c r="DE54" s="12">
        <v>2</v>
      </c>
      <c r="DF54" s="12">
        <v>9</v>
      </c>
      <c r="DG54" s="12">
        <v>12</v>
      </c>
      <c r="DH54" s="12">
        <v>0</v>
      </c>
      <c r="DI54" s="12">
        <v>3</v>
      </c>
      <c r="DJ54" s="12">
        <v>3</v>
      </c>
      <c r="DK54" s="12">
        <v>0</v>
      </c>
      <c r="DL54" s="12">
        <v>7</v>
      </c>
      <c r="DM54" s="12">
        <v>8</v>
      </c>
      <c r="DN54" s="12">
        <v>12</v>
      </c>
      <c r="DO54" s="12">
        <v>19</v>
      </c>
      <c r="DP54" s="12">
        <v>3</v>
      </c>
      <c r="DQ54" s="12">
        <v>8</v>
      </c>
      <c r="DR54" s="12">
        <v>0</v>
      </c>
      <c r="DS54" s="12">
        <v>2</v>
      </c>
      <c r="DT54" s="12">
        <v>10</v>
      </c>
      <c r="DU54" s="12">
        <v>27</v>
      </c>
      <c r="DV54" s="12">
        <v>0</v>
      </c>
      <c r="DW54" s="12">
        <v>0</v>
      </c>
      <c r="DX54" s="12">
        <v>76</v>
      </c>
      <c r="DY54" s="12">
        <v>20</v>
      </c>
      <c r="DZ54" s="12">
        <v>37</v>
      </c>
      <c r="EA54" s="16">
        <v>0.54054054054054057</v>
      </c>
      <c r="EB54" s="12">
        <v>9</v>
      </c>
      <c r="EC54" s="12">
        <v>19</v>
      </c>
      <c r="ED54" s="16">
        <v>0.47368421052631576</v>
      </c>
      <c r="EE54" s="12">
        <v>29</v>
      </c>
      <c r="EF54" s="12">
        <v>56</v>
      </c>
      <c r="EG54" s="16">
        <v>0.5178571428571429</v>
      </c>
      <c r="EH54" s="12">
        <v>9</v>
      </c>
      <c r="EI54" s="12">
        <v>13</v>
      </c>
      <c r="EJ54" s="16">
        <v>0.69230769230769229</v>
      </c>
      <c r="EK54" s="12">
        <v>7</v>
      </c>
      <c r="EL54" s="12">
        <v>25</v>
      </c>
      <c r="EM54" s="12">
        <v>32</v>
      </c>
      <c r="EN54" s="12">
        <v>12</v>
      </c>
      <c r="EO54" s="12">
        <v>17</v>
      </c>
      <c r="EP54" s="12">
        <v>16</v>
      </c>
      <c r="EQ54" s="12">
        <v>6</v>
      </c>
      <c r="ER54" s="12">
        <v>17</v>
      </c>
      <c r="ES54" s="12">
        <v>1</v>
      </c>
      <c r="ET54" s="12">
        <v>2</v>
      </c>
      <c r="EU54" s="12">
        <v>76</v>
      </c>
      <c r="EV54" s="12">
        <v>-11</v>
      </c>
      <c r="EW54" s="12">
        <v>72</v>
      </c>
      <c r="EX54" s="12">
        <v>79</v>
      </c>
      <c r="EY54" s="12">
        <v>4</v>
      </c>
      <c r="EZ54" s="12">
        <v>6</v>
      </c>
      <c r="FA54" s="12">
        <v>6</v>
      </c>
      <c r="FB54" s="12">
        <v>0</v>
      </c>
      <c r="FC54" s="12">
        <v>0</v>
      </c>
      <c r="FD54" s="12">
        <v>0</v>
      </c>
      <c r="FE54" s="12">
        <v>0</v>
      </c>
      <c r="FF54" s="12">
        <v>4</v>
      </c>
      <c r="FG54" s="12">
        <v>0</v>
      </c>
      <c r="FH54" s="12">
        <v>2</v>
      </c>
      <c r="FI54" s="12">
        <v>0</v>
      </c>
      <c r="FJ54" s="12">
        <v>0</v>
      </c>
      <c r="FK54" s="12">
        <v>0</v>
      </c>
      <c r="FL54" s="12">
        <v>1</v>
      </c>
      <c r="FM54" s="12">
        <v>0</v>
      </c>
      <c r="FN54" s="12">
        <v>0</v>
      </c>
      <c r="FO54" s="12">
        <v>0</v>
      </c>
      <c r="FP54" s="12">
        <v>1</v>
      </c>
      <c r="FQ54" s="12">
        <v>0</v>
      </c>
      <c r="FR54" s="12">
        <v>5</v>
      </c>
      <c r="FS54" s="12">
        <v>1</v>
      </c>
      <c r="FT54" s="12">
        <v>4</v>
      </c>
      <c r="FU54" s="12">
        <v>1</v>
      </c>
      <c r="FV54" s="12">
        <v>2</v>
      </c>
      <c r="FW54" s="12">
        <v>1</v>
      </c>
      <c r="FX54" s="12">
        <v>11</v>
      </c>
      <c r="FY54" s="12">
        <v>0</v>
      </c>
      <c r="FZ54" s="12">
        <v>1</v>
      </c>
      <c r="GA54" s="12">
        <v>0</v>
      </c>
      <c r="GB54" s="12">
        <v>0</v>
      </c>
      <c r="GC54" s="12">
        <v>0</v>
      </c>
      <c r="GD54" s="12">
        <v>1</v>
      </c>
      <c r="GE54" s="12">
        <v>1</v>
      </c>
      <c r="GF54" s="12">
        <v>8</v>
      </c>
      <c r="GG54" s="12">
        <v>12</v>
      </c>
      <c r="GH54" s="12">
        <v>1</v>
      </c>
      <c r="GI54" s="12">
        <v>0</v>
      </c>
      <c r="GJ54" s="12">
        <v>0</v>
      </c>
      <c r="GK54" s="12">
        <v>0</v>
      </c>
      <c r="GL54" s="12">
        <v>7</v>
      </c>
      <c r="GM54" s="12">
        <v>8</v>
      </c>
      <c r="GN54" s="12">
        <v>7</v>
      </c>
      <c r="GO54" s="12">
        <v>18</v>
      </c>
      <c r="GP54" s="12">
        <v>6</v>
      </c>
      <c r="GQ54" s="12">
        <v>11</v>
      </c>
      <c r="GR54" s="12">
        <v>0</v>
      </c>
      <c r="GS54" s="12">
        <v>1</v>
      </c>
      <c r="GT54" s="12">
        <v>9</v>
      </c>
      <c r="GU54" s="12">
        <v>18</v>
      </c>
      <c r="GV54" s="12">
        <v>0</v>
      </c>
      <c r="GW54" s="12">
        <v>0</v>
      </c>
    </row>
    <row r="55" spans="2:205" ht="15" customHeight="1" x14ac:dyDescent="0.2">
      <c r="B55" s="12">
        <v>3</v>
      </c>
      <c r="C55" s="12" t="s">
        <v>285</v>
      </c>
      <c r="D55" s="12" t="s">
        <v>281</v>
      </c>
      <c r="E55" s="14" t="s">
        <v>287</v>
      </c>
      <c r="F55" s="14" t="s">
        <v>283</v>
      </c>
      <c r="G55" s="15">
        <v>45217</v>
      </c>
      <c r="H55" s="15" t="s">
        <v>268</v>
      </c>
      <c r="I55" s="12" t="s">
        <v>269</v>
      </c>
      <c r="J55" s="12" t="s">
        <v>270</v>
      </c>
      <c r="K55" s="12">
        <v>200</v>
      </c>
      <c r="L55" s="12">
        <v>76</v>
      </c>
      <c r="M55" s="12">
        <v>20</v>
      </c>
      <c r="N55" s="12">
        <v>37</v>
      </c>
      <c r="O55" s="16">
        <v>0.54054054054054057</v>
      </c>
      <c r="P55" s="12">
        <v>9</v>
      </c>
      <c r="Q55" s="12">
        <v>19</v>
      </c>
      <c r="R55" s="16">
        <v>0.47368421052631576</v>
      </c>
      <c r="S55" s="12">
        <v>29</v>
      </c>
      <c r="T55" s="12">
        <v>56</v>
      </c>
      <c r="U55" s="16">
        <v>0.5178571428571429</v>
      </c>
      <c r="V55" s="12">
        <v>9</v>
      </c>
      <c r="W55" s="12">
        <v>13</v>
      </c>
      <c r="X55" s="16">
        <v>0.69230769230769229</v>
      </c>
      <c r="Y55" s="12">
        <v>7</v>
      </c>
      <c r="Z55" s="12">
        <v>25</v>
      </c>
      <c r="AA55" s="12">
        <v>32</v>
      </c>
      <c r="AB55" s="12">
        <v>12</v>
      </c>
      <c r="AC55" s="12">
        <v>17</v>
      </c>
      <c r="AD55" s="12">
        <v>6</v>
      </c>
      <c r="AE55" s="12">
        <v>1</v>
      </c>
      <c r="AF55" s="12">
        <v>2</v>
      </c>
      <c r="AG55" s="12">
        <v>17</v>
      </c>
      <c r="AH55" s="12">
        <v>16</v>
      </c>
      <c r="AI55" s="17">
        <v>76</v>
      </c>
      <c r="AJ55" s="12">
        <v>-11</v>
      </c>
      <c r="AK55" s="12">
        <v>72</v>
      </c>
      <c r="AL55" s="12">
        <v>79</v>
      </c>
      <c r="AM55" s="19">
        <v>0.96202531645569622</v>
      </c>
      <c r="AN55" s="19">
        <v>1.0740740740740742</v>
      </c>
      <c r="AO55" s="18">
        <v>105.55555555555556</v>
      </c>
      <c r="AP55" s="18">
        <v>119.17808219178083</v>
      </c>
      <c r="AQ55" s="18">
        <v>-13.622526636225274</v>
      </c>
      <c r="AR55" s="53">
        <v>0.5982142857142857</v>
      </c>
      <c r="AS55" s="53">
        <v>0.61290322580645162</v>
      </c>
      <c r="AT55" s="16">
        <v>0.10126582278481013</v>
      </c>
      <c r="AU55" s="19">
        <v>1.75</v>
      </c>
      <c r="AV55" s="16">
        <v>0.22784810126582278</v>
      </c>
      <c r="AW55" s="19">
        <v>0.77777777777777779</v>
      </c>
      <c r="AX55" s="16">
        <v>0.13924050632911392</v>
      </c>
      <c r="AY55" s="19">
        <v>1.0909090909090908</v>
      </c>
      <c r="AZ55" s="16">
        <v>1.2658227848101266E-2</v>
      </c>
      <c r="BA55" s="19">
        <v>0</v>
      </c>
      <c r="BB55" s="16">
        <v>0.22784810126582278</v>
      </c>
      <c r="BC55" s="21">
        <v>1.5</v>
      </c>
      <c r="BD55" s="16">
        <v>7.5949367088607597E-2</v>
      </c>
      <c r="BE55" s="16">
        <v>0.21518987341772153</v>
      </c>
      <c r="BF55" s="16">
        <v>0.35294117647058826</v>
      </c>
      <c r="BG55" s="16">
        <v>0.3</v>
      </c>
      <c r="BH55" s="16">
        <v>0.66666666666666663</v>
      </c>
      <c r="BI55" s="16">
        <v>0</v>
      </c>
      <c r="BJ55" s="16">
        <v>0.15189873417721519</v>
      </c>
      <c r="BK55" s="21">
        <v>0.70588235294117652</v>
      </c>
      <c r="BL55" s="16">
        <v>0.25</v>
      </c>
      <c r="BM55" s="16">
        <v>0.31578947368421051</v>
      </c>
      <c r="BN55" s="16">
        <v>9.0909090909090912E-2</v>
      </c>
      <c r="BO55" s="16">
        <v>0</v>
      </c>
      <c r="BP55" s="16">
        <v>0.75757575757575757</v>
      </c>
      <c r="BQ55" s="16">
        <v>0.75</v>
      </c>
      <c r="BR55" s="16">
        <v>0.77777777777777779</v>
      </c>
      <c r="BS55" s="16">
        <v>0.5</v>
      </c>
      <c r="BT55" s="16">
        <v>0.52459016393442626</v>
      </c>
      <c r="BU55" s="16">
        <v>8.2191780821917804E-2</v>
      </c>
      <c r="BV55" s="16">
        <v>1.5625E-2</v>
      </c>
      <c r="BW55" s="16">
        <v>4</v>
      </c>
      <c r="BX55" s="16">
        <v>0.47058823529411764</v>
      </c>
      <c r="BY55" s="16">
        <v>0.4375</v>
      </c>
      <c r="BZ55" s="12">
        <v>6</v>
      </c>
      <c r="CA55" s="12">
        <v>6</v>
      </c>
      <c r="CB55" s="12">
        <v>0</v>
      </c>
      <c r="CC55" s="12">
        <v>0</v>
      </c>
      <c r="CD55" s="12">
        <v>0</v>
      </c>
      <c r="CE55" s="12">
        <v>0</v>
      </c>
      <c r="CF55" s="12">
        <v>4</v>
      </c>
      <c r="CG55" s="12">
        <v>0</v>
      </c>
      <c r="CH55" s="12">
        <v>2</v>
      </c>
      <c r="CI55" s="12">
        <v>0</v>
      </c>
      <c r="CJ55" s="12">
        <v>0</v>
      </c>
      <c r="CK55" s="12">
        <v>0</v>
      </c>
      <c r="CL55" s="12">
        <v>1</v>
      </c>
      <c r="CM55" s="12">
        <v>0</v>
      </c>
      <c r="CN55" s="12">
        <v>0</v>
      </c>
      <c r="CO55" s="12">
        <v>0</v>
      </c>
      <c r="CP55" s="12">
        <v>1</v>
      </c>
      <c r="CQ55" s="12">
        <v>0</v>
      </c>
      <c r="CR55" s="12">
        <v>5</v>
      </c>
      <c r="CS55" s="12">
        <v>1</v>
      </c>
      <c r="CT55" s="12">
        <v>4</v>
      </c>
      <c r="CU55" s="12">
        <v>1</v>
      </c>
      <c r="CV55" s="12">
        <v>2</v>
      </c>
      <c r="CW55" s="12">
        <v>1</v>
      </c>
      <c r="CX55" s="12">
        <v>11</v>
      </c>
      <c r="CY55" s="12">
        <v>0</v>
      </c>
      <c r="CZ55" s="12">
        <v>1</v>
      </c>
      <c r="DA55" s="12">
        <v>0</v>
      </c>
      <c r="DB55" s="12">
        <v>0</v>
      </c>
      <c r="DC55" s="12">
        <v>0</v>
      </c>
      <c r="DD55" s="12">
        <v>1</v>
      </c>
      <c r="DE55" s="12">
        <v>1</v>
      </c>
      <c r="DF55" s="12">
        <v>8</v>
      </c>
      <c r="DG55" s="12">
        <v>12</v>
      </c>
      <c r="DH55" s="12">
        <v>1</v>
      </c>
      <c r="DI55" s="12">
        <v>0</v>
      </c>
      <c r="DJ55" s="12">
        <v>0</v>
      </c>
      <c r="DK55" s="12">
        <v>0</v>
      </c>
      <c r="DL55" s="12">
        <v>7</v>
      </c>
      <c r="DM55" s="12">
        <v>8</v>
      </c>
      <c r="DN55" s="12">
        <v>7</v>
      </c>
      <c r="DO55" s="12">
        <v>18</v>
      </c>
      <c r="DP55" s="12">
        <v>6</v>
      </c>
      <c r="DQ55" s="12">
        <v>11</v>
      </c>
      <c r="DR55" s="12">
        <v>0</v>
      </c>
      <c r="DS55" s="12">
        <v>1</v>
      </c>
      <c r="DT55" s="12">
        <v>9</v>
      </c>
      <c r="DU55" s="12">
        <v>18</v>
      </c>
      <c r="DV55" s="12">
        <v>0</v>
      </c>
      <c r="DW55" s="12">
        <v>0</v>
      </c>
      <c r="DX55" s="12">
        <v>87</v>
      </c>
      <c r="DY55" s="12">
        <v>22</v>
      </c>
      <c r="DZ55" s="12">
        <v>35</v>
      </c>
      <c r="EA55" s="16">
        <v>0.62857142857142856</v>
      </c>
      <c r="EB55" s="12">
        <v>10</v>
      </c>
      <c r="EC55" s="12">
        <v>29</v>
      </c>
      <c r="ED55" s="16">
        <v>0.34482758620689657</v>
      </c>
      <c r="EE55" s="12">
        <v>32</v>
      </c>
      <c r="EF55" s="12">
        <v>64</v>
      </c>
      <c r="EG55" s="16">
        <v>0.5</v>
      </c>
      <c r="EH55" s="12">
        <v>13</v>
      </c>
      <c r="EI55" s="12">
        <v>17</v>
      </c>
      <c r="EJ55" s="16">
        <v>0.76470588235294112</v>
      </c>
      <c r="EK55" s="12">
        <v>8</v>
      </c>
      <c r="EL55" s="12">
        <v>21</v>
      </c>
      <c r="EM55" s="12">
        <v>29</v>
      </c>
      <c r="EN55" s="12">
        <v>21</v>
      </c>
      <c r="EO55" s="12">
        <v>16</v>
      </c>
      <c r="EP55" s="12">
        <v>17</v>
      </c>
      <c r="EQ55" s="12">
        <v>9</v>
      </c>
      <c r="ER55" s="12">
        <v>10</v>
      </c>
      <c r="ES55" s="12">
        <v>2</v>
      </c>
      <c r="ET55" s="12">
        <v>1</v>
      </c>
      <c r="EU55" s="12">
        <v>102</v>
      </c>
      <c r="EV55" s="12">
        <v>11</v>
      </c>
      <c r="EW55" s="12">
        <v>73</v>
      </c>
      <c r="EX55" s="12">
        <v>81</v>
      </c>
      <c r="EY55" s="12">
        <v>5</v>
      </c>
      <c r="EZ55" s="12">
        <v>11</v>
      </c>
      <c r="FA55" s="12">
        <v>8</v>
      </c>
      <c r="FB55" s="12">
        <v>2</v>
      </c>
      <c r="FC55" s="12">
        <v>4</v>
      </c>
      <c r="FD55" s="12">
        <v>0</v>
      </c>
      <c r="FE55" s="12">
        <v>0</v>
      </c>
      <c r="FF55" s="12">
        <v>2</v>
      </c>
      <c r="FG55" s="12">
        <v>0</v>
      </c>
      <c r="FH55" s="12">
        <v>1</v>
      </c>
      <c r="FI55" s="12">
        <v>1</v>
      </c>
      <c r="FJ55" s="12">
        <v>0</v>
      </c>
      <c r="FK55" s="12">
        <v>0</v>
      </c>
      <c r="FL55" s="12">
        <v>4</v>
      </c>
      <c r="FM55" s="12">
        <v>0</v>
      </c>
      <c r="FN55" s="12">
        <v>1</v>
      </c>
      <c r="FO55" s="12">
        <v>0</v>
      </c>
      <c r="FP55" s="12">
        <v>1</v>
      </c>
      <c r="FQ55" s="12">
        <v>0</v>
      </c>
      <c r="FR55" s="12">
        <v>7</v>
      </c>
      <c r="FS55" s="12">
        <v>1</v>
      </c>
      <c r="FT55" s="12">
        <v>3</v>
      </c>
      <c r="FU55" s="12">
        <v>1</v>
      </c>
      <c r="FV55" s="12">
        <v>1</v>
      </c>
      <c r="FW55" s="12">
        <v>0</v>
      </c>
      <c r="FX55" s="12">
        <v>8</v>
      </c>
      <c r="FY55" s="12">
        <v>1</v>
      </c>
      <c r="FZ55" s="12">
        <v>1</v>
      </c>
      <c r="GA55" s="12">
        <v>0</v>
      </c>
      <c r="GB55" s="12">
        <v>0</v>
      </c>
      <c r="GC55" s="12">
        <v>0</v>
      </c>
      <c r="GD55" s="12">
        <v>1</v>
      </c>
      <c r="GE55" s="12">
        <v>1</v>
      </c>
      <c r="GF55" s="12">
        <v>9</v>
      </c>
      <c r="GG55" s="12">
        <v>12</v>
      </c>
      <c r="GH55" s="12">
        <v>0</v>
      </c>
      <c r="GI55" s="12">
        <v>3</v>
      </c>
      <c r="GJ55" s="12">
        <v>3</v>
      </c>
      <c r="GK55" s="12">
        <v>0</v>
      </c>
      <c r="GL55" s="12">
        <v>7</v>
      </c>
      <c r="GM55" s="12">
        <v>8</v>
      </c>
      <c r="GN55" s="12">
        <v>12</v>
      </c>
      <c r="GO55" s="12">
        <v>19</v>
      </c>
      <c r="GP55" s="12">
        <v>3</v>
      </c>
      <c r="GQ55" s="12">
        <v>8</v>
      </c>
      <c r="GR55" s="12">
        <v>0</v>
      </c>
      <c r="GS55" s="12">
        <v>2</v>
      </c>
      <c r="GT55" s="12">
        <v>10</v>
      </c>
      <c r="GU55" s="12">
        <v>27</v>
      </c>
      <c r="GV55" s="12">
        <v>0</v>
      </c>
      <c r="GW55" s="12">
        <v>0</v>
      </c>
    </row>
    <row r="56" spans="2:205" ht="15" customHeight="1" x14ac:dyDescent="0.2">
      <c r="B56" s="12">
        <v>4</v>
      </c>
      <c r="C56" s="12" t="s">
        <v>290</v>
      </c>
      <c r="D56" s="12" t="s">
        <v>265</v>
      </c>
      <c r="E56" s="14" t="s">
        <v>292</v>
      </c>
      <c r="F56" s="14" t="s">
        <v>267</v>
      </c>
      <c r="G56" s="15">
        <v>45218</v>
      </c>
      <c r="H56" s="15" t="s">
        <v>268</v>
      </c>
      <c r="I56" s="12" t="s">
        <v>269</v>
      </c>
      <c r="J56" s="12" t="s">
        <v>270</v>
      </c>
      <c r="K56" s="12">
        <v>200</v>
      </c>
      <c r="L56" s="12">
        <v>86</v>
      </c>
      <c r="M56" s="12">
        <v>21</v>
      </c>
      <c r="N56" s="12">
        <v>38</v>
      </c>
      <c r="O56" s="16">
        <v>0.55263157894736847</v>
      </c>
      <c r="P56" s="12">
        <v>9</v>
      </c>
      <c r="Q56" s="12">
        <v>24</v>
      </c>
      <c r="R56" s="16">
        <v>0.375</v>
      </c>
      <c r="S56" s="12">
        <v>30</v>
      </c>
      <c r="T56" s="12">
        <v>62</v>
      </c>
      <c r="U56" s="16">
        <v>0.4838709677419355</v>
      </c>
      <c r="V56" s="12">
        <v>17</v>
      </c>
      <c r="W56" s="12">
        <v>21</v>
      </c>
      <c r="X56" s="16">
        <v>0.80952380952380953</v>
      </c>
      <c r="Y56" s="12">
        <v>11</v>
      </c>
      <c r="Z56" s="12">
        <v>20</v>
      </c>
      <c r="AA56" s="12">
        <v>31</v>
      </c>
      <c r="AB56" s="12">
        <v>20</v>
      </c>
      <c r="AC56" s="12">
        <v>12</v>
      </c>
      <c r="AD56" s="12">
        <v>4</v>
      </c>
      <c r="AE56" s="12">
        <v>2</v>
      </c>
      <c r="AF56" s="12">
        <v>1</v>
      </c>
      <c r="AG56" s="12">
        <v>20</v>
      </c>
      <c r="AH56" s="12">
        <v>18</v>
      </c>
      <c r="AI56" s="17">
        <v>92</v>
      </c>
      <c r="AJ56" s="12">
        <v>-15</v>
      </c>
      <c r="AK56" s="12">
        <v>72</v>
      </c>
      <c r="AL56" s="12">
        <v>83</v>
      </c>
      <c r="AM56" s="19">
        <v>1.036144578313253</v>
      </c>
      <c r="AN56" s="19">
        <v>1.1744186046511629</v>
      </c>
      <c r="AO56" s="18">
        <v>119.44444444444444</v>
      </c>
      <c r="AP56" s="18">
        <v>142.25352112676057</v>
      </c>
      <c r="AQ56" s="18">
        <v>-22.809076682316132</v>
      </c>
      <c r="AR56" s="53">
        <v>0.55645161290322576</v>
      </c>
      <c r="AS56" s="53">
        <v>0.60563380281690138</v>
      </c>
      <c r="AT56" s="16">
        <v>0.14457831325301204</v>
      </c>
      <c r="AU56" s="19">
        <v>2</v>
      </c>
      <c r="AV56" s="16">
        <v>0.21686746987951808</v>
      </c>
      <c r="AW56" s="19">
        <v>0.66666666666666663</v>
      </c>
      <c r="AX56" s="16">
        <v>9.6385542168674704E-2</v>
      </c>
      <c r="AY56" s="19">
        <v>0.75</v>
      </c>
      <c r="AZ56" s="16">
        <v>6.0240963855421686E-2</v>
      </c>
      <c r="BA56" s="19">
        <v>1.8</v>
      </c>
      <c r="BB56" s="16">
        <v>0.2289156626506024</v>
      </c>
      <c r="BC56" s="21">
        <v>0.94736842105263153</v>
      </c>
      <c r="BD56" s="16">
        <v>0.10843373493975904</v>
      </c>
      <c r="BE56" s="16">
        <v>0.14457831325301204</v>
      </c>
      <c r="BF56" s="16">
        <v>0.51282051282051277</v>
      </c>
      <c r="BG56" s="16">
        <v>0.52380952380952384</v>
      </c>
      <c r="BH56" s="16">
        <v>0.66666666666666663</v>
      </c>
      <c r="BI56" s="16">
        <v>0.33333333333333331</v>
      </c>
      <c r="BJ56" s="16">
        <v>0.24096385542168675</v>
      </c>
      <c r="BK56" s="21">
        <v>1.6666666666666667</v>
      </c>
      <c r="BL56" s="16">
        <v>0.33333333333333331</v>
      </c>
      <c r="BM56" s="16">
        <v>0.3125</v>
      </c>
      <c r="BN56" s="16">
        <v>0.29411764705882354</v>
      </c>
      <c r="BO56" s="16">
        <v>0.5</v>
      </c>
      <c r="BP56" s="16">
        <v>0.5714285714285714</v>
      </c>
      <c r="BQ56" s="16">
        <v>0.5714285714285714</v>
      </c>
      <c r="BR56" s="16">
        <v>0.5</v>
      </c>
      <c r="BS56" s="16">
        <v>0.33333333333333331</v>
      </c>
      <c r="BT56" s="16">
        <v>0.45588235294117646</v>
      </c>
      <c r="BU56" s="16">
        <v>5.6338028169014086E-2</v>
      </c>
      <c r="BV56" s="16">
        <v>2.7777777777777776E-2</v>
      </c>
      <c r="BW56" s="16">
        <v>2</v>
      </c>
      <c r="BX56" s="16">
        <v>0.4</v>
      </c>
      <c r="BY56" s="16">
        <v>0.55555555555555558</v>
      </c>
      <c r="BZ56" s="12">
        <v>11</v>
      </c>
      <c r="CA56" s="12">
        <v>6</v>
      </c>
      <c r="CB56" s="12">
        <v>3</v>
      </c>
      <c r="CC56" s="12">
        <v>7</v>
      </c>
      <c r="CD56" s="12">
        <v>0</v>
      </c>
      <c r="CE56" s="12">
        <v>0</v>
      </c>
      <c r="CF56" s="12">
        <v>5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4</v>
      </c>
      <c r="CM56" s="12">
        <v>1</v>
      </c>
      <c r="CN56" s="12">
        <v>1</v>
      </c>
      <c r="CO56" s="12">
        <v>1</v>
      </c>
      <c r="CP56" s="12">
        <v>0</v>
      </c>
      <c r="CQ56" s="12">
        <v>0</v>
      </c>
      <c r="CR56" s="12">
        <v>5</v>
      </c>
      <c r="CS56" s="12">
        <v>0</v>
      </c>
      <c r="CT56" s="12">
        <v>3</v>
      </c>
      <c r="CU56" s="12">
        <v>0</v>
      </c>
      <c r="CV56" s="12">
        <v>2</v>
      </c>
      <c r="CW56" s="12">
        <v>0</v>
      </c>
      <c r="CX56" s="12">
        <v>9</v>
      </c>
      <c r="CY56" s="12">
        <v>2</v>
      </c>
      <c r="CZ56" s="12">
        <v>1</v>
      </c>
      <c r="DA56" s="12">
        <v>0</v>
      </c>
      <c r="DB56" s="12">
        <v>1</v>
      </c>
      <c r="DC56" s="12">
        <v>1</v>
      </c>
      <c r="DD56" s="12">
        <v>0</v>
      </c>
      <c r="DE56" s="12">
        <v>1</v>
      </c>
      <c r="DF56" s="12">
        <v>13</v>
      </c>
      <c r="DG56" s="12">
        <v>16</v>
      </c>
      <c r="DH56" s="12">
        <v>0</v>
      </c>
      <c r="DI56" s="12">
        <v>3</v>
      </c>
      <c r="DJ56" s="12">
        <v>3</v>
      </c>
      <c r="DK56" s="12">
        <v>0</v>
      </c>
      <c r="DL56" s="12">
        <v>12</v>
      </c>
      <c r="DM56" s="12">
        <v>12</v>
      </c>
      <c r="DN56" s="12">
        <v>6</v>
      </c>
      <c r="DO56" s="12">
        <v>18</v>
      </c>
      <c r="DP56" s="12">
        <v>3</v>
      </c>
      <c r="DQ56" s="12">
        <v>8</v>
      </c>
      <c r="DR56" s="12">
        <v>3</v>
      </c>
      <c r="DS56" s="12">
        <v>5</v>
      </c>
      <c r="DT56" s="12">
        <v>6</v>
      </c>
      <c r="DU56" s="12">
        <v>19</v>
      </c>
      <c r="DV56" s="12">
        <v>0</v>
      </c>
      <c r="DW56" s="12">
        <v>0</v>
      </c>
      <c r="DX56" s="12">
        <v>101</v>
      </c>
      <c r="DY56" s="12">
        <v>21</v>
      </c>
      <c r="DZ56" s="12">
        <v>34</v>
      </c>
      <c r="EA56" s="16">
        <v>0.61764705882352944</v>
      </c>
      <c r="EB56" s="12">
        <v>16</v>
      </c>
      <c r="EC56" s="12">
        <v>38</v>
      </c>
      <c r="ED56" s="16">
        <v>0.42105263157894735</v>
      </c>
      <c r="EE56" s="12">
        <v>37</v>
      </c>
      <c r="EF56" s="12">
        <v>72</v>
      </c>
      <c r="EG56" s="16">
        <v>0.51388888888888884</v>
      </c>
      <c r="EH56" s="12">
        <v>11</v>
      </c>
      <c r="EI56" s="12">
        <v>16</v>
      </c>
      <c r="EJ56" s="16">
        <v>0.6875</v>
      </c>
      <c r="EK56" s="12">
        <v>15</v>
      </c>
      <c r="EL56" s="12">
        <v>22</v>
      </c>
      <c r="EM56" s="12">
        <v>37</v>
      </c>
      <c r="EN56" s="12">
        <v>22</v>
      </c>
      <c r="EO56" s="12">
        <v>19</v>
      </c>
      <c r="EP56" s="12">
        <v>19</v>
      </c>
      <c r="EQ56" s="12">
        <v>8</v>
      </c>
      <c r="ER56" s="12">
        <v>8</v>
      </c>
      <c r="ES56" s="12">
        <v>1</v>
      </c>
      <c r="ET56" s="12">
        <v>2</v>
      </c>
      <c r="EU56" s="12">
        <v>119</v>
      </c>
      <c r="EV56" s="12">
        <v>15</v>
      </c>
      <c r="EW56" s="12">
        <v>71</v>
      </c>
      <c r="EX56" s="12">
        <v>86</v>
      </c>
      <c r="EY56" s="12">
        <v>4</v>
      </c>
      <c r="EZ56" s="12">
        <v>10</v>
      </c>
      <c r="FA56" s="12">
        <v>12</v>
      </c>
      <c r="FB56" s="12">
        <v>0</v>
      </c>
      <c r="FC56" s="12">
        <v>0</v>
      </c>
      <c r="FD56" s="12">
        <v>0</v>
      </c>
      <c r="FE56" s="12">
        <v>0</v>
      </c>
      <c r="FF56" s="12">
        <v>3</v>
      </c>
      <c r="FG56" s="12">
        <v>1</v>
      </c>
      <c r="FH56" s="12">
        <v>2</v>
      </c>
      <c r="FI56" s="12">
        <v>0</v>
      </c>
      <c r="FJ56" s="12">
        <v>1</v>
      </c>
      <c r="FK56" s="12">
        <v>1</v>
      </c>
      <c r="FL56" s="12">
        <v>8</v>
      </c>
      <c r="FM56" s="12">
        <v>3</v>
      </c>
      <c r="FN56" s="12">
        <v>1</v>
      </c>
      <c r="FO56" s="12">
        <v>1</v>
      </c>
      <c r="FP56" s="12">
        <v>0</v>
      </c>
      <c r="FQ56" s="12">
        <v>0</v>
      </c>
      <c r="FR56" s="12">
        <v>6</v>
      </c>
      <c r="FS56" s="12">
        <v>0</v>
      </c>
      <c r="FT56" s="12">
        <v>5</v>
      </c>
      <c r="FU56" s="12">
        <v>0</v>
      </c>
      <c r="FV56" s="12">
        <v>2</v>
      </c>
      <c r="FW56" s="12">
        <v>1</v>
      </c>
      <c r="FX56" s="12">
        <v>8</v>
      </c>
      <c r="FY56" s="12">
        <v>1</v>
      </c>
      <c r="FZ56" s="12">
        <v>1</v>
      </c>
      <c r="GA56" s="12">
        <v>1</v>
      </c>
      <c r="GB56" s="12">
        <v>0</v>
      </c>
      <c r="GC56" s="12">
        <v>1</v>
      </c>
      <c r="GD56" s="12">
        <v>1</v>
      </c>
      <c r="GE56" s="12">
        <v>2</v>
      </c>
      <c r="GF56" s="12">
        <v>7</v>
      </c>
      <c r="GG56" s="12">
        <v>10</v>
      </c>
      <c r="GH56" s="12">
        <v>1</v>
      </c>
      <c r="GI56" s="12">
        <v>3</v>
      </c>
      <c r="GJ56" s="12">
        <v>3</v>
      </c>
      <c r="GK56" s="12">
        <v>0</v>
      </c>
      <c r="GL56" s="12">
        <v>13</v>
      </c>
      <c r="GM56" s="12">
        <v>13</v>
      </c>
      <c r="GN56" s="12">
        <v>4</v>
      </c>
      <c r="GO56" s="12">
        <v>12</v>
      </c>
      <c r="GP56" s="12">
        <v>4</v>
      </c>
      <c r="GQ56" s="12">
        <v>9</v>
      </c>
      <c r="GR56" s="12">
        <v>6</v>
      </c>
      <c r="GS56" s="12">
        <v>9</v>
      </c>
      <c r="GT56" s="12">
        <v>10</v>
      </c>
      <c r="GU56" s="12">
        <v>28</v>
      </c>
      <c r="GV56" s="12">
        <v>0</v>
      </c>
      <c r="GW56" s="12">
        <v>1</v>
      </c>
    </row>
    <row r="57" spans="2:205" ht="15" customHeight="1" x14ac:dyDescent="0.2">
      <c r="B57" s="12">
        <v>4</v>
      </c>
      <c r="C57" s="12" t="s">
        <v>265</v>
      </c>
      <c r="D57" s="12" t="s">
        <v>290</v>
      </c>
      <c r="E57" s="14" t="s">
        <v>267</v>
      </c>
      <c r="F57" s="14" t="s">
        <v>292</v>
      </c>
      <c r="G57" s="15">
        <v>45218</v>
      </c>
      <c r="H57" s="15" t="s">
        <v>271</v>
      </c>
      <c r="I57" s="12" t="s">
        <v>269</v>
      </c>
      <c r="J57" s="12" t="s">
        <v>272</v>
      </c>
      <c r="K57" s="12">
        <v>200</v>
      </c>
      <c r="L57" s="12">
        <v>101</v>
      </c>
      <c r="M57" s="12">
        <v>21</v>
      </c>
      <c r="N57" s="12">
        <v>34</v>
      </c>
      <c r="O57" s="16">
        <v>0.61764705882352944</v>
      </c>
      <c r="P57" s="12">
        <v>16</v>
      </c>
      <c r="Q57" s="12">
        <v>38</v>
      </c>
      <c r="R57" s="16">
        <v>0.42105263157894735</v>
      </c>
      <c r="S57" s="12">
        <v>37</v>
      </c>
      <c r="T57" s="12">
        <v>72</v>
      </c>
      <c r="U57" s="16">
        <v>0.51388888888888884</v>
      </c>
      <c r="V57" s="12">
        <v>11</v>
      </c>
      <c r="W57" s="12">
        <v>16</v>
      </c>
      <c r="X57" s="16">
        <v>0.6875</v>
      </c>
      <c r="Y57" s="12">
        <v>15</v>
      </c>
      <c r="Z57" s="12">
        <v>22</v>
      </c>
      <c r="AA57" s="12">
        <v>37</v>
      </c>
      <c r="AB57" s="12">
        <v>22</v>
      </c>
      <c r="AC57" s="12">
        <v>8</v>
      </c>
      <c r="AD57" s="12">
        <v>8</v>
      </c>
      <c r="AE57" s="12">
        <v>1</v>
      </c>
      <c r="AF57" s="12">
        <v>2</v>
      </c>
      <c r="AG57" s="12">
        <v>18</v>
      </c>
      <c r="AH57" s="12">
        <v>19</v>
      </c>
      <c r="AI57" s="17">
        <v>120</v>
      </c>
      <c r="AJ57" s="12">
        <v>15</v>
      </c>
      <c r="AK57" s="12">
        <v>71</v>
      </c>
      <c r="AL57" s="12">
        <v>86</v>
      </c>
      <c r="AM57" s="19">
        <v>1.1744186046511629</v>
      </c>
      <c r="AN57" s="19">
        <v>1.036144578313253</v>
      </c>
      <c r="AO57" s="18">
        <v>142.25352112676057</v>
      </c>
      <c r="AP57" s="18">
        <v>119.44444444444444</v>
      </c>
      <c r="AQ57" s="18">
        <v>22.809076682316132</v>
      </c>
      <c r="AR57" s="53">
        <v>0.625</v>
      </c>
      <c r="AS57" s="53">
        <v>0.64743589743589747</v>
      </c>
      <c r="AT57" s="16">
        <v>0.15116279069767441</v>
      </c>
      <c r="AU57" s="19">
        <v>2</v>
      </c>
      <c r="AV57" s="16">
        <v>0.13953488372093023</v>
      </c>
      <c r="AW57" s="19">
        <v>0.66666666666666663</v>
      </c>
      <c r="AX57" s="16">
        <v>0.10465116279069768</v>
      </c>
      <c r="AY57" s="19">
        <v>0.88888888888888884</v>
      </c>
      <c r="AZ57" s="16">
        <v>0.10465116279069768</v>
      </c>
      <c r="BA57" s="19">
        <v>2</v>
      </c>
      <c r="BB57" s="16">
        <v>0.32558139534883723</v>
      </c>
      <c r="BC57" s="21">
        <v>1.0714285714285714</v>
      </c>
      <c r="BD57" s="16">
        <v>6.9767441860465115E-2</v>
      </c>
      <c r="BE57" s="16">
        <v>9.3023255813953487E-2</v>
      </c>
      <c r="BF57" s="16">
        <v>0.52380952380952384</v>
      </c>
      <c r="BG57" s="16">
        <v>0.47619047619047616</v>
      </c>
      <c r="BH57" s="16">
        <v>0.75</v>
      </c>
      <c r="BI57" s="16">
        <v>0</v>
      </c>
      <c r="BJ57" s="16">
        <v>0.2558139534883721</v>
      </c>
      <c r="BK57" s="21">
        <v>2.75</v>
      </c>
      <c r="BL57" s="16">
        <v>0.42857142857142855</v>
      </c>
      <c r="BM57" s="16">
        <v>0.42857142857142855</v>
      </c>
      <c r="BN57" s="16">
        <v>0.5</v>
      </c>
      <c r="BO57" s="16">
        <v>0.66666666666666663</v>
      </c>
      <c r="BP57" s="16">
        <v>0.66666666666666663</v>
      </c>
      <c r="BQ57" s="16">
        <v>0.6875</v>
      </c>
      <c r="BR57" s="16">
        <v>0.70588235294117652</v>
      </c>
      <c r="BS57" s="16">
        <v>0.5</v>
      </c>
      <c r="BT57" s="16">
        <v>0.54411764705882348</v>
      </c>
      <c r="BU57" s="16">
        <v>0.1111111111111111</v>
      </c>
      <c r="BV57" s="16">
        <v>1.6129032258064516E-2</v>
      </c>
      <c r="BW57" s="16">
        <v>4</v>
      </c>
      <c r="BX57" s="16">
        <v>0.55555555555555558</v>
      </c>
      <c r="BY57" s="16">
        <v>0.42105263157894735</v>
      </c>
      <c r="BZ57" s="12">
        <v>10</v>
      </c>
      <c r="CA57" s="12">
        <v>12</v>
      </c>
      <c r="CB57" s="12">
        <v>0</v>
      </c>
      <c r="CC57" s="12">
        <v>0</v>
      </c>
      <c r="CD57" s="12">
        <v>0</v>
      </c>
      <c r="CE57" s="12">
        <v>0</v>
      </c>
      <c r="CF57" s="12">
        <v>3</v>
      </c>
      <c r="CG57" s="12">
        <v>1</v>
      </c>
      <c r="CH57" s="12">
        <v>2</v>
      </c>
      <c r="CI57" s="12">
        <v>0</v>
      </c>
      <c r="CJ57" s="12">
        <v>1</v>
      </c>
      <c r="CK57" s="12">
        <v>1</v>
      </c>
      <c r="CL57" s="12">
        <v>8</v>
      </c>
      <c r="CM57" s="12">
        <v>3</v>
      </c>
      <c r="CN57" s="12">
        <v>1</v>
      </c>
      <c r="CO57" s="12">
        <v>1</v>
      </c>
      <c r="CP57" s="12">
        <v>0</v>
      </c>
      <c r="CQ57" s="12">
        <v>0</v>
      </c>
      <c r="CR57" s="12">
        <v>6</v>
      </c>
      <c r="CS57" s="12">
        <v>0</v>
      </c>
      <c r="CT57" s="12">
        <v>5</v>
      </c>
      <c r="CU57" s="12">
        <v>0</v>
      </c>
      <c r="CV57" s="12">
        <v>2</v>
      </c>
      <c r="CW57" s="12">
        <v>1</v>
      </c>
      <c r="CX57" s="12">
        <v>8</v>
      </c>
      <c r="CY57" s="12">
        <v>1</v>
      </c>
      <c r="CZ57" s="12">
        <v>1</v>
      </c>
      <c r="DA57" s="12">
        <v>1</v>
      </c>
      <c r="DB57" s="12">
        <v>0</v>
      </c>
      <c r="DC57" s="12">
        <v>1</v>
      </c>
      <c r="DD57" s="12">
        <v>1</v>
      </c>
      <c r="DE57" s="12">
        <v>2</v>
      </c>
      <c r="DF57" s="12">
        <v>7</v>
      </c>
      <c r="DG57" s="12">
        <v>10</v>
      </c>
      <c r="DH57" s="12">
        <v>1</v>
      </c>
      <c r="DI57" s="12">
        <v>3</v>
      </c>
      <c r="DJ57" s="12">
        <v>3</v>
      </c>
      <c r="DK57" s="12">
        <v>0</v>
      </c>
      <c r="DL57" s="12">
        <v>13</v>
      </c>
      <c r="DM57" s="12">
        <v>13</v>
      </c>
      <c r="DN57" s="12">
        <v>4</v>
      </c>
      <c r="DO57" s="12">
        <v>12</v>
      </c>
      <c r="DP57" s="12">
        <v>4</v>
      </c>
      <c r="DQ57" s="12">
        <v>9</v>
      </c>
      <c r="DR57" s="12">
        <v>6</v>
      </c>
      <c r="DS57" s="12">
        <v>9</v>
      </c>
      <c r="DT57" s="12">
        <v>10</v>
      </c>
      <c r="DU57" s="12">
        <v>28</v>
      </c>
      <c r="DV57" s="12">
        <v>0</v>
      </c>
      <c r="DW57" s="12">
        <v>1</v>
      </c>
      <c r="DX57" s="12">
        <v>86</v>
      </c>
      <c r="DY57" s="12">
        <v>21</v>
      </c>
      <c r="DZ57" s="12">
        <v>38</v>
      </c>
      <c r="EA57" s="16">
        <v>0.55263157894736847</v>
      </c>
      <c r="EB57" s="12">
        <v>9</v>
      </c>
      <c r="EC57" s="12">
        <v>24</v>
      </c>
      <c r="ED57" s="16">
        <v>0.375</v>
      </c>
      <c r="EE57" s="12">
        <v>30</v>
      </c>
      <c r="EF57" s="12">
        <v>62</v>
      </c>
      <c r="EG57" s="16">
        <v>0.4838709677419355</v>
      </c>
      <c r="EH57" s="12">
        <v>17</v>
      </c>
      <c r="EI57" s="12">
        <v>21</v>
      </c>
      <c r="EJ57" s="16">
        <v>0.80952380952380953</v>
      </c>
      <c r="EK57" s="12">
        <v>11</v>
      </c>
      <c r="EL57" s="12">
        <v>20</v>
      </c>
      <c r="EM57" s="12">
        <v>31</v>
      </c>
      <c r="EN57" s="12">
        <v>20</v>
      </c>
      <c r="EO57" s="12">
        <v>20</v>
      </c>
      <c r="EP57" s="12">
        <v>18</v>
      </c>
      <c r="EQ57" s="12">
        <v>4</v>
      </c>
      <c r="ER57" s="12">
        <v>12</v>
      </c>
      <c r="ES57" s="12">
        <v>2</v>
      </c>
      <c r="ET57" s="12">
        <v>1</v>
      </c>
      <c r="EU57" s="12">
        <v>92</v>
      </c>
      <c r="EV57" s="12">
        <v>-15</v>
      </c>
      <c r="EW57" s="12">
        <v>72</v>
      </c>
      <c r="EX57" s="12">
        <v>83</v>
      </c>
      <c r="EY57" s="12">
        <v>2</v>
      </c>
      <c r="EZ57" s="12">
        <v>11</v>
      </c>
      <c r="FA57" s="12">
        <v>6</v>
      </c>
      <c r="FB57" s="12">
        <v>3</v>
      </c>
      <c r="FC57" s="12">
        <v>7</v>
      </c>
      <c r="FD57" s="12">
        <v>0</v>
      </c>
      <c r="FE57" s="12">
        <v>0</v>
      </c>
      <c r="FF57" s="12">
        <v>5</v>
      </c>
      <c r="FG57" s="12">
        <v>0</v>
      </c>
      <c r="FH57" s="12">
        <v>0</v>
      </c>
      <c r="FI57" s="12">
        <v>0</v>
      </c>
      <c r="FJ57" s="12">
        <v>0</v>
      </c>
      <c r="FK57" s="12">
        <v>0</v>
      </c>
      <c r="FL57" s="12">
        <v>4</v>
      </c>
      <c r="FM57" s="12">
        <v>1</v>
      </c>
      <c r="FN57" s="12">
        <v>1</v>
      </c>
      <c r="FO57" s="12">
        <v>1</v>
      </c>
      <c r="FP57" s="12">
        <v>0</v>
      </c>
      <c r="FQ57" s="12">
        <v>0</v>
      </c>
      <c r="FR57" s="12">
        <v>5</v>
      </c>
      <c r="FS57" s="12">
        <v>0</v>
      </c>
      <c r="FT57" s="12">
        <v>3</v>
      </c>
      <c r="FU57" s="12">
        <v>0</v>
      </c>
      <c r="FV57" s="12">
        <v>2</v>
      </c>
      <c r="FW57" s="12">
        <v>0</v>
      </c>
      <c r="FX57" s="12">
        <v>9</v>
      </c>
      <c r="FY57" s="12">
        <v>2</v>
      </c>
      <c r="FZ57" s="12">
        <v>1</v>
      </c>
      <c r="GA57" s="12">
        <v>0</v>
      </c>
      <c r="GB57" s="12">
        <v>1</v>
      </c>
      <c r="GC57" s="12">
        <v>1</v>
      </c>
      <c r="GD57" s="12">
        <v>0</v>
      </c>
      <c r="GE57" s="12">
        <v>1</v>
      </c>
      <c r="GF57" s="12">
        <v>13</v>
      </c>
      <c r="GG57" s="12">
        <v>16</v>
      </c>
      <c r="GH57" s="12">
        <v>0</v>
      </c>
      <c r="GI57" s="12">
        <v>3</v>
      </c>
      <c r="GJ57" s="12">
        <v>3</v>
      </c>
      <c r="GK57" s="12">
        <v>0</v>
      </c>
      <c r="GL57" s="12">
        <v>12</v>
      </c>
      <c r="GM57" s="12">
        <v>12</v>
      </c>
      <c r="GN57" s="12">
        <v>6</v>
      </c>
      <c r="GO57" s="12">
        <v>18</v>
      </c>
      <c r="GP57" s="12">
        <v>3</v>
      </c>
      <c r="GQ57" s="12">
        <v>8</v>
      </c>
      <c r="GR57" s="12">
        <v>3</v>
      </c>
      <c r="GS57" s="12">
        <v>5</v>
      </c>
      <c r="GT57" s="12">
        <v>6</v>
      </c>
      <c r="GU57" s="12">
        <v>19</v>
      </c>
      <c r="GV57" s="12">
        <v>0</v>
      </c>
      <c r="GW57" s="12">
        <v>0</v>
      </c>
    </row>
    <row r="58" spans="2:205" ht="15" customHeight="1" x14ac:dyDescent="0.2">
      <c r="B58" s="12">
        <v>4</v>
      </c>
      <c r="C58" s="12" t="s">
        <v>293</v>
      </c>
      <c r="D58" s="12" t="s">
        <v>274</v>
      </c>
      <c r="E58" s="14" t="s">
        <v>295</v>
      </c>
      <c r="F58" s="14" t="s">
        <v>276</v>
      </c>
      <c r="G58" s="15">
        <v>45218</v>
      </c>
      <c r="H58" s="15" t="s">
        <v>268</v>
      </c>
      <c r="I58" s="12" t="s">
        <v>269</v>
      </c>
      <c r="J58" s="12" t="s">
        <v>270</v>
      </c>
      <c r="K58" s="12">
        <v>225</v>
      </c>
      <c r="L58" s="12">
        <v>94</v>
      </c>
      <c r="M58" s="12">
        <v>21</v>
      </c>
      <c r="N58" s="12">
        <v>36</v>
      </c>
      <c r="O58" s="16">
        <v>0.58333333333333337</v>
      </c>
      <c r="P58" s="12">
        <v>10</v>
      </c>
      <c r="Q58" s="12">
        <v>24</v>
      </c>
      <c r="R58" s="16">
        <v>0.41666666666666669</v>
      </c>
      <c r="S58" s="12">
        <v>31</v>
      </c>
      <c r="T58" s="12">
        <v>60</v>
      </c>
      <c r="U58" s="16">
        <v>0.51666666666666672</v>
      </c>
      <c r="V58" s="12">
        <v>22</v>
      </c>
      <c r="W58" s="12">
        <v>27</v>
      </c>
      <c r="X58" s="16">
        <v>0.81481481481481477</v>
      </c>
      <c r="Y58" s="12">
        <v>10</v>
      </c>
      <c r="Z58" s="12">
        <v>21</v>
      </c>
      <c r="AA58" s="12">
        <v>31</v>
      </c>
      <c r="AB58" s="12">
        <v>17</v>
      </c>
      <c r="AC58" s="12">
        <v>18</v>
      </c>
      <c r="AD58" s="12">
        <v>8</v>
      </c>
      <c r="AE58" s="12">
        <v>3</v>
      </c>
      <c r="AF58" s="12">
        <v>1</v>
      </c>
      <c r="AG58" s="12">
        <v>32</v>
      </c>
      <c r="AH58" s="12">
        <v>22</v>
      </c>
      <c r="AI58" s="17">
        <v>90</v>
      </c>
      <c r="AJ58" s="12">
        <v>-4</v>
      </c>
      <c r="AK58" s="12">
        <v>80</v>
      </c>
      <c r="AL58" s="12">
        <v>90</v>
      </c>
      <c r="AM58" s="19">
        <v>1.0444444444444445</v>
      </c>
      <c r="AN58" s="19">
        <v>1.0103092783505154</v>
      </c>
      <c r="AO58" s="18">
        <v>117.5</v>
      </c>
      <c r="AP58" s="18">
        <v>125.64102564102564</v>
      </c>
      <c r="AQ58" s="18">
        <v>-8.1410256410256352</v>
      </c>
      <c r="AR58" s="53">
        <v>0.6</v>
      </c>
      <c r="AS58" s="53">
        <v>0.65277777777777779</v>
      </c>
      <c r="AT58" s="16">
        <v>0.1</v>
      </c>
      <c r="AU58" s="19">
        <v>1.5555555555555556</v>
      </c>
      <c r="AV58" s="16">
        <v>0.12222222222222222</v>
      </c>
      <c r="AW58" s="19">
        <v>0.72727272727272729</v>
      </c>
      <c r="AX58" s="16">
        <v>0.17777777777777778</v>
      </c>
      <c r="AY58" s="19">
        <v>1.25</v>
      </c>
      <c r="AZ58" s="16">
        <v>4.4444444444444446E-2</v>
      </c>
      <c r="BA58" s="19">
        <v>1.5</v>
      </c>
      <c r="BB58" s="16">
        <v>0.21111111111111111</v>
      </c>
      <c r="BC58" s="21">
        <v>1.263157894736842</v>
      </c>
      <c r="BD58" s="16">
        <v>0.13333333333333333</v>
      </c>
      <c r="BE58" s="16">
        <v>0.2</v>
      </c>
      <c r="BF58" s="16">
        <v>0.39534883720930231</v>
      </c>
      <c r="BG58" s="16">
        <v>0.23809523809523808</v>
      </c>
      <c r="BH58" s="16">
        <v>0.9</v>
      </c>
      <c r="BI58" s="16">
        <v>0.25</v>
      </c>
      <c r="BJ58" s="16">
        <v>0.18888888888888888</v>
      </c>
      <c r="BK58" s="21">
        <v>0.94444444444444442</v>
      </c>
      <c r="BL58" s="16">
        <v>0.33333333333333331</v>
      </c>
      <c r="BM58" s="16">
        <v>0.47058823529411764</v>
      </c>
      <c r="BN58" s="16">
        <v>0.26666666666666666</v>
      </c>
      <c r="BO58" s="16">
        <v>0</v>
      </c>
      <c r="BP58" s="16">
        <v>0.53846153846153844</v>
      </c>
      <c r="BQ58" s="16">
        <v>0.55000000000000004</v>
      </c>
      <c r="BR58" s="16">
        <v>0.4642857142857143</v>
      </c>
      <c r="BS58" s="16" t="s">
        <v>269</v>
      </c>
      <c r="BT58" s="16">
        <v>0.44927536231884058</v>
      </c>
      <c r="BU58" s="16">
        <v>0.10256410256410256</v>
      </c>
      <c r="BV58" s="16">
        <v>4.4117647058823532E-2</v>
      </c>
      <c r="BW58" s="16">
        <v>3</v>
      </c>
      <c r="BX58" s="16">
        <v>0.5625</v>
      </c>
      <c r="BY58" s="16">
        <v>0.59090909090909094</v>
      </c>
      <c r="BZ58" s="12">
        <v>5</v>
      </c>
      <c r="CA58" s="12">
        <v>9</v>
      </c>
      <c r="CB58" s="12">
        <v>3</v>
      </c>
      <c r="CC58" s="12">
        <v>7</v>
      </c>
      <c r="CD58" s="12">
        <v>1</v>
      </c>
      <c r="CE58" s="12">
        <v>0</v>
      </c>
      <c r="CF58" s="12">
        <v>5</v>
      </c>
      <c r="CG58" s="12">
        <v>0</v>
      </c>
      <c r="CH58" s="12">
        <v>1</v>
      </c>
      <c r="CI58" s="12">
        <v>1</v>
      </c>
      <c r="CJ58" s="12">
        <v>0</v>
      </c>
      <c r="CK58" s="12">
        <v>0</v>
      </c>
      <c r="CL58" s="12">
        <v>3</v>
      </c>
      <c r="CM58" s="12">
        <v>1</v>
      </c>
      <c r="CN58" s="12">
        <v>0</v>
      </c>
      <c r="CO58" s="12">
        <v>0</v>
      </c>
      <c r="CP58" s="12">
        <v>0</v>
      </c>
      <c r="CQ58" s="12">
        <v>0</v>
      </c>
      <c r="CR58" s="12">
        <v>9</v>
      </c>
      <c r="CS58" s="12">
        <v>2</v>
      </c>
      <c r="CT58" s="12">
        <v>0</v>
      </c>
      <c r="CU58" s="12">
        <v>0</v>
      </c>
      <c r="CV58" s="12">
        <v>2</v>
      </c>
      <c r="CW58" s="12">
        <v>0</v>
      </c>
      <c r="CX58" s="12">
        <v>10</v>
      </c>
      <c r="CY58" s="12">
        <v>1</v>
      </c>
      <c r="CZ58" s="12">
        <v>0</v>
      </c>
      <c r="DA58" s="12">
        <v>0</v>
      </c>
      <c r="DB58" s="12">
        <v>0</v>
      </c>
      <c r="DC58" s="12">
        <v>0</v>
      </c>
      <c r="DD58" s="12">
        <v>1</v>
      </c>
      <c r="DE58" s="12">
        <v>1</v>
      </c>
      <c r="DF58" s="12">
        <v>16</v>
      </c>
      <c r="DG58" s="12">
        <v>20</v>
      </c>
      <c r="DH58" s="12">
        <v>0</v>
      </c>
      <c r="DI58" s="12">
        <v>5</v>
      </c>
      <c r="DJ58" s="12">
        <v>6</v>
      </c>
      <c r="DK58" s="12">
        <v>0</v>
      </c>
      <c r="DL58" s="12">
        <v>7</v>
      </c>
      <c r="DM58" s="12">
        <v>9</v>
      </c>
      <c r="DN58" s="12">
        <v>4</v>
      </c>
      <c r="DO58" s="12">
        <v>11</v>
      </c>
      <c r="DP58" s="12">
        <v>10</v>
      </c>
      <c r="DQ58" s="12">
        <v>16</v>
      </c>
      <c r="DR58" s="12">
        <v>2</v>
      </c>
      <c r="DS58" s="12">
        <v>4</v>
      </c>
      <c r="DT58" s="12">
        <v>8</v>
      </c>
      <c r="DU58" s="12">
        <v>19</v>
      </c>
      <c r="DV58" s="12">
        <v>0</v>
      </c>
      <c r="DW58" s="12">
        <v>1</v>
      </c>
      <c r="DX58" s="12">
        <v>98</v>
      </c>
      <c r="DY58" s="12">
        <v>16</v>
      </c>
      <c r="DZ58" s="12">
        <v>32</v>
      </c>
      <c r="EA58" s="16">
        <v>0.5</v>
      </c>
      <c r="EB58" s="12">
        <v>11</v>
      </c>
      <c r="EC58" s="12">
        <v>36</v>
      </c>
      <c r="ED58" s="16">
        <v>0.30555555555555558</v>
      </c>
      <c r="EE58" s="12">
        <v>27</v>
      </c>
      <c r="EF58" s="12">
        <v>68</v>
      </c>
      <c r="EG58" s="16">
        <v>0.39705882352941174</v>
      </c>
      <c r="EH58" s="12">
        <v>33</v>
      </c>
      <c r="EI58" s="12">
        <v>36</v>
      </c>
      <c r="EJ58" s="16">
        <v>0.91666666666666663</v>
      </c>
      <c r="EK58" s="12">
        <v>18</v>
      </c>
      <c r="EL58" s="12">
        <v>20</v>
      </c>
      <c r="EM58" s="12">
        <v>38</v>
      </c>
      <c r="EN58" s="12">
        <v>17</v>
      </c>
      <c r="EO58" s="12">
        <v>22</v>
      </c>
      <c r="EP58" s="12">
        <v>31</v>
      </c>
      <c r="EQ58" s="12">
        <v>10</v>
      </c>
      <c r="ER58" s="12">
        <v>13</v>
      </c>
      <c r="ES58" s="12">
        <v>1</v>
      </c>
      <c r="ET58" s="12">
        <v>3</v>
      </c>
      <c r="EU58" s="12">
        <v>113</v>
      </c>
      <c r="EV58" s="12">
        <v>4</v>
      </c>
      <c r="EW58" s="12">
        <v>78</v>
      </c>
      <c r="EX58" s="12">
        <v>97</v>
      </c>
      <c r="EY58" s="12">
        <v>5</v>
      </c>
      <c r="EZ58" s="12">
        <v>7</v>
      </c>
      <c r="FA58" s="12">
        <v>8</v>
      </c>
      <c r="FB58" s="12">
        <v>2</v>
      </c>
      <c r="FC58" s="12">
        <v>5</v>
      </c>
      <c r="FD58" s="12">
        <v>1</v>
      </c>
      <c r="FE58" s="12">
        <v>0</v>
      </c>
      <c r="FF58" s="12">
        <v>4</v>
      </c>
      <c r="FG58" s="12">
        <v>1</v>
      </c>
      <c r="FH58" s="12">
        <v>2</v>
      </c>
      <c r="FI58" s="12">
        <v>1</v>
      </c>
      <c r="FJ58" s="12">
        <v>2</v>
      </c>
      <c r="FK58" s="12">
        <v>1</v>
      </c>
      <c r="FL58" s="12">
        <v>9</v>
      </c>
      <c r="FM58" s="12">
        <v>3</v>
      </c>
      <c r="FN58" s="12">
        <v>0</v>
      </c>
      <c r="FO58" s="12">
        <v>0</v>
      </c>
      <c r="FP58" s="12">
        <v>1</v>
      </c>
      <c r="FQ58" s="12">
        <v>0</v>
      </c>
      <c r="FR58" s="12">
        <v>2</v>
      </c>
      <c r="FS58" s="12">
        <v>0</v>
      </c>
      <c r="FT58" s="12">
        <v>5</v>
      </c>
      <c r="FU58" s="12">
        <v>1</v>
      </c>
      <c r="FV58" s="12">
        <v>1</v>
      </c>
      <c r="FW58" s="12">
        <v>0</v>
      </c>
      <c r="FX58" s="12">
        <v>8</v>
      </c>
      <c r="FY58" s="12">
        <v>2</v>
      </c>
      <c r="FZ58" s="12">
        <v>3</v>
      </c>
      <c r="GA58" s="12">
        <v>0</v>
      </c>
      <c r="GB58" s="12">
        <v>0</v>
      </c>
      <c r="GC58" s="12">
        <v>1</v>
      </c>
      <c r="GD58" s="12">
        <v>2</v>
      </c>
      <c r="GE58" s="12">
        <v>2</v>
      </c>
      <c r="GF58" s="12">
        <v>28</v>
      </c>
      <c r="GG58" s="12">
        <v>30</v>
      </c>
      <c r="GH58" s="12">
        <v>0</v>
      </c>
      <c r="GI58" s="12">
        <v>3</v>
      </c>
      <c r="GJ58" s="12">
        <v>3</v>
      </c>
      <c r="GK58" s="12">
        <v>0</v>
      </c>
      <c r="GL58" s="12">
        <v>8</v>
      </c>
      <c r="GM58" s="12">
        <v>9</v>
      </c>
      <c r="GN58" s="12">
        <v>5</v>
      </c>
      <c r="GO58" s="12">
        <v>18</v>
      </c>
      <c r="GP58" s="12">
        <v>3</v>
      </c>
      <c r="GQ58" s="12">
        <v>5</v>
      </c>
      <c r="GR58" s="12">
        <v>3</v>
      </c>
      <c r="GS58" s="12">
        <v>7</v>
      </c>
      <c r="GT58" s="12">
        <v>8</v>
      </c>
      <c r="GU58" s="12">
        <v>28</v>
      </c>
      <c r="GV58" s="12">
        <v>0</v>
      </c>
      <c r="GW58" s="12">
        <v>1</v>
      </c>
    </row>
    <row r="59" spans="2:205" ht="15" customHeight="1" x14ac:dyDescent="0.2">
      <c r="B59" s="12">
        <v>4</v>
      </c>
      <c r="C59" s="12" t="s">
        <v>274</v>
      </c>
      <c r="D59" s="12" t="s">
        <v>293</v>
      </c>
      <c r="E59" s="14" t="s">
        <v>276</v>
      </c>
      <c r="F59" s="14" t="s">
        <v>295</v>
      </c>
      <c r="G59" s="15">
        <v>45218</v>
      </c>
      <c r="H59" s="15" t="s">
        <v>271</v>
      </c>
      <c r="I59" s="12" t="s">
        <v>269</v>
      </c>
      <c r="J59" s="12" t="s">
        <v>272</v>
      </c>
      <c r="K59" s="12">
        <v>225</v>
      </c>
      <c r="L59" s="12">
        <v>98</v>
      </c>
      <c r="M59" s="12">
        <v>16</v>
      </c>
      <c r="N59" s="12">
        <v>32</v>
      </c>
      <c r="O59" s="16">
        <v>0.5</v>
      </c>
      <c r="P59" s="12">
        <v>11</v>
      </c>
      <c r="Q59" s="12">
        <v>36</v>
      </c>
      <c r="R59" s="16">
        <v>0.30555555555555558</v>
      </c>
      <c r="S59" s="12">
        <v>27</v>
      </c>
      <c r="T59" s="12">
        <v>68</v>
      </c>
      <c r="U59" s="16">
        <v>0.39705882352941174</v>
      </c>
      <c r="V59" s="12">
        <v>33</v>
      </c>
      <c r="W59" s="12">
        <v>36</v>
      </c>
      <c r="X59" s="16">
        <v>0.91666666666666663</v>
      </c>
      <c r="Y59" s="12">
        <v>18</v>
      </c>
      <c r="Z59" s="12">
        <v>20</v>
      </c>
      <c r="AA59" s="12">
        <v>38</v>
      </c>
      <c r="AB59" s="12">
        <v>17</v>
      </c>
      <c r="AC59" s="12">
        <v>13</v>
      </c>
      <c r="AD59" s="12">
        <v>10</v>
      </c>
      <c r="AE59" s="12">
        <v>1</v>
      </c>
      <c r="AF59" s="12">
        <v>3</v>
      </c>
      <c r="AG59" s="12">
        <v>22</v>
      </c>
      <c r="AH59" s="12">
        <v>31</v>
      </c>
      <c r="AI59" s="17">
        <v>113</v>
      </c>
      <c r="AJ59" s="12">
        <v>4</v>
      </c>
      <c r="AK59" s="12">
        <v>78</v>
      </c>
      <c r="AL59" s="12">
        <v>97</v>
      </c>
      <c r="AM59" s="19">
        <v>1.0103092783505154</v>
      </c>
      <c r="AN59" s="19">
        <v>1.0444444444444445</v>
      </c>
      <c r="AO59" s="18">
        <v>125.64102564102564</v>
      </c>
      <c r="AP59" s="18">
        <v>117.5</v>
      </c>
      <c r="AQ59" s="18">
        <v>8.1410256410256352</v>
      </c>
      <c r="AR59" s="53">
        <v>0.47794117647058826</v>
      </c>
      <c r="AS59" s="53">
        <v>0.58333333333333337</v>
      </c>
      <c r="AT59" s="16">
        <v>9.2783505154639179E-2</v>
      </c>
      <c r="AU59" s="19">
        <v>1.7777777777777777</v>
      </c>
      <c r="AV59" s="16">
        <v>0.18556701030927836</v>
      </c>
      <c r="AW59" s="19">
        <v>0.55555555555555558</v>
      </c>
      <c r="AX59" s="16">
        <v>5.1546391752577317E-2</v>
      </c>
      <c r="AY59" s="19">
        <v>1.2</v>
      </c>
      <c r="AZ59" s="16">
        <v>7.2164948453608241E-2</v>
      </c>
      <c r="BA59" s="19">
        <v>1.2857142857142858</v>
      </c>
      <c r="BB59" s="16">
        <v>0.28865979381443296</v>
      </c>
      <c r="BC59" s="21">
        <v>0.8571428571428571</v>
      </c>
      <c r="BD59" s="16">
        <v>0.16494845360824742</v>
      </c>
      <c r="BE59" s="16">
        <v>0.13541666666666666</v>
      </c>
      <c r="BF59" s="16">
        <v>0.39534883720930231</v>
      </c>
      <c r="BG59" s="16">
        <v>0.4375</v>
      </c>
      <c r="BH59" s="16">
        <v>0.72727272727272729</v>
      </c>
      <c r="BI59" s="16">
        <v>0.125</v>
      </c>
      <c r="BJ59" s="16">
        <v>0.17708333333333334</v>
      </c>
      <c r="BK59" s="21">
        <v>1.3076923076923077</v>
      </c>
      <c r="BL59" s="16">
        <v>0.46153846153846156</v>
      </c>
      <c r="BM59" s="16">
        <v>0.45</v>
      </c>
      <c r="BN59" s="16">
        <v>0.5357142857142857</v>
      </c>
      <c r="BO59" s="16" t="s">
        <v>269</v>
      </c>
      <c r="BP59" s="16">
        <v>0.66666666666666663</v>
      </c>
      <c r="BQ59" s="16">
        <v>0.52941176470588236</v>
      </c>
      <c r="BR59" s="16">
        <v>0.73333333333333328</v>
      </c>
      <c r="BS59" s="16">
        <v>1</v>
      </c>
      <c r="BT59" s="16">
        <v>0.55072463768115942</v>
      </c>
      <c r="BU59" s="16">
        <v>0.125</v>
      </c>
      <c r="BV59" s="16">
        <v>1.6666666666666666E-2</v>
      </c>
      <c r="BW59" s="16">
        <v>5</v>
      </c>
      <c r="BX59" s="16">
        <v>0.59090909090909094</v>
      </c>
      <c r="BY59" s="16">
        <v>0.58064516129032262</v>
      </c>
      <c r="BZ59" s="12">
        <v>7</v>
      </c>
      <c r="CA59" s="12">
        <v>8</v>
      </c>
      <c r="CB59" s="12">
        <v>2</v>
      </c>
      <c r="CC59" s="12">
        <v>5</v>
      </c>
      <c r="CD59" s="12">
        <v>1</v>
      </c>
      <c r="CE59" s="12">
        <v>0</v>
      </c>
      <c r="CF59" s="12">
        <v>4</v>
      </c>
      <c r="CG59" s="12">
        <v>1</v>
      </c>
      <c r="CH59" s="12">
        <v>2</v>
      </c>
      <c r="CI59" s="12">
        <v>1</v>
      </c>
      <c r="CJ59" s="12">
        <v>2</v>
      </c>
      <c r="CK59" s="12">
        <v>1</v>
      </c>
      <c r="CL59" s="12">
        <v>9</v>
      </c>
      <c r="CM59" s="12">
        <v>3</v>
      </c>
      <c r="CN59" s="12">
        <v>0</v>
      </c>
      <c r="CO59" s="12">
        <v>0</v>
      </c>
      <c r="CP59" s="12">
        <v>1</v>
      </c>
      <c r="CQ59" s="12">
        <v>0</v>
      </c>
      <c r="CR59" s="12">
        <v>2</v>
      </c>
      <c r="CS59" s="12">
        <v>0</v>
      </c>
      <c r="CT59" s="12">
        <v>5</v>
      </c>
      <c r="CU59" s="12">
        <v>1</v>
      </c>
      <c r="CV59" s="12">
        <v>1</v>
      </c>
      <c r="CW59" s="12">
        <v>0</v>
      </c>
      <c r="CX59" s="12">
        <v>8</v>
      </c>
      <c r="CY59" s="12">
        <v>2</v>
      </c>
      <c r="CZ59" s="12">
        <v>3</v>
      </c>
      <c r="DA59" s="12">
        <v>0</v>
      </c>
      <c r="DB59" s="12">
        <v>0</v>
      </c>
      <c r="DC59" s="12">
        <v>1</v>
      </c>
      <c r="DD59" s="12">
        <v>2</v>
      </c>
      <c r="DE59" s="12">
        <v>2</v>
      </c>
      <c r="DF59" s="12">
        <v>28</v>
      </c>
      <c r="DG59" s="12">
        <v>30</v>
      </c>
      <c r="DH59" s="12">
        <v>0</v>
      </c>
      <c r="DI59" s="12">
        <v>3</v>
      </c>
      <c r="DJ59" s="12">
        <v>3</v>
      </c>
      <c r="DK59" s="12">
        <v>0</v>
      </c>
      <c r="DL59" s="12">
        <v>8</v>
      </c>
      <c r="DM59" s="12">
        <v>9</v>
      </c>
      <c r="DN59" s="12">
        <v>5</v>
      </c>
      <c r="DO59" s="12">
        <v>18</v>
      </c>
      <c r="DP59" s="12">
        <v>3</v>
      </c>
      <c r="DQ59" s="12">
        <v>5</v>
      </c>
      <c r="DR59" s="12">
        <v>3</v>
      </c>
      <c r="DS59" s="12">
        <v>7</v>
      </c>
      <c r="DT59" s="12">
        <v>8</v>
      </c>
      <c r="DU59" s="12">
        <v>28</v>
      </c>
      <c r="DV59" s="12">
        <v>0</v>
      </c>
      <c r="DW59" s="12">
        <v>1</v>
      </c>
      <c r="DX59" s="12">
        <v>94</v>
      </c>
      <c r="DY59" s="12">
        <v>21</v>
      </c>
      <c r="DZ59" s="12">
        <v>36</v>
      </c>
      <c r="EA59" s="16">
        <v>0.58333333333333337</v>
      </c>
      <c r="EB59" s="12">
        <v>10</v>
      </c>
      <c r="EC59" s="12">
        <v>24</v>
      </c>
      <c r="ED59" s="16">
        <v>0.41666666666666669</v>
      </c>
      <c r="EE59" s="12">
        <v>31</v>
      </c>
      <c r="EF59" s="12">
        <v>60</v>
      </c>
      <c r="EG59" s="16">
        <v>0.51666666666666672</v>
      </c>
      <c r="EH59" s="12">
        <v>22</v>
      </c>
      <c r="EI59" s="12">
        <v>27</v>
      </c>
      <c r="EJ59" s="16">
        <v>0.81481481481481477</v>
      </c>
      <c r="EK59" s="12">
        <v>10</v>
      </c>
      <c r="EL59" s="12">
        <v>21</v>
      </c>
      <c r="EM59" s="12">
        <v>31</v>
      </c>
      <c r="EN59" s="12">
        <v>17</v>
      </c>
      <c r="EO59" s="12">
        <v>32</v>
      </c>
      <c r="EP59" s="12">
        <v>22</v>
      </c>
      <c r="EQ59" s="12">
        <v>8</v>
      </c>
      <c r="ER59" s="12">
        <v>18</v>
      </c>
      <c r="ES59" s="12">
        <v>3</v>
      </c>
      <c r="ET59" s="12">
        <v>1</v>
      </c>
      <c r="EU59" s="12">
        <v>90</v>
      </c>
      <c r="EV59" s="12">
        <v>-4</v>
      </c>
      <c r="EW59" s="12">
        <v>80</v>
      </c>
      <c r="EX59" s="12">
        <v>90</v>
      </c>
      <c r="EY59" s="12">
        <v>3</v>
      </c>
      <c r="EZ59" s="12">
        <v>5</v>
      </c>
      <c r="FA59" s="12">
        <v>9</v>
      </c>
      <c r="FB59" s="12">
        <v>3</v>
      </c>
      <c r="FC59" s="12">
        <v>7</v>
      </c>
      <c r="FD59" s="12">
        <v>1</v>
      </c>
      <c r="FE59" s="12">
        <v>0</v>
      </c>
      <c r="FF59" s="12">
        <v>5</v>
      </c>
      <c r="FG59" s="12">
        <v>0</v>
      </c>
      <c r="FH59" s="12">
        <v>1</v>
      </c>
      <c r="FI59" s="12">
        <v>1</v>
      </c>
      <c r="FJ59" s="12">
        <v>0</v>
      </c>
      <c r="FK59" s="12">
        <v>0</v>
      </c>
      <c r="FL59" s="12">
        <v>3</v>
      </c>
      <c r="FM59" s="12">
        <v>1</v>
      </c>
      <c r="FN59" s="12">
        <v>0</v>
      </c>
      <c r="FO59" s="12">
        <v>0</v>
      </c>
      <c r="FP59" s="12">
        <v>0</v>
      </c>
      <c r="FQ59" s="12">
        <v>0</v>
      </c>
      <c r="FR59" s="12">
        <v>9</v>
      </c>
      <c r="FS59" s="12">
        <v>2</v>
      </c>
      <c r="FT59" s="12">
        <v>0</v>
      </c>
      <c r="FU59" s="12">
        <v>0</v>
      </c>
      <c r="FV59" s="12">
        <v>2</v>
      </c>
      <c r="FW59" s="12">
        <v>0</v>
      </c>
      <c r="FX59" s="12">
        <v>10</v>
      </c>
      <c r="FY59" s="12">
        <v>1</v>
      </c>
      <c r="FZ59" s="12">
        <v>0</v>
      </c>
      <c r="GA59" s="12">
        <v>0</v>
      </c>
      <c r="GB59" s="12">
        <v>0</v>
      </c>
      <c r="GC59" s="12">
        <v>0</v>
      </c>
      <c r="GD59" s="12">
        <v>1</v>
      </c>
      <c r="GE59" s="12">
        <v>1</v>
      </c>
      <c r="GF59" s="12">
        <v>16</v>
      </c>
      <c r="GG59" s="12">
        <v>20</v>
      </c>
      <c r="GH59" s="12">
        <v>0</v>
      </c>
      <c r="GI59" s="12">
        <v>5</v>
      </c>
      <c r="GJ59" s="12">
        <v>6</v>
      </c>
      <c r="GK59" s="12">
        <v>0</v>
      </c>
      <c r="GL59" s="12">
        <v>7</v>
      </c>
      <c r="GM59" s="12">
        <v>9</v>
      </c>
      <c r="GN59" s="12">
        <v>4</v>
      </c>
      <c r="GO59" s="12">
        <v>11</v>
      </c>
      <c r="GP59" s="12">
        <v>10</v>
      </c>
      <c r="GQ59" s="12">
        <v>16</v>
      </c>
      <c r="GR59" s="12">
        <v>2</v>
      </c>
      <c r="GS59" s="12">
        <v>4</v>
      </c>
      <c r="GT59" s="12">
        <v>8</v>
      </c>
      <c r="GU59" s="12">
        <v>19</v>
      </c>
      <c r="GV59" s="12">
        <v>0</v>
      </c>
      <c r="GW59" s="12">
        <v>1</v>
      </c>
    </row>
    <row r="60" spans="2:205" ht="15" customHeight="1" x14ac:dyDescent="0.2">
      <c r="B60" s="12">
        <v>4</v>
      </c>
      <c r="C60" s="12" t="s">
        <v>297</v>
      </c>
      <c r="D60" s="12" t="s">
        <v>286</v>
      </c>
      <c r="E60" s="14" t="s">
        <v>299</v>
      </c>
      <c r="F60" s="14" t="s">
        <v>288</v>
      </c>
      <c r="G60" s="15">
        <v>45218</v>
      </c>
      <c r="H60" s="15" t="s">
        <v>268</v>
      </c>
      <c r="I60" s="12" t="s">
        <v>269</v>
      </c>
      <c r="J60" s="12" t="s">
        <v>272</v>
      </c>
      <c r="K60" s="12">
        <v>200</v>
      </c>
      <c r="L60" s="12">
        <v>99</v>
      </c>
      <c r="M60" s="12">
        <v>18</v>
      </c>
      <c r="N60" s="12">
        <v>39</v>
      </c>
      <c r="O60" s="16">
        <v>0.46153846153846156</v>
      </c>
      <c r="P60" s="12">
        <v>14</v>
      </c>
      <c r="Q60" s="12">
        <v>21</v>
      </c>
      <c r="R60" s="16">
        <v>0.66666666666666663</v>
      </c>
      <c r="S60" s="12">
        <v>32</v>
      </c>
      <c r="T60" s="12">
        <v>60</v>
      </c>
      <c r="U60" s="16">
        <v>0.53333333333333333</v>
      </c>
      <c r="V60" s="12">
        <v>21</v>
      </c>
      <c r="W60" s="12">
        <v>23</v>
      </c>
      <c r="X60" s="16">
        <v>0.91304347826086951</v>
      </c>
      <c r="Y60" s="12">
        <v>6</v>
      </c>
      <c r="Z60" s="12">
        <v>33</v>
      </c>
      <c r="AA60" s="12">
        <v>39</v>
      </c>
      <c r="AB60" s="12">
        <v>21</v>
      </c>
      <c r="AC60" s="12">
        <v>10</v>
      </c>
      <c r="AD60" s="12">
        <v>1</v>
      </c>
      <c r="AE60" s="12">
        <v>1</v>
      </c>
      <c r="AF60" s="12">
        <v>3</v>
      </c>
      <c r="AG60" s="12">
        <v>24</v>
      </c>
      <c r="AH60" s="12">
        <v>20</v>
      </c>
      <c r="AI60" s="17">
        <v>114</v>
      </c>
      <c r="AJ60" s="12">
        <v>17</v>
      </c>
      <c r="AK60" s="12">
        <v>74</v>
      </c>
      <c r="AL60" s="12">
        <v>80</v>
      </c>
      <c r="AM60" s="19">
        <v>1.2375</v>
      </c>
      <c r="AN60" s="19">
        <v>0.95348837209302328</v>
      </c>
      <c r="AO60" s="18">
        <v>133.7837837837838</v>
      </c>
      <c r="AP60" s="18">
        <v>110.81081081081081</v>
      </c>
      <c r="AQ60" s="18">
        <v>22.972972972972997</v>
      </c>
      <c r="AR60" s="53">
        <v>0.65</v>
      </c>
      <c r="AS60" s="53">
        <v>0.70714285714285718</v>
      </c>
      <c r="AT60" s="16">
        <v>8.7499999999999994E-2</v>
      </c>
      <c r="AU60" s="19">
        <v>1.7142857142857142</v>
      </c>
      <c r="AV60" s="16">
        <v>0.32500000000000001</v>
      </c>
      <c r="AW60" s="19">
        <v>0.92307692307692313</v>
      </c>
      <c r="AX60" s="16">
        <v>7.4999999999999997E-2</v>
      </c>
      <c r="AY60" s="19">
        <v>0</v>
      </c>
      <c r="AZ60" s="16">
        <v>1.2500000000000001E-2</v>
      </c>
      <c r="BA60" s="19">
        <v>3</v>
      </c>
      <c r="BB60" s="16">
        <v>0.25</v>
      </c>
      <c r="BC60" s="21">
        <v>1.95</v>
      </c>
      <c r="BD60" s="16">
        <v>0.125</v>
      </c>
      <c r="BE60" s="16">
        <v>0.125</v>
      </c>
      <c r="BF60" s="16">
        <v>0.5</v>
      </c>
      <c r="BG60" s="16">
        <v>0.27777777777777779</v>
      </c>
      <c r="BH60" s="16">
        <v>0.9285714285714286</v>
      </c>
      <c r="BI60" s="16">
        <v>0.3</v>
      </c>
      <c r="BJ60" s="16">
        <v>0.26250000000000001</v>
      </c>
      <c r="BK60" s="21">
        <v>2.1</v>
      </c>
      <c r="BL60" s="16">
        <v>0.22222222222222221</v>
      </c>
      <c r="BM60" s="16">
        <v>0.20833333333333334</v>
      </c>
      <c r="BN60" s="16">
        <v>0.25</v>
      </c>
      <c r="BO60" s="16" t="s">
        <v>269</v>
      </c>
      <c r="BP60" s="16">
        <v>0.73333333333333328</v>
      </c>
      <c r="BQ60" s="16">
        <v>0.78260869565217395</v>
      </c>
      <c r="BR60" s="16">
        <v>0.63636363636363635</v>
      </c>
      <c r="BS60" s="16">
        <v>1</v>
      </c>
      <c r="BT60" s="16">
        <v>0.54166666666666663</v>
      </c>
      <c r="BU60" s="16">
        <v>1.3513513513513514E-2</v>
      </c>
      <c r="BV60" s="16">
        <v>1.4285714285714285E-2</v>
      </c>
      <c r="BW60" s="16">
        <v>6</v>
      </c>
      <c r="BX60" s="16">
        <v>0.5</v>
      </c>
      <c r="BY60" s="16">
        <v>0.6</v>
      </c>
      <c r="BZ60" s="12">
        <v>5</v>
      </c>
      <c r="CA60" s="12">
        <v>13</v>
      </c>
      <c r="CB60" s="12">
        <v>3</v>
      </c>
      <c r="CC60" s="12">
        <v>7</v>
      </c>
      <c r="CD60" s="12">
        <v>0</v>
      </c>
      <c r="CE60" s="12">
        <v>0</v>
      </c>
      <c r="CF60" s="12">
        <v>4</v>
      </c>
      <c r="CG60" s="12">
        <v>0</v>
      </c>
      <c r="CH60" s="12">
        <v>1</v>
      </c>
      <c r="CI60" s="12">
        <v>0</v>
      </c>
      <c r="CJ60" s="12">
        <v>0</v>
      </c>
      <c r="CK60" s="12">
        <v>0</v>
      </c>
      <c r="CL60" s="12">
        <v>1</v>
      </c>
      <c r="CM60" s="12">
        <v>1</v>
      </c>
      <c r="CN60" s="12">
        <v>0</v>
      </c>
      <c r="CO60" s="12">
        <v>0</v>
      </c>
      <c r="CP60" s="12">
        <v>1</v>
      </c>
      <c r="CQ60" s="12">
        <v>0</v>
      </c>
      <c r="CR60" s="12">
        <v>11</v>
      </c>
      <c r="CS60" s="12">
        <v>1</v>
      </c>
      <c r="CT60" s="12">
        <v>5</v>
      </c>
      <c r="CU60" s="12">
        <v>0</v>
      </c>
      <c r="CV60" s="12">
        <v>0</v>
      </c>
      <c r="CW60" s="12">
        <v>0</v>
      </c>
      <c r="CX60" s="12">
        <v>14</v>
      </c>
      <c r="CY60" s="12">
        <v>0</v>
      </c>
      <c r="CZ60" s="12">
        <v>2</v>
      </c>
      <c r="DA60" s="12">
        <v>0</v>
      </c>
      <c r="DB60" s="12">
        <v>0</v>
      </c>
      <c r="DC60" s="12">
        <v>0</v>
      </c>
      <c r="DD60" s="12">
        <v>2</v>
      </c>
      <c r="DE60" s="12">
        <v>2</v>
      </c>
      <c r="DF60" s="12">
        <v>17</v>
      </c>
      <c r="DG60" s="12">
        <v>18</v>
      </c>
      <c r="DH60" s="12">
        <v>0</v>
      </c>
      <c r="DI60" s="12">
        <v>2</v>
      </c>
      <c r="DJ60" s="12">
        <v>3</v>
      </c>
      <c r="DK60" s="12">
        <v>0</v>
      </c>
      <c r="DL60" s="12">
        <v>6</v>
      </c>
      <c r="DM60" s="12">
        <v>7</v>
      </c>
      <c r="DN60" s="12">
        <v>12</v>
      </c>
      <c r="DO60" s="12">
        <v>26</v>
      </c>
      <c r="DP60" s="12">
        <v>0</v>
      </c>
      <c r="DQ60" s="12">
        <v>6</v>
      </c>
      <c r="DR60" s="12">
        <v>1</v>
      </c>
      <c r="DS60" s="12">
        <v>1</v>
      </c>
      <c r="DT60" s="12">
        <v>13</v>
      </c>
      <c r="DU60" s="12">
        <v>20</v>
      </c>
      <c r="DV60" s="12">
        <v>0</v>
      </c>
      <c r="DW60" s="12">
        <v>0</v>
      </c>
      <c r="DX60" s="12">
        <v>82</v>
      </c>
      <c r="DY60" s="12">
        <v>16</v>
      </c>
      <c r="DZ60" s="12">
        <v>38</v>
      </c>
      <c r="EA60" s="16">
        <v>0.42105263157894735</v>
      </c>
      <c r="EB60" s="12">
        <v>11</v>
      </c>
      <c r="EC60" s="12">
        <v>32</v>
      </c>
      <c r="ED60" s="16">
        <v>0.34375</v>
      </c>
      <c r="EE60" s="12">
        <v>27</v>
      </c>
      <c r="EF60" s="12">
        <v>70</v>
      </c>
      <c r="EG60" s="16">
        <v>0.38571428571428573</v>
      </c>
      <c r="EH60" s="12">
        <v>17</v>
      </c>
      <c r="EI60" s="12">
        <v>23</v>
      </c>
      <c r="EJ60" s="16">
        <v>0.73913043478260865</v>
      </c>
      <c r="EK60" s="12">
        <v>12</v>
      </c>
      <c r="EL60" s="12">
        <v>21</v>
      </c>
      <c r="EM60" s="12">
        <v>33</v>
      </c>
      <c r="EN60" s="12">
        <v>17</v>
      </c>
      <c r="EO60" s="12">
        <v>20</v>
      </c>
      <c r="EP60" s="12">
        <v>24</v>
      </c>
      <c r="EQ60" s="12">
        <v>6</v>
      </c>
      <c r="ER60" s="12">
        <v>5</v>
      </c>
      <c r="ES60" s="12">
        <v>3</v>
      </c>
      <c r="ET60" s="12">
        <v>1</v>
      </c>
      <c r="EU60" s="12">
        <v>90</v>
      </c>
      <c r="EV60" s="12">
        <v>-17</v>
      </c>
      <c r="EW60" s="12">
        <v>74</v>
      </c>
      <c r="EX60" s="12">
        <v>86</v>
      </c>
      <c r="EY60" s="12">
        <v>3</v>
      </c>
      <c r="EZ60" s="12">
        <v>5</v>
      </c>
      <c r="FA60" s="12">
        <v>9</v>
      </c>
      <c r="FB60" s="12">
        <v>3</v>
      </c>
      <c r="FC60" s="12">
        <v>4</v>
      </c>
      <c r="FD60" s="12">
        <v>2</v>
      </c>
      <c r="FE60" s="12">
        <v>0</v>
      </c>
      <c r="FF60" s="12">
        <v>2</v>
      </c>
      <c r="FG60" s="12">
        <v>0</v>
      </c>
      <c r="FH60" s="12">
        <v>1</v>
      </c>
      <c r="FI60" s="12">
        <v>0</v>
      </c>
      <c r="FJ60" s="12">
        <v>1</v>
      </c>
      <c r="FK60" s="12">
        <v>1</v>
      </c>
      <c r="FL60" s="12">
        <v>6</v>
      </c>
      <c r="FM60" s="12">
        <v>0</v>
      </c>
      <c r="FN60" s="12">
        <v>0</v>
      </c>
      <c r="FO60" s="12">
        <v>0</v>
      </c>
      <c r="FP60" s="12">
        <v>1</v>
      </c>
      <c r="FQ60" s="12">
        <v>0</v>
      </c>
      <c r="FR60" s="12">
        <v>10</v>
      </c>
      <c r="FS60" s="12">
        <v>3</v>
      </c>
      <c r="FT60" s="12">
        <v>5</v>
      </c>
      <c r="FU60" s="12">
        <v>0</v>
      </c>
      <c r="FV60" s="12">
        <v>0</v>
      </c>
      <c r="FW60" s="12">
        <v>0</v>
      </c>
      <c r="FX60" s="12">
        <v>5</v>
      </c>
      <c r="FY60" s="12">
        <v>1</v>
      </c>
      <c r="FZ60" s="12">
        <v>0</v>
      </c>
      <c r="GA60" s="12">
        <v>0</v>
      </c>
      <c r="GB60" s="12">
        <v>0</v>
      </c>
      <c r="GC60" s="12">
        <v>0</v>
      </c>
      <c r="GD60" s="12">
        <v>1</v>
      </c>
      <c r="GE60" s="12">
        <v>1</v>
      </c>
      <c r="GF60" s="12">
        <v>16</v>
      </c>
      <c r="GG60" s="12">
        <v>22</v>
      </c>
      <c r="GH60" s="12">
        <v>0</v>
      </c>
      <c r="GI60" s="12">
        <v>0</v>
      </c>
      <c r="GJ60" s="12">
        <v>0</v>
      </c>
      <c r="GK60" s="12">
        <v>0</v>
      </c>
      <c r="GL60" s="12">
        <v>4</v>
      </c>
      <c r="GM60" s="12">
        <v>7</v>
      </c>
      <c r="GN60" s="12">
        <v>11</v>
      </c>
      <c r="GO60" s="12">
        <v>24</v>
      </c>
      <c r="GP60" s="12">
        <v>1</v>
      </c>
      <c r="GQ60" s="12">
        <v>7</v>
      </c>
      <c r="GR60" s="12">
        <v>2</v>
      </c>
      <c r="GS60" s="12">
        <v>3</v>
      </c>
      <c r="GT60" s="12">
        <v>9</v>
      </c>
      <c r="GU60" s="12">
        <v>29</v>
      </c>
      <c r="GV60" s="12">
        <v>0</v>
      </c>
      <c r="GW60" s="12">
        <v>0</v>
      </c>
    </row>
    <row r="61" spans="2:205" ht="15" customHeight="1" x14ac:dyDescent="0.2">
      <c r="B61" s="12">
        <v>4</v>
      </c>
      <c r="C61" s="12" t="s">
        <v>286</v>
      </c>
      <c r="D61" s="12" t="s">
        <v>297</v>
      </c>
      <c r="E61" s="14" t="s">
        <v>288</v>
      </c>
      <c r="F61" s="14" t="s">
        <v>299</v>
      </c>
      <c r="G61" s="15">
        <v>45218</v>
      </c>
      <c r="H61" s="15" t="s">
        <v>271</v>
      </c>
      <c r="I61" s="12" t="s">
        <v>269</v>
      </c>
      <c r="J61" s="12" t="s">
        <v>270</v>
      </c>
      <c r="K61" s="12">
        <v>200</v>
      </c>
      <c r="L61" s="12">
        <v>82</v>
      </c>
      <c r="M61" s="12">
        <v>16</v>
      </c>
      <c r="N61" s="12">
        <v>38</v>
      </c>
      <c r="O61" s="16">
        <v>0.42105263157894735</v>
      </c>
      <c r="P61" s="12">
        <v>11</v>
      </c>
      <c r="Q61" s="12">
        <v>32</v>
      </c>
      <c r="R61" s="16">
        <v>0.34375</v>
      </c>
      <c r="S61" s="12">
        <v>27</v>
      </c>
      <c r="T61" s="12">
        <v>70</v>
      </c>
      <c r="U61" s="16">
        <v>0.38571428571428573</v>
      </c>
      <c r="V61" s="12">
        <v>17</v>
      </c>
      <c r="W61" s="12">
        <v>23</v>
      </c>
      <c r="X61" s="16">
        <v>0.73913043478260865</v>
      </c>
      <c r="Y61" s="12">
        <v>12</v>
      </c>
      <c r="Z61" s="12">
        <v>21</v>
      </c>
      <c r="AA61" s="12">
        <v>33</v>
      </c>
      <c r="AB61" s="12">
        <v>17</v>
      </c>
      <c r="AC61" s="12">
        <v>5</v>
      </c>
      <c r="AD61" s="12">
        <v>6</v>
      </c>
      <c r="AE61" s="12">
        <v>3</v>
      </c>
      <c r="AF61" s="12">
        <v>1</v>
      </c>
      <c r="AG61" s="12">
        <v>20</v>
      </c>
      <c r="AH61" s="12">
        <v>24</v>
      </c>
      <c r="AI61" s="17">
        <v>90</v>
      </c>
      <c r="AJ61" s="12">
        <v>-17</v>
      </c>
      <c r="AK61" s="12">
        <v>74</v>
      </c>
      <c r="AL61" s="12">
        <v>86</v>
      </c>
      <c r="AM61" s="19">
        <v>0.95348837209302328</v>
      </c>
      <c r="AN61" s="19">
        <v>1.2375</v>
      </c>
      <c r="AO61" s="18">
        <v>110.81081081081081</v>
      </c>
      <c r="AP61" s="18">
        <v>133.7837837837838</v>
      </c>
      <c r="AQ61" s="18">
        <v>-22.972972972972997</v>
      </c>
      <c r="AR61" s="53">
        <v>0.4642857142857143</v>
      </c>
      <c r="AS61" s="53">
        <v>0.50617283950617287</v>
      </c>
      <c r="AT61" s="16">
        <v>8.1395348837209308E-2</v>
      </c>
      <c r="AU61" s="19">
        <v>1.1428571428571428</v>
      </c>
      <c r="AV61" s="16">
        <v>0.27906976744186046</v>
      </c>
      <c r="AW61" s="19">
        <v>0.91666666666666663</v>
      </c>
      <c r="AX61" s="16">
        <v>8.1395348837209308E-2</v>
      </c>
      <c r="AY61" s="19">
        <v>0.2857142857142857</v>
      </c>
      <c r="AZ61" s="16">
        <v>3.4883720930232558E-2</v>
      </c>
      <c r="BA61" s="19">
        <v>2</v>
      </c>
      <c r="BB61" s="16">
        <v>0.33720930232558138</v>
      </c>
      <c r="BC61" s="21">
        <v>0.93103448275862066</v>
      </c>
      <c r="BD61" s="16">
        <v>0.12790697674418605</v>
      </c>
      <c r="BE61" s="16">
        <v>5.8139534883720929E-2</v>
      </c>
      <c r="BF61" s="16">
        <v>0.44736842105263158</v>
      </c>
      <c r="BG61" s="16">
        <v>0.3125</v>
      </c>
      <c r="BH61" s="16">
        <v>0.81818181818181823</v>
      </c>
      <c r="BI61" s="16">
        <v>0.27272727272727271</v>
      </c>
      <c r="BJ61" s="16">
        <v>0.19767441860465115</v>
      </c>
      <c r="BK61" s="21">
        <v>3.4</v>
      </c>
      <c r="BL61" s="16">
        <v>0.26666666666666666</v>
      </c>
      <c r="BM61" s="16">
        <v>0.21739130434782608</v>
      </c>
      <c r="BN61" s="16">
        <v>0.36363636363636365</v>
      </c>
      <c r="BO61" s="16">
        <v>0</v>
      </c>
      <c r="BP61" s="16">
        <v>0.77777777777777779</v>
      </c>
      <c r="BQ61" s="16">
        <v>0.79166666666666663</v>
      </c>
      <c r="BR61" s="16">
        <v>0.75</v>
      </c>
      <c r="BS61" s="16" t="s">
        <v>269</v>
      </c>
      <c r="BT61" s="16">
        <v>0.45833333333333331</v>
      </c>
      <c r="BU61" s="16">
        <v>8.1081081081081086E-2</v>
      </c>
      <c r="BV61" s="16">
        <v>0.05</v>
      </c>
      <c r="BW61" s="16">
        <v>3</v>
      </c>
      <c r="BX61" s="16">
        <v>0.6</v>
      </c>
      <c r="BY61" s="16">
        <v>0.5</v>
      </c>
      <c r="BZ61" s="12">
        <v>5</v>
      </c>
      <c r="CA61" s="12">
        <v>9</v>
      </c>
      <c r="CB61" s="12">
        <v>3</v>
      </c>
      <c r="CC61" s="12">
        <v>4</v>
      </c>
      <c r="CD61" s="12">
        <v>2</v>
      </c>
      <c r="CE61" s="12">
        <v>0</v>
      </c>
      <c r="CF61" s="12">
        <v>2</v>
      </c>
      <c r="CG61" s="12">
        <v>0</v>
      </c>
      <c r="CH61" s="12">
        <v>1</v>
      </c>
      <c r="CI61" s="12">
        <v>0</v>
      </c>
      <c r="CJ61" s="12">
        <v>1</v>
      </c>
      <c r="CK61" s="12">
        <v>1</v>
      </c>
      <c r="CL61" s="12">
        <v>6</v>
      </c>
      <c r="CM61" s="12">
        <v>0</v>
      </c>
      <c r="CN61" s="12">
        <v>0</v>
      </c>
      <c r="CO61" s="12">
        <v>0</v>
      </c>
      <c r="CP61" s="12">
        <v>1</v>
      </c>
      <c r="CQ61" s="12">
        <v>0</v>
      </c>
      <c r="CR61" s="12">
        <v>10</v>
      </c>
      <c r="CS61" s="12">
        <v>3</v>
      </c>
      <c r="CT61" s="12">
        <v>5</v>
      </c>
      <c r="CU61" s="12">
        <v>0</v>
      </c>
      <c r="CV61" s="12">
        <v>0</v>
      </c>
      <c r="CW61" s="12">
        <v>0</v>
      </c>
      <c r="CX61" s="12">
        <v>5</v>
      </c>
      <c r="CY61" s="12">
        <v>1</v>
      </c>
      <c r="CZ61" s="12">
        <v>0</v>
      </c>
      <c r="DA61" s="12">
        <v>0</v>
      </c>
      <c r="DB61" s="12">
        <v>0</v>
      </c>
      <c r="DC61" s="12">
        <v>0</v>
      </c>
      <c r="DD61" s="12">
        <v>1</v>
      </c>
      <c r="DE61" s="12">
        <v>1</v>
      </c>
      <c r="DF61" s="12">
        <v>16</v>
      </c>
      <c r="DG61" s="12">
        <v>22</v>
      </c>
      <c r="DH61" s="12">
        <v>0</v>
      </c>
      <c r="DI61" s="12">
        <v>0</v>
      </c>
      <c r="DJ61" s="12">
        <v>0</v>
      </c>
      <c r="DK61" s="12">
        <v>0</v>
      </c>
      <c r="DL61" s="12">
        <v>4</v>
      </c>
      <c r="DM61" s="12">
        <v>7</v>
      </c>
      <c r="DN61" s="12">
        <v>11</v>
      </c>
      <c r="DO61" s="12">
        <v>24</v>
      </c>
      <c r="DP61" s="12">
        <v>1</v>
      </c>
      <c r="DQ61" s="12">
        <v>7</v>
      </c>
      <c r="DR61" s="12">
        <v>2</v>
      </c>
      <c r="DS61" s="12">
        <v>3</v>
      </c>
      <c r="DT61" s="12">
        <v>9</v>
      </c>
      <c r="DU61" s="12">
        <v>29</v>
      </c>
      <c r="DV61" s="12">
        <v>0</v>
      </c>
      <c r="DW61" s="12">
        <v>0</v>
      </c>
      <c r="DX61" s="12">
        <v>99</v>
      </c>
      <c r="DY61" s="12">
        <v>18</v>
      </c>
      <c r="DZ61" s="12">
        <v>39</v>
      </c>
      <c r="EA61" s="16">
        <v>0.46153846153846156</v>
      </c>
      <c r="EB61" s="12">
        <v>14</v>
      </c>
      <c r="EC61" s="12">
        <v>21</v>
      </c>
      <c r="ED61" s="16">
        <v>0.66666666666666663</v>
      </c>
      <c r="EE61" s="12">
        <v>32</v>
      </c>
      <c r="EF61" s="12">
        <v>60</v>
      </c>
      <c r="EG61" s="16">
        <v>0.53333333333333333</v>
      </c>
      <c r="EH61" s="12">
        <v>21</v>
      </c>
      <c r="EI61" s="12">
        <v>23</v>
      </c>
      <c r="EJ61" s="16">
        <v>0.91304347826086951</v>
      </c>
      <c r="EK61" s="12">
        <v>6</v>
      </c>
      <c r="EL61" s="12">
        <v>33</v>
      </c>
      <c r="EM61" s="12">
        <v>39</v>
      </c>
      <c r="EN61" s="12">
        <v>21</v>
      </c>
      <c r="EO61" s="12">
        <v>24</v>
      </c>
      <c r="EP61" s="12">
        <v>20</v>
      </c>
      <c r="EQ61" s="12">
        <v>1</v>
      </c>
      <c r="ER61" s="12">
        <v>10</v>
      </c>
      <c r="ES61" s="12">
        <v>1</v>
      </c>
      <c r="ET61" s="12">
        <v>3</v>
      </c>
      <c r="EU61" s="12">
        <v>114</v>
      </c>
      <c r="EV61" s="12">
        <v>17</v>
      </c>
      <c r="EW61" s="12">
        <v>74</v>
      </c>
      <c r="EX61" s="12">
        <v>80</v>
      </c>
      <c r="EY61" s="12">
        <v>6</v>
      </c>
      <c r="EZ61" s="12">
        <v>5</v>
      </c>
      <c r="FA61" s="12">
        <v>13</v>
      </c>
      <c r="FB61" s="12">
        <v>3</v>
      </c>
      <c r="FC61" s="12">
        <v>7</v>
      </c>
      <c r="FD61" s="12">
        <v>0</v>
      </c>
      <c r="FE61" s="12">
        <v>0</v>
      </c>
      <c r="FF61" s="12">
        <v>4</v>
      </c>
      <c r="FG61" s="12">
        <v>0</v>
      </c>
      <c r="FH61" s="12">
        <v>1</v>
      </c>
      <c r="FI61" s="12">
        <v>0</v>
      </c>
      <c r="FJ61" s="12">
        <v>0</v>
      </c>
      <c r="FK61" s="12">
        <v>0</v>
      </c>
      <c r="FL61" s="12">
        <v>1</v>
      </c>
      <c r="FM61" s="12">
        <v>1</v>
      </c>
      <c r="FN61" s="12">
        <v>0</v>
      </c>
      <c r="FO61" s="12">
        <v>0</v>
      </c>
      <c r="FP61" s="12">
        <v>1</v>
      </c>
      <c r="FQ61" s="12">
        <v>0</v>
      </c>
      <c r="FR61" s="12">
        <v>11</v>
      </c>
      <c r="FS61" s="12">
        <v>1</v>
      </c>
      <c r="FT61" s="12">
        <v>5</v>
      </c>
      <c r="FU61" s="12">
        <v>0</v>
      </c>
      <c r="FV61" s="12">
        <v>0</v>
      </c>
      <c r="FW61" s="12">
        <v>0</v>
      </c>
      <c r="FX61" s="12">
        <v>14</v>
      </c>
      <c r="FY61" s="12">
        <v>0</v>
      </c>
      <c r="FZ61" s="12">
        <v>2</v>
      </c>
      <c r="GA61" s="12">
        <v>0</v>
      </c>
      <c r="GB61" s="12">
        <v>0</v>
      </c>
      <c r="GC61" s="12">
        <v>0</v>
      </c>
      <c r="GD61" s="12">
        <v>2</v>
      </c>
      <c r="GE61" s="12">
        <v>2</v>
      </c>
      <c r="GF61" s="12">
        <v>17</v>
      </c>
      <c r="GG61" s="12">
        <v>18</v>
      </c>
      <c r="GH61" s="12">
        <v>0</v>
      </c>
      <c r="GI61" s="12">
        <v>2</v>
      </c>
      <c r="GJ61" s="12">
        <v>3</v>
      </c>
      <c r="GK61" s="12">
        <v>0</v>
      </c>
      <c r="GL61" s="12">
        <v>6</v>
      </c>
      <c r="GM61" s="12">
        <v>7</v>
      </c>
      <c r="GN61" s="12">
        <v>12</v>
      </c>
      <c r="GO61" s="12">
        <v>26</v>
      </c>
      <c r="GP61" s="12">
        <v>0</v>
      </c>
      <c r="GQ61" s="12">
        <v>6</v>
      </c>
      <c r="GR61" s="12">
        <v>1</v>
      </c>
      <c r="GS61" s="12">
        <v>1</v>
      </c>
      <c r="GT61" s="12">
        <v>13</v>
      </c>
      <c r="GU61" s="12">
        <v>20</v>
      </c>
      <c r="GV61" s="12">
        <v>0</v>
      </c>
      <c r="GW61" s="12">
        <v>0</v>
      </c>
    </row>
    <row r="62" spans="2:205" ht="15" customHeight="1" x14ac:dyDescent="0.2">
      <c r="B62" s="12">
        <v>4</v>
      </c>
      <c r="C62" s="12" t="s">
        <v>289</v>
      </c>
      <c r="D62" s="12" t="s">
        <v>298</v>
      </c>
      <c r="E62" s="14" t="s">
        <v>291</v>
      </c>
      <c r="F62" s="14" t="s">
        <v>300</v>
      </c>
      <c r="G62" s="15">
        <v>45218</v>
      </c>
      <c r="H62" s="15" t="s">
        <v>271</v>
      </c>
      <c r="I62" s="12" t="s">
        <v>269</v>
      </c>
      <c r="J62" s="12" t="s">
        <v>272</v>
      </c>
      <c r="K62" s="12">
        <v>200</v>
      </c>
      <c r="L62" s="12">
        <v>88</v>
      </c>
      <c r="M62" s="12">
        <v>24</v>
      </c>
      <c r="N62" s="12">
        <v>37</v>
      </c>
      <c r="O62" s="16">
        <v>0.64864864864864868</v>
      </c>
      <c r="P62" s="12">
        <v>10</v>
      </c>
      <c r="Q62" s="12">
        <v>23</v>
      </c>
      <c r="R62" s="16">
        <v>0.43478260869565216</v>
      </c>
      <c r="S62" s="12">
        <v>34</v>
      </c>
      <c r="T62" s="12">
        <v>60</v>
      </c>
      <c r="U62" s="16">
        <v>0.56666666666666665</v>
      </c>
      <c r="V62" s="12">
        <v>10</v>
      </c>
      <c r="W62" s="12">
        <v>12</v>
      </c>
      <c r="X62" s="16">
        <v>0.83333333333333337</v>
      </c>
      <c r="Y62" s="12">
        <v>7</v>
      </c>
      <c r="Z62" s="12">
        <v>21</v>
      </c>
      <c r="AA62" s="12">
        <v>28</v>
      </c>
      <c r="AB62" s="12">
        <v>21</v>
      </c>
      <c r="AC62" s="12">
        <v>15</v>
      </c>
      <c r="AD62" s="12">
        <v>5</v>
      </c>
      <c r="AE62" s="12">
        <v>1</v>
      </c>
      <c r="AF62" s="12">
        <v>1</v>
      </c>
      <c r="AG62" s="12">
        <v>23</v>
      </c>
      <c r="AH62" s="12">
        <v>20</v>
      </c>
      <c r="AI62" s="17">
        <v>96</v>
      </c>
      <c r="AJ62" s="12">
        <v>17</v>
      </c>
      <c r="AK62" s="12">
        <v>73</v>
      </c>
      <c r="AL62" s="12">
        <v>80</v>
      </c>
      <c r="AM62" s="19">
        <v>1.1000000000000001</v>
      </c>
      <c r="AN62" s="19">
        <v>0.82558139534883723</v>
      </c>
      <c r="AO62" s="18">
        <v>120.54794520547945</v>
      </c>
      <c r="AP62" s="18">
        <v>98.611111111111114</v>
      </c>
      <c r="AQ62" s="18">
        <v>21.936834094368336</v>
      </c>
      <c r="AR62" s="53">
        <v>0.65</v>
      </c>
      <c r="AS62" s="53">
        <v>0.67692307692307696</v>
      </c>
      <c r="AT62" s="16">
        <v>0.1125</v>
      </c>
      <c r="AU62" s="19">
        <v>2</v>
      </c>
      <c r="AV62" s="16">
        <v>0.22500000000000001</v>
      </c>
      <c r="AW62" s="19">
        <v>1.2222222222222223</v>
      </c>
      <c r="AX62" s="16">
        <v>0.125</v>
      </c>
      <c r="AY62" s="19">
        <v>0.8</v>
      </c>
      <c r="AZ62" s="16">
        <v>2.5000000000000001E-2</v>
      </c>
      <c r="BA62" s="19">
        <v>1.5</v>
      </c>
      <c r="BB62" s="16">
        <v>0.26250000000000001</v>
      </c>
      <c r="BC62" s="21">
        <v>1.2857142857142858</v>
      </c>
      <c r="BD62" s="16">
        <v>6.25E-2</v>
      </c>
      <c r="BE62" s="16">
        <v>0.1875</v>
      </c>
      <c r="BF62" s="16">
        <v>0.53846153846153844</v>
      </c>
      <c r="BG62" s="16">
        <v>0.66666666666666663</v>
      </c>
      <c r="BH62" s="16">
        <v>0.5</v>
      </c>
      <c r="BI62" s="16">
        <v>0</v>
      </c>
      <c r="BJ62" s="16">
        <v>0.26250000000000001</v>
      </c>
      <c r="BK62" s="21">
        <v>1.4</v>
      </c>
      <c r="BL62" s="16">
        <v>0.29166666666666669</v>
      </c>
      <c r="BM62" s="16">
        <v>0.35714285714285715</v>
      </c>
      <c r="BN62" s="16">
        <v>0.30769230769230771</v>
      </c>
      <c r="BO62" s="16" t="s">
        <v>269</v>
      </c>
      <c r="BP62" s="16">
        <v>0.6</v>
      </c>
      <c r="BQ62" s="16">
        <v>0.65</v>
      </c>
      <c r="BR62" s="16">
        <v>0.53333333333333333</v>
      </c>
      <c r="BS62" s="16">
        <v>0.66666666666666663</v>
      </c>
      <c r="BT62" s="16">
        <v>0.47457627118644069</v>
      </c>
      <c r="BU62" s="16">
        <v>6.9444444444444448E-2</v>
      </c>
      <c r="BV62" s="16">
        <v>1.6666666666666666E-2</v>
      </c>
      <c r="BW62" s="16">
        <v>4</v>
      </c>
      <c r="BX62" s="16">
        <v>0.34782608695652173</v>
      </c>
      <c r="BY62" s="16">
        <v>0.3</v>
      </c>
      <c r="BZ62" s="12">
        <v>16</v>
      </c>
      <c r="CA62" s="12">
        <v>5</v>
      </c>
      <c r="CB62" s="12">
        <v>0</v>
      </c>
      <c r="CC62" s="12">
        <v>0</v>
      </c>
      <c r="CD62" s="12">
        <v>0</v>
      </c>
      <c r="CE62" s="12">
        <v>0</v>
      </c>
      <c r="CF62" s="12">
        <v>1</v>
      </c>
      <c r="CG62" s="12">
        <v>0</v>
      </c>
      <c r="CH62" s="12">
        <v>4</v>
      </c>
      <c r="CI62" s="12">
        <v>0</v>
      </c>
      <c r="CJ62" s="12">
        <v>1</v>
      </c>
      <c r="CK62" s="12">
        <v>1</v>
      </c>
      <c r="CL62" s="12">
        <v>1</v>
      </c>
      <c r="CM62" s="12">
        <v>1</v>
      </c>
      <c r="CN62" s="12">
        <v>0</v>
      </c>
      <c r="CO62" s="12">
        <v>0</v>
      </c>
      <c r="CP62" s="12">
        <v>0</v>
      </c>
      <c r="CQ62" s="12">
        <v>0</v>
      </c>
      <c r="CR62" s="12">
        <v>4</v>
      </c>
      <c r="CS62" s="12">
        <v>0</v>
      </c>
      <c r="CT62" s="12">
        <v>8</v>
      </c>
      <c r="CU62" s="12">
        <v>1</v>
      </c>
      <c r="CV62" s="12">
        <v>1</v>
      </c>
      <c r="CW62" s="12">
        <v>0</v>
      </c>
      <c r="CX62" s="12">
        <v>7</v>
      </c>
      <c r="CY62" s="12">
        <v>0</v>
      </c>
      <c r="CZ62" s="12">
        <v>1</v>
      </c>
      <c r="DA62" s="12">
        <v>1</v>
      </c>
      <c r="DB62" s="12">
        <v>0</v>
      </c>
      <c r="DC62" s="12">
        <v>1</v>
      </c>
      <c r="DD62" s="12">
        <v>1</v>
      </c>
      <c r="DE62" s="12">
        <v>1</v>
      </c>
      <c r="DF62" s="12">
        <v>9</v>
      </c>
      <c r="DG62" s="12">
        <v>10</v>
      </c>
      <c r="DH62" s="12">
        <v>0</v>
      </c>
      <c r="DI62" s="12">
        <v>0</v>
      </c>
      <c r="DJ62" s="12">
        <v>0</v>
      </c>
      <c r="DK62" s="12">
        <v>0</v>
      </c>
      <c r="DL62" s="12">
        <v>9</v>
      </c>
      <c r="DM62" s="12">
        <v>9</v>
      </c>
      <c r="DN62" s="12">
        <v>11</v>
      </c>
      <c r="DO62" s="12">
        <v>18</v>
      </c>
      <c r="DP62" s="12">
        <v>4</v>
      </c>
      <c r="DQ62" s="12">
        <v>10</v>
      </c>
      <c r="DR62" s="12">
        <v>1</v>
      </c>
      <c r="DS62" s="12">
        <v>2</v>
      </c>
      <c r="DT62" s="12">
        <v>9</v>
      </c>
      <c r="DU62" s="12">
        <v>21</v>
      </c>
      <c r="DV62" s="12">
        <v>0</v>
      </c>
      <c r="DW62" s="12">
        <v>0</v>
      </c>
      <c r="DX62" s="12">
        <v>71</v>
      </c>
      <c r="DY62" s="12">
        <v>23</v>
      </c>
      <c r="DZ62" s="12">
        <v>41</v>
      </c>
      <c r="EA62" s="16">
        <v>0.56097560975609762</v>
      </c>
      <c r="EB62" s="12">
        <v>4</v>
      </c>
      <c r="EC62" s="12">
        <v>19</v>
      </c>
      <c r="ED62" s="16">
        <v>0.21052631578947367</v>
      </c>
      <c r="EE62" s="12">
        <v>27</v>
      </c>
      <c r="EF62" s="12">
        <v>60</v>
      </c>
      <c r="EG62" s="16">
        <v>0.45</v>
      </c>
      <c r="EH62" s="12">
        <v>13</v>
      </c>
      <c r="EI62" s="12">
        <v>18</v>
      </c>
      <c r="EJ62" s="16">
        <v>0.72222222222222221</v>
      </c>
      <c r="EK62" s="12">
        <v>14</v>
      </c>
      <c r="EL62" s="12">
        <v>17</v>
      </c>
      <c r="EM62" s="12">
        <v>31</v>
      </c>
      <c r="EN62" s="12">
        <v>10</v>
      </c>
      <c r="EO62" s="12">
        <v>21</v>
      </c>
      <c r="EP62" s="12">
        <v>21</v>
      </c>
      <c r="EQ62" s="12">
        <v>6</v>
      </c>
      <c r="ER62" s="12">
        <v>18</v>
      </c>
      <c r="ES62" s="12">
        <v>1</v>
      </c>
      <c r="ET62" s="12">
        <v>1</v>
      </c>
      <c r="EU62" s="12">
        <v>62</v>
      </c>
      <c r="EV62" s="12">
        <v>-17</v>
      </c>
      <c r="EW62" s="12">
        <v>72</v>
      </c>
      <c r="EX62" s="12">
        <v>86</v>
      </c>
      <c r="EY62" s="12">
        <v>2</v>
      </c>
      <c r="EZ62" s="12">
        <v>8</v>
      </c>
      <c r="FA62" s="12">
        <v>2</v>
      </c>
      <c r="FB62" s="12">
        <v>0</v>
      </c>
      <c r="FC62" s="12">
        <v>0</v>
      </c>
      <c r="FD62" s="12">
        <v>0</v>
      </c>
      <c r="FE62" s="12">
        <v>0</v>
      </c>
      <c r="FF62" s="12">
        <v>3</v>
      </c>
      <c r="FG62" s="12">
        <v>0</v>
      </c>
      <c r="FH62" s="12">
        <v>3</v>
      </c>
      <c r="FI62" s="12">
        <v>1</v>
      </c>
      <c r="FJ62" s="12">
        <v>0</v>
      </c>
      <c r="FK62" s="12">
        <v>0</v>
      </c>
      <c r="FL62" s="12">
        <v>7</v>
      </c>
      <c r="FM62" s="12">
        <v>0</v>
      </c>
      <c r="FN62" s="12">
        <v>1</v>
      </c>
      <c r="FO62" s="12">
        <v>0</v>
      </c>
      <c r="FP62" s="12">
        <v>0</v>
      </c>
      <c r="FQ62" s="12">
        <v>0</v>
      </c>
      <c r="FR62" s="12">
        <v>6</v>
      </c>
      <c r="FS62" s="12">
        <v>1</v>
      </c>
      <c r="FT62" s="12">
        <v>2</v>
      </c>
      <c r="FU62" s="12">
        <v>0</v>
      </c>
      <c r="FV62" s="12">
        <v>0</v>
      </c>
      <c r="FW62" s="12">
        <v>0</v>
      </c>
      <c r="FX62" s="12">
        <v>9</v>
      </c>
      <c r="FY62" s="12">
        <v>0</v>
      </c>
      <c r="FZ62" s="12">
        <v>0</v>
      </c>
      <c r="GA62" s="12">
        <v>0</v>
      </c>
      <c r="GB62" s="12">
        <v>1</v>
      </c>
      <c r="GC62" s="12">
        <v>2</v>
      </c>
      <c r="GD62" s="12">
        <v>0</v>
      </c>
      <c r="GE62" s="12">
        <v>0</v>
      </c>
      <c r="GF62" s="12">
        <v>12</v>
      </c>
      <c r="GG62" s="12">
        <v>16</v>
      </c>
      <c r="GH62" s="12">
        <v>1</v>
      </c>
      <c r="GI62" s="12">
        <v>0</v>
      </c>
      <c r="GJ62" s="12">
        <v>0</v>
      </c>
      <c r="GK62" s="12">
        <v>0</v>
      </c>
      <c r="GL62" s="12">
        <v>4</v>
      </c>
      <c r="GM62" s="12">
        <v>4</v>
      </c>
      <c r="GN62" s="12">
        <v>14</v>
      </c>
      <c r="GO62" s="12">
        <v>21</v>
      </c>
      <c r="GP62" s="12">
        <v>5</v>
      </c>
      <c r="GQ62" s="12">
        <v>16</v>
      </c>
      <c r="GR62" s="12">
        <v>0</v>
      </c>
      <c r="GS62" s="12">
        <v>1</v>
      </c>
      <c r="GT62" s="12">
        <v>4</v>
      </c>
      <c r="GU62" s="12">
        <v>18</v>
      </c>
      <c r="GV62" s="12">
        <v>0</v>
      </c>
      <c r="GW62" s="12">
        <v>0</v>
      </c>
    </row>
    <row r="63" spans="2:205" ht="15" customHeight="1" x14ac:dyDescent="0.2">
      <c r="B63" s="12">
        <v>4</v>
      </c>
      <c r="C63" s="12" t="s">
        <v>298</v>
      </c>
      <c r="D63" s="12" t="s">
        <v>289</v>
      </c>
      <c r="E63" s="14" t="s">
        <v>300</v>
      </c>
      <c r="F63" s="14" t="s">
        <v>291</v>
      </c>
      <c r="G63" s="15">
        <v>45218</v>
      </c>
      <c r="H63" s="15" t="s">
        <v>268</v>
      </c>
      <c r="I63" s="12" t="s">
        <v>269</v>
      </c>
      <c r="J63" s="12" t="s">
        <v>270</v>
      </c>
      <c r="K63" s="12">
        <v>200</v>
      </c>
      <c r="L63" s="12">
        <v>71</v>
      </c>
      <c r="M63" s="12">
        <v>23</v>
      </c>
      <c r="N63" s="12">
        <v>41</v>
      </c>
      <c r="O63" s="16">
        <v>0.56097560975609762</v>
      </c>
      <c r="P63" s="12">
        <v>4</v>
      </c>
      <c r="Q63" s="12">
        <v>19</v>
      </c>
      <c r="R63" s="16">
        <v>0.21052631578947367</v>
      </c>
      <c r="S63" s="12">
        <v>27</v>
      </c>
      <c r="T63" s="12">
        <v>60</v>
      </c>
      <c r="U63" s="16">
        <v>0.45</v>
      </c>
      <c r="V63" s="12">
        <v>13</v>
      </c>
      <c r="W63" s="12">
        <v>18</v>
      </c>
      <c r="X63" s="16">
        <v>0.72222222222222221</v>
      </c>
      <c r="Y63" s="12">
        <v>14</v>
      </c>
      <c r="Z63" s="12">
        <v>17</v>
      </c>
      <c r="AA63" s="12">
        <v>31</v>
      </c>
      <c r="AB63" s="12">
        <v>10</v>
      </c>
      <c r="AC63" s="12">
        <v>18</v>
      </c>
      <c r="AD63" s="12">
        <v>6</v>
      </c>
      <c r="AE63" s="12">
        <v>1</v>
      </c>
      <c r="AF63" s="12">
        <v>1</v>
      </c>
      <c r="AG63" s="12">
        <v>20</v>
      </c>
      <c r="AH63" s="12">
        <v>21</v>
      </c>
      <c r="AI63" s="17">
        <v>63</v>
      </c>
      <c r="AJ63" s="12">
        <v>-17</v>
      </c>
      <c r="AK63" s="12">
        <v>72</v>
      </c>
      <c r="AL63" s="12">
        <v>86</v>
      </c>
      <c r="AM63" s="19">
        <v>0.82558139534883723</v>
      </c>
      <c r="AN63" s="19">
        <v>1.1000000000000001</v>
      </c>
      <c r="AO63" s="18">
        <v>98.611111111111114</v>
      </c>
      <c r="AP63" s="18">
        <v>120.54794520547945</v>
      </c>
      <c r="AQ63" s="18">
        <v>-21.936834094368336</v>
      </c>
      <c r="AR63" s="53">
        <v>0.48333333333333334</v>
      </c>
      <c r="AS63" s="53">
        <v>0.5220588235294118</v>
      </c>
      <c r="AT63" s="16">
        <v>4.6511627906976744E-2</v>
      </c>
      <c r="AU63" s="19">
        <v>2</v>
      </c>
      <c r="AV63" s="16">
        <v>0.2441860465116279</v>
      </c>
      <c r="AW63" s="19">
        <v>1.3333333333333333</v>
      </c>
      <c r="AX63" s="16">
        <v>0.18604651162790697</v>
      </c>
      <c r="AY63" s="19">
        <v>0.625</v>
      </c>
      <c r="AZ63" s="16">
        <v>1.1627906976744186E-2</v>
      </c>
      <c r="BA63" s="19">
        <v>0</v>
      </c>
      <c r="BB63" s="16">
        <v>0.20930232558139536</v>
      </c>
      <c r="BC63" s="21">
        <v>0.66666666666666663</v>
      </c>
      <c r="BD63" s="16">
        <v>9.3023255813953487E-2</v>
      </c>
      <c r="BE63" s="16">
        <v>0.20930232558139536</v>
      </c>
      <c r="BF63" s="16">
        <v>0.29411764705882354</v>
      </c>
      <c r="BG63" s="16">
        <v>0.34782608695652173</v>
      </c>
      <c r="BH63" s="16">
        <v>0.5</v>
      </c>
      <c r="BI63" s="16">
        <v>0</v>
      </c>
      <c r="BJ63" s="16">
        <v>0.11627906976744186</v>
      </c>
      <c r="BK63" s="21">
        <v>0.55555555555555558</v>
      </c>
      <c r="BL63" s="16">
        <v>0.4</v>
      </c>
      <c r="BM63" s="16">
        <v>0.35</v>
      </c>
      <c r="BN63" s="16">
        <v>0.46666666666666667</v>
      </c>
      <c r="BO63" s="16">
        <v>0.33333333333333331</v>
      </c>
      <c r="BP63" s="16">
        <v>0.70833333333333337</v>
      </c>
      <c r="BQ63" s="16">
        <v>0.6428571428571429</v>
      </c>
      <c r="BR63" s="16">
        <v>0.69230769230769229</v>
      </c>
      <c r="BS63" s="16" t="s">
        <v>269</v>
      </c>
      <c r="BT63" s="16">
        <v>0.52542372881355937</v>
      </c>
      <c r="BU63" s="16">
        <v>8.2191780821917804E-2</v>
      </c>
      <c r="BV63" s="16">
        <v>1.6666666666666666E-2</v>
      </c>
      <c r="BW63" s="16">
        <v>2</v>
      </c>
      <c r="BX63" s="16">
        <v>0.3</v>
      </c>
      <c r="BY63" s="16">
        <v>0.38095238095238093</v>
      </c>
      <c r="BZ63" s="12">
        <v>8</v>
      </c>
      <c r="CA63" s="12">
        <v>2</v>
      </c>
      <c r="CB63" s="12">
        <v>0</v>
      </c>
      <c r="CC63" s="12">
        <v>0</v>
      </c>
      <c r="CD63" s="12">
        <v>0</v>
      </c>
      <c r="CE63" s="12">
        <v>0</v>
      </c>
      <c r="CF63" s="12">
        <v>3</v>
      </c>
      <c r="CG63" s="12">
        <v>0</v>
      </c>
      <c r="CH63" s="12">
        <v>3</v>
      </c>
      <c r="CI63" s="12">
        <v>1</v>
      </c>
      <c r="CJ63" s="12">
        <v>0</v>
      </c>
      <c r="CK63" s="12">
        <v>0</v>
      </c>
      <c r="CL63" s="12">
        <v>7</v>
      </c>
      <c r="CM63" s="12">
        <v>0</v>
      </c>
      <c r="CN63" s="12">
        <v>1</v>
      </c>
      <c r="CO63" s="12">
        <v>0</v>
      </c>
      <c r="CP63" s="12">
        <v>0</v>
      </c>
      <c r="CQ63" s="12">
        <v>0</v>
      </c>
      <c r="CR63" s="12">
        <v>6</v>
      </c>
      <c r="CS63" s="12">
        <v>1</v>
      </c>
      <c r="CT63" s="12">
        <v>2</v>
      </c>
      <c r="CU63" s="12">
        <v>0</v>
      </c>
      <c r="CV63" s="12">
        <v>0</v>
      </c>
      <c r="CW63" s="12">
        <v>0</v>
      </c>
      <c r="CX63" s="12">
        <v>9</v>
      </c>
      <c r="CY63" s="12">
        <v>0</v>
      </c>
      <c r="CZ63" s="12">
        <v>0</v>
      </c>
      <c r="DA63" s="12">
        <v>0</v>
      </c>
      <c r="DB63" s="12">
        <v>1</v>
      </c>
      <c r="DC63" s="12">
        <v>2</v>
      </c>
      <c r="DD63" s="12">
        <v>0</v>
      </c>
      <c r="DE63" s="12">
        <v>0</v>
      </c>
      <c r="DF63" s="12">
        <v>12</v>
      </c>
      <c r="DG63" s="12">
        <v>16</v>
      </c>
      <c r="DH63" s="12">
        <v>1</v>
      </c>
      <c r="DI63" s="12">
        <v>0</v>
      </c>
      <c r="DJ63" s="12">
        <v>0</v>
      </c>
      <c r="DK63" s="12">
        <v>0</v>
      </c>
      <c r="DL63" s="12">
        <v>4</v>
      </c>
      <c r="DM63" s="12">
        <v>4</v>
      </c>
      <c r="DN63" s="12">
        <v>14</v>
      </c>
      <c r="DO63" s="12">
        <v>21</v>
      </c>
      <c r="DP63" s="12">
        <v>5</v>
      </c>
      <c r="DQ63" s="12">
        <v>16</v>
      </c>
      <c r="DR63" s="12">
        <v>0</v>
      </c>
      <c r="DS63" s="12">
        <v>1</v>
      </c>
      <c r="DT63" s="12">
        <v>4</v>
      </c>
      <c r="DU63" s="12">
        <v>18</v>
      </c>
      <c r="DV63" s="12">
        <v>0</v>
      </c>
      <c r="DW63" s="12">
        <v>0</v>
      </c>
      <c r="DX63" s="12">
        <v>88</v>
      </c>
      <c r="DY63" s="12">
        <v>24</v>
      </c>
      <c r="DZ63" s="12">
        <v>37</v>
      </c>
      <c r="EA63" s="16">
        <v>0.64864864864864868</v>
      </c>
      <c r="EB63" s="12">
        <v>10</v>
      </c>
      <c r="EC63" s="12">
        <v>23</v>
      </c>
      <c r="ED63" s="16">
        <v>0.43478260869565216</v>
      </c>
      <c r="EE63" s="12">
        <v>34</v>
      </c>
      <c r="EF63" s="12">
        <v>60</v>
      </c>
      <c r="EG63" s="16">
        <v>0.56666666666666665</v>
      </c>
      <c r="EH63" s="12">
        <v>10</v>
      </c>
      <c r="EI63" s="12">
        <v>12</v>
      </c>
      <c r="EJ63" s="16">
        <v>0.83333333333333337</v>
      </c>
      <c r="EK63" s="12">
        <v>7</v>
      </c>
      <c r="EL63" s="12">
        <v>21</v>
      </c>
      <c r="EM63" s="12">
        <v>28</v>
      </c>
      <c r="EN63" s="12">
        <v>21</v>
      </c>
      <c r="EO63" s="12">
        <v>23</v>
      </c>
      <c r="EP63" s="12">
        <v>20</v>
      </c>
      <c r="EQ63" s="12">
        <v>5</v>
      </c>
      <c r="ER63" s="12">
        <v>15</v>
      </c>
      <c r="ES63" s="12">
        <v>1</v>
      </c>
      <c r="ET63" s="12">
        <v>1</v>
      </c>
      <c r="EU63" s="12">
        <v>96</v>
      </c>
      <c r="EV63" s="12">
        <v>17</v>
      </c>
      <c r="EW63" s="12">
        <v>73</v>
      </c>
      <c r="EX63" s="12">
        <v>80</v>
      </c>
      <c r="EY63" s="12">
        <v>4</v>
      </c>
      <c r="EZ63" s="12">
        <v>16</v>
      </c>
      <c r="FA63" s="12">
        <v>5</v>
      </c>
      <c r="FB63" s="12">
        <v>0</v>
      </c>
      <c r="FC63" s="12">
        <v>0</v>
      </c>
      <c r="FD63" s="12">
        <v>0</v>
      </c>
      <c r="FE63" s="12">
        <v>0</v>
      </c>
      <c r="FF63" s="12">
        <v>1</v>
      </c>
      <c r="FG63" s="12">
        <v>0</v>
      </c>
      <c r="FH63" s="12">
        <v>4</v>
      </c>
      <c r="FI63" s="12">
        <v>0</v>
      </c>
      <c r="FJ63" s="12">
        <v>1</v>
      </c>
      <c r="FK63" s="12">
        <v>1</v>
      </c>
      <c r="FL63" s="12">
        <v>1</v>
      </c>
      <c r="FM63" s="12">
        <v>1</v>
      </c>
      <c r="FN63" s="12">
        <v>0</v>
      </c>
      <c r="FO63" s="12">
        <v>0</v>
      </c>
      <c r="FP63" s="12">
        <v>0</v>
      </c>
      <c r="FQ63" s="12">
        <v>0</v>
      </c>
      <c r="FR63" s="12">
        <v>4</v>
      </c>
      <c r="FS63" s="12">
        <v>0</v>
      </c>
      <c r="FT63" s="12">
        <v>8</v>
      </c>
      <c r="FU63" s="12">
        <v>1</v>
      </c>
      <c r="FV63" s="12">
        <v>1</v>
      </c>
      <c r="FW63" s="12">
        <v>0</v>
      </c>
      <c r="FX63" s="12">
        <v>7</v>
      </c>
      <c r="FY63" s="12">
        <v>0</v>
      </c>
      <c r="FZ63" s="12">
        <v>1</v>
      </c>
      <c r="GA63" s="12">
        <v>1</v>
      </c>
      <c r="GB63" s="12">
        <v>0</v>
      </c>
      <c r="GC63" s="12">
        <v>1</v>
      </c>
      <c r="GD63" s="12">
        <v>1</v>
      </c>
      <c r="GE63" s="12">
        <v>1</v>
      </c>
      <c r="GF63" s="12">
        <v>9</v>
      </c>
      <c r="GG63" s="12">
        <v>10</v>
      </c>
      <c r="GH63" s="12">
        <v>0</v>
      </c>
      <c r="GI63" s="12">
        <v>0</v>
      </c>
      <c r="GJ63" s="12">
        <v>0</v>
      </c>
      <c r="GK63" s="12">
        <v>0</v>
      </c>
      <c r="GL63" s="12">
        <v>9</v>
      </c>
      <c r="GM63" s="12">
        <v>9</v>
      </c>
      <c r="GN63" s="12">
        <v>11</v>
      </c>
      <c r="GO63" s="12">
        <v>18</v>
      </c>
      <c r="GP63" s="12">
        <v>4</v>
      </c>
      <c r="GQ63" s="12">
        <v>10</v>
      </c>
      <c r="GR63" s="12">
        <v>1</v>
      </c>
      <c r="GS63" s="12">
        <v>2</v>
      </c>
      <c r="GT63" s="12">
        <v>9</v>
      </c>
      <c r="GU63" s="12">
        <v>21</v>
      </c>
      <c r="GV63" s="12">
        <v>0</v>
      </c>
      <c r="GW63" s="12">
        <v>0</v>
      </c>
    </row>
    <row r="64" spans="2:205" ht="15" customHeight="1" x14ac:dyDescent="0.2">
      <c r="B64" s="12">
        <v>4</v>
      </c>
      <c r="C64" s="12" t="s">
        <v>281</v>
      </c>
      <c r="D64" s="12" t="s">
        <v>301</v>
      </c>
      <c r="E64" s="14" t="s">
        <v>283</v>
      </c>
      <c r="F64" s="14" t="s">
        <v>302</v>
      </c>
      <c r="G64" s="15">
        <v>45219</v>
      </c>
      <c r="H64" s="15" t="s">
        <v>271</v>
      </c>
      <c r="I64" s="12" t="s">
        <v>269</v>
      </c>
      <c r="J64" s="12" t="s">
        <v>272</v>
      </c>
      <c r="K64" s="12">
        <v>200</v>
      </c>
      <c r="L64" s="12">
        <v>86</v>
      </c>
      <c r="M64" s="12">
        <v>25</v>
      </c>
      <c r="N64" s="12">
        <v>40</v>
      </c>
      <c r="O64" s="16">
        <v>0.625</v>
      </c>
      <c r="P64" s="12">
        <v>9</v>
      </c>
      <c r="Q64" s="12">
        <v>19</v>
      </c>
      <c r="R64" s="16">
        <v>0.47368421052631576</v>
      </c>
      <c r="S64" s="12">
        <v>34</v>
      </c>
      <c r="T64" s="12">
        <v>59</v>
      </c>
      <c r="U64" s="16">
        <v>0.57627118644067798</v>
      </c>
      <c r="V64" s="12">
        <v>9</v>
      </c>
      <c r="W64" s="12">
        <v>12</v>
      </c>
      <c r="X64" s="16">
        <v>0.75</v>
      </c>
      <c r="Y64" s="12">
        <v>7</v>
      </c>
      <c r="Z64" s="12">
        <v>26</v>
      </c>
      <c r="AA64" s="12">
        <v>33</v>
      </c>
      <c r="AB64" s="12">
        <v>24</v>
      </c>
      <c r="AC64" s="12">
        <v>14</v>
      </c>
      <c r="AD64" s="12">
        <v>7</v>
      </c>
      <c r="AE64" s="12">
        <v>2</v>
      </c>
      <c r="AF64" s="12">
        <v>1</v>
      </c>
      <c r="AG64" s="12">
        <v>16</v>
      </c>
      <c r="AH64" s="12">
        <v>14</v>
      </c>
      <c r="AI64" s="17">
        <v>107</v>
      </c>
      <c r="AJ64" s="12">
        <v>11</v>
      </c>
      <c r="AK64" s="12">
        <v>71</v>
      </c>
      <c r="AL64" s="12">
        <v>78</v>
      </c>
      <c r="AM64" s="19">
        <v>1.1025641025641026</v>
      </c>
      <c r="AN64" s="19">
        <v>0.8928571428571429</v>
      </c>
      <c r="AO64" s="18">
        <v>121.12676056338027</v>
      </c>
      <c r="AP64" s="18">
        <v>104.16666666666667</v>
      </c>
      <c r="AQ64" s="18">
        <v>16.960093896713602</v>
      </c>
      <c r="AR64" s="53">
        <v>0.65254237288135597</v>
      </c>
      <c r="AS64" s="53">
        <v>0.671875</v>
      </c>
      <c r="AT64" s="16">
        <v>3.8461538461538464E-2</v>
      </c>
      <c r="AU64" s="19">
        <v>1.3333333333333333</v>
      </c>
      <c r="AV64" s="16">
        <v>0.34615384615384615</v>
      </c>
      <c r="AW64" s="19">
        <v>1.1851851851851851</v>
      </c>
      <c r="AX64" s="16">
        <v>0.12820512820512819</v>
      </c>
      <c r="AY64" s="19">
        <v>1.4</v>
      </c>
      <c r="AZ64" s="16">
        <v>0</v>
      </c>
      <c r="BA64" s="19" t="s">
        <v>269</v>
      </c>
      <c r="BB64" s="16">
        <v>0.24358974358974358</v>
      </c>
      <c r="BC64" s="21">
        <v>1.4210526315789473</v>
      </c>
      <c r="BD64" s="16">
        <v>6.4102564102564097E-2</v>
      </c>
      <c r="BE64" s="16">
        <v>0.17948717948717949</v>
      </c>
      <c r="BF64" s="16">
        <v>0.63157894736842102</v>
      </c>
      <c r="BG64" s="16">
        <v>0.6</v>
      </c>
      <c r="BH64" s="16">
        <v>1</v>
      </c>
      <c r="BI64" s="16">
        <v>0</v>
      </c>
      <c r="BJ64" s="16">
        <v>0.30769230769230771</v>
      </c>
      <c r="BK64" s="21">
        <v>1.7142857142857142</v>
      </c>
      <c r="BL64" s="16">
        <v>0.26923076923076922</v>
      </c>
      <c r="BM64" s="16">
        <v>0.375</v>
      </c>
      <c r="BN64" s="16">
        <v>0.1111111111111111</v>
      </c>
      <c r="BO64" s="16">
        <v>0</v>
      </c>
      <c r="BP64" s="16">
        <v>0.68421052631578949</v>
      </c>
      <c r="BQ64" s="16">
        <v>0.52631578947368418</v>
      </c>
      <c r="BR64" s="16">
        <v>0.80952380952380953</v>
      </c>
      <c r="BS64" s="16">
        <v>0</v>
      </c>
      <c r="BT64" s="16">
        <v>0.515625</v>
      </c>
      <c r="BU64" s="16">
        <v>9.7222222222222224E-2</v>
      </c>
      <c r="BV64" s="16">
        <v>3.125E-2</v>
      </c>
      <c r="BW64" s="16">
        <v>6</v>
      </c>
      <c r="BX64" s="16">
        <v>0.4375</v>
      </c>
      <c r="BY64" s="16">
        <v>0.5</v>
      </c>
      <c r="BZ64" s="12">
        <v>15</v>
      </c>
      <c r="CA64" s="12">
        <v>9</v>
      </c>
      <c r="CB64" s="12">
        <v>0</v>
      </c>
      <c r="CC64" s="12">
        <v>0</v>
      </c>
      <c r="CD64" s="12">
        <v>1</v>
      </c>
      <c r="CE64" s="12">
        <v>0</v>
      </c>
      <c r="CF64" s="12">
        <v>4</v>
      </c>
      <c r="CG64" s="12">
        <v>0</v>
      </c>
      <c r="CH64" s="12">
        <v>1</v>
      </c>
      <c r="CI64" s="12">
        <v>0</v>
      </c>
      <c r="CJ64" s="12">
        <v>0</v>
      </c>
      <c r="CK64" s="12">
        <v>0</v>
      </c>
      <c r="CL64" s="12">
        <v>1</v>
      </c>
      <c r="CM64" s="12">
        <v>0</v>
      </c>
      <c r="CN64" s="12">
        <v>0</v>
      </c>
      <c r="CO64" s="12">
        <v>0</v>
      </c>
      <c r="CP64" s="12">
        <v>1</v>
      </c>
      <c r="CQ64" s="12">
        <v>0</v>
      </c>
      <c r="CR64" s="12">
        <v>5</v>
      </c>
      <c r="CS64" s="12">
        <v>0</v>
      </c>
      <c r="CT64" s="12">
        <v>4</v>
      </c>
      <c r="CU64" s="12">
        <v>0</v>
      </c>
      <c r="CV64" s="12">
        <v>0</v>
      </c>
      <c r="CW64" s="12">
        <v>0</v>
      </c>
      <c r="CX64" s="12">
        <v>16</v>
      </c>
      <c r="CY64" s="12">
        <v>1</v>
      </c>
      <c r="CZ64" s="12">
        <v>0</v>
      </c>
      <c r="DA64" s="12">
        <v>0</v>
      </c>
      <c r="DB64" s="12">
        <v>0</v>
      </c>
      <c r="DC64" s="12">
        <v>0</v>
      </c>
      <c r="DD64" s="12">
        <v>1</v>
      </c>
      <c r="DE64" s="12">
        <v>2</v>
      </c>
      <c r="DF64" s="12">
        <v>8</v>
      </c>
      <c r="DG64" s="12">
        <v>10</v>
      </c>
      <c r="DH64" s="12">
        <v>1</v>
      </c>
      <c r="DI64" s="12">
        <v>0</v>
      </c>
      <c r="DJ64" s="12">
        <v>0</v>
      </c>
      <c r="DK64" s="12">
        <v>0</v>
      </c>
      <c r="DL64" s="12">
        <v>2</v>
      </c>
      <c r="DM64" s="12">
        <v>3</v>
      </c>
      <c r="DN64" s="12">
        <v>16</v>
      </c>
      <c r="DO64" s="12">
        <v>27</v>
      </c>
      <c r="DP64" s="12">
        <v>7</v>
      </c>
      <c r="DQ64" s="12">
        <v>10</v>
      </c>
      <c r="DR64" s="12">
        <v>0</v>
      </c>
      <c r="DS64" s="12">
        <v>0</v>
      </c>
      <c r="DT64" s="12">
        <v>9</v>
      </c>
      <c r="DU64" s="12">
        <v>19</v>
      </c>
      <c r="DV64" s="12">
        <v>0</v>
      </c>
      <c r="DW64" s="12">
        <v>0</v>
      </c>
      <c r="DX64" s="12">
        <v>75</v>
      </c>
      <c r="DY64" s="12">
        <v>15</v>
      </c>
      <c r="DZ64" s="12">
        <v>32</v>
      </c>
      <c r="EA64" s="16">
        <v>0.46875</v>
      </c>
      <c r="EB64" s="12">
        <v>11</v>
      </c>
      <c r="EC64" s="12">
        <v>32</v>
      </c>
      <c r="ED64" s="16">
        <v>0.34375</v>
      </c>
      <c r="EE64" s="12">
        <v>26</v>
      </c>
      <c r="EF64" s="12">
        <v>64</v>
      </c>
      <c r="EG64" s="16">
        <v>0.40625</v>
      </c>
      <c r="EH64" s="12">
        <v>12</v>
      </c>
      <c r="EI64" s="12">
        <v>14</v>
      </c>
      <c r="EJ64" s="16">
        <v>0.8571428571428571</v>
      </c>
      <c r="EK64" s="12">
        <v>12</v>
      </c>
      <c r="EL64" s="12">
        <v>19</v>
      </c>
      <c r="EM64" s="12">
        <v>31</v>
      </c>
      <c r="EN64" s="12">
        <v>16</v>
      </c>
      <c r="EO64" s="12">
        <v>14</v>
      </c>
      <c r="EP64" s="12">
        <v>15</v>
      </c>
      <c r="EQ64" s="12">
        <v>6</v>
      </c>
      <c r="ER64" s="12">
        <v>14</v>
      </c>
      <c r="ES64" s="12">
        <v>1</v>
      </c>
      <c r="ET64" s="12">
        <v>2</v>
      </c>
      <c r="EU64" s="12">
        <v>74</v>
      </c>
      <c r="EV64" s="12">
        <v>-11</v>
      </c>
      <c r="EW64" s="12">
        <v>72</v>
      </c>
      <c r="EX64" s="12">
        <v>84</v>
      </c>
      <c r="EY64" s="12">
        <v>5</v>
      </c>
      <c r="EZ64" s="12">
        <v>7</v>
      </c>
      <c r="FA64" s="12">
        <v>7</v>
      </c>
      <c r="FB64" s="12">
        <v>2</v>
      </c>
      <c r="FC64" s="12">
        <v>4</v>
      </c>
      <c r="FD64" s="12">
        <v>0</v>
      </c>
      <c r="FE64" s="12">
        <v>0</v>
      </c>
      <c r="FF64" s="12">
        <v>5</v>
      </c>
      <c r="FG64" s="12">
        <v>1</v>
      </c>
      <c r="FH64" s="12">
        <v>2</v>
      </c>
      <c r="FI64" s="12">
        <v>1</v>
      </c>
      <c r="FJ64" s="12">
        <v>0</v>
      </c>
      <c r="FK64" s="12">
        <v>0</v>
      </c>
      <c r="FL64" s="12">
        <v>4</v>
      </c>
      <c r="FM64" s="12">
        <v>0</v>
      </c>
      <c r="FN64" s="12">
        <v>1</v>
      </c>
      <c r="FO64" s="12">
        <v>0</v>
      </c>
      <c r="FP64" s="12">
        <v>0</v>
      </c>
      <c r="FQ64" s="12">
        <v>0</v>
      </c>
      <c r="FR64" s="12">
        <v>7</v>
      </c>
      <c r="FS64" s="12">
        <v>1</v>
      </c>
      <c r="FT64" s="12">
        <v>2</v>
      </c>
      <c r="FU64" s="12">
        <v>0</v>
      </c>
      <c r="FV64" s="12">
        <v>0</v>
      </c>
      <c r="FW64" s="12">
        <v>0</v>
      </c>
      <c r="FX64" s="12">
        <v>8</v>
      </c>
      <c r="FY64" s="12">
        <v>0</v>
      </c>
      <c r="FZ64" s="12">
        <v>2</v>
      </c>
      <c r="GA64" s="12">
        <v>0</v>
      </c>
      <c r="GB64" s="12">
        <v>1</v>
      </c>
      <c r="GC64" s="12">
        <v>1</v>
      </c>
      <c r="GD64" s="12">
        <v>1</v>
      </c>
      <c r="GE64" s="12">
        <v>1</v>
      </c>
      <c r="GF64" s="12">
        <v>10</v>
      </c>
      <c r="GG64" s="12">
        <v>12</v>
      </c>
      <c r="GH64" s="12">
        <v>0</v>
      </c>
      <c r="GI64" s="12">
        <v>0</v>
      </c>
      <c r="GJ64" s="12">
        <v>0</v>
      </c>
      <c r="GK64" s="12">
        <v>0</v>
      </c>
      <c r="GL64" s="12">
        <v>3</v>
      </c>
      <c r="GM64" s="12">
        <v>4</v>
      </c>
      <c r="GN64" s="12">
        <v>10</v>
      </c>
      <c r="GO64" s="12">
        <v>20</v>
      </c>
      <c r="GP64" s="12">
        <v>2</v>
      </c>
      <c r="GQ64" s="12">
        <v>8</v>
      </c>
      <c r="GR64" s="12">
        <v>0</v>
      </c>
      <c r="GS64" s="12">
        <v>0</v>
      </c>
      <c r="GT64" s="12">
        <v>11</v>
      </c>
      <c r="GU64" s="12">
        <v>32</v>
      </c>
      <c r="GV64" s="12">
        <v>0</v>
      </c>
      <c r="GW64" s="12">
        <v>0</v>
      </c>
    </row>
    <row r="65" spans="2:205" ht="15" customHeight="1" x14ac:dyDescent="0.2">
      <c r="B65" s="12">
        <v>4</v>
      </c>
      <c r="C65" s="12" t="s">
        <v>301</v>
      </c>
      <c r="D65" s="12" t="s">
        <v>281</v>
      </c>
      <c r="E65" s="14" t="s">
        <v>302</v>
      </c>
      <c r="F65" s="14" t="s">
        <v>283</v>
      </c>
      <c r="G65" s="15">
        <v>45219</v>
      </c>
      <c r="H65" s="15" t="s">
        <v>268</v>
      </c>
      <c r="I65" s="12" t="s">
        <v>269</v>
      </c>
      <c r="J65" s="12" t="s">
        <v>270</v>
      </c>
      <c r="K65" s="12">
        <v>200</v>
      </c>
      <c r="L65" s="12">
        <v>75</v>
      </c>
      <c r="M65" s="12">
        <v>15</v>
      </c>
      <c r="N65" s="12">
        <v>32</v>
      </c>
      <c r="O65" s="16">
        <v>0.46875</v>
      </c>
      <c r="P65" s="12">
        <v>11</v>
      </c>
      <c r="Q65" s="12">
        <v>32</v>
      </c>
      <c r="R65" s="16">
        <v>0.34375</v>
      </c>
      <c r="S65" s="12">
        <v>26</v>
      </c>
      <c r="T65" s="12">
        <v>64</v>
      </c>
      <c r="U65" s="16">
        <v>0.40625</v>
      </c>
      <c r="V65" s="12">
        <v>12</v>
      </c>
      <c r="W65" s="12">
        <v>14</v>
      </c>
      <c r="X65" s="16">
        <v>0.8571428571428571</v>
      </c>
      <c r="Y65" s="12">
        <v>12</v>
      </c>
      <c r="Z65" s="12">
        <v>19</v>
      </c>
      <c r="AA65" s="12">
        <v>31</v>
      </c>
      <c r="AB65" s="12">
        <v>16</v>
      </c>
      <c r="AC65" s="12">
        <v>14</v>
      </c>
      <c r="AD65" s="12">
        <v>6</v>
      </c>
      <c r="AE65" s="12">
        <v>1</v>
      </c>
      <c r="AF65" s="12">
        <v>2</v>
      </c>
      <c r="AG65" s="12">
        <v>14</v>
      </c>
      <c r="AH65" s="12">
        <v>15</v>
      </c>
      <c r="AI65" s="17">
        <v>74</v>
      </c>
      <c r="AJ65" s="12">
        <v>-11</v>
      </c>
      <c r="AK65" s="12">
        <v>72</v>
      </c>
      <c r="AL65" s="12">
        <v>84</v>
      </c>
      <c r="AM65" s="19">
        <v>0.8928571428571429</v>
      </c>
      <c r="AN65" s="19">
        <v>1.1025641025641026</v>
      </c>
      <c r="AO65" s="18">
        <v>104.16666666666667</v>
      </c>
      <c r="AP65" s="18">
        <v>121.12676056338027</v>
      </c>
      <c r="AQ65" s="18">
        <v>-16.960093896713602</v>
      </c>
      <c r="AR65" s="53">
        <v>0.4921875</v>
      </c>
      <c r="AS65" s="53">
        <v>0.5357142857142857</v>
      </c>
      <c r="AT65" s="16">
        <v>4.7619047619047616E-2</v>
      </c>
      <c r="AU65" s="19">
        <v>1.5</v>
      </c>
      <c r="AV65" s="16">
        <v>0.23809523809523808</v>
      </c>
      <c r="AW65" s="19">
        <v>1</v>
      </c>
      <c r="AX65" s="16">
        <v>9.5238095238095233E-2</v>
      </c>
      <c r="AY65" s="19">
        <v>0.5</v>
      </c>
      <c r="AZ65" s="16">
        <v>0</v>
      </c>
      <c r="BA65" s="19" t="s">
        <v>269</v>
      </c>
      <c r="BB65" s="16">
        <v>0.38095238095238093</v>
      </c>
      <c r="BC65" s="21">
        <v>1.03125</v>
      </c>
      <c r="BD65" s="16">
        <v>7.1428571428571425E-2</v>
      </c>
      <c r="BE65" s="16">
        <v>0.16666666666666666</v>
      </c>
      <c r="BF65" s="16">
        <v>0.5</v>
      </c>
      <c r="BG65" s="16">
        <v>0.46666666666666667</v>
      </c>
      <c r="BH65" s="16">
        <v>0.63636363636363635</v>
      </c>
      <c r="BI65" s="16">
        <v>0.33333333333333331</v>
      </c>
      <c r="BJ65" s="16">
        <v>0.19047619047619047</v>
      </c>
      <c r="BK65" s="21">
        <v>1.1428571428571428</v>
      </c>
      <c r="BL65" s="16">
        <v>0.31578947368421051</v>
      </c>
      <c r="BM65" s="16">
        <v>0.47368421052631576</v>
      </c>
      <c r="BN65" s="16">
        <v>0.19047619047619047</v>
      </c>
      <c r="BO65" s="16">
        <v>1</v>
      </c>
      <c r="BP65" s="16">
        <v>0.73076923076923073</v>
      </c>
      <c r="BQ65" s="16">
        <v>0.625</v>
      </c>
      <c r="BR65" s="16">
        <v>0.88888888888888884</v>
      </c>
      <c r="BS65" s="16">
        <v>1</v>
      </c>
      <c r="BT65" s="16">
        <v>0.484375</v>
      </c>
      <c r="BU65" s="16">
        <v>8.4507042253521125E-2</v>
      </c>
      <c r="BV65" s="16">
        <v>1.6949152542372881E-2</v>
      </c>
      <c r="BW65" s="16">
        <v>5</v>
      </c>
      <c r="BX65" s="16">
        <v>0.5</v>
      </c>
      <c r="BY65" s="16">
        <v>0.46666666666666667</v>
      </c>
      <c r="BZ65" s="12">
        <v>7</v>
      </c>
      <c r="CA65" s="12">
        <v>7</v>
      </c>
      <c r="CB65" s="12">
        <v>2</v>
      </c>
      <c r="CC65" s="12">
        <v>4</v>
      </c>
      <c r="CD65" s="12">
        <v>0</v>
      </c>
      <c r="CE65" s="12">
        <v>0</v>
      </c>
      <c r="CF65" s="12">
        <v>5</v>
      </c>
      <c r="CG65" s="12">
        <v>1</v>
      </c>
      <c r="CH65" s="12">
        <v>2</v>
      </c>
      <c r="CI65" s="12">
        <v>1</v>
      </c>
      <c r="CJ65" s="12">
        <v>0</v>
      </c>
      <c r="CK65" s="12">
        <v>0</v>
      </c>
      <c r="CL65" s="12">
        <v>4</v>
      </c>
      <c r="CM65" s="12">
        <v>0</v>
      </c>
      <c r="CN65" s="12">
        <v>1</v>
      </c>
      <c r="CO65" s="12">
        <v>0</v>
      </c>
      <c r="CP65" s="12">
        <v>0</v>
      </c>
      <c r="CQ65" s="12">
        <v>0</v>
      </c>
      <c r="CR65" s="12">
        <v>7</v>
      </c>
      <c r="CS65" s="12">
        <v>1</v>
      </c>
      <c r="CT65" s="12">
        <v>2</v>
      </c>
      <c r="CU65" s="12">
        <v>0</v>
      </c>
      <c r="CV65" s="12">
        <v>0</v>
      </c>
      <c r="CW65" s="12">
        <v>0</v>
      </c>
      <c r="CX65" s="12">
        <v>8</v>
      </c>
      <c r="CY65" s="12">
        <v>0</v>
      </c>
      <c r="CZ65" s="12">
        <v>2</v>
      </c>
      <c r="DA65" s="12">
        <v>0</v>
      </c>
      <c r="DB65" s="12">
        <v>1</v>
      </c>
      <c r="DC65" s="12">
        <v>1</v>
      </c>
      <c r="DD65" s="12">
        <v>1</v>
      </c>
      <c r="DE65" s="12">
        <v>1</v>
      </c>
      <c r="DF65" s="12">
        <v>10</v>
      </c>
      <c r="DG65" s="12">
        <v>12</v>
      </c>
      <c r="DH65" s="12">
        <v>0</v>
      </c>
      <c r="DI65" s="12">
        <v>0</v>
      </c>
      <c r="DJ65" s="12">
        <v>0</v>
      </c>
      <c r="DK65" s="12">
        <v>0</v>
      </c>
      <c r="DL65" s="12">
        <v>3</v>
      </c>
      <c r="DM65" s="12">
        <v>4</v>
      </c>
      <c r="DN65" s="12">
        <v>10</v>
      </c>
      <c r="DO65" s="12">
        <v>20</v>
      </c>
      <c r="DP65" s="12">
        <v>2</v>
      </c>
      <c r="DQ65" s="12">
        <v>8</v>
      </c>
      <c r="DR65" s="12">
        <v>0</v>
      </c>
      <c r="DS65" s="12">
        <v>0</v>
      </c>
      <c r="DT65" s="12">
        <v>11</v>
      </c>
      <c r="DU65" s="12">
        <v>32</v>
      </c>
      <c r="DV65" s="12">
        <v>0</v>
      </c>
      <c r="DW65" s="12">
        <v>0</v>
      </c>
      <c r="DX65" s="12">
        <v>86</v>
      </c>
      <c r="DY65" s="12">
        <v>25</v>
      </c>
      <c r="DZ65" s="12">
        <v>40</v>
      </c>
      <c r="EA65" s="16">
        <v>0.625</v>
      </c>
      <c r="EB65" s="12">
        <v>9</v>
      </c>
      <c r="EC65" s="12">
        <v>19</v>
      </c>
      <c r="ED65" s="16">
        <v>0.47368421052631576</v>
      </c>
      <c r="EE65" s="12">
        <v>34</v>
      </c>
      <c r="EF65" s="12">
        <v>59</v>
      </c>
      <c r="EG65" s="16">
        <v>0.57627118644067798</v>
      </c>
      <c r="EH65" s="12">
        <v>9</v>
      </c>
      <c r="EI65" s="12">
        <v>12</v>
      </c>
      <c r="EJ65" s="16">
        <v>0.75</v>
      </c>
      <c r="EK65" s="12">
        <v>7</v>
      </c>
      <c r="EL65" s="12">
        <v>26</v>
      </c>
      <c r="EM65" s="12">
        <v>33</v>
      </c>
      <c r="EN65" s="12">
        <v>24</v>
      </c>
      <c r="EO65" s="12">
        <v>16</v>
      </c>
      <c r="EP65" s="12">
        <v>14</v>
      </c>
      <c r="EQ65" s="12">
        <v>7</v>
      </c>
      <c r="ER65" s="12">
        <v>14</v>
      </c>
      <c r="ES65" s="12">
        <v>2</v>
      </c>
      <c r="ET65" s="12">
        <v>1</v>
      </c>
      <c r="EU65" s="12">
        <v>107</v>
      </c>
      <c r="EV65" s="12">
        <v>11</v>
      </c>
      <c r="EW65" s="12">
        <v>71</v>
      </c>
      <c r="EX65" s="12">
        <v>78</v>
      </c>
      <c r="EY65" s="12">
        <v>6</v>
      </c>
      <c r="EZ65" s="12">
        <v>15</v>
      </c>
      <c r="FA65" s="12">
        <v>9</v>
      </c>
      <c r="FB65" s="12">
        <v>0</v>
      </c>
      <c r="FC65" s="12">
        <v>0</v>
      </c>
      <c r="FD65" s="12">
        <v>1</v>
      </c>
      <c r="FE65" s="12">
        <v>0</v>
      </c>
      <c r="FF65" s="12">
        <v>4</v>
      </c>
      <c r="FG65" s="12">
        <v>0</v>
      </c>
      <c r="FH65" s="12">
        <v>1</v>
      </c>
      <c r="FI65" s="12">
        <v>0</v>
      </c>
      <c r="FJ65" s="12">
        <v>0</v>
      </c>
      <c r="FK65" s="12">
        <v>0</v>
      </c>
      <c r="FL65" s="12">
        <v>1</v>
      </c>
      <c r="FM65" s="12">
        <v>0</v>
      </c>
      <c r="FN65" s="12">
        <v>0</v>
      </c>
      <c r="FO65" s="12">
        <v>0</v>
      </c>
      <c r="FP65" s="12">
        <v>1</v>
      </c>
      <c r="FQ65" s="12">
        <v>0</v>
      </c>
      <c r="FR65" s="12">
        <v>5</v>
      </c>
      <c r="FS65" s="12">
        <v>0</v>
      </c>
      <c r="FT65" s="12">
        <v>4</v>
      </c>
      <c r="FU65" s="12">
        <v>0</v>
      </c>
      <c r="FV65" s="12">
        <v>0</v>
      </c>
      <c r="FW65" s="12">
        <v>0</v>
      </c>
      <c r="FX65" s="12">
        <v>16</v>
      </c>
      <c r="FY65" s="12">
        <v>1</v>
      </c>
      <c r="FZ65" s="12">
        <v>0</v>
      </c>
      <c r="GA65" s="12">
        <v>0</v>
      </c>
      <c r="GB65" s="12">
        <v>0</v>
      </c>
      <c r="GC65" s="12">
        <v>0</v>
      </c>
      <c r="GD65" s="12">
        <v>1</v>
      </c>
      <c r="GE65" s="12">
        <v>2</v>
      </c>
      <c r="GF65" s="12">
        <v>8</v>
      </c>
      <c r="GG65" s="12">
        <v>10</v>
      </c>
      <c r="GH65" s="12">
        <v>1</v>
      </c>
      <c r="GI65" s="12">
        <v>0</v>
      </c>
      <c r="GJ65" s="12">
        <v>0</v>
      </c>
      <c r="GK65" s="12">
        <v>0</v>
      </c>
      <c r="GL65" s="12">
        <v>2</v>
      </c>
      <c r="GM65" s="12">
        <v>3</v>
      </c>
      <c r="GN65" s="12">
        <v>16</v>
      </c>
      <c r="GO65" s="12">
        <v>27</v>
      </c>
      <c r="GP65" s="12">
        <v>7</v>
      </c>
      <c r="GQ65" s="12">
        <v>10</v>
      </c>
      <c r="GR65" s="12">
        <v>0</v>
      </c>
      <c r="GS65" s="12">
        <v>0</v>
      </c>
      <c r="GT65" s="12">
        <v>9</v>
      </c>
      <c r="GU65" s="12">
        <v>19</v>
      </c>
      <c r="GV65" s="12">
        <v>0</v>
      </c>
      <c r="GW65" s="12">
        <v>0</v>
      </c>
    </row>
    <row r="66" spans="2:205" ht="15" customHeight="1" x14ac:dyDescent="0.2">
      <c r="B66" s="12">
        <v>4</v>
      </c>
      <c r="C66" s="12" t="s">
        <v>277</v>
      </c>
      <c r="D66" s="12" t="s">
        <v>93</v>
      </c>
      <c r="E66" s="14" t="s">
        <v>279</v>
      </c>
      <c r="F66" s="14" t="s">
        <v>303</v>
      </c>
      <c r="G66" s="15">
        <v>45219</v>
      </c>
      <c r="H66" s="15" t="s">
        <v>268</v>
      </c>
      <c r="I66" s="12" t="s">
        <v>269</v>
      </c>
      <c r="J66" s="12" t="s">
        <v>270</v>
      </c>
      <c r="K66" s="12">
        <v>200</v>
      </c>
      <c r="L66" s="12">
        <v>73</v>
      </c>
      <c r="M66" s="12">
        <v>21</v>
      </c>
      <c r="N66" s="12">
        <v>40</v>
      </c>
      <c r="O66" s="16">
        <v>0.52500000000000002</v>
      </c>
      <c r="P66" s="12">
        <v>8</v>
      </c>
      <c r="Q66" s="12">
        <v>21</v>
      </c>
      <c r="R66" s="16">
        <v>0.38095238095238093</v>
      </c>
      <c r="S66" s="12">
        <v>29</v>
      </c>
      <c r="T66" s="12">
        <v>61</v>
      </c>
      <c r="U66" s="16">
        <v>0.47540983606557374</v>
      </c>
      <c r="V66" s="12">
        <v>7</v>
      </c>
      <c r="W66" s="12">
        <v>12</v>
      </c>
      <c r="X66" s="16">
        <v>0.58333333333333337</v>
      </c>
      <c r="Y66" s="12">
        <v>7</v>
      </c>
      <c r="Z66" s="12">
        <v>27</v>
      </c>
      <c r="AA66" s="12">
        <v>34</v>
      </c>
      <c r="AB66" s="12">
        <v>18</v>
      </c>
      <c r="AC66" s="12">
        <v>9</v>
      </c>
      <c r="AD66" s="12">
        <v>4</v>
      </c>
      <c r="AE66" s="12">
        <v>2</v>
      </c>
      <c r="AF66" s="12">
        <v>2</v>
      </c>
      <c r="AG66" s="12">
        <v>22</v>
      </c>
      <c r="AH66" s="12">
        <v>15</v>
      </c>
      <c r="AI66" s="17">
        <v>76</v>
      </c>
      <c r="AJ66" s="12">
        <v>-4</v>
      </c>
      <c r="AK66" s="12">
        <v>69</v>
      </c>
      <c r="AL66" s="12">
        <v>76</v>
      </c>
      <c r="AM66" s="19">
        <v>0.96052631578947367</v>
      </c>
      <c r="AN66" s="19">
        <v>0.98717948717948723</v>
      </c>
      <c r="AO66" s="18">
        <v>105.79710144927536</v>
      </c>
      <c r="AP66" s="18">
        <v>111.59420289855073</v>
      </c>
      <c r="AQ66" s="18">
        <v>-5.7971014492753739</v>
      </c>
      <c r="AR66" s="53">
        <v>0.54098360655737709</v>
      </c>
      <c r="AS66" s="53">
        <v>0.54477611940298509</v>
      </c>
      <c r="AT66" s="16">
        <v>0.18421052631578946</v>
      </c>
      <c r="AU66" s="19">
        <v>1.8571428571428572</v>
      </c>
      <c r="AV66" s="16">
        <v>0.23684210526315788</v>
      </c>
      <c r="AW66" s="19">
        <v>0.77777777777777779</v>
      </c>
      <c r="AX66" s="16">
        <v>0.10526315789473684</v>
      </c>
      <c r="AY66" s="19">
        <v>0.25</v>
      </c>
      <c r="AZ66" s="16">
        <v>5.2631578947368418E-2</v>
      </c>
      <c r="BA66" s="19">
        <v>2.25</v>
      </c>
      <c r="BB66" s="16">
        <v>0.22368421052631579</v>
      </c>
      <c r="BC66" s="21">
        <v>0.88235294117647056</v>
      </c>
      <c r="BD66" s="16">
        <v>7.8947368421052627E-2</v>
      </c>
      <c r="BE66" s="16">
        <v>0.11842105263157894</v>
      </c>
      <c r="BF66" s="16">
        <v>0.51428571428571423</v>
      </c>
      <c r="BG66" s="16">
        <v>0.47619047619047616</v>
      </c>
      <c r="BH66" s="16">
        <v>0.625</v>
      </c>
      <c r="BI66" s="16">
        <v>0.5</v>
      </c>
      <c r="BJ66" s="16">
        <v>0.23684210526315788</v>
      </c>
      <c r="BK66" s="21">
        <v>2</v>
      </c>
      <c r="BL66" s="16">
        <v>0.21875</v>
      </c>
      <c r="BM66" s="16">
        <v>0.25</v>
      </c>
      <c r="BN66" s="16">
        <v>0.15384615384615385</v>
      </c>
      <c r="BO66" s="16">
        <v>0</v>
      </c>
      <c r="BP66" s="16">
        <v>0.75</v>
      </c>
      <c r="BQ66" s="16">
        <v>0.6875</v>
      </c>
      <c r="BR66" s="16">
        <v>0.8125</v>
      </c>
      <c r="BS66" s="16">
        <v>0.5714285714285714</v>
      </c>
      <c r="BT66" s="16">
        <v>0.5</v>
      </c>
      <c r="BU66" s="16">
        <v>5.7971014492753624E-2</v>
      </c>
      <c r="BV66" s="16">
        <v>3.2786885245901641E-2</v>
      </c>
      <c r="BW66" s="16">
        <v>1</v>
      </c>
      <c r="BX66" s="16">
        <v>0.59090909090909094</v>
      </c>
      <c r="BY66" s="16">
        <v>0.4</v>
      </c>
      <c r="BZ66" s="12">
        <v>10</v>
      </c>
      <c r="CA66" s="12">
        <v>5</v>
      </c>
      <c r="CB66" s="12">
        <v>3</v>
      </c>
      <c r="CC66" s="12">
        <v>6</v>
      </c>
      <c r="CD66" s="12">
        <v>0</v>
      </c>
      <c r="CE66" s="12">
        <v>0</v>
      </c>
      <c r="CF66" s="12">
        <v>4</v>
      </c>
      <c r="CG66" s="12">
        <v>0</v>
      </c>
      <c r="CH66" s="12">
        <v>1</v>
      </c>
      <c r="CI66" s="12">
        <v>0</v>
      </c>
      <c r="CJ66" s="12">
        <v>0</v>
      </c>
      <c r="CK66" s="12">
        <v>0</v>
      </c>
      <c r="CL66" s="12">
        <v>2</v>
      </c>
      <c r="CM66" s="12">
        <v>0</v>
      </c>
      <c r="CN66" s="12">
        <v>0</v>
      </c>
      <c r="CO66" s="12">
        <v>0</v>
      </c>
      <c r="CP66" s="12">
        <v>1</v>
      </c>
      <c r="CQ66" s="12">
        <v>0</v>
      </c>
      <c r="CR66" s="12">
        <v>7</v>
      </c>
      <c r="CS66" s="12">
        <v>0</v>
      </c>
      <c r="CT66" s="12">
        <v>3</v>
      </c>
      <c r="CU66" s="12">
        <v>0</v>
      </c>
      <c r="CV66" s="12">
        <v>1</v>
      </c>
      <c r="CW66" s="12">
        <v>0</v>
      </c>
      <c r="CX66" s="12">
        <v>11</v>
      </c>
      <c r="CY66" s="12">
        <v>1</v>
      </c>
      <c r="CZ66" s="12">
        <v>4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7</v>
      </c>
      <c r="DG66" s="12">
        <v>12</v>
      </c>
      <c r="DH66" s="12">
        <v>0</v>
      </c>
      <c r="DI66" s="12">
        <v>0</v>
      </c>
      <c r="DJ66" s="12">
        <v>0</v>
      </c>
      <c r="DK66" s="12">
        <v>0</v>
      </c>
      <c r="DL66" s="12">
        <v>13</v>
      </c>
      <c r="DM66" s="12">
        <v>14</v>
      </c>
      <c r="DN66" s="12">
        <v>7</v>
      </c>
      <c r="DO66" s="12">
        <v>18</v>
      </c>
      <c r="DP66" s="12">
        <v>1</v>
      </c>
      <c r="DQ66" s="12">
        <v>8</v>
      </c>
      <c r="DR66" s="12">
        <v>3</v>
      </c>
      <c r="DS66" s="12">
        <v>4</v>
      </c>
      <c r="DT66" s="12">
        <v>5</v>
      </c>
      <c r="DU66" s="12">
        <v>17</v>
      </c>
      <c r="DV66" s="12">
        <v>0</v>
      </c>
      <c r="DW66" s="12">
        <v>0</v>
      </c>
      <c r="DX66" s="12">
        <v>77</v>
      </c>
      <c r="DY66" s="12">
        <v>24</v>
      </c>
      <c r="DZ66" s="12">
        <v>39</v>
      </c>
      <c r="EA66" s="16">
        <v>0.61538461538461542</v>
      </c>
      <c r="EB66" s="12">
        <v>5</v>
      </c>
      <c r="EC66" s="12">
        <v>22</v>
      </c>
      <c r="ED66" s="16">
        <v>0.22727272727272727</v>
      </c>
      <c r="EE66" s="12">
        <v>29</v>
      </c>
      <c r="EF66" s="12">
        <v>61</v>
      </c>
      <c r="EG66" s="16">
        <v>0.47540983606557374</v>
      </c>
      <c r="EH66" s="12">
        <v>14</v>
      </c>
      <c r="EI66" s="12">
        <v>21</v>
      </c>
      <c r="EJ66" s="16">
        <v>0.66666666666666663</v>
      </c>
      <c r="EK66" s="12">
        <v>9</v>
      </c>
      <c r="EL66" s="12">
        <v>25</v>
      </c>
      <c r="EM66" s="12">
        <v>34</v>
      </c>
      <c r="EN66" s="12">
        <v>23</v>
      </c>
      <c r="EO66" s="12">
        <v>15</v>
      </c>
      <c r="EP66" s="12">
        <v>22</v>
      </c>
      <c r="EQ66" s="12">
        <v>5</v>
      </c>
      <c r="ER66" s="12">
        <v>9</v>
      </c>
      <c r="ES66" s="12">
        <v>2</v>
      </c>
      <c r="ET66" s="12">
        <v>2</v>
      </c>
      <c r="EU66" s="12">
        <v>98</v>
      </c>
      <c r="EV66" s="12">
        <v>4</v>
      </c>
      <c r="EW66" s="12">
        <v>69</v>
      </c>
      <c r="EX66" s="12">
        <v>78</v>
      </c>
      <c r="EY66" s="12">
        <v>4</v>
      </c>
      <c r="EZ66" s="12">
        <v>17</v>
      </c>
      <c r="FA66" s="12">
        <v>4</v>
      </c>
      <c r="FB66" s="12">
        <v>2</v>
      </c>
      <c r="FC66" s="12">
        <v>2</v>
      </c>
      <c r="FD66" s="12">
        <v>1</v>
      </c>
      <c r="FE66" s="12">
        <v>1</v>
      </c>
      <c r="FF66" s="12">
        <v>1</v>
      </c>
      <c r="FG66" s="12">
        <v>1</v>
      </c>
      <c r="FH66" s="12">
        <v>1</v>
      </c>
      <c r="FI66" s="12">
        <v>0</v>
      </c>
      <c r="FJ66" s="12">
        <v>0</v>
      </c>
      <c r="FK66" s="12">
        <v>0</v>
      </c>
      <c r="FL66" s="12">
        <v>3</v>
      </c>
      <c r="FM66" s="12">
        <v>0</v>
      </c>
      <c r="FN66" s="12">
        <v>2</v>
      </c>
      <c r="FO66" s="12">
        <v>1</v>
      </c>
      <c r="FP66" s="12">
        <v>1</v>
      </c>
      <c r="FQ66" s="12">
        <v>0</v>
      </c>
      <c r="FR66" s="12">
        <v>7</v>
      </c>
      <c r="FS66" s="12">
        <v>0</v>
      </c>
      <c r="FT66" s="12">
        <v>6</v>
      </c>
      <c r="FU66" s="12">
        <v>1</v>
      </c>
      <c r="FV66" s="12">
        <v>1</v>
      </c>
      <c r="FW66" s="12">
        <v>0</v>
      </c>
      <c r="FX66" s="12">
        <v>9</v>
      </c>
      <c r="FY66" s="12">
        <v>1</v>
      </c>
      <c r="FZ66" s="12">
        <v>1</v>
      </c>
      <c r="GA66" s="12">
        <v>0</v>
      </c>
      <c r="GB66" s="12">
        <v>0</v>
      </c>
      <c r="GC66" s="12">
        <v>0</v>
      </c>
      <c r="GD66" s="12">
        <v>2</v>
      </c>
      <c r="GE66" s="12">
        <v>5</v>
      </c>
      <c r="GF66" s="12">
        <v>12</v>
      </c>
      <c r="GG66" s="12">
        <v>16</v>
      </c>
      <c r="GH66" s="12">
        <v>1</v>
      </c>
      <c r="GI66" s="12">
        <v>0</v>
      </c>
      <c r="GJ66" s="12">
        <v>0</v>
      </c>
      <c r="GK66" s="12">
        <v>0</v>
      </c>
      <c r="GL66" s="12">
        <v>11</v>
      </c>
      <c r="GM66" s="12">
        <v>14</v>
      </c>
      <c r="GN66" s="12">
        <v>13</v>
      </c>
      <c r="GO66" s="12">
        <v>21</v>
      </c>
      <c r="GP66" s="12">
        <v>0</v>
      </c>
      <c r="GQ66" s="12">
        <v>4</v>
      </c>
      <c r="GR66" s="12">
        <v>2</v>
      </c>
      <c r="GS66" s="12">
        <v>3</v>
      </c>
      <c r="GT66" s="12">
        <v>3</v>
      </c>
      <c r="GU66" s="12">
        <v>19</v>
      </c>
      <c r="GV66" s="12">
        <v>0</v>
      </c>
      <c r="GW66" s="12">
        <v>0</v>
      </c>
    </row>
    <row r="67" spans="2:205" ht="15" customHeight="1" x14ac:dyDescent="0.2">
      <c r="B67" s="12">
        <v>4</v>
      </c>
      <c r="C67" s="12" t="s">
        <v>93</v>
      </c>
      <c r="D67" s="12" t="s">
        <v>277</v>
      </c>
      <c r="E67" s="14" t="s">
        <v>303</v>
      </c>
      <c r="F67" s="14" t="s">
        <v>279</v>
      </c>
      <c r="G67" s="15">
        <v>45219</v>
      </c>
      <c r="H67" s="15" t="s">
        <v>271</v>
      </c>
      <c r="I67" s="12" t="s">
        <v>269</v>
      </c>
      <c r="J67" s="12" t="s">
        <v>272</v>
      </c>
      <c r="K67" s="12">
        <v>200</v>
      </c>
      <c r="L67" s="12">
        <v>77</v>
      </c>
      <c r="M67" s="12">
        <v>24</v>
      </c>
      <c r="N67" s="12">
        <v>39</v>
      </c>
      <c r="O67" s="16">
        <v>0.61538461538461542</v>
      </c>
      <c r="P67" s="12">
        <v>5</v>
      </c>
      <c r="Q67" s="12">
        <v>22</v>
      </c>
      <c r="R67" s="16">
        <v>0.22727272727272727</v>
      </c>
      <c r="S67" s="12">
        <v>29</v>
      </c>
      <c r="T67" s="12">
        <v>61</v>
      </c>
      <c r="U67" s="16">
        <v>0.47540983606557374</v>
      </c>
      <c r="V67" s="12">
        <v>14</v>
      </c>
      <c r="W67" s="12">
        <v>21</v>
      </c>
      <c r="X67" s="16">
        <v>0.66666666666666663</v>
      </c>
      <c r="Y67" s="12">
        <v>9</v>
      </c>
      <c r="Z67" s="12">
        <v>25</v>
      </c>
      <c r="AA67" s="12">
        <v>34</v>
      </c>
      <c r="AB67" s="12">
        <v>23</v>
      </c>
      <c r="AC67" s="12">
        <v>9</v>
      </c>
      <c r="AD67" s="12">
        <v>5</v>
      </c>
      <c r="AE67" s="12">
        <v>2</v>
      </c>
      <c r="AF67" s="12">
        <v>2</v>
      </c>
      <c r="AG67" s="12">
        <v>15</v>
      </c>
      <c r="AH67" s="12">
        <v>22</v>
      </c>
      <c r="AI67" s="17">
        <v>98</v>
      </c>
      <c r="AJ67" s="12">
        <v>4</v>
      </c>
      <c r="AK67" s="12">
        <v>69</v>
      </c>
      <c r="AL67" s="12">
        <v>78</v>
      </c>
      <c r="AM67" s="19">
        <v>0.98717948717948723</v>
      </c>
      <c r="AN67" s="19">
        <v>0.96052631578947367</v>
      </c>
      <c r="AO67" s="18">
        <v>111.59420289855073</v>
      </c>
      <c r="AP67" s="18">
        <v>105.79710144927536</v>
      </c>
      <c r="AQ67" s="18">
        <v>5.7971014492753739</v>
      </c>
      <c r="AR67" s="53">
        <v>0.51639344262295084</v>
      </c>
      <c r="AS67" s="53">
        <v>0.55797101449275366</v>
      </c>
      <c r="AT67" s="16">
        <v>0.17948717948717949</v>
      </c>
      <c r="AU67" s="19">
        <v>1.5714285714285714</v>
      </c>
      <c r="AV67" s="16">
        <v>0.26923076923076922</v>
      </c>
      <c r="AW67" s="19">
        <v>1.2380952380952381</v>
      </c>
      <c r="AX67" s="16">
        <v>5.128205128205128E-2</v>
      </c>
      <c r="AY67" s="19">
        <v>0</v>
      </c>
      <c r="AZ67" s="16">
        <v>3.8461538461538464E-2</v>
      </c>
      <c r="BA67" s="19">
        <v>2</v>
      </c>
      <c r="BB67" s="16">
        <v>0.24358974358974358</v>
      </c>
      <c r="BC67" s="21">
        <v>0.47368421052631576</v>
      </c>
      <c r="BD67" s="16">
        <v>0.10256410256410256</v>
      </c>
      <c r="BE67" s="16">
        <v>0.11538461538461539</v>
      </c>
      <c r="BF67" s="16">
        <v>0.63888888888888884</v>
      </c>
      <c r="BG67" s="16">
        <v>0.70833333333333337</v>
      </c>
      <c r="BH67" s="16">
        <v>0.8</v>
      </c>
      <c r="BI67" s="16">
        <v>0.2857142857142857</v>
      </c>
      <c r="BJ67" s="16">
        <v>0.29487179487179488</v>
      </c>
      <c r="BK67" s="21">
        <v>2.5555555555555554</v>
      </c>
      <c r="BL67" s="16">
        <v>0.25</v>
      </c>
      <c r="BM67" s="16">
        <v>0.3125</v>
      </c>
      <c r="BN67" s="16">
        <v>0.1875</v>
      </c>
      <c r="BO67" s="16">
        <v>0.42857142857142855</v>
      </c>
      <c r="BP67" s="16">
        <v>0.78125</v>
      </c>
      <c r="BQ67" s="16">
        <v>0.75</v>
      </c>
      <c r="BR67" s="16">
        <v>0.84615384615384615</v>
      </c>
      <c r="BS67" s="16">
        <v>1</v>
      </c>
      <c r="BT67" s="16">
        <v>0.5</v>
      </c>
      <c r="BU67" s="16">
        <v>7.2463768115942032E-2</v>
      </c>
      <c r="BV67" s="16">
        <v>3.2786885245901641E-2</v>
      </c>
      <c r="BW67" s="16">
        <v>4</v>
      </c>
      <c r="BX67" s="16">
        <v>0.4</v>
      </c>
      <c r="BY67" s="16">
        <v>0.59090909090909094</v>
      </c>
      <c r="BZ67" s="12">
        <v>17</v>
      </c>
      <c r="CA67" s="12">
        <v>4</v>
      </c>
      <c r="CB67" s="12">
        <v>2</v>
      </c>
      <c r="CC67" s="12">
        <v>2</v>
      </c>
      <c r="CD67" s="12">
        <v>1</v>
      </c>
      <c r="CE67" s="12">
        <v>1</v>
      </c>
      <c r="CF67" s="12">
        <v>1</v>
      </c>
      <c r="CG67" s="12">
        <v>1</v>
      </c>
      <c r="CH67" s="12">
        <v>1</v>
      </c>
      <c r="CI67" s="12">
        <v>0</v>
      </c>
      <c r="CJ67" s="12">
        <v>0</v>
      </c>
      <c r="CK67" s="12">
        <v>0</v>
      </c>
      <c r="CL67" s="12">
        <v>3</v>
      </c>
      <c r="CM67" s="12">
        <v>0</v>
      </c>
      <c r="CN67" s="12">
        <v>2</v>
      </c>
      <c r="CO67" s="12">
        <v>1</v>
      </c>
      <c r="CP67" s="12">
        <v>1</v>
      </c>
      <c r="CQ67" s="12">
        <v>0</v>
      </c>
      <c r="CR67" s="12">
        <v>7</v>
      </c>
      <c r="CS67" s="12">
        <v>0</v>
      </c>
      <c r="CT67" s="12">
        <v>6</v>
      </c>
      <c r="CU67" s="12">
        <v>1</v>
      </c>
      <c r="CV67" s="12">
        <v>1</v>
      </c>
      <c r="CW67" s="12">
        <v>0</v>
      </c>
      <c r="CX67" s="12">
        <v>9</v>
      </c>
      <c r="CY67" s="12">
        <v>1</v>
      </c>
      <c r="CZ67" s="12">
        <v>1</v>
      </c>
      <c r="DA67" s="12">
        <v>0</v>
      </c>
      <c r="DB67" s="12">
        <v>0</v>
      </c>
      <c r="DC67" s="12">
        <v>0</v>
      </c>
      <c r="DD67" s="12">
        <v>2</v>
      </c>
      <c r="DE67" s="12">
        <v>5</v>
      </c>
      <c r="DF67" s="12">
        <v>12</v>
      </c>
      <c r="DG67" s="12">
        <v>16</v>
      </c>
      <c r="DH67" s="12">
        <v>1</v>
      </c>
      <c r="DI67" s="12">
        <v>0</v>
      </c>
      <c r="DJ67" s="12">
        <v>0</v>
      </c>
      <c r="DK67" s="12">
        <v>0</v>
      </c>
      <c r="DL67" s="12">
        <v>11</v>
      </c>
      <c r="DM67" s="12">
        <v>14</v>
      </c>
      <c r="DN67" s="12">
        <v>13</v>
      </c>
      <c r="DO67" s="12">
        <v>21</v>
      </c>
      <c r="DP67" s="12">
        <v>0</v>
      </c>
      <c r="DQ67" s="12">
        <v>4</v>
      </c>
      <c r="DR67" s="12">
        <v>2</v>
      </c>
      <c r="DS67" s="12">
        <v>3</v>
      </c>
      <c r="DT67" s="12">
        <v>3</v>
      </c>
      <c r="DU67" s="12">
        <v>19</v>
      </c>
      <c r="DV67" s="12">
        <v>0</v>
      </c>
      <c r="DW67" s="12">
        <v>0</v>
      </c>
      <c r="DX67" s="12">
        <v>73</v>
      </c>
      <c r="DY67" s="12">
        <v>21</v>
      </c>
      <c r="DZ67" s="12">
        <v>40</v>
      </c>
      <c r="EA67" s="16">
        <v>0.52500000000000002</v>
      </c>
      <c r="EB67" s="12">
        <v>8</v>
      </c>
      <c r="EC67" s="12">
        <v>21</v>
      </c>
      <c r="ED67" s="16">
        <v>0.38095238095238093</v>
      </c>
      <c r="EE67" s="12">
        <v>29</v>
      </c>
      <c r="EF67" s="12">
        <v>61</v>
      </c>
      <c r="EG67" s="16">
        <v>0.47540983606557374</v>
      </c>
      <c r="EH67" s="12">
        <v>7</v>
      </c>
      <c r="EI67" s="12">
        <v>12</v>
      </c>
      <c r="EJ67" s="16">
        <v>0.58333333333333337</v>
      </c>
      <c r="EK67" s="12">
        <v>7</v>
      </c>
      <c r="EL67" s="12">
        <v>27</v>
      </c>
      <c r="EM67" s="12">
        <v>34</v>
      </c>
      <c r="EN67" s="12">
        <v>18</v>
      </c>
      <c r="EO67" s="12">
        <v>22</v>
      </c>
      <c r="EP67" s="12">
        <v>15</v>
      </c>
      <c r="EQ67" s="12">
        <v>4</v>
      </c>
      <c r="ER67" s="12">
        <v>9</v>
      </c>
      <c r="ES67" s="12">
        <v>2</v>
      </c>
      <c r="ET67" s="12">
        <v>2</v>
      </c>
      <c r="EU67" s="12">
        <v>76</v>
      </c>
      <c r="EV67" s="12">
        <v>-4</v>
      </c>
      <c r="EW67" s="12">
        <v>69</v>
      </c>
      <c r="EX67" s="12">
        <v>76</v>
      </c>
      <c r="EY67" s="12">
        <v>1</v>
      </c>
      <c r="EZ67" s="12">
        <v>10</v>
      </c>
      <c r="FA67" s="12">
        <v>5</v>
      </c>
      <c r="FB67" s="12">
        <v>3</v>
      </c>
      <c r="FC67" s="12">
        <v>6</v>
      </c>
      <c r="FD67" s="12">
        <v>0</v>
      </c>
      <c r="FE67" s="12">
        <v>0</v>
      </c>
      <c r="FF67" s="12">
        <v>4</v>
      </c>
      <c r="FG67" s="12">
        <v>0</v>
      </c>
      <c r="FH67" s="12">
        <v>1</v>
      </c>
      <c r="FI67" s="12">
        <v>0</v>
      </c>
      <c r="FJ67" s="12">
        <v>0</v>
      </c>
      <c r="FK67" s="12">
        <v>0</v>
      </c>
      <c r="FL67" s="12">
        <v>2</v>
      </c>
      <c r="FM67" s="12">
        <v>0</v>
      </c>
      <c r="FN67" s="12">
        <v>0</v>
      </c>
      <c r="FO67" s="12">
        <v>0</v>
      </c>
      <c r="FP67" s="12">
        <v>1</v>
      </c>
      <c r="FQ67" s="12">
        <v>0</v>
      </c>
      <c r="FR67" s="12">
        <v>7</v>
      </c>
      <c r="FS67" s="12">
        <v>0</v>
      </c>
      <c r="FT67" s="12">
        <v>3</v>
      </c>
      <c r="FU67" s="12">
        <v>0</v>
      </c>
      <c r="FV67" s="12">
        <v>1</v>
      </c>
      <c r="FW67" s="12">
        <v>0</v>
      </c>
      <c r="FX67" s="12">
        <v>11</v>
      </c>
      <c r="FY67" s="12">
        <v>1</v>
      </c>
      <c r="FZ67" s="12">
        <v>4</v>
      </c>
      <c r="GA67" s="12">
        <v>0</v>
      </c>
      <c r="GB67" s="12">
        <v>0</v>
      </c>
      <c r="GC67" s="12">
        <v>0</v>
      </c>
      <c r="GD67" s="12">
        <v>0</v>
      </c>
      <c r="GE67" s="12">
        <v>0</v>
      </c>
      <c r="GF67" s="12">
        <v>7</v>
      </c>
      <c r="GG67" s="12">
        <v>12</v>
      </c>
      <c r="GH67" s="12">
        <v>0</v>
      </c>
      <c r="GI67" s="12">
        <v>0</v>
      </c>
      <c r="GJ67" s="12">
        <v>0</v>
      </c>
      <c r="GK67" s="12">
        <v>0</v>
      </c>
      <c r="GL67" s="12">
        <v>13</v>
      </c>
      <c r="GM67" s="12">
        <v>14</v>
      </c>
      <c r="GN67" s="12">
        <v>7</v>
      </c>
      <c r="GO67" s="12">
        <v>18</v>
      </c>
      <c r="GP67" s="12">
        <v>1</v>
      </c>
      <c r="GQ67" s="12">
        <v>8</v>
      </c>
      <c r="GR67" s="12">
        <v>3</v>
      </c>
      <c r="GS67" s="12">
        <v>4</v>
      </c>
      <c r="GT67" s="12">
        <v>5</v>
      </c>
      <c r="GU67" s="12">
        <v>17</v>
      </c>
      <c r="GV67" s="12">
        <v>0</v>
      </c>
      <c r="GW67" s="12">
        <v>0</v>
      </c>
    </row>
    <row r="68" spans="2:205" ht="15" customHeight="1" x14ac:dyDescent="0.2">
      <c r="B68" s="12">
        <v>4</v>
      </c>
      <c r="C68" s="12" t="s">
        <v>273</v>
      </c>
      <c r="D68" s="12" t="s">
        <v>294</v>
      </c>
      <c r="E68" s="14" t="s">
        <v>275</v>
      </c>
      <c r="F68" s="14" t="s">
        <v>296</v>
      </c>
      <c r="G68" s="15">
        <v>45219</v>
      </c>
      <c r="H68" s="15" t="s">
        <v>271</v>
      </c>
      <c r="I68" s="12" t="s">
        <v>269</v>
      </c>
      <c r="J68" s="12" t="s">
        <v>270</v>
      </c>
      <c r="K68" s="12">
        <v>225</v>
      </c>
      <c r="L68" s="12">
        <v>81</v>
      </c>
      <c r="M68" s="12">
        <v>15</v>
      </c>
      <c r="N68" s="12">
        <v>32</v>
      </c>
      <c r="O68" s="16">
        <v>0.46875</v>
      </c>
      <c r="P68" s="12">
        <v>10</v>
      </c>
      <c r="Q68" s="12">
        <v>29</v>
      </c>
      <c r="R68" s="16">
        <v>0.34482758620689657</v>
      </c>
      <c r="S68" s="12">
        <v>25</v>
      </c>
      <c r="T68" s="12">
        <v>61</v>
      </c>
      <c r="U68" s="16">
        <v>0.4098360655737705</v>
      </c>
      <c r="V68" s="12">
        <v>21</v>
      </c>
      <c r="W68" s="12">
        <v>33</v>
      </c>
      <c r="X68" s="16">
        <v>0.63636363636363635</v>
      </c>
      <c r="Y68" s="12">
        <v>13</v>
      </c>
      <c r="Z68" s="12">
        <v>26</v>
      </c>
      <c r="AA68" s="12">
        <v>39</v>
      </c>
      <c r="AB68" s="12">
        <v>18</v>
      </c>
      <c r="AC68" s="12">
        <v>18</v>
      </c>
      <c r="AD68" s="12">
        <v>13</v>
      </c>
      <c r="AE68" s="12">
        <v>6</v>
      </c>
      <c r="AF68" s="12">
        <v>3</v>
      </c>
      <c r="AG68" s="12">
        <v>18</v>
      </c>
      <c r="AH68" s="12">
        <v>28</v>
      </c>
      <c r="AI68" s="17">
        <v>98</v>
      </c>
      <c r="AJ68" s="12">
        <v>-5</v>
      </c>
      <c r="AK68" s="12">
        <v>81</v>
      </c>
      <c r="AL68" s="12">
        <v>94</v>
      </c>
      <c r="AM68" s="19">
        <v>0.86170212765957444</v>
      </c>
      <c r="AN68" s="19">
        <v>0.90526315789473688</v>
      </c>
      <c r="AO68" s="18">
        <v>100</v>
      </c>
      <c r="AP68" s="18">
        <v>103.6144578313253</v>
      </c>
      <c r="AQ68" s="18">
        <v>-3.6144578313252964</v>
      </c>
      <c r="AR68" s="53">
        <v>0.49180327868852458</v>
      </c>
      <c r="AS68" s="53">
        <v>0.53289473684210531</v>
      </c>
      <c r="AT68" s="16">
        <v>0.13829787234042554</v>
      </c>
      <c r="AU68" s="19">
        <v>1.8461538461538463</v>
      </c>
      <c r="AV68" s="16">
        <v>0.1702127659574468</v>
      </c>
      <c r="AW68" s="19">
        <v>0.25</v>
      </c>
      <c r="AX68" s="16">
        <v>3.1914893617021274E-2</v>
      </c>
      <c r="AY68" s="19">
        <v>0.66666666666666663</v>
      </c>
      <c r="AZ68" s="16">
        <v>3.1914893617021274E-2</v>
      </c>
      <c r="BA68" s="19">
        <v>1</v>
      </c>
      <c r="BB68" s="16">
        <v>0.27659574468085107</v>
      </c>
      <c r="BC68" s="21">
        <v>1.0384615384615385</v>
      </c>
      <c r="BD68" s="16">
        <v>0.15957446808510639</v>
      </c>
      <c r="BE68" s="16">
        <v>0.19148936170212766</v>
      </c>
      <c r="BF68" s="16">
        <v>0.46153846153846156</v>
      </c>
      <c r="BG68" s="16">
        <v>0.46666666666666667</v>
      </c>
      <c r="BH68" s="16">
        <v>0.7</v>
      </c>
      <c r="BI68" s="16">
        <v>0.2857142857142857</v>
      </c>
      <c r="BJ68" s="16">
        <v>0.19148936170212766</v>
      </c>
      <c r="BK68" s="21">
        <v>1</v>
      </c>
      <c r="BL68" s="16">
        <v>0.30232558139534882</v>
      </c>
      <c r="BM68" s="16">
        <v>0.27777777777777779</v>
      </c>
      <c r="BN68" s="16">
        <v>0.40909090909090912</v>
      </c>
      <c r="BO68" s="16">
        <v>0.25</v>
      </c>
      <c r="BP68" s="16">
        <v>0.68421052631578949</v>
      </c>
      <c r="BQ68" s="16">
        <v>0.61904761904761907</v>
      </c>
      <c r="BR68" s="16">
        <v>0.76470588235294112</v>
      </c>
      <c r="BS68" s="16">
        <v>0.66666666666666663</v>
      </c>
      <c r="BT68" s="16">
        <v>0.48148148148148145</v>
      </c>
      <c r="BU68" s="16">
        <v>0.15662650602409639</v>
      </c>
      <c r="BV68" s="16">
        <v>8.8235294117647065E-2</v>
      </c>
      <c r="BW68" s="16">
        <v>6</v>
      </c>
      <c r="BX68" s="16">
        <v>0.44444444444444442</v>
      </c>
      <c r="BY68" s="16">
        <v>0.5357142857142857</v>
      </c>
      <c r="BZ68" s="12">
        <v>7</v>
      </c>
      <c r="CA68" s="12">
        <v>7</v>
      </c>
      <c r="CB68" s="12">
        <v>4</v>
      </c>
      <c r="CC68" s="12">
        <v>5</v>
      </c>
      <c r="CD68" s="12">
        <v>1</v>
      </c>
      <c r="CE68" s="12">
        <v>0</v>
      </c>
      <c r="CF68" s="12">
        <v>3</v>
      </c>
      <c r="CG68" s="12">
        <v>1</v>
      </c>
      <c r="CH68" s="12">
        <v>0</v>
      </c>
      <c r="CI68" s="12">
        <v>0</v>
      </c>
      <c r="CJ68" s="12">
        <v>1</v>
      </c>
      <c r="CK68" s="12">
        <v>0</v>
      </c>
      <c r="CL68" s="12">
        <v>6</v>
      </c>
      <c r="CM68" s="12">
        <v>2</v>
      </c>
      <c r="CN68" s="12">
        <v>2</v>
      </c>
      <c r="CO68" s="12">
        <v>0</v>
      </c>
      <c r="CP68" s="12">
        <v>2</v>
      </c>
      <c r="CQ68" s="12">
        <v>0</v>
      </c>
      <c r="CR68" s="12">
        <v>7</v>
      </c>
      <c r="CS68" s="12">
        <v>0</v>
      </c>
      <c r="CT68" s="12">
        <v>4</v>
      </c>
      <c r="CU68" s="12">
        <v>0</v>
      </c>
      <c r="CV68" s="12">
        <v>2</v>
      </c>
      <c r="CW68" s="12">
        <v>0</v>
      </c>
      <c r="CX68" s="12">
        <v>9</v>
      </c>
      <c r="CY68" s="12">
        <v>2</v>
      </c>
      <c r="CZ68" s="12">
        <v>2</v>
      </c>
      <c r="DA68" s="12">
        <v>0</v>
      </c>
      <c r="DB68" s="12">
        <v>1</v>
      </c>
      <c r="DC68" s="12">
        <v>1</v>
      </c>
      <c r="DD68" s="12">
        <v>0</v>
      </c>
      <c r="DE68" s="12">
        <v>0</v>
      </c>
      <c r="DF68" s="12">
        <v>15</v>
      </c>
      <c r="DG68" s="12">
        <v>26</v>
      </c>
      <c r="DH68" s="12">
        <v>1</v>
      </c>
      <c r="DI68" s="12">
        <v>5</v>
      </c>
      <c r="DJ68" s="12">
        <v>6</v>
      </c>
      <c r="DK68" s="12">
        <v>0</v>
      </c>
      <c r="DL68" s="12">
        <v>12</v>
      </c>
      <c r="DM68" s="12">
        <v>13</v>
      </c>
      <c r="DN68" s="12">
        <v>2</v>
      </c>
      <c r="DO68" s="12">
        <v>16</v>
      </c>
      <c r="DP68" s="12">
        <v>1</v>
      </c>
      <c r="DQ68" s="12">
        <v>3</v>
      </c>
      <c r="DR68" s="12">
        <v>1</v>
      </c>
      <c r="DS68" s="12">
        <v>3</v>
      </c>
      <c r="DT68" s="12">
        <v>9</v>
      </c>
      <c r="DU68" s="12">
        <v>26</v>
      </c>
      <c r="DV68" s="12">
        <v>0</v>
      </c>
      <c r="DW68" s="12">
        <v>0</v>
      </c>
      <c r="DX68" s="12">
        <v>86</v>
      </c>
      <c r="DY68" s="12">
        <v>20</v>
      </c>
      <c r="DZ68" s="12">
        <v>40</v>
      </c>
      <c r="EA68" s="16">
        <v>0.5</v>
      </c>
      <c r="EB68" s="12">
        <v>11</v>
      </c>
      <c r="EC68" s="12">
        <v>28</v>
      </c>
      <c r="ED68" s="16">
        <v>0.39285714285714285</v>
      </c>
      <c r="EE68" s="12">
        <v>31</v>
      </c>
      <c r="EF68" s="12">
        <v>68</v>
      </c>
      <c r="EG68" s="16">
        <v>0.45588235294117646</v>
      </c>
      <c r="EH68" s="12">
        <v>13</v>
      </c>
      <c r="EI68" s="12">
        <v>18</v>
      </c>
      <c r="EJ68" s="16">
        <v>0.72222222222222221</v>
      </c>
      <c r="EK68" s="12">
        <v>12</v>
      </c>
      <c r="EL68" s="12">
        <v>30</v>
      </c>
      <c r="EM68" s="12">
        <v>42</v>
      </c>
      <c r="EN68" s="12">
        <v>24</v>
      </c>
      <c r="EO68" s="12">
        <v>29</v>
      </c>
      <c r="EP68" s="12">
        <v>18</v>
      </c>
      <c r="EQ68" s="12">
        <v>13</v>
      </c>
      <c r="ER68" s="12">
        <v>19</v>
      </c>
      <c r="ES68" s="12">
        <v>3</v>
      </c>
      <c r="ET68" s="12">
        <v>6</v>
      </c>
      <c r="EU68" s="12">
        <v>90</v>
      </c>
      <c r="EV68" s="12">
        <v>5</v>
      </c>
      <c r="EW68" s="12">
        <v>83</v>
      </c>
      <c r="EX68" s="12">
        <v>95</v>
      </c>
      <c r="EY68" s="12">
        <v>3</v>
      </c>
      <c r="EZ68" s="12">
        <v>12</v>
      </c>
      <c r="FA68" s="12">
        <v>9</v>
      </c>
      <c r="FB68" s="12">
        <v>3</v>
      </c>
      <c r="FC68" s="12">
        <v>4</v>
      </c>
      <c r="FD68" s="12">
        <v>1</v>
      </c>
      <c r="FE68" s="12">
        <v>0</v>
      </c>
      <c r="FF68" s="12">
        <v>5</v>
      </c>
      <c r="FG68" s="12">
        <v>1</v>
      </c>
      <c r="FH68" s="12">
        <v>1</v>
      </c>
      <c r="FI68" s="12">
        <v>0</v>
      </c>
      <c r="FJ68" s="12">
        <v>1</v>
      </c>
      <c r="FK68" s="12">
        <v>0</v>
      </c>
      <c r="FL68" s="12">
        <v>3</v>
      </c>
      <c r="FM68" s="12">
        <v>0</v>
      </c>
      <c r="FN68" s="12">
        <v>1</v>
      </c>
      <c r="FO68" s="12">
        <v>0</v>
      </c>
      <c r="FP68" s="12">
        <v>0</v>
      </c>
      <c r="FQ68" s="12">
        <v>0</v>
      </c>
      <c r="FR68" s="12">
        <v>11</v>
      </c>
      <c r="FS68" s="12">
        <v>0</v>
      </c>
      <c r="FT68" s="12">
        <v>2</v>
      </c>
      <c r="FU68" s="12">
        <v>0</v>
      </c>
      <c r="FV68" s="12">
        <v>1</v>
      </c>
      <c r="FW68" s="12">
        <v>0</v>
      </c>
      <c r="FX68" s="12">
        <v>11</v>
      </c>
      <c r="FY68" s="12">
        <v>1</v>
      </c>
      <c r="FZ68" s="12">
        <v>5</v>
      </c>
      <c r="GA68" s="12">
        <v>1</v>
      </c>
      <c r="GB68" s="12">
        <v>2</v>
      </c>
      <c r="GC68" s="12">
        <v>2</v>
      </c>
      <c r="GD68" s="12">
        <v>0</v>
      </c>
      <c r="GE68" s="12">
        <v>0</v>
      </c>
      <c r="GF68" s="12">
        <v>11</v>
      </c>
      <c r="GG68" s="12">
        <v>16</v>
      </c>
      <c r="GH68" s="12">
        <v>2</v>
      </c>
      <c r="GI68" s="12">
        <v>0</v>
      </c>
      <c r="GJ68" s="12">
        <v>0</v>
      </c>
      <c r="GK68" s="12">
        <v>0</v>
      </c>
      <c r="GL68" s="12">
        <v>15</v>
      </c>
      <c r="GM68" s="12">
        <v>18</v>
      </c>
      <c r="GN68" s="12">
        <v>3</v>
      </c>
      <c r="GO68" s="12">
        <v>15</v>
      </c>
      <c r="GP68" s="12">
        <v>2</v>
      </c>
      <c r="GQ68" s="12">
        <v>7</v>
      </c>
      <c r="GR68" s="12">
        <v>2</v>
      </c>
      <c r="GS68" s="12">
        <v>5</v>
      </c>
      <c r="GT68" s="12">
        <v>9</v>
      </c>
      <c r="GU68" s="12">
        <v>21</v>
      </c>
      <c r="GV68" s="12">
        <v>0</v>
      </c>
      <c r="GW68" s="12">
        <v>2</v>
      </c>
    </row>
    <row r="69" spans="2:205" ht="15" customHeight="1" x14ac:dyDescent="0.2">
      <c r="B69" s="12">
        <v>4</v>
      </c>
      <c r="C69" s="12" t="s">
        <v>294</v>
      </c>
      <c r="D69" s="12" t="s">
        <v>273</v>
      </c>
      <c r="E69" s="14" t="s">
        <v>296</v>
      </c>
      <c r="F69" s="14" t="s">
        <v>275</v>
      </c>
      <c r="G69" s="15">
        <v>45219</v>
      </c>
      <c r="H69" s="15" t="s">
        <v>268</v>
      </c>
      <c r="I69" s="12" t="s">
        <v>269</v>
      </c>
      <c r="J69" s="12" t="s">
        <v>272</v>
      </c>
      <c r="K69" s="12">
        <v>225</v>
      </c>
      <c r="L69" s="12">
        <v>86</v>
      </c>
      <c r="M69" s="12">
        <v>20</v>
      </c>
      <c r="N69" s="12">
        <v>40</v>
      </c>
      <c r="O69" s="16">
        <v>0.5</v>
      </c>
      <c r="P69" s="12">
        <v>11</v>
      </c>
      <c r="Q69" s="12">
        <v>28</v>
      </c>
      <c r="R69" s="16">
        <v>0.39285714285714285</v>
      </c>
      <c r="S69" s="12">
        <v>31</v>
      </c>
      <c r="T69" s="12">
        <v>68</v>
      </c>
      <c r="U69" s="16">
        <v>0.45588235294117646</v>
      </c>
      <c r="V69" s="12">
        <v>13</v>
      </c>
      <c r="W69" s="12">
        <v>18</v>
      </c>
      <c r="X69" s="16">
        <v>0.72222222222222221</v>
      </c>
      <c r="Y69" s="12">
        <v>12</v>
      </c>
      <c r="Z69" s="12">
        <v>30</v>
      </c>
      <c r="AA69" s="12">
        <v>42</v>
      </c>
      <c r="AB69" s="12">
        <v>24</v>
      </c>
      <c r="AC69" s="12">
        <v>19</v>
      </c>
      <c r="AD69" s="12">
        <v>13</v>
      </c>
      <c r="AE69" s="12">
        <v>3</v>
      </c>
      <c r="AF69" s="12">
        <v>6</v>
      </c>
      <c r="AG69" s="12">
        <v>29</v>
      </c>
      <c r="AH69" s="12">
        <v>18</v>
      </c>
      <c r="AI69" s="17">
        <v>90</v>
      </c>
      <c r="AJ69" s="12">
        <v>5</v>
      </c>
      <c r="AK69" s="12">
        <v>83</v>
      </c>
      <c r="AL69" s="12">
        <v>95</v>
      </c>
      <c r="AM69" s="19">
        <v>0.90526315789473688</v>
      </c>
      <c r="AN69" s="19">
        <v>0.86170212765957444</v>
      </c>
      <c r="AO69" s="18">
        <v>103.6144578313253</v>
      </c>
      <c r="AP69" s="18">
        <v>100</v>
      </c>
      <c r="AQ69" s="18">
        <v>3.6144578313252964</v>
      </c>
      <c r="AR69" s="53">
        <v>0.53676470588235292</v>
      </c>
      <c r="AS69" s="53">
        <v>0.56578947368421051</v>
      </c>
      <c r="AT69" s="16">
        <v>0.18947368421052632</v>
      </c>
      <c r="AU69" s="19">
        <v>1.6666666666666667</v>
      </c>
      <c r="AV69" s="16">
        <v>0.15789473684210525</v>
      </c>
      <c r="AW69" s="19">
        <v>0.4</v>
      </c>
      <c r="AX69" s="16">
        <v>7.3684210526315783E-2</v>
      </c>
      <c r="AY69" s="19">
        <v>0.5714285714285714</v>
      </c>
      <c r="AZ69" s="16">
        <v>5.2631578947368418E-2</v>
      </c>
      <c r="BA69" s="19">
        <v>1.2</v>
      </c>
      <c r="BB69" s="16">
        <v>0.22105263157894736</v>
      </c>
      <c r="BC69" s="21">
        <v>1.2857142857142858</v>
      </c>
      <c r="BD69" s="16">
        <v>8.4210526315789472E-2</v>
      </c>
      <c r="BE69" s="16">
        <v>0.2</v>
      </c>
      <c r="BF69" s="16">
        <v>0.64864864864864868</v>
      </c>
      <c r="BG69" s="16">
        <v>0.6</v>
      </c>
      <c r="BH69" s="16">
        <v>0.81818181818181823</v>
      </c>
      <c r="BI69" s="16">
        <v>0.5</v>
      </c>
      <c r="BJ69" s="16">
        <v>0.25263157894736843</v>
      </c>
      <c r="BK69" s="21">
        <v>1.263157894736842</v>
      </c>
      <c r="BL69" s="16">
        <v>0.31578947368421051</v>
      </c>
      <c r="BM69" s="16">
        <v>0.38095238095238093</v>
      </c>
      <c r="BN69" s="16">
        <v>0.23529411764705882</v>
      </c>
      <c r="BO69" s="16">
        <v>0.33333333333333331</v>
      </c>
      <c r="BP69" s="16">
        <v>0.69767441860465118</v>
      </c>
      <c r="BQ69" s="16">
        <v>0.72222222222222221</v>
      </c>
      <c r="BR69" s="16">
        <v>0.59090909090909094</v>
      </c>
      <c r="BS69" s="16">
        <v>0.75</v>
      </c>
      <c r="BT69" s="16">
        <v>0.51851851851851849</v>
      </c>
      <c r="BU69" s="16">
        <v>0.16049382716049382</v>
      </c>
      <c r="BV69" s="16">
        <v>4.9180327868852458E-2</v>
      </c>
      <c r="BW69" s="16">
        <v>3</v>
      </c>
      <c r="BX69" s="16">
        <v>0.51724137931034486</v>
      </c>
      <c r="BY69" s="16">
        <v>0.44444444444444442</v>
      </c>
      <c r="BZ69" s="12">
        <v>12</v>
      </c>
      <c r="CA69" s="12">
        <v>9</v>
      </c>
      <c r="CB69" s="12">
        <v>3</v>
      </c>
      <c r="CC69" s="12">
        <v>4</v>
      </c>
      <c r="CD69" s="12">
        <v>1</v>
      </c>
      <c r="CE69" s="12">
        <v>0</v>
      </c>
      <c r="CF69" s="12">
        <v>5</v>
      </c>
      <c r="CG69" s="12">
        <v>1</v>
      </c>
      <c r="CH69" s="12">
        <v>1</v>
      </c>
      <c r="CI69" s="12">
        <v>0</v>
      </c>
      <c r="CJ69" s="12">
        <v>1</v>
      </c>
      <c r="CK69" s="12">
        <v>0</v>
      </c>
      <c r="CL69" s="12">
        <v>3</v>
      </c>
      <c r="CM69" s="12">
        <v>0</v>
      </c>
      <c r="CN69" s="12">
        <v>1</v>
      </c>
      <c r="CO69" s="12">
        <v>0</v>
      </c>
      <c r="CP69" s="12">
        <v>0</v>
      </c>
      <c r="CQ69" s="12">
        <v>0</v>
      </c>
      <c r="CR69" s="12">
        <v>11</v>
      </c>
      <c r="CS69" s="12">
        <v>0</v>
      </c>
      <c r="CT69" s="12">
        <v>2</v>
      </c>
      <c r="CU69" s="12">
        <v>0</v>
      </c>
      <c r="CV69" s="12">
        <v>1</v>
      </c>
      <c r="CW69" s="12">
        <v>0</v>
      </c>
      <c r="CX69" s="12">
        <v>11</v>
      </c>
      <c r="CY69" s="12">
        <v>1</v>
      </c>
      <c r="CZ69" s="12">
        <v>5</v>
      </c>
      <c r="DA69" s="12">
        <v>1</v>
      </c>
      <c r="DB69" s="12">
        <v>2</v>
      </c>
      <c r="DC69" s="12">
        <v>2</v>
      </c>
      <c r="DD69" s="12">
        <v>0</v>
      </c>
      <c r="DE69" s="12">
        <v>0</v>
      </c>
      <c r="DF69" s="12">
        <v>11</v>
      </c>
      <c r="DG69" s="12">
        <v>16</v>
      </c>
      <c r="DH69" s="12">
        <v>2</v>
      </c>
      <c r="DI69" s="12">
        <v>0</v>
      </c>
      <c r="DJ69" s="12">
        <v>0</v>
      </c>
      <c r="DK69" s="12">
        <v>0</v>
      </c>
      <c r="DL69" s="12">
        <v>15</v>
      </c>
      <c r="DM69" s="12">
        <v>18</v>
      </c>
      <c r="DN69" s="12">
        <v>3</v>
      </c>
      <c r="DO69" s="12">
        <v>15</v>
      </c>
      <c r="DP69" s="12">
        <v>2</v>
      </c>
      <c r="DQ69" s="12">
        <v>7</v>
      </c>
      <c r="DR69" s="12">
        <v>2</v>
      </c>
      <c r="DS69" s="12">
        <v>5</v>
      </c>
      <c r="DT69" s="12">
        <v>9</v>
      </c>
      <c r="DU69" s="12">
        <v>21</v>
      </c>
      <c r="DV69" s="12">
        <v>0</v>
      </c>
      <c r="DW69" s="12">
        <v>2</v>
      </c>
      <c r="DX69" s="12">
        <v>81</v>
      </c>
      <c r="DY69" s="12">
        <v>15</v>
      </c>
      <c r="DZ69" s="12">
        <v>32</v>
      </c>
      <c r="EA69" s="16">
        <v>0.46875</v>
      </c>
      <c r="EB69" s="12">
        <v>10</v>
      </c>
      <c r="EC69" s="12">
        <v>29</v>
      </c>
      <c r="ED69" s="16">
        <v>0.34482758620689657</v>
      </c>
      <c r="EE69" s="12">
        <v>25</v>
      </c>
      <c r="EF69" s="12">
        <v>61</v>
      </c>
      <c r="EG69" s="16">
        <v>0.4098360655737705</v>
      </c>
      <c r="EH69" s="12">
        <v>21</v>
      </c>
      <c r="EI69" s="12">
        <v>33</v>
      </c>
      <c r="EJ69" s="16">
        <v>0.63636363636363635</v>
      </c>
      <c r="EK69" s="12">
        <v>13</v>
      </c>
      <c r="EL69" s="12">
        <v>26</v>
      </c>
      <c r="EM69" s="12">
        <v>39</v>
      </c>
      <c r="EN69" s="12">
        <v>18</v>
      </c>
      <c r="EO69" s="12">
        <v>20</v>
      </c>
      <c r="EP69" s="12">
        <v>28</v>
      </c>
      <c r="EQ69" s="12">
        <v>13</v>
      </c>
      <c r="ER69" s="12">
        <v>18</v>
      </c>
      <c r="ES69" s="12">
        <v>6</v>
      </c>
      <c r="ET69" s="12">
        <v>3</v>
      </c>
      <c r="EU69" s="12">
        <v>96</v>
      </c>
      <c r="EV69" s="12">
        <v>-5</v>
      </c>
      <c r="EW69" s="12">
        <v>81</v>
      </c>
      <c r="EX69" s="12">
        <v>94</v>
      </c>
      <c r="EY69" s="12">
        <v>6</v>
      </c>
      <c r="EZ69" s="12">
        <v>7</v>
      </c>
      <c r="FA69" s="12">
        <v>7</v>
      </c>
      <c r="FB69" s="12">
        <v>4</v>
      </c>
      <c r="FC69" s="12">
        <v>5</v>
      </c>
      <c r="FD69" s="12">
        <v>1</v>
      </c>
      <c r="FE69" s="12">
        <v>0</v>
      </c>
      <c r="FF69" s="12">
        <v>3</v>
      </c>
      <c r="FG69" s="12">
        <v>1</v>
      </c>
      <c r="FH69" s="12">
        <v>0</v>
      </c>
      <c r="FI69" s="12">
        <v>0</v>
      </c>
      <c r="FJ69" s="12">
        <v>1</v>
      </c>
      <c r="FK69" s="12">
        <v>0</v>
      </c>
      <c r="FL69" s="12">
        <v>6</v>
      </c>
      <c r="FM69" s="12">
        <v>2</v>
      </c>
      <c r="FN69" s="12">
        <v>2</v>
      </c>
      <c r="FO69" s="12">
        <v>0</v>
      </c>
      <c r="FP69" s="12">
        <v>2</v>
      </c>
      <c r="FQ69" s="12">
        <v>0</v>
      </c>
      <c r="FR69" s="12">
        <v>7</v>
      </c>
      <c r="FS69" s="12">
        <v>0</v>
      </c>
      <c r="FT69" s="12">
        <v>4</v>
      </c>
      <c r="FU69" s="12">
        <v>0</v>
      </c>
      <c r="FV69" s="12">
        <v>2</v>
      </c>
      <c r="FW69" s="12">
        <v>0</v>
      </c>
      <c r="FX69" s="12">
        <v>9</v>
      </c>
      <c r="FY69" s="12">
        <v>2</v>
      </c>
      <c r="FZ69" s="12">
        <v>2</v>
      </c>
      <c r="GA69" s="12">
        <v>0</v>
      </c>
      <c r="GB69" s="12">
        <v>1</v>
      </c>
      <c r="GC69" s="12">
        <v>1</v>
      </c>
      <c r="GD69" s="12">
        <v>0</v>
      </c>
      <c r="GE69" s="12">
        <v>0</v>
      </c>
      <c r="GF69" s="12">
        <v>15</v>
      </c>
      <c r="GG69" s="12">
        <v>26</v>
      </c>
      <c r="GH69" s="12">
        <v>1</v>
      </c>
      <c r="GI69" s="12">
        <v>5</v>
      </c>
      <c r="GJ69" s="12">
        <v>6</v>
      </c>
      <c r="GK69" s="12">
        <v>0</v>
      </c>
      <c r="GL69" s="12">
        <v>12</v>
      </c>
      <c r="GM69" s="12">
        <v>13</v>
      </c>
      <c r="GN69" s="12">
        <v>2</v>
      </c>
      <c r="GO69" s="12">
        <v>16</v>
      </c>
      <c r="GP69" s="12">
        <v>1</v>
      </c>
      <c r="GQ69" s="12">
        <v>3</v>
      </c>
      <c r="GR69" s="12">
        <v>1</v>
      </c>
      <c r="GS69" s="12">
        <v>3</v>
      </c>
      <c r="GT69" s="12">
        <v>9</v>
      </c>
      <c r="GU69" s="12">
        <v>26</v>
      </c>
      <c r="GV69" s="12">
        <v>0</v>
      </c>
      <c r="GW69" s="12">
        <v>0</v>
      </c>
    </row>
    <row r="70" spans="2:205" ht="15" customHeight="1" x14ac:dyDescent="0.2">
      <c r="B70" s="12">
        <v>4</v>
      </c>
      <c r="C70" s="12" t="s">
        <v>264</v>
      </c>
      <c r="D70" s="12" t="s">
        <v>285</v>
      </c>
      <c r="E70" s="14" t="s">
        <v>266</v>
      </c>
      <c r="F70" s="14" t="s">
        <v>287</v>
      </c>
      <c r="G70" s="15">
        <v>45219</v>
      </c>
      <c r="H70" s="15" t="s">
        <v>271</v>
      </c>
      <c r="I70" s="12" t="s">
        <v>269</v>
      </c>
      <c r="J70" s="12" t="s">
        <v>272</v>
      </c>
      <c r="K70" s="12">
        <v>200</v>
      </c>
      <c r="L70" s="12">
        <v>85</v>
      </c>
      <c r="M70" s="12">
        <v>19</v>
      </c>
      <c r="N70" s="12">
        <v>31</v>
      </c>
      <c r="O70" s="16">
        <v>0.61290322580645162</v>
      </c>
      <c r="P70" s="12">
        <v>12</v>
      </c>
      <c r="Q70" s="12">
        <v>26</v>
      </c>
      <c r="R70" s="16">
        <v>0.46153846153846156</v>
      </c>
      <c r="S70" s="12">
        <v>31</v>
      </c>
      <c r="T70" s="12">
        <v>57</v>
      </c>
      <c r="U70" s="16">
        <v>0.54385964912280704</v>
      </c>
      <c r="V70" s="12">
        <v>11</v>
      </c>
      <c r="W70" s="12">
        <v>16</v>
      </c>
      <c r="X70" s="16">
        <v>0.6875</v>
      </c>
      <c r="Y70" s="12">
        <v>6</v>
      </c>
      <c r="Z70" s="12">
        <v>29</v>
      </c>
      <c r="AA70" s="12">
        <v>35</v>
      </c>
      <c r="AB70" s="12">
        <v>23</v>
      </c>
      <c r="AC70" s="12">
        <v>19</v>
      </c>
      <c r="AD70" s="12">
        <v>3</v>
      </c>
      <c r="AE70" s="12">
        <v>4</v>
      </c>
      <c r="AF70" s="12">
        <v>0</v>
      </c>
      <c r="AG70" s="12">
        <v>25</v>
      </c>
      <c r="AH70" s="12">
        <v>21</v>
      </c>
      <c r="AI70" s="17">
        <v>96</v>
      </c>
      <c r="AJ70" s="12">
        <v>6</v>
      </c>
      <c r="AK70" s="12">
        <v>76</v>
      </c>
      <c r="AL70" s="12">
        <v>82</v>
      </c>
      <c r="AM70" s="19">
        <v>1.0365853658536586</v>
      </c>
      <c r="AN70" s="19">
        <v>0.87777777777777777</v>
      </c>
      <c r="AO70" s="18">
        <v>111.8421052631579</v>
      </c>
      <c r="AP70" s="18">
        <v>102.59740259740259</v>
      </c>
      <c r="AQ70" s="18">
        <v>9.2447026657553124</v>
      </c>
      <c r="AR70" s="53">
        <v>0.64912280701754388</v>
      </c>
      <c r="AS70" s="53">
        <v>0.67460317460317465</v>
      </c>
      <c r="AT70" s="16">
        <v>4.878048780487805E-2</v>
      </c>
      <c r="AU70" s="19">
        <v>1.5</v>
      </c>
      <c r="AV70" s="16">
        <v>0.23170731707317074</v>
      </c>
      <c r="AW70" s="19">
        <v>1.263157894736842</v>
      </c>
      <c r="AX70" s="16">
        <v>9.7560975609756101E-2</v>
      </c>
      <c r="AY70" s="19">
        <v>1</v>
      </c>
      <c r="AZ70" s="16">
        <v>0</v>
      </c>
      <c r="BA70" s="19" t="s">
        <v>269</v>
      </c>
      <c r="BB70" s="16">
        <v>0.31707317073170732</v>
      </c>
      <c r="BC70" s="21">
        <v>1.3846153846153846</v>
      </c>
      <c r="BD70" s="16">
        <v>7.3170731707317069E-2</v>
      </c>
      <c r="BE70" s="16">
        <v>0.23170731707317074</v>
      </c>
      <c r="BF70" s="16">
        <v>0.6216216216216216</v>
      </c>
      <c r="BG70" s="16">
        <v>0.57894736842105265</v>
      </c>
      <c r="BH70" s="16">
        <v>0.83333333333333337</v>
      </c>
      <c r="BI70" s="16">
        <v>0.33333333333333331</v>
      </c>
      <c r="BJ70" s="16">
        <v>0.28048780487804881</v>
      </c>
      <c r="BK70" s="21">
        <v>1.2105263157894737</v>
      </c>
      <c r="BL70" s="16">
        <v>0.21428571428571427</v>
      </c>
      <c r="BM70" s="16">
        <v>0.33333333333333331</v>
      </c>
      <c r="BN70" s="16">
        <v>0.13333333333333333</v>
      </c>
      <c r="BO70" s="16">
        <v>0.5</v>
      </c>
      <c r="BP70" s="16">
        <v>0.69047619047619047</v>
      </c>
      <c r="BQ70" s="16">
        <v>0.52941176470588236</v>
      </c>
      <c r="BR70" s="16">
        <v>0.73076923076923073</v>
      </c>
      <c r="BS70" s="16">
        <v>0.5</v>
      </c>
      <c r="BT70" s="16">
        <v>0.5</v>
      </c>
      <c r="BU70" s="16">
        <v>3.896103896103896E-2</v>
      </c>
      <c r="BV70" s="16">
        <v>5.8823529411764705E-2</v>
      </c>
      <c r="BW70" s="16">
        <v>6</v>
      </c>
      <c r="BX70" s="16">
        <v>0.44</v>
      </c>
      <c r="BY70" s="16">
        <v>0.42857142857142855</v>
      </c>
      <c r="BZ70" s="12">
        <v>11</v>
      </c>
      <c r="CA70" s="12">
        <v>10</v>
      </c>
      <c r="CB70" s="12">
        <v>2</v>
      </c>
      <c r="CC70" s="12">
        <v>4</v>
      </c>
      <c r="CD70" s="12">
        <v>0</v>
      </c>
      <c r="CE70" s="12">
        <v>0</v>
      </c>
      <c r="CF70" s="12">
        <v>0</v>
      </c>
      <c r="CG70" s="12">
        <v>0</v>
      </c>
      <c r="CH70" s="12">
        <v>3</v>
      </c>
      <c r="CI70" s="12">
        <v>1</v>
      </c>
      <c r="CJ70" s="12">
        <v>0</v>
      </c>
      <c r="CK70" s="12">
        <v>0</v>
      </c>
      <c r="CL70" s="12">
        <v>2</v>
      </c>
      <c r="CM70" s="12">
        <v>0</v>
      </c>
      <c r="CN70" s="12">
        <v>1</v>
      </c>
      <c r="CO70" s="12">
        <v>1</v>
      </c>
      <c r="CP70" s="12">
        <v>0</v>
      </c>
      <c r="CQ70" s="12">
        <v>0</v>
      </c>
      <c r="CR70" s="12">
        <v>7</v>
      </c>
      <c r="CS70" s="12">
        <v>0</v>
      </c>
      <c r="CT70" s="12">
        <v>2</v>
      </c>
      <c r="CU70" s="12">
        <v>0</v>
      </c>
      <c r="CV70" s="12">
        <v>0</v>
      </c>
      <c r="CW70" s="12">
        <v>0</v>
      </c>
      <c r="CX70" s="12">
        <v>19</v>
      </c>
      <c r="CY70" s="12">
        <v>0</v>
      </c>
      <c r="CZ70" s="12">
        <v>1</v>
      </c>
      <c r="DA70" s="12">
        <v>0</v>
      </c>
      <c r="DB70" s="12">
        <v>1</v>
      </c>
      <c r="DC70" s="12">
        <v>1</v>
      </c>
      <c r="DD70" s="12">
        <v>1</v>
      </c>
      <c r="DE70" s="12">
        <v>3</v>
      </c>
      <c r="DF70" s="12">
        <v>9</v>
      </c>
      <c r="DG70" s="12">
        <v>12</v>
      </c>
      <c r="DH70" s="12">
        <v>0</v>
      </c>
      <c r="DI70" s="12">
        <v>0</v>
      </c>
      <c r="DJ70" s="12">
        <v>0</v>
      </c>
      <c r="DK70" s="12">
        <v>0</v>
      </c>
      <c r="DL70" s="12">
        <v>3</v>
      </c>
      <c r="DM70" s="12">
        <v>4</v>
      </c>
      <c r="DN70" s="12">
        <v>12</v>
      </c>
      <c r="DO70" s="12">
        <v>19</v>
      </c>
      <c r="DP70" s="12">
        <v>4</v>
      </c>
      <c r="DQ70" s="12">
        <v>8</v>
      </c>
      <c r="DR70" s="12">
        <v>0</v>
      </c>
      <c r="DS70" s="12">
        <v>0</v>
      </c>
      <c r="DT70" s="12">
        <v>12</v>
      </c>
      <c r="DU70" s="12">
        <v>26</v>
      </c>
      <c r="DV70" s="12">
        <v>0</v>
      </c>
      <c r="DW70" s="12">
        <v>0</v>
      </c>
      <c r="DX70" s="12">
        <v>79</v>
      </c>
      <c r="DY70" s="12">
        <v>20</v>
      </c>
      <c r="DZ70" s="12">
        <v>35</v>
      </c>
      <c r="EA70" s="16">
        <v>0.5714285714285714</v>
      </c>
      <c r="EB70" s="12">
        <v>8</v>
      </c>
      <c r="EC70" s="12">
        <v>33</v>
      </c>
      <c r="ED70" s="16">
        <v>0.24242424242424243</v>
      </c>
      <c r="EE70" s="12">
        <v>28</v>
      </c>
      <c r="EF70" s="12">
        <v>68</v>
      </c>
      <c r="EG70" s="16">
        <v>0.41176470588235292</v>
      </c>
      <c r="EH70" s="12">
        <v>15</v>
      </c>
      <c r="EI70" s="12">
        <v>21</v>
      </c>
      <c r="EJ70" s="16">
        <v>0.7142857142857143</v>
      </c>
      <c r="EK70" s="12">
        <v>13</v>
      </c>
      <c r="EL70" s="12">
        <v>22</v>
      </c>
      <c r="EM70" s="12">
        <v>35</v>
      </c>
      <c r="EN70" s="12">
        <v>17</v>
      </c>
      <c r="EO70" s="12">
        <v>21</v>
      </c>
      <c r="EP70" s="12">
        <v>25</v>
      </c>
      <c r="EQ70" s="12">
        <v>11</v>
      </c>
      <c r="ER70" s="12">
        <v>12</v>
      </c>
      <c r="ES70" s="12">
        <v>0</v>
      </c>
      <c r="ET70" s="12">
        <v>4</v>
      </c>
      <c r="EU70" s="12">
        <v>84</v>
      </c>
      <c r="EV70" s="12">
        <v>-6</v>
      </c>
      <c r="EW70" s="12">
        <v>77</v>
      </c>
      <c r="EX70" s="12">
        <v>90</v>
      </c>
      <c r="EY70" s="12">
        <v>7</v>
      </c>
      <c r="EZ70" s="12">
        <v>9</v>
      </c>
      <c r="FA70" s="12">
        <v>7</v>
      </c>
      <c r="FB70" s="12">
        <v>1</v>
      </c>
      <c r="FC70" s="12">
        <v>2</v>
      </c>
      <c r="FD70" s="12">
        <v>0</v>
      </c>
      <c r="FE70" s="12">
        <v>0</v>
      </c>
      <c r="FF70" s="12">
        <v>3</v>
      </c>
      <c r="FG70" s="12">
        <v>2</v>
      </c>
      <c r="FH70" s="12">
        <v>3</v>
      </c>
      <c r="FI70" s="12">
        <v>0</v>
      </c>
      <c r="FJ70" s="12">
        <v>0</v>
      </c>
      <c r="FK70" s="12">
        <v>0</v>
      </c>
      <c r="FL70" s="12">
        <v>6</v>
      </c>
      <c r="FM70" s="12">
        <v>1</v>
      </c>
      <c r="FN70" s="12">
        <v>1</v>
      </c>
      <c r="FO70" s="12">
        <v>0</v>
      </c>
      <c r="FP70" s="12">
        <v>1</v>
      </c>
      <c r="FQ70" s="12">
        <v>0</v>
      </c>
      <c r="FR70" s="12">
        <v>6</v>
      </c>
      <c r="FS70" s="12">
        <v>0</v>
      </c>
      <c r="FT70" s="12">
        <v>1</v>
      </c>
      <c r="FU70" s="12">
        <v>0</v>
      </c>
      <c r="FV70" s="12">
        <v>0</v>
      </c>
      <c r="FW70" s="12">
        <v>0</v>
      </c>
      <c r="FX70" s="12">
        <v>12</v>
      </c>
      <c r="FY70" s="12">
        <v>1</v>
      </c>
      <c r="FZ70" s="12">
        <v>2</v>
      </c>
      <c r="GA70" s="12">
        <v>0</v>
      </c>
      <c r="GB70" s="12">
        <v>0</v>
      </c>
      <c r="GC70" s="12">
        <v>0</v>
      </c>
      <c r="GD70" s="12">
        <v>1</v>
      </c>
      <c r="GE70" s="12">
        <v>1</v>
      </c>
      <c r="GF70" s="12">
        <v>14</v>
      </c>
      <c r="GG70" s="12">
        <v>20</v>
      </c>
      <c r="GH70" s="12">
        <v>1</v>
      </c>
      <c r="GI70" s="12">
        <v>0</v>
      </c>
      <c r="GJ70" s="12">
        <v>0</v>
      </c>
      <c r="GK70" s="12">
        <v>0</v>
      </c>
      <c r="GL70" s="12">
        <v>4</v>
      </c>
      <c r="GM70" s="12">
        <v>4</v>
      </c>
      <c r="GN70" s="12">
        <v>15</v>
      </c>
      <c r="GO70" s="12">
        <v>25</v>
      </c>
      <c r="GP70" s="12">
        <v>1</v>
      </c>
      <c r="GQ70" s="12">
        <v>6</v>
      </c>
      <c r="GR70" s="12">
        <v>2</v>
      </c>
      <c r="GS70" s="12">
        <v>2</v>
      </c>
      <c r="GT70" s="12">
        <v>6</v>
      </c>
      <c r="GU70" s="12">
        <v>31</v>
      </c>
      <c r="GV70" s="12">
        <v>0</v>
      </c>
      <c r="GW70" s="12">
        <v>0</v>
      </c>
    </row>
    <row r="71" spans="2:205" ht="15" customHeight="1" x14ac:dyDescent="0.2">
      <c r="B71" s="12">
        <v>4</v>
      </c>
      <c r="C71" s="12" t="s">
        <v>285</v>
      </c>
      <c r="D71" s="12" t="s">
        <v>264</v>
      </c>
      <c r="E71" s="14" t="s">
        <v>287</v>
      </c>
      <c r="F71" s="14" t="s">
        <v>266</v>
      </c>
      <c r="G71" s="15">
        <v>45219</v>
      </c>
      <c r="H71" s="15" t="s">
        <v>268</v>
      </c>
      <c r="I71" s="12" t="s">
        <v>269</v>
      </c>
      <c r="J71" s="12" t="s">
        <v>270</v>
      </c>
      <c r="K71" s="12">
        <v>200</v>
      </c>
      <c r="L71" s="12">
        <v>79</v>
      </c>
      <c r="M71" s="12">
        <v>20</v>
      </c>
      <c r="N71" s="12">
        <v>35</v>
      </c>
      <c r="O71" s="16">
        <v>0.5714285714285714</v>
      </c>
      <c r="P71" s="12">
        <v>8</v>
      </c>
      <c r="Q71" s="12">
        <v>33</v>
      </c>
      <c r="R71" s="16">
        <v>0.24242424242424243</v>
      </c>
      <c r="S71" s="12">
        <v>28</v>
      </c>
      <c r="T71" s="12">
        <v>68</v>
      </c>
      <c r="U71" s="16">
        <v>0.41176470588235292</v>
      </c>
      <c r="V71" s="12">
        <v>15</v>
      </c>
      <c r="W71" s="12">
        <v>21</v>
      </c>
      <c r="X71" s="16">
        <v>0.7142857142857143</v>
      </c>
      <c r="Y71" s="12">
        <v>13</v>
      </c>
      <c r="Z71" s="12">
        <v>22</v>
      </c>
      <c r="AA71" s="12">
        <v>35</v>
      </c>
      <c r="AB71" s="12">
        <v>17</v>
      </c>
      <c r="AC71" s="12">
        <v>12</v>
      </c>
      <c r="AD71" s="12">
        <v>11</v>
      </c>
      <c r="AE71" s="12">
        <v>0</v>
      </c>
      <c r="AF71" s="12">
        <v>4</v>
      </c>
      <c r="AG71" s="12">
        <v>21</v>
      </c>
      <c r="AH71" s="12">
        <v>25</v>
      </c>
      <c r="AI71" s="17">
        <v>84</v>
      </c>
      <c r="AJ71" s="12">
        <v>-6</v>
      </c>
      <c r="AK71" s="12">
        <v>77</v>
      </c>
      <c r="AL71" s="12">
        <v>90</v>
      </c>
      <c r="AM71" s="19">
        <v>0.87777777777777777</v>
      </c>
      <c r="AN71" s="19">
        <v>1.0365853658536586</v>
      </c>
      <c r="AO71" s="18">
        <v>102.59740259740259</v>
      </c>
      <c r="AP71" s="18">
        <v>111.8421052631579</v>
      </c>
      <c r="AQ71" s="18">
        <v>-9.2447026657553124</v>
      </c>
      <c r="AR71" s="53">
        <v>0.47058823529411764</v>
      </c>
      <c r="AS71" s="53">
        <v>0.50641025641025639</v>
      </c>
      <c r="AT71" s="16">
        <v>4.4444444444444446E-2</v>
      </c>
      <c r="AU71" s="19">
        <v>2</v>
      </c>
      <c r="AV71" s="16">
        <v>0.27777777777777779</v>
      </c>
      <c r="AW71" s="19">
        <v>1.2</v>
      </c>
      <c r="AX71" s="16">
        <v>6.6666666666666666E-2</v>
      </c>
      <c r="AY71" s="19">
        <v>0.33333333333333331</v>
      </c>
      <c r="AZ71" s="16">
        <v>2.2222222222222223E-2</v>
      </c>
      <c r="BA71" s="19">
        <v>3</v>
      </c>
      <c r="BB71" s="16">
        <v>0.34444444444444444</v>
      </c>
      <c r="BC71" s="21">
        <v>0.58064516129032262</v>
      </c>
      <c r="BD71" s="16">
        <v>0.1111111111111111</v>
      </c>
      <c r="BE71" s="16">
        <v>0.13333333333333333</v>
      </c>
      <c r="BF71" s="16">
        <v>0.45945945945945948</v>
      </c>
      <c r="BG71" s="16">
        <v>0.45</v>
      </c>
      <c r="BH71" s="16">
        <v>0.875</v>
      </c>
      <c r="BI71" s="16">
        <v>0.1111111111111111</v>
      </c>
      <c r="BJ71" s="16">
        <v>0.18888888888888888</v>
      </c>
      <c r="BK71" s="21">
        <v>1.4166666666666667</v>
      </c>
      <c r="BL71" s="16">
        <v>0.30952380952380953</v>
      </c>
      <c r="BM71" s="16">
        <v>0.47058823529411764</v>
      </c>
      <c r="BN71" s="16">
        <v>0.26923076923076922</v>
      </c>
      <c r="BO71" s="16">
        <v>0.5</v>
      </c>
      <c r="BP71" s="16">
        <v>0.7857142857142857</v>
      </c>
      <c r="BQ71" s="16">
        <v>0.66666666666666663</v>
      </c>
      <c r="BR71" s="16">
        <v>0.8666666666666667</v>
      </c>
      <c r="BS71" s="16">
        <v>0.5</v>
      </c>
      <c r="BT71" s="16">
        <v>0.5</v>
      </c>
      <c r="BU71" s="16">
        <v>0.14473684210526316</v>
      </c>
      <c r="BV71" s="16">
        <v>0</v>
      </c>
      <c r="BW71" s="16">
        <v>7</v>
      </c>
      <c r="BX71" s="16">
        <v>0.42857142857142855</v>
      </c>
      <c r="BY71" s="16">
        <v>0.44</v>
      </c>
      <c r="BZ71" s="12">
        <v>9</v>
      </c>
      <c r="CA71" s="12">
        <v>7</v>
      </c>
      <c r="CB71" s="12">
        <v>1</v>
      </c>
      <c r="CC71" s="12">
        <v>2</v>
      </c>
      <c r="CD71" s="12">
        <v>0</v>
      </c>
      <c r="CE71" s="12">
        <v>0</v>
      </c>
      <c r="CF71" s="12">
        <v>3</v>
      </c>
      <c r="CG71" s="12">
        <v>2</v>
      </c>
      <c r="CH71" s="12">
        <v>3</v>
      </c>
      <c r="CI71" s="12">
        <v>0</v>
      </c>
      <c r="CJ71" s="12">
        <v>0</v>
      </c>
      <c r="CK71" s="12">
        <v>0</v>
      </c>
      <c r="CL71" s="12">
        <v>6</v>
      </c>
      <c r="CM71" s="12">
        <v>1</v>
      </c>
      <c r="CN71" s="12">
        <v>1</v>
      </c>
      <c r="CO71" s="12">
        <v>0</v>
      </c>
      <c r="CP71" s="12">
        <v>1</v>
      </c>
      <c r="CQ71" s="12">
        <v>0</v>
      </c>
      <c r="CR71" s="12">
        <v>6</v>
      </c>
      <c r="CS71" s="12">
        <v>0</v>
      </c>
      <c r="CT71" s="12">
        <v>1</v>
      </c>
      <c r="CU71" s="12">
        <v>0</v>
      </c>
      <c r="CV71" s="12">
        <v>0</v>
      </c>
      <c r="CW71" s="12">
        <v>0</v>
      </c>
      <c r="CX71" s="12">
        <v>12</v>
      </c>
      <c r="CY71" s="12">
        <v>1</v>
      </c>
      <c r="CZ71" s="12">
        <v>2</v>
      </c>
      <c r="DA71" s="12">
        <v>0</v>
      </c>
      <c r="DB71" s="12">
        <v>0</v>
      </c>
      <c r="DC71" s="12">
        <v>0</v>
      </c>
      <c r="DD71" s="12">
        <v>1</v>
      </c>
      <c r="DE71" s="12">
        <v>1</v>
      </c>
      <c r="DF71" s="12">
        <v>14</v>
      </c>
      <c r="DG71" s="12">
        <v>20</v>
      </c>
      <c r="DH71" s="12">
        <v>1</v>
      </c>
      <c r="DI71" s="12">
        <v>0</v>
      </c>
      <c r="DJ71" s="12">
        <v>0</v>
      </c>
      <c r="DK71" s="12">
        <v>0</v>
      </c>
      <c r="DL71" s="12">
        <v>4</v>
      </c>
      <c r="DM71" s="12">
        <v>4</v>
      </c>
      <c r="DN71" s="12">
        <v>15</v>
      </c>
      <c r="DO71" s="12">
        <v>25</v>
      </c>
      <c r="DP71" s="12">
        <v>1</v>
      </c>
      <c r="DQ71" s="12">
        <v>6</v>
      </c>
      <c r="DR71" s="12">
        <v>2</v>
      </c>
      <c r="DS71" s="12">
        <v>2</v>
      </c>
      <c r="DT71" s="12">
        <v>6</v>
      </c>
      <c r="DU71" s="12">
        <v>31</v>
      </c>
      <c r="DV71" s="12">
        <v>0</v>
      </c>
      <c r="DW71" s="12">
        <v>0</v>
      </c>
      <c r="DX71" s="12">
        <v>85</v>
      </c>
      <c r="DY71" s="12">
        <v>19</v>
      </c>
      <c r="DZ71" s="12">
        <v>31</v>
      </c>
      <c r="EA71" s="16">
        <v>0.61290322580645162</v>
      </c>
      <c r="EB71" s="12">
        <v>12</v>
      </c>
      <c r="EC71" s="12">
        <v>26</v>
      </c>
      <c r="ED71" s="16">
        <v>0.46153846153846156</v>
      </c>
      <c r="EE71" s="12">
        <v>31</v>
      </c>
      <c r="EF71" s="12">
        <v>57</v>
      </c>
      <c r="EG71" s="16">
        <v>0.54385964912280704</v>
      </c>
      <c r="EH71" s="12">
        <v>11</v>
      </c>
      <c r="EI71" s="12">
        <v>16</v>
      </c>
      <c r="EJ71" s="16">
        <v>0.6875</v>
      </c>
      <c r="EK71" s="12">
        <v>6</v>
      </c>
      <c r="EL71" s="12">
        <v>29</v>
      </c>
      <c r="EM71" s="12">
        <v>35</v>
      </c>
      <c r="EN71" s="12">
        <v>23</v>
      </c>
      <c r="EO71" s="12">
        <v>25</v>
      </c>
      <c r="EP71" s="12">
        <v>21</v>
      </c>
      <c r="EQ71" s="12">
        <v>3</v>
      </c>
      <c r="ER71" s="12">
        <v>19</v>
      </c>
      <c r="ES71" s="12">
        <v>4</v>
      </c>
      <c r="ET71" s="12">
        <v>0</v>
      </c>
      <c r="EU71" s="12">
        <v>96</v>
      </c>
      <c r="EV71" s="12">
        <v>6</v>
      </c>
      <c r="EW71" s="12">
        <v>76</v>
      </c>
      <c r="EX71" s="12">
        <v>82</v>
      </c>
      <c r="EY71" s="12">
        <v>6</v>
      </c>
      <c r="EZ71" s="12">
        <v>11</v>
      </c>
      <c r="FA71" s="12">
        <v>10</v>
      </c>
      <c r="FB71" s="12">
        <v>2</v>
      </c>
      <c r="FC71" s="12">
        <v>4</v>
      </c>
      <c r="FD71" s="12">
        <v>0</v>
      </c>
      <c r="FE71" s="12">
        <v>0</v>
      </c>
      <c r="FF71" s="12">
        <v>0</v>
      </c>
      <c r="FG71" s="12">
        <v>0</v>
      </c>
      <c r="FH71" s="12">
        <v>3</v>
      </c>
      <c r="FI71" s="12">
        <v>1</v>
      </c>
      <c r="FJ71" s="12">
        <v>0</v>
      </c>
      <c r="FK71" s="12">
        <v>0</v>
      </c>
      <c r="FL71" s="12">
        <v>2</v>
      </c>
      <c r="FM71" s="12">
        <v>0</v>
      </c>
      <c r="FN71" s="12">
        <v>1</v>
      </c>
      <c r="FO71" s="12">
        <v>1</v>
      </c>
      <c r="FP71" s="12">
        <v>0</v>
      </c>
      <c r="FQ71" s="12">
        <v>0</v>
      </c>
      <c r="FR71" s="12">
        <v>7</v>
      </c>
      <c r="FS71" s="12">
        <v>0</v>
      </c>
      <c r="FT71" s="12">
        <v>2</v>
      </c>
      <c r="FU71" s="12">
        <v>0</v>
      </c>
      <c r="FV71" s="12">
        <v>0</v>
      </c>
      <c r="FW71" s="12">
        <v>0</v>
      </c>
      <c r="FX71" s="12">
        <v>19</v>
      </c>
      <c r="FY71" s="12">
        <v>0</v>
      </c>
      <c r="FZ71" s="12">
        <v>1</v>
      </c>
      <c r="GA71" s="12">
        <v>0</v>
      </c>
      <c r="GB71" s="12">
        <v>1</v>
      </c>
      <c r="GC71" s="12">
        <v>1</v>
      </c>
      <c r="GD71" s="12">
        <v>1</v>
      </c>
      <c r="GE71" s="12">
        <v>3</v>
      </c>
      <c r="GF71" s="12">
        <v>9</v>
      </c>
      <c r="GG71" s="12">
        <v>12</v>
      </c>
      <c r="GH71" s="12">
        <v>0</v>
      </c>
      <c r="GI71" s="12">
        <v>0</v>
      </c>
      <c r="GJ71" s="12">
        <v>0</v>
      </c>
      <c r="GK71" s="12">
        <v>0</v>
      </c>
      <c r="GL71" s="12">
        <v>3</v>
      </c>
      <c r="GM71" s="12">
        <v>4</v>
      </c>
      <c r="GN71" s="12">
        <v>12</v>
      </c>
      <c r="GO71" s="12">
        <v>19</v>
      </c>
      <c r="GP71" s="12">
        <v>4</v>
      </c>
      <c r="GQ71" s="12">
        <v>8</v>
      </c>
      <c r="GR71" s="12">
        <v>0</v>
      </c>
      <c r="GS71" s="12">
        <v>0</v>
      </c>
      <c r="GT71" s="12">
        <v>12</v>
      </c>
      <c r="GU71" s="12">
        <v>26</v>
      </c>
      <c r="GV71" s="12">
        <v>0</v>
      </c>
      <c r="GW71" s="12">
        <v>0</v>
      </c>
    </row>
    <row r="72" spans="2:205" ht="15" customHeight="1" x14ac:dyDescent="0.2">
      <c r="B72" s="12">
        <v>4</v>
      </c>
      <c r="C72" s="12" t="s">
        <v>278</v>
      </c>
      <c r="D72" s="12" t="s">
        <v>282</v>
      </c>
      <c r="E72" s="14" t="s">
        <v>280</v>
      </c>
      <c r="F72" s="14" t="s">
        <v>284</v>
      </c>
      <c r="G72" s="15">
        <v>45219</v>
      </c>
      <c r="H72" s="15" t="s">
        <v>268</v>
      </c>
      <c r="I72" s="12" t="s">
        <v>269</v>
      </c>
      <c r="J72" s="12" t="s">
        <v>270</v>
      </c>
      <c r="K72" s="12">
        <v>200</v>
      </c>
      <c r="L72" s="12">
        <v>59</v>
      </c>
      <c r="M72" s="12">
        <v>14</v>
      </c>
      <c r="N72" s="12">
        <v>34</v>
      </c>
      <c r="O72" s="16">
        <v>0.41176470588235292</v>
      </c>
      <c r="P72" s="12">
        <v>7</v>
      </c>
      <c r="Q72" s="12">
        <v>28</v>
      </c>
      <c r="R72" s="16">
        <v>0.25</v>
      </c>
      <c r="S72" s="12">
        <v>21</v>
      </c>
      <c r="T72" s="12">
        <v>62</v>
      </c>
      <c r="U72" s="16">
        <v>0.33870967741935482</v>
      </c>
      <c r="V72" s="12">
        <v>10</v>
      </c>
      <c r="W72" s="12">
        <v>14</v>
      </c>
      <c r="X72" s="16">
        <v>0.7142857142857143</v>
      </c>
      <c r="Y72" s="12">
        <v>12</v>
      </c>
      <c r="Z72" s="12">
        <v>25</v>
      </c>
      <c r="AA72" s="12">
        <v>37</v>
      </c>
      <c r="AB72" s="12">
        <v>12</v>
      </c>
      <c r="AC72" s="12">
        <v>12</v>
      </c>
      <c r="AD72" s="12">
        <v>5</v>
      </c>
      <c r="AE72" s="12">
        <v>1</v>
      </c>
      <c r="AF72" s="12">
        <v>3</v>
      </c>
      <c r="AG72" s="12">
        <v>22</v>
      </c>
      <c r="AH72" s="12">
        <v>18</v>
      </c>
      <c r="AI72" s="17">
        <v>50</v>
      </c>
      <c r="AJ72" s="12">
        <v>-39</v>
      </c>
      <c r="AK72" s="12">
        <v>68</v>
      </c>
      <c r="AL72" s="12">
        <v>80</v>
      </c>
      <c r="AM72" s="19">
        <v>0.73750000000000004</v>
      </c>
      <c r="AN72" s="19">
        <v>1.1951219512195121</v>
      </c>
      <c r="AO72" s="18">
        <v>86.764705882352942</v>
      </c>
      <c r="AP72" s="18">
        <v>138.02816901408451</v>
      </c>
      <c r="AQ72" s="18">
        <v>-51.263463131731569</v>
      </c>
      <c r="AR72" s="53">
        <v>0.39516129032258063</v>
      </c>
      <c r="AS72" s="53">
        <v>0.43382352941176472</v>
      </c>
      <c r="AT72" s="16">
        <v>6.25E-2</v>
      </c>
      <c r="AU72" s="19">
        <v>1.2</v>
      </c>
      <c r="AV72" s="16">
        <v>0.23749999999999999</v>
      </c>
      <c r="AW72" s="19">
        <v>0.73684210526315785</v>
      </c>
      <c r="AX72" s="16">
        <v>0.125</v>
      </c>
      <c r="AY72" s="19">
        <v>0.8</v>
      </c>
      <c r="AZ72" s="16">
        <v>6.25E-2</v>
      </c>
      <c r="BA72" s="19">
        <v>1.2</v>
      </c>
      <c r="BB72" s="16">
        <v>0.28749999999999998</v>
      </c>
      <c r="BC72" s="21">
        <v>0.65217391304347827</v>
      </c>
      <c r="BD72" s="16">
        <v>7.4999999999999997E-2</v>
      </c>
      <c r="BE72" s="16">
        <v>0.15</v>
      </c>
      <c r="BF72" s="16">
        <v>0.40740740740740738</v>
      </c>
      <c r="BG72" s="16">
        <v>0.35714285714285715</v>
      </c>
      <c r="BH72" s="16">
        <v>0.7142857142857143</v>
      </c>
      <c r="BI72" s="16">
        <v>0.16666666666666666</v>
      </c>
      <c r="BJ72" s="16">
        <v>0.15</v>
      </c>
      <c r="BK72" s="21">
        <v>1</v>
      </c>
      <c r="BL72" s="16">
        <v>0.27906976744186046</v>
      </c>
      <c r="BM72" s="16">
        <v>0.22727272727272727</v>
      </c>
      <c r="BN72" s="16">
        <v>0.34782608695652173</v>
      </c>
      <c r="BO72" s="16">
        <v>0.66666666666666663</v>
      </c>
      <c r="BP72" s="16">
        <v>0.69444444444444442</v>
      </c>
      <c r="BQ72" s="16">
        <v>0.57894736842105265</v>
      </c>
      <c r="BR72" s="16">
        <v>0.7857142857142857</v>
      </c>
      <c r="BS72" s="16">
        <v>1</v>
      </c>
      <c r="BT72" s="16">
        <v>0.46835443037974683</v>
      </c>
      <c r="BU72" s="16">
        <v>7.0422535211267609E-2</v>
      </c>
      <c r="BV72" s="16">
        <v>1.4925373134328358E-2</v>
      </c>
      <c r="BW72" s="16">
        <v>4</v>
      </c>
      <c r="BX72" s="16">
        <v>0.5</v>
      </c>
      <c r="BY72" s="16">
        <v>0.44444444444444442</v>
      </c>
      <c r="BZ72" s="12">
        <v>5</v>
      </c>
      <c r="CA72" s="12">
        <v>5</v>
      </c>
      <c r="CB72" s="12">
        <v>1</v>
      </c>
      <c r="CC72" s="12">
        <v>2</v>
      </c>
      <c r="CD72" s="12">
        <v>0</v>
      </c>
      <c r="CE72" s="12">
        <v>0</v>
      </c>
      <c r="CF72" s="12">
        <v>3</v>
      </c>
      <c r="CG72" s="12">
        <v>1</v>
      </c>
      <c r="CH72" s="12">
        <v>1</v>
      </c>
      <c r="CI72" s="12">
        <v>0</v>
      </c>
      <c r="CJ72" s="12">
        <v>1</v>
      </c>
      <c r="CK72" s="12">
        <v>1</v>
      </c>
      <c r="CL72" s="12">
        <v>5</v>
      </c>
      <c r="CM72" s="12">
        <v>1</v>
      </c>
      <c r="CN72" s="12">
        <v>2</v>
      </c>
      <c r="CO72" s="12">
        <v>0</v>
      </c>
      <c r="CP72" s="12">
        <v>0</v>
      </c>
      <c r="CQ72" s="12">
        <v>0</v>
      </c>
      <c r="CR72" s="12">
        <v>7</v>
      </c>
      <c r="CS72" s="12">
        <v>0</v>
      </c>
      <c r="CT72" s="12">
        <v>4</v>
      </c>
      <c r="CU72" s="12">
        <v>0</v>
      </c>
      <c r="CV72" s="12">
        <v>5</v>
      </c>
      <c r="CW72" s="12">
        <v>0</v>
      </c>
      <c r="CX72" s="12">
        <v>6</v>
      </c>
      <c r="CY72" s="12">
        <v>0</v>
      </c>
      <c r="CZ72" s="12">
        <v>3</v>
      </c>
      <c r="DA72" s="12">
        <v>0</v>
      </c>
      <c r="DB72" s="12">
        <v>0</v>
      </c>
      <c r="DC72" s="12">
        <v>0</v>
      </c>
      <c r="DD72" s="12">
        <v>0</v>
      </c>
      <c r="DE72" s="12">
        <v>2</v>
      </c>
      <c r="DF72" s="12">
        <v>10</v>
      </c>
      <c r="DG72" s="12">
        <v>12</v>
      </c>
      <c r="DH72" s="12">
        <v>0</v>
      </c>
      <c r="DI72" s="12">
        <v>0</v>
      </c>
      <c r="DJ72" s="12">
        <v>0</v>
      </c>
      <c r="DK72" s="12">
        <v>0</v>
      </c>
      <c r="DL72" s="12">
        <v>3</v>
      </c>
      <c r="DM72" s="12">
        <v>5</v>
      </c>
      <c r="DN72" s="12">
        <v>7</v>
      </c>
      <c r="DO72" s="12">
        <v>19</v>
      </c>
      <c r="DP72" s="12">
        <v>4</v>
      </c>
      <c r="DQ72" s="12">
        <v>10</v>
      </c>
      <c r="DR72" s="12">
        <v>2</v>
      </c>
      <c r="DS72" s="12">
        <v>5</v>
      </c>
      <c r="DT72" s="12">
        <v>5</v>
      </c>
      <c r="DU72" s="12">
        <v>23</v>
      </c>
      <c r="DV72" s="12">
        <v>0</v>
      </c>
      <c r="DW72" s="12">
        <v>0</v>
      </c>
      <c r="DX72" s="12">
        <v>98</v>
      </c>
      <c r="DY72" s="12">
        <v>21</v>
      </c>
      <c r="DZ72" s="12">
        <v>40</v>
      </c>
      <c r="EA72" s="16">
        <v>0.52500000000000002</v>
      </c>
      <c r="EB72" s="12">
        <v>13</v>
      </c>
      <c r="EC72" s="12">
        <v>27</v>
      </c>
      <c r="ED72" s="16">
        <v>0.48148148148148145</v>
      </c>
      <c r="EE72" s="12">
        <v>34</v>
      </c>
      <c r="EF72" s="12">
        <v>67</v>
      </c>
      <c r="EG72" s="16">
        <v>0.5074626865671642</v>
      </c>
      <c r="EH72" s="12">
        <v>17</v>
      </c>
      <c r="EI72" s="12">
        <v>21</v>
      </c>
      <c r="EJ72" s="16">
        <v>0.80952380952380953</v>
      </c>
      <c r="EK72" s="12">
        <v>11</v>
      </c>
      <c r="EL72" s="12">
        <v>31</v>
      </c>
      <c r="EM72" s="12">
        <v>42</v>
      </c>
      <c r="EN72" s="12">
        <v>22</v>
      </c>
      <c r="EO72" s="12">
        <v>18</v>
      </c>
      <c r="EP72" s="12">
        <v>22</v>
      </c>
      <c r="EQ72" s="12">
        <v>7</v>
      </c>
      <c r="ER72" s="12">
        <v>5</v>
      </c>
      <c r="ES72" s="12">
        <v>3</v>
      </c>
      <c r="ET72" s="12">
        <v>1</v>
      </c>
      <c r="EU72" s="12">
        <v>133</v>
      </c>
      <c r="EV72" s="12">
        <v>39</v>
      </c>
      <c r="EW72" s="12">
        <v>71</v>
      </c>
      <c r="EX72" s="12">
        <v>82</v>
      </c>
      <c r="EY72" s="12">
        <v>7</v>
      </c>
      <c r="EZ72" s="12">
        <v>9</v>
      </c>
      <c r="FA72" s="12">
        <v>9</v>
      </c>
      <c r="FB72" s="12">
        <v>4</v>
      </c>
      <c r="FC72" s="12">
        <v>8</v>
      </c>
      <c r="FD72" s="12">
        <v>0</v>
      </c>
      <c r="FE72" s="12">
        <v>0</v>
      </c>
      <c r="FF72" s="12">
        <v>6</v>
      </c>
      <c r="FG72" s="12">
        <v>0</v>
      </c>
      <c r="FH72" s="12">
        <v>2</v>
      </c>
      <c r="FI72" s="12">
        <v>0</v>
      </c>
      <c r="FJ72" s="12">
        <v>0</v>
      </c>
      <c r="FK72" s="12">
        <v>0</v>
      </c>
      <c r="FL72" s="12">
        <v>3</v>
      </c>
      <c r="FM72" s="12">
        <v>0</v>
      </c>
      <c r="FN72" s="12">
        <v>0</v>
      </c>
      <c r="FO72" s="12">
        <v>0</v>
      </c>
      <c r="FP72" s="12">
        <v>2</v>
      </c>
      <c r="FQ72" s="12">
        <v>1</v>
      </c>
      <c r="FR72" s="12">
        <v>9</v>
      </c>
      <c r="FS72" s="12">
        <v>0</v>
      </c>
      <c r="FT72" s="12">
        <v>5</v>
      </c>
      <c r="FU72" s="12">
        <v>0</v>
      </c>
      <c r="FV72" s="12">
        <v>2</v>
      </c>
      <c r="FW72" s="12">
        <v>0</v>
      </c>
      <c r="FX72" s="12">
        <v>12</v>
      </c>
      <c r="FY72" s="12">
        <v>1</v>
      </c>
      <c r="FZ72" s="12">
        <v>1</v>
      </c>
      <c r="GA72" s="12">
        <v>0</v>
      </c>
      <c r="GB72" s="12">
        <v>0</v>
      </c>
      <c r="GC72" s="12">
        <v>0</v>
      </c>
      <c r="GD72" s="12">
        <v>0</v>
      </c>
      <c r="GE72" s="12">
        <v>1</v>
      </c>
      <c r="GF72" s="12">
        <v>17</v>
      </c>
      <c r="GG72" s="12">
        <v>20</v>
      </c>
      <c r="GH72" s="12">
        <v>1</v>
      </c>
      <c r="GI72" s="12">
        <v>0</v>
      </c>
      <c r="GJ72" s="12">
        <v>0</v>
      </c>
      <c r="GK72" s="12">
        <v>0</v>
      </c>
      <c r="GL72" s="12">
        <v>6</v>
      </c>
      <c r="GM72" s="12">
        <v>6</v>
      </c>
      <c r="GN72" s="12">
        <v>11</v>
      </c>
      <c r="GO72" s="12">
        <v>24</v>
      </c>
      <c r="GP72" s="12">
        <v>4</v>
      </c>
      <c r="GQ72" s="12">
        <v>10</v>
      </c>
      <c r="GR72" s="12">
        <v>4</v>
      </c>
      <c r="GS72" s="12">
        <v>9</v>
      </c>
      <c r="GT72" s="12">
        <v>9</v>
      </c>
      <c r="GU72" s="12">
        <v>18</v>
      </c>
      <c r="GV72" s="12">
        <v>0</v>
      </c>
      <c r="GW72" s="12">
        <v>0</v>
      </c>
    </row>
    <row r="73" spans="2:205" ht="15" customHeight="1" x14ac:dyDescent="0.2">
      <c r="B73" s="12">
        <v>4</v>
      </c>
      <c r="C73" s="12" t="s">
        <v>282</v>
      </c>
      <c r="D73" s="12" t="s">
        <v>278</v>
      </c>
      <c r="E73" s="14" t="s">
        <v>284</v>
      </c>
      <c r="F73" s="14" t="s">
        <v>280</v>
      </c>
      <c r="G73" s="15">
        <v>45219</v>
      </c>
      <c r="H73" s="15" t="s">
        <v>271</v>
      </c>
      <c r="I73" s="12" t="s">
        <v>269</v>
      </c>
      <c r="J73" s="12" t="s">
        <v>272</v>
      </c>
      <c r="K73" s="12">
        <v>200</v>
      </c>
      <c r="L73" s="12">
        <v>98</v>
      </c>
      <c r="M73" s="12">
        <v>21</v>
      </c>
      <c r="N73" s="12">
        <v>40</v>
      </c>
      <c r="O73" s="16">
        <v>0.52500000000000002</v>
      </c>
      <c r="P73" s="12">
        <v>13</v>
      </c>
      <c r="Q73" s="12">
        <v>27</v>
      </c>
      <c r="R73" s="16">
        <v>0.48148148148148145</v>
      </c>
      <c r="S73" s="12">
        <v>34</v>
      </c>
      <c r="T73" s="12">
        <v>67</v>
      </c>
      <c r="U73" s="16">
        <v>0.5074626865671642</v>
      </c>
      <c r="V73" s="12">
        <v>17</v>
      </c>
      <c r="W73" s="12">
        <v>21</v>
      </c>
      <c r="X73" s="16">
        <v>0.80952380952380953</v>
      </c>
      <c r="Y73" s="12">
        <v>11</v>
      </c>
      <c r="Z73" s="12">
        <v>31</v>
      </c>
      <c r="AA73" s="12">
        <v>42</v>
      </c>
      <c r="AB73" s="12">
        <v>22</v>
      </c>
      <c r="AC73" s="12">
        <v>5</v>
      </c>
      <c r="AD73" s="12">
        <v>7</v>
      </c>
      <c r="AE73" s="12">
        <v>3</v>
      </c>
      <c r="AF73" s="12">
        <v>1</v>
      </c>
      <c r="AG73" s="12">
        <v>18</v>
      </c>
      <c r="AH73" s="12">
        <v>22</v>
      </c>
      <c r="AI73" s="17">
        <v>133</v>
      </c>
      <c r="AJ73" s="12">
        <v>39</v>
      </c>
      <c r="AK73" s="12">
        <v>71</v>
      </c>
      <c r="AL73" s="12">
        <v>82</v>
      </c>
      <c r="AM73" s="19">
        <v>1.1951219512195121</v>
      </c>
      <c r="AN73" s="19">
        <v>0.73750000000000004</v>
      </c>
      <c r="AO73" s="18">
        <v>138.02816901408451</v>
      </c>
      <c r="AP73" s="18">
        <v>86.764705882352942</v>
      </c>
      <c r="AQ73" s="18">
        <v>51.263463131731569</v>
      </c>
      <c r="AR73" s="53">
        <v>0.60447761194029848</v>
      </c>
      <c r="AS73" s="53">
        <v>0.63636363636363635</v>
      </c>
      <c r="AT73" s="16">
        <v>7.3170731707317069E-2</v>
      </c>
      <c r="AU73" s="19">
        <v>2</v>
      </c>
      <c r="AV73" s="16">
        <v>0.29268292682926828</v>
      </c>
      <c r="AW73" s="19">
        <v>0.91666666666666663</v>
      </c>
      <c r="AX73" s="16">
        <v>0.12195121951219512</v>
      </c>
      <c r="AY73" s="19">
        <v>0.8</v>
      </c>
      <c r="AZ73" s="16">
        <v>0.10975609756097561</v>
      </c>
      <c r="BA73" s="19">
        <v>1.3333333333333333</v>
      </c>
      <c r="BB73" s="16">
        <v>0.21951219512195122</v>
      </c>
      <c r="BC73" s="21">
        <v>1.5</v>
      </c>
      <c r="BD73" s="16">
        <v>0.12195121951219512</v>
      </c>
      <c r="BE73" s="16">
        <v>6.097560975609756E-2</v>
      </c>
      <c r="BF73" s="16">
        <v>0.51162790697674421</v>
      </c>
      <c r="BG73" s="16">
        <v>0.42857142857142855</v>
      </c>
      <c r="BH73" s="16">
        <v>0.69230769230769229</v>
      </c>
      <c r="BI73" s="16">
        <v>0.44444444444444442</v>
      </c>
      <c r="BJ73" s="16">
        <v>0.26829268292682928</v>
      </c>
      <c r="BK73" s="21">
        <v>4.4000000000000004</v>
      </c>
      <c r="BL73" s="16">
        <v>0.30555555555555558</v>
      </c>
      <c r="BM73" s="16">
        <v>0.42105263157894735</v>
      </c>
      <c r="BN73" s="16">
        <v>0.21428571428571427</v>
      </c>
      <c r="BO73" s="16">
        <v>0</v>
      </c>
      <c r="BP73" s="16">
        <v>0.72093023255813948</v>
      </c>
      <c r="BQ73" s="16">
        <v>0.77272727272727271</v>
      </c>
      <c r="BR73" s="16">
        <v>0.65217391304347827</v>
      </c>
      <c r="BS73" s="16">
        <v>0.33333333333333331</v>
      </c>
      <c r="BT73" s="16">
        <v>0.53164556962025311</v>
      </c>
      <c r="BU73" s="16">
        <v>0.10294117647058823</v>
      </c>
      <c r="BV73" s="16">
        <v>4.8387096774193547E-2</v>
      </c>
      <c r="BW73" s="16">
        <v>7</v>
      </c>
      <c r="BX73" s="16">
        <v>0.44444444444444442</v>
      </c>
      <c r="BY73" s="16">
        <v>0.5</v>
      </c>
      <c r="BZ73" s="12">
        <v>9</v>
      </c>
      <c r="CA73" s="12">
        <v>9</v>
      </c>
      <c r="CB73" s="12">
        <v>4</v>
      </c>
      <c r="CC73" s="12">
        <v>8</v>
      </c>
      <c r="CD73" s="12">
        <v>0</v>
      </c>
      <c r="CE73" s="12">
        <v>0</v>
      </c>
      <c r="CF73" s="12">
        <v>6</v>
      </c>
      <c r="CG73" s="12">
        <v>0</v>
      </c>
      <c r="CH73" s="12">
        <v>2</v>
      </c>
      <c r="CI73" s="12">
        <v>0</v>
      </c>
      <c r="CJ73" s="12">
        <v>0</v>
      </c>
      <c r="CK73" s="12">
        <v>0</v>
      </c>
      <c r="CL73" s="12">
        <v>3</v>
      </c>
      <c r="CM73" s="12">
        <v>0</v>
      </c>
      <c r="CN73" s="12">
        <v>0</v>
      </c>
      <c r="CO73" s="12">
        <v>0</v>
      </c>
      <c r="CP73" s="12">
        <v>2</v>
      </c>
      <c r="CQ73" s="12">
        <v>1</v>
      </c>
      <c r="CR73" s="12">
        <v>9</v>
      </c>
      <c r="CS73" s="12">
        <v>0</v>
      </c>
      <c r="CT73" s="12">
        <v>5</v>
      </c>
      <c r="CU73" s="12">
        <v>0</v>
      </c>
      <c r="CV73" s="12">
        <v>2</v>
      </c>
      <c r="CW73" s="12">
        <v>0</v>
      </c>
      <c r="CX73" s="12">
        <v>12</v>
      </c>
      <c r="CY73" s="12">
        <v>1</v>
      </c>
      <c r="CZ73" s="12">
        <v>1</v>
      </c>
      <c r="DA73" s="12">
        <v>0</v>
      </c>
      <c r="DB73" s="12">
        <v>0</v>
      </c>
      <c r="DC73" s="12">
        <v>0</v>
      </c>
      <c r="DD73" s="12">
        <v>0</v>
      </c>
      <c r="DE73" s="12">
        <v>1</v>
      </c>
      <c r="DF73" s="12">
        <v>17</v>
      </c>
      <c r="DG73" s="12">
        <v>20</v>
      </c>
      <c r="DH73" s="12">
        <v>1</v>
      </c>
      <c r="DI73" s="12">
        <v>0</v>
      </c>
      <c r="DJ73" s="12">
        <v>0</v>
      </c>
      <c r="DK73" s="12">
        <v>0</v>
      </c>
      <c r="DL73" s="12">
        <v>6</v>
      </c>
      <c r="DM73" s="12">
        <v>6</v>
      </c>
      <c r="DN73" s="12">
        <v>11</v>
      </c>
      <c r="DO73" s="12">
        <v>24</v>
      </c>
      <c r="DP73" s="12">
        <v>4</v>
      </c>
      <c r="DQ73" s="12">
        <v>10</v>
      </c>
      <c r="DR73" s="12">
        <v>4</v>
      </c>
      <c r="DS73" s="12">
        <v>9</v>
      </c>
      <c r="DT73" s="12">
        <v>9</v>
      </c>
      <c r="DU73" s="12">
        <v>18</v>
      </c>
      <c r="DV73" s="12">
        <v>0</v>
      </c>
      <c r="DW73" s="12">
        <v>0</v>
      </c>
      <c r="DX73" s="12">
        <v>59</v>
      </c>
      <c r="DY73" s="12">
        <v>14</v>
      </c>
      <c r="DZ73" s="12">
        <v>34</v>
      </c>
      <c r="EA73" s="16">
        <v>0.41176470588235292</v>
      </c>
      <c r="EB73" s="12">
        <v>7</v>
      </c>
      <c r="EC73" s="12">
        <v>28</v>
      </c>
      <c r="ED73" s="16">
        <v>0.25</v>
      </c>
      <c r="EE73" s="12">
        <v>21</v>
      </c>
      <c r="EF73" s="12">
        <v>62</v>
      </c>
      <c r="EG73" s="16">
        <v>0.33870967741935482</v>
      </c>
      <c r="EH73" s="12">
        <v>10</v>
      </c>
      <c r="EI73" s="12">
        <v>14</v>
      </c>
      <c r="EJ73" s="16">
        <v>0.7142857142857143</v>
      </c>
      <c r="EK73" s="12">
        <v>12</v>
      </c>
      <c r="EL73" s="12">
        <v>25</v>
      </c>
      <c r="EM73" s="12">
        <v>37</v>
      </c>
      <c r="EN73" s="12">
        <v>12</v>
      </c>
      <c r="EO73" s="12">
        <v>22</v>
      </c>
      <c r="EP73" s="12">
        <v>18</v>
      </c>
      <c r="EQ73" s="12">
        <v>5</v>
      </c>
      <c r="ER73" s="12">
        <v>12</v>
      </c>
      <c r="ES73" s="12">
        <v>1</v>
      </c>
      <c r="ET73" s="12">
        <v>3</v>
      </c>
      <c r="EU73" s="12">
        <v>50</v>
      </c>
      <c r="EV73" s="12">
        <v>-39</v>
      </c>
      <c r="EW73" s="12">
        <v>68</v>
      </c>
      <c r="EX73" s="12">
        <v>80</v>
      </c>
      <c r="EY73" s="12">
        <v>4</v>
      </c>
      <c r="EZ73" s="12">
        <v>5</v>
      </c>
      <c r="FA73" s="12">
        <v>5</v>
      </c>
      <c r="FB73" s="12">
        <v>1</v>
      </c>
      <c r="FC73" s="12">
        <v>2</v>
      </c>
      <c r="FD73" s="12">
        <v>0</v>
      </c>
      <c r="FE73" s="12">
        <v>0</v>
      </c>
      <c r="FF73" s="12">
        <v>3</v>
      </c>
      <c r="FG73" s="12">
        <v>1</v>
      </c>
      <c r="FH73" s="12">
        <v>1</v>
      </c>
      <c r="FI73" s="12">
        <v>0</v>
      </c>
      <c r="FJ73" s="12">
        <v>1</v>
      </c>
      <c r="FK73" s="12">
        <v>1</v>
      </c>
      <c r="FL73" s="12">
        <v>5</v>
      </c>
      <c r="FM73" s="12">
        <v>1</v>
      </c>
      <c r="FN73" s="12">
        <v>2</v>
      </c>
      <c r="FO73" s="12">
        <v>0</v>
      </c>
      <c r="FP73" s="12">
        <v>0</v>
      </c>
      <c r="FQ73" s="12">
        <v>0</v>
      </c>
      <c r="FR73" s="12">
        <v>7</v>
      </c>
      <c r="FS73" s="12">
        <v>0</v>
      </c>
      <c r="FT73" s="12">
        <v>4</v>
      </c>
      <c r="FU73" s="12">
        <v>0</v>
      </c>
      <c r="FV73" s="12">
        <v>5</v>
      </c>
      <c r="FW73" s="12">
        <v>0</v>
      </c>
      <c r="FX73" s="12">
        <v>6</v>
      </c>
      <c r="FY73" s="12">
        <v>0</v>
      </c>
      <c r="FZ73" s="12">
        <v>3</v>
      </c>
      <c r="GA73" s="12">
        <v>0</v>
      </c>
      <c r="GB73" s="12">
        <v>0</v>
      </c>
      <c r="GC73" s="12">
        <v>0</v>
      </c>
      <c r="GD73" s="12">
        <v>0</v>
      </c>
      <c r="GE73" s="12">
        <v>2</v>
      </c>
      <c r="GF73" s="12">
        <v>10</v>
      </c>
      <c r="GG73" s="12">
        <v>12</v>
      </c>
      <c r="GH73" s="12">
        <v>0</v>
      </c>
      <c r="GI73" s="12">
        <v>0</v>
      </c>
      <c r="GJ73" s="12">
        <v>0</v>
      </c>
      <c r="GK73" s="12">
        <v>0</v>
      </c>
      <c r="GL73" s="12">
        <v>3</v>
      </c>
      <c r="GM73" s="12">
        <v>5</v>
      </c>
      <c r="GN73" s="12">
        <v>7</v>
      </c>
      <c r="GO73" s="12">
        <v>19</v>
      </c>
      <c r="GP73" s="12">
        <v>4</v>
      </c>
      <c r="GQ73" s="12">
        <v>10</v>
      </c>
      <c r="GR73" s="12">
        <v>2</v>
      </c>
      <c r="GS73" s="12">
        <v>5</v>
      </c>
      <c r="GT73" s="12">
        <v>5</v>
      </c>
      <c r="GU73" s="12">
        <v>23</v>
      </c>
      <c r="GV73" s="12">
        <v>0</v>
      </c>
      <c r="GW73" s="12">
        <v>0</v>
      </c>
    </row>
    <row r="74" spans="2:205" ht="15" customHeight="1" x14ac:dyDescent="0.2">
      <c r="B74" s="12">
        <v>5</v>
      </c>
      <c r="C74" s="12" t="s">
        <v>264</v>
      </c>
      <c r="D74" s="12" t="s">
        <v>274</v>
      </c>
      <c r="E74" s="14" t="s">
        <v>266</v>
      </c>
      <c r="F74" s="14" t="s">
        <v>276</v>
      </c>
      <c r="G74" s="15">
        <v>45225</v>
      </c>
      <c r="H74" s="15" t="s">
        <v>271</v>
      </c>
      <c r="I74" s="12" t="s">
        <v>269</v>
      </c>
      <c r="J74" s="12" t="s">
        <v>272</v>
      </c>
      <c r="K74" s="12">
        <v>200</v>
      </c>
      <c r="L74" s="12">
        <v>88</v>
      </c>
      <c r="M74" s="12">
        <v>25</v>
      </c>
      <c r="N74" s="12">
        <v>42</v>
      </c>
      <c r="O74" s="16">
        <v>0.59523809523809523</v>
      </c>
      <c r="P74" s="12">
        <v>9</v>
      </c>
      <c r="Q74" s="12">
        <v>20</v>
      </c>
      <c r="R74" s="16">
        <v>0.45</v>
      </c>
      <c r="S74" s="12">
        <v>34</v>
      </c>
      <c r="T74" s="12">
        <v>62</v>
      </c>
      <c r="U74" s="16">
        <v>0.54838709677419351</v>
      </c>
      <c r="V74" s="12">
        <v>11</v>
      </c>
      <c r="W74" s="12">
        <v>16</v>
      </c>
      <c r="X74" s="16">
        <v>0.6875</v>
      </c>
      <c r="Y74" s="12">
        <v>9</v>
      </c>
      <c r="Z74" s="12">
        <v>23</v>
      </c>
      <c r="AA74" s="12">
        <v>32</v>
      </c>
      <c r="AB74" s="12">
        <v>17</v>
      </c>
      <c r="AC74" s="12">
        <v>14</v>
      </c>
      <c r="AD74" s="12">
        <v>8</v>
      </c>
      <c r="AE74" s="12">
        <v>2</v>
      </c>
      <c r="AF74" s="12">
        <v>4</v>
      </c>
      <c r="AG74" s="12">
        <v>18</v>
      </c>
      <c r="AH74" s="12">
        <v>21</v>
      </c>
      <c r="AI74" s="17">
        <v>99</v>
      </c>
      <c r="AJ74" s="12">
        <v>2</v>
      </c>
      <c r="AK74" s="12">
        <v>74</v>
      </c>
      <c r="AL74" s="12">
        <v>83</v>
      </c>
      <c r="AM74" s="19">
        <v>1.0602409638554218</v>
      </c>
      <c r="AN74" s="19">
        <v>1.0487804878048781</v>
      </c>
      <c r="AO74" s="18">
        <v>118.91891891891892</v>
      </c>
      <c r="AP74" s="18">
        <v>116.21621621621621</v>
      </c>
      <c r="AQ74" s="18">
        <v>2.7027027027027088</v>
      </c>
      <c r="AR74" s="53">
        <v>0.62096774193548387</v>
      </c>
      <c r="AS74" s="53">
        <v>0.6376811594202898</v>
      </c>
      <c r="AT74" s="16">
        <v>0.20481927710843373</v>
      </c>
      <c r="AU74" s="19">
        <v>1.7647058823529411</v>
      </c>
      <c r="AV74" s="16">
        <v>0.18072289156626506</v>
      </c>
      <c r="AW74" s="19">
        <v>0.8</v>
      </c>
      <c r="AX74" s="16">
        <v>0.12048192771084337</v>
      </c>
      <c r="AY74" s="19">
        <v>0.8</v>
      </c>
      <c r="AZ74" s="16">
        <v>3.614457831325301E-2</v>
      </c>
      <c r="BA74" s="19">
        <v>2</v>
      </c>
      <c r="BB74" s="16">
        <v>0.20481927710843373</v>
      </c>
      <c r="BC74" s="21">
        <v>1.2352941176470589</v>
      </c>
      <c r="BD74" s="16">
        <v>8.4337349397590355E-2</v>
      </c>
      <c r="BE74" s="16">
        <v>0.16867469879518071</v>
      </c>
      <c r="BF74" s="16">
        <v>0.41463414634146339</v>
      </c>
      <c r="BG74" s="16">
        <v>0.44</v>
      </c>
      <c r="BH74" s="16">
        <v>0.55555555555555558</v>
      </c>
      <c r="BI74" s="16">
        <v>0.14285714285714285</v>
      </c>
      <c r="BJ74" s="16">
        <v>0.20481927710843373</v>
      </c>
      <c r="BK74" s="21">
        <v>1.2142857142857142</v>
      </c>
      <c r="BL74" s="16">
        <v>0.31034482758620691</v>
      </c>
      <c r="BM74" s="16">
        <v>0.3888888888888889</v>
      </c>
      <c r="BN74" s="16">
        <v>0.42857142857142855</v>
      </c>
      <c r="BO74" s="16">
        <v>0</v>
      </c>
      <c r="BP74" s="16">
        <v>0.74193548387096775</v>
      </c>
      <c r="BQ74" s="16">
        <v>0.88888888888888884</v>
      </c>
      <c r="BR74" s="16">
        <v>0.68181818181818177</v>
      </c>
      <c r="BS74" s="16">
        <v>0.8</v>
      </c>
      <c r="BT74" s="16">
        <v>0.53333333333333333</v>
      </c>
      <c r="BU74" s="16">
        <v>0.10810810810810811</v>
      </c>
      <c r="BV74" s="16">
        <v>3.5714285714285712E-2</v>
      </c>
      <c r="BW74" s="16">
        <v>5</v>
      </c>
      <c r="BX74" s="16">
        <v>0.61111111111111116</v>
      </c>
      <c r="BY74" s="16">
        <v>0.42857142857142855</v>
      </c>
      <c r="BZ74" s="12">
        <v>11</v>
      </c>
      <c r="CA74" s="12">
        <v>5</v>
      </c>
      <c r="CB74" s="12">
        <v>1</v>
      </c>
      <c r="CC74" s="12">
        <v>2</v>
      </c>
      <c r="CD74" s="12">
        <v>1</v>
      </c>
      <c r="CE74" s="12">
        <v>1</v>
      </c>
      <c r="CF74" s="12">
        <v>4</v>
      </c>
      <c r="CG74" s="12">
        <v>1</v>
      </c>
      <c r="CH74" s="12">
        <v>0</v>
      </c>
      <c r="CI74" s="12">
        <v>0</v>
      </c>
      <c r="CJ74" s="12">
        <v>1</v>
      </c>
      <c r="CK74" s="12">
        <v>1</v>
      </c>
      <c r="CL74" s="12">
        <v>3</v>
      </c>
      <c r="CM74" s="12">
        <v>1</v>
      </c>
      <c r="CN74" s="12">
        <v>0</v>
      </c>
      <c r="CO74" s="12">
        <v>0</v>
      </c>
      <c r="CP74" s="12">
        <v>2</v>
      </c>
      <c r="CQ74" s="12">
        <v>0</v>
      </c>
      <c r="CR74" s="12">
        <v>3</v>
      </c>
      <c r="CS74" s="12">
        <v>0</v>
      </c>
      <c r="CT74" s="12">
        <v>3</v>
      </c>
      <c r="CU74" s="12">
        <v>0</v>
      </c>
      <c r="CV74" s="12">
        <v>1</v>
      </c>
      <c r="CW74" s="12">
        <v>1</v>
      </c>
      <c r="CX74" s="12">
        <v>11</v>
      </c>
      <c r="CY74" s="12">
        <v>2</v>
      </c>
      <c r="CZ74" s="12">
        <v>3</v>
      </c>
      <c r="DA74" s="12">
        <v>1</v>
      </c>
      <c r="DB74" s="12">
        <v>0</v>
      </c>
      <c r="DC74" s="12">
        <v>0</v>
      </c>
      <c r="DD74" s="12">
        <v>1</v>
      </c>
      <c r="DE74" s="12">
        <v>2</v>
      </c>
      <c r="DF74" s="12">
        <v>10</v>
      </c>
      <c r="DG74" s="12">
        <v>14</v>
      </c>
      <c r="DH74" s="12">
        <v>0</v>
      </c>
      <c r="DI74" s="12">
        <v>0</v>
      </c>
      <c r="DJ74" s="12">
        <v>0</v>
      </c>
      <c r="DK74" s="12">
        <v>0</v>
      </c>
      <c r="DL74" s="12">
        <v>15</v>
      </c>
      <c r="DM74" s="12">
        <v>17</v>
      </c>
      <c r="DN74" s="12">
        <v>6</v>
      </c>
      <c r="DO74" s="12">
        <v>15</v>
      </c>
      <c r="DP74" s="12">
        <v>4</v>
      </c>
      <c r="DQ74" s="12">
        <v>10</v>
      </c>
      <c r="DR74" s="12">
        <v>2</v>
      </c>
      <c r="DS74" s="12">
        <v>3</v>
      </c>
      <c r="DT74" s="12">
        <v>7</v>
      </c>
      <c r="DU74" s="12">
        <v>17</v>
      </c>
      <c r="DV74" s="12">
        <v>0</v>
      </c>
      <c r="DW74" s="12">
        <v>0</v>
      </c>
      <c r="DX74" s="12">
        <v>86</v>
      </c>
      <c r="DY74" s="12">
        <v>16</v>
      </c>
      <c r="DZ74" s="12">
        <v>25</v>
      </c>
      <c r="EA74" s="16">
        <v>0.64</v>
      </c>
      <c r="EB74" s="12">
        <v>13</v>
      </c>
      <c r="EC74" s="12">
        <v>31</v>
      </c>
      <c r="ED74" s="16">
        <v>0.41935483870967744</v>
      </c>
      <c r="EE74" s="12">
        <v>29</v>
      </c>
      <c r="EF74" s="12">
        <v>56</v>
      </c>
      <c r="EG74" s="16">
        <v>0.5178571428571429</v>
      </c>
      <c r="EH74" s="12">
        <v>15</v>
      </c>
      <c r="EI74" s="12">
        <v>23</v>
      </c>
      <c r="EJ74" s="16">
        <v>0.65217391304347827</v>
      </c>
      <c r="EK74" s="12">
        <v>8</v>
      </c>
      <c r="EL74" s="12">
        <v>20</v>
      </c>
      <c r="EM74" s="12">
        <v>28</v>
      </c>
      <c r="EN74" s="12">
        <v>22</v>
      </c>
      <c r="EO74" s="12">
        <v>21</v>
      </c>
      <c r="EP74" s="12">
        <v>18</v>
      </c>
      <c r="EQ74" s="12">
        <v>9</v>
      </c>
      <c r="ER74" s="12">
        <v>15</v>
      </c>
      <c r="ES74" s="12">
        <v>4</v>
      </c>
      <c r="ET74" s="12">
        <v>2</v>
      </c>
      <c r="EU74" s="12">
        <v>94</v>
      </c>
      <c r="EV74" s="12">
        <v>-2</v>
      </c>
      <c r="EW74" s="12">
        <v>74</v>
      </c>
      <c r="EX74" s="12">
        <v>82</v>
      </c>
      <c r="EY74" s="12">
        <v>3</v>
      </c>
      <c r="EZ74" s="12">
        <v>9</v>
      </c>
      <c r="FA74" s="12">
        <v>9</v>
      </c>
      <c r="FB74" s="12">
        <v>4</v>
      </c>
      <c r="FC74" s="12">
        <v>6</v>
      </c>
      <c r="FD74" s="12">
        <v>0</v>
      </c>
      <c r="FE74" s="12">
        <v>0</v>
      </c>
      <c r="FF74" s="12">
        <v>1</v>
      </c>
      <c r="FG74" s="12">
        <v>0</v>
      </c>
      <c r="FH74" s="12">
        <v>0</v>
      </c>
      <c r="FI74" s="12">
        <v>0</v>
      </c>
      <c r="FJ74" s="12">
        <v>1</v>
      </c>
      <c r="FK74" s="12">
        <v>1</v>
      </c>
      <c r="FL74" s="12">
        <v>5</v>
      </c>
      <c r="FM74" s="12">
        <v>0</v>
      </c>
      <c r="FN74" s="12">
        <v>1</v>
      </c>
      <c r="FO74" s="12">
        <v>0</v>
      </c>
      <c r="FP74" s="12">
        <v>0</v>
      </c>
      <c r="FQ74" s="12">
        <v>0</v>
      </c>
      <c r="FR74" s="12">
        <v>5</v>
      </c>
      <c r="FS74" s="12">
        <v>0</v>
      </c>
      <c r="FT74" s="12">
        <v>6</v>
      </c>
      <c r="FU74" s="12">
        <v>0</v>
      </c>
      <c r="FV74" s="12">
        <v>0</v>
      </c>
      <c r="FW74" s="12">
        <v>0</v>
      </c>
      <c r="FX74" s="12">
        <v>7</v>
      </c>
      <c r="FY74" s="12">
        <v>1</v>
      </c>
      <c r="FZ74" s="12">
        <v>2</v>
      </c>
      <c r="GA74" s="12">
        <v>0</v>
      </c>
      <c r="GB74" s="12">
        <v>0</v>
      </c>
      <c r="GC74" s="12">
        <v>0</v>
      </c>
      <c r="GD74" s="12">
        <v>0</v>
      </c>
      <c r="GE74" s="12">
        <v>0</v>
      </c>
      <c r="GF74" s="12">
        <v>14</v>
      </c>
      <c r="GG74" s="12">
        <v>20</v>
      </c>
      <c r="GH74" s="12">
        <v>1</v>
      </c>
      <c r="GI74" s="12">
        <v>1</v>
      </c>
      <c r="GJ74" s="12">
        <v>3</v>
      </c>
      <c r="GK74" s="12">
        <v>0</v>
      </c>
      <c r="GL74" s="12">
        <v>8</v>
      </c>
      <c r="GM74" s="12">
        <v>10</v>
      </c>
      <c r="GN74" s="12">
        <v>6</v>
      </c>
      <c r="GO74" s="12">
        <v>10</v>
      </c>
      <c r="GP74" s="12">
        <v>2</v>
      </c>
      <c r="GQ74" s="12">
        <v>5</v>
      </c>
      <c r="GR74" s="12">
        <v>4</v>
      </c>
      <c r="GS74" s="12">
        <v>6</v>
      </c>
      <c r="GT74" s="12">
        <v>9</v>
      </c>
      <c r="GU74" s="12">
        <v>25</v>
      </c>
      <c r="GV74" s="12">
        <v>0</v>
      </c>
      <c r="GW74" s="12">
        <v>0</v>
      </c>
    </row>
    <row r="75" spans="2:205" ht="15" customHeight="1" x14ac:dyDescent="0.2">
      <c r="B75" s="12">
        <v>5</v>
      </c>
      <c r="C75" s="12" t="s">
        <v>274</v>
      </c>
      <c r="D75" s="12" t="s">
        <v>264</v>
      </c>
      <c r="E75" s="14" t="s">
        <v>276</v>
      </c>
      <c r="F75" s="14" t="s">
        <v>266</v>
      </c>
      <c r="G75" s="15">
        <v>45225</v>
      </c>
      <c r="H75" s="15" t="s">
        <v>268</v>
      </c>
      <c r="I75" s="12" t="s">
        <v>269</v>
      </c>
      <c r="J75" s="12" t="s">
        <v>270</v>
      </c>
      <c r="K75" s="12">
        <v>200</v>
      </c>
      <c r="L75" s="12">
        <v>86</v>
      </c>
      <c r="M75" s="12">
        <v>16</v>
      </c>
      <c r="N75" s="12">
        <v>25</v>
      </c>
      <c r="O75" s="16">
        <v>0.64</v>
      </c>
      <c r="P75" s="12">
        <v>13</v>
      </c>
      <c r="Q75" s="12">
        <v>31</v>
      </c>
      <c r="R75" s="16">
        <v>0.41935483870967744</v>
      </c>
      <c r="S75" s="12">
        <v>29</v>
      </c>
      <c r="T75" s="12">
        <v>56</v>
      </c>
      <c r="U75" s="16">
        <v>0.5178571428571429</v>
      </c>
      <c r="V75" s="12">
        <v>15</v>
      </c>
      <c r="W75" s="12">
        <v>23</v>
      </c>
      <c r="X75" s="16">
        <v>0.65217391304347827</v>
      </c>
      <c r="Y75" s="12">
        <v>8</v>
      </c>
      <c r="Z75" s="12">
        <v>20</v>
      </c>
      <c r="AA75" s="12">
        <v>28</v>
      </c>
      <c r="AB75" s="12">
        <v>22</v>
      </c>
      <c r="AC75" s="12">
        <v>15</v>
      </c>
      <c r="AD75" s="12">
        <v>9</v>
      </c>
      <c r="AE75" s="12">
        <v>4</v>
      </c>
      <c r="AF75" s="12">
        <v>2</v>
      </c>
      <c r="AG75" s="12">
        <v>21</v>
      </c>
      <c r="AH75" s="12">
        <v>18</v>
      </c>
      <c r="AI75" s="17">
        <v>94</v>
      </c>
      <c r="AJ75" s="12">
        <v>-2</v>
      </c>
      <c r="AK75" s="12">
        <v>74</v>
      </c>
      <c r="AL75" s="12">
        <v>82</v>
      </c>
      <c r="AM75" s="19">
        <v>1.0487804878048781</v>
      </c>
      <c r="AN75" s="19">
        <v>1.0602409638554218</v>
      </c>
      <c r="AO75" s="18">
        <v>116.21621621621621</v>
      </c>
      <c r="AP75" s="18">
        <v>118.91891891891892</v>
      </c>
      <c r="AQ75" s="18">
        <v>-2.7027027027027088</v>
      </c>
      <c r="AR75" s="53">
        <v>0.6339285714285714</v>
      </c>
      <c r="AS75" s="53">
        <v>0.64179104477611937</v>
      </c>
      <c r="AT75" s="16">
        <v>0.12195121951219512</v>
      </c>
      <c r="AU75" s="19">
        <v>1.6</v>
      </c>
      <c r="AV75" s="16">
        <v>0.12195121951219512</v>
      </c>
      <c r="AW75" s="19">
        <v>1.2</v>
      </c>
      <c r="AX75" s="16">
        <v>6.097560975609756E-2</v>
      </c>
      <c r="AY75" s="19">
        <v>0.8</v>
      </c>
      <c r="AZ75" s="16">
        <v>7.3170731707317069E-2</v>
      </c>
      <c r="BA75" s="19">
        <v>2</v>
      </c>
      <c r="BB75" s="16">
        <v>0.3048780487804878</v>
      </c>
      <c r="BC75" s="21">
        <v>1.08</v>
      </c>
      <c r="BD75" s="16">
        <v>0.13414634146341464</v>
      </c>
      <c r="BE75" s="16">
        <v>0.18292682926829268</v>
      </c>
      <c r="BF75" s="16">
        <v>0.5641025641025641</v>
      </c>
      <c r="BG75" s="16">
        <v>0.5625</v>
      </c>
      <c r="BH75" s="16">
        <v>0.69230769230769229</v>
      </c>
      <c r="BI75" s="16">
        <v>0.4</v>
      </c>
      <c r="BJ75" s="16">
        <v>0.26829268292682928</v>
      </c>
      <c r="BK75" s="21">
        <v>1.4666666666666666</v>
      </c>
      <c r="BL75" s="16">
        <v>0.25806451612903225</v>
      </c>
      <c r="BM75" s="16">
        <v>0.1111111111111111</v>
      </c>
      <c r="BN75" s="16">
        <v>0.31818181818181818</v>
      </c>
      <c r="BO75" s="16">
        <v>0.2</v>
      </c>
      <c r="BP75" s="16">
        <v>0.68965517241379315</v>
      </c>
      <c r="BQ75" s="16">
        <v>0.61111111111111116</v>
      </c>
      <c r="BR75" s="16">
        <v>0.5714285714285714</v>
      </c>
      <c r="BS75" s="16">
        <v>1</v>
      </c>
      <c r="BT75" s="16">
        <v>0.46666666666666667</v>
      </c>
      <c r="BU75" s="16">
        <v>0.12162162162162163</v>
      </c>
      <c r="BV75" s="16">
        <v>6.4516129032258063E-2</v>
      </c>
      <c r="BW75" s="16">
        <v>3</v>
      </c>
      <c r="BX75" s="16">
        <v>0.42857142857142855</v>
      </c>
      <c r="BY75" s="16">
        <v>0.61111111111111116</v>
      </c>
      <c r="BZ75" s="12">
        <v>9</v>
      </c>
      <c r="CA75" s="12">
        <v>9</v>
      </c>
      <c r="CB75" s="12">
        <v>4</v>
      </c>
      <c r="CC75" s="12">
        <v>6</v>
      </c>
      <c r="CD75" s="12">
        <v>0</v>
      </c>
      <c r="CE75" s="12">
        <v>0</v>
      </c>
      <c r="CF75" s="12">
        <v>1</v>
      </c>
      <c r="CG75" s="12">
        <v>0</v>
      </c>
      <c r="CH75" s="12">
        <v>0</v>
      </c>
      <c r="CI75" s="12">
        <v>0</v>
      </c>
      <c r="CJ75" s="12">
        <v>1</v>
      </c>
      <c r="CK75" s="12">
        <v>1</v>
      </c>
      <c r="CL75" s="12">
        <v>5</v>
      </c>
      <c r="CM75" s="12">
        <v>0</v>
      </c>
      <c r="CN75" s="12">
        <v>1</v>
      </c>
      <c r="CO75" s="12">
        <v>0</v>
      </c>
      <c r="CP75" s="12">
        <v>0</v>
      </c>
      <c r="CQ75" s="12">
        <v>0</v>
      </c>
      <c r="CR75" s="12">
        <v>5</v>
      </c>
      <c r="CS75" s="12">
        <v>0</v>
      </c>
      <c r="CT75" s="12">
        <v>6</v>
      </c>
      <c r="CU75" s="12">
        <v>0</v>
      </c>
      <c r="CV75" s="12">
        <v>0</v>
      </c>
      <c r="CW75" s="12">
        <v>0</v>
      </c>
      <c r="CX75" s="12">
        <v>7</v>
      </c>
      <c r="CY75" s="12">
        <v>1</v>
      </c>
      <c r="CZ75" s="12">
        <v>2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14</v>
      </c>
      <c r="DG75" s="12">
        <v>20</v>
      </c>
      <c r="DH75" s="12">
        <v>1</v>
      </c>
      <c r="DI75" s="12">
        <v>1</v>
      </c>
      <c r="DJ75" s="12">
        <v>3</v>
      </c>
      <c r="DK75" s="12">
        <v>0</v>
      </c>
      <c r="DL75" s="12">
        <v>8</v>
      </c>
      <c r="DM75" s="12">
        <v>10</v>
      </c>
      <c r="DN75" s="12">
        <v>6</v>
      </c>
      <c r="DO75" s="12">
        <v>10</v>
      </c>
      <c r="DP75" s="12">
        <v>2</v>
      </c>
      <c r="DQ75" s="12">
        <v>5</v>
      </c>
      <c r="DR75" s="12">
        <v>4</v>
      </c>
      <c r="DS75" s="12">
        <v>6</v>
      </c>
      <c r="DT75" s="12">
        <v>9</v>
      </c>
      <c r="DU75" s="12">
        <v>25</v>
      </c>
      <c r="DV75" s="12">
        <v>0</v>
      </c>
      <c r="DW75" s="12">
        <v>0</v>
      </c>
      <c r="DX75" s="12">
        <v>88</v>
      </c>
      <c r="DY75" s="12">
        <v>25</v>
      </c>
      <c r="DZ75" s="12">
        <v>42</v>
      </c>
      <c r="EA75" s="16">
        <v>0.59523809523809523</v>
      </c>
      <c r="EB75" s="12">
        <v>9</v>
      </c>
      <c r="EC75" s="12">
        <v>20</v>
      </c>
      <c r="ED75" s="16">
        <v>0.45</v>
      </c>
      <c r="EE75" s="12">
        <v>34</v>
      </c>
      <c r="EF75" s="12">
        <v>62</v>
      </c>
      <c r="EG75" s="16">
        <v>0.54838709677419351</v>
      </c>
      <c r="EH75" s="12">
        <v>11</v>
      </c>
      <c r="EI75" s="12">
        <v>16</v>
      </c>
      <c r="EJ75" s="16">
        <v>0.6875</v>
      </c>
      <c r="EK75" s="12">
        <v>9</v>
      </c>
      <c r="EL75" s="12">
        <v>23</v>
      </c>
      <c r="EM75" s="12">
        <v>32</v>
      </c>
      <c r="EN75" s="12">
        <v>17</v>
      </c>
      <c r="EO75" s="12">
        <v>18</v>
      </c>
      <c r="EP75" s="12">
        <v>21</v>
      </c>
      <c r="EQ75" s="12">
        <v>8</v>
      </c>
      <c r="ER75" s="12">
        <v>14</v>
      </c>
      <c r="ES75" s="12">
        <v>2</v>
      </c>
      <c r="ET75" s="12">
        <v>4</v>
      </c>
      <c r="EU75" s="12">
        <v>99</v>
      </c>
      <c r="EV75" s="12">
        <v>2</v>
      </c>
      <c r="EW75" s="12">
        <v>74</v>
      </c>
      <c r="EX75" s="12">
        <v>83</v>
      </c>
      <c r="EY75" s="12">
        <v>5</v>
      </c>
      <c r="EZ75" s="12">
        <v>11</v>
      </c>
      <c r="FA75" s="12">
        <v>5</v>
      </c>
      <c r="FB75" s="12">
        <v>1</v>
      </c>
      <c r="FC75" s="12">
        <v>2</v>
      </c>
      <c r="FD75" s="12">
        <v>1</v>
      </c>
      <c r="FE75" s="12">
        <v>1</v>
      </c>
      <c r="FF75" s="12">
        <v>4</v>
      </c>
      <c r="FG75" s="12">
        <v>1</v>
      </c>
      <c r="FH75" s="12">
        <v>0</v>
      </c>
      <c r="FI75" s="12">
        <v>0</v>
      </c>
      <c r="FJ75" s="12">
        <v>1</v>
      </c>
      <c r="FK75" s="12">
        <v>1</v>
      </c>
      <c r="FL75" s="12">
        <v>3</v>
      </c>
      <c r="FM75" s="12">
        <v>1</v>
      </c>
      <c r="FN75" s="12">
        <v>0</v>
      </c>
      <c r="FO75" s="12">
        <v>0</v>
      </c>
      <c r="FP75" s="12">
        <v>2</v>
      </c>
      <c r="FQ75" s="12">
        <v>0</v>
      </c>
      <c r="FR75" s="12">
        <v>3</v>
      </c>
      <c r="FS75" s="12">
        <v>0</v>
      </c>
      <c r="FT75" s="12">
        <v>3</v>
      </c>
      <c r="FU75" s="12">
        <v>0</v>
      </c>
      <c r="FV75" s="12">
        <v>1</v>
      </c>
      <c r="FW75" s="12">
        <v>1</v>
      </c>
      <c r="FX75" s="12">
        <v>11</v>
      </c>
      <c r="FY75" s="12">
        <v>2</v>
      </c>
      <c r="FZ75" s="12">
        <v>3</v>
      </c>
      <c r="GA75" s="12">
        <v>1</v>
      </c>
      <c r="GB75" s="12">
        <v>0</v>
      </c>
      <c r="GC75" s="12">
        <v>0</v>
      </c>
      <c r="GD75" s="12">
        <v>1</v>
      </c>
      <c r="GE75" s="12">
        <v>2</v>
      </c>
      <c r="GF75" s="12">
        <v>10</v>
      </c>
      <c r="GG75" s="12">
        <v>14</v>
      </c>
      <c r="GH75" s="12">
        <v>0</v>
      </c>
      <c r="GI75" s="12">
        <v>0</v>
      </c>
      <c r="GJ75" s="12">
        <v>0</v>
      </c>
      <c r="GK75" s="12">
        <v>0</v>
      </c>
      <c r="GL75" s="12">
        <v>15</v>
      </c>
      <c r="GM75" s="12">
        <v>17</v>
      </c>
      <c r="GN75" s="12">
        <v>6</v>
      </c>
      <c r="GO75" s="12">
        <v>15</v>
      </c>
      <c r="GP75" s="12">
        <v>4</v>
      </c>
      <c r="GQ75" s="12">
        <v>10</v>
      </c>
      <c r="GR75" s="12">
        <v>2</v>
      </c>
      <c r="GS75" s="12">
        <v>3</v>
      </c>
      <c r="GT75" s="12">
        <v>7</v>
      </c>
      <c r="GU75" s="12">
        <v>17</v>
      </c>
      <c r="GV75" s="12">
        <v>0</v>
      </c>
      <c r="GW75" s="12">
        <v>0</v>
      </c>
    </row>
    <row r="76" spans="2:205" ht="15" customHeight="1" x14ac:dyDescent="0.2">
      <c r="B76" s="12">
        <v>5</v>
      </c>
      <c r="C76" s="12" t="s">
        <v>281</v>
      </c>
      <c r="D76" s="12" t="s">
        <v>289</v>
      </c>
      <c r="E76" s="14" t="s">
        <v>283</v>
      </c>
      <c r="F76" s="14" t="s">
        <v>291</v>
      </c>
      <c r="G76" s="15">
        <v>45225</v>
      </c>
      <c r="H76" s="15" t="s">
        <v>268</v>
      </c>
      <c r="I76" s="12" t="s">
        <v>269</v>
      </c>
      <c r="J76" s="12" t="s">
        <v>270</v>
      </c>
      <c r="K76" s="12">
        <v>200</v>
      </c>
      <c r="L76" s="12">
        <v>82</v>
      </c>
      <c r="M76" s="12">
        <v>18</v>
      </c>
      <c r="N76" s="12">
        <v>33</v>
      </c>
      <c r="O76" s="16">
        <v>0.54545454545454541</v>
      </c>
      <c r="P76" s="12">
        <v>12</v>
      </c>
      <c r="Q76" s="12">
        <v>29</v>
      </c>
      <c r="R76" s="16">
        <v>0.41379310344827586</v>
      </c>
      <c r="S76" s="12">
        <v>30</v>
      </c>
      <c r="T76" s="12">
        <v>62</v>
      </c>
      <c r="U76" s="16">
        <v>0.4838709677419355</v>
      </c>
      <c r="V76" s="12">
        <v>10</v>
      </c>
      <c r="W76" s="12">
        <v>15</v>
      </c>
      <c r="X76" s="16">
        <v>0.66666666666666663</v>
      </c>
      <c r="Y76" s="12">
        <v>11</v>
      </c>
      <c r="Z76" s="12">
        <v>20</v>
      </c>
      <c r="AA76" s="12">
        <v>31</v>
      </c>
      <c r="AB76" s="12">
        <v>17</v>
      </c>
      <c r="AC76" s="12">
        <v>12</v>
      </c>
      <c r="AD76" s="12">
        <v>4</v>
      </c>
      <c r="AE76" s="12">
        <v>1</v>
      </c>
      <c r="AF76" s="12">
        <v>3</v>
      </c>
      <c r="AG76" s="12">
        <v>20</v>
      </c>
      <c r="AH76" s="12">
        <v>17</v>
      </c>
      <c r="AI76" s="17">
        <v>80</v>
      </c>
      <c r="AJ76" s="12">
        <v>-3</v>
      </c>
      <c r="AK76" s="12">
        <v>69</v>
      </c>
      <c r="AL76" s="12">
        <v>80</v>
      </c>
      <c r="AM76" s="19">
        <v>1.0249999999999999</v>
      </c>
      <c r="AN76" s="19">
        <v>1.0897435897435896</v>
      </c>
      <c r="AO76" s="18">
        <v>118.84057971014492</v>
      </c>
      <c r="AP76" s="18">
        <v>126.86567164179105</v>
      </c>
      <c r="AQ76" s="18">
        <v>-8.0250919316461307</v>
      </c>
      <c r="AR76" s="53">
        <v>0.58064516129032262</v>
      </c>
      <c r="AS76" s="53">
        <v>0.6029411764705882</v>
      </c>
      <c r="AT76" s="16">
        <v>0.1</v>
      </c>
      <c r="AU76" s="19">
        <v>1.5</v>
      </c>
      <c r="AV76" s="16">
        <v>0.2</v>
      </c>
      <c r="AW76" s="19">
        <v>1.25</v>
      </c>
      <c r="AX76" s="16">
        <v>0.1125</v>
      </c>
      <c r="AY76" s="19">
        <v>0.44444444444444442</v>
      </c>
      <c r="AZ76" s="16">
        <v>6.25E-2</v>
      </c>
      <c r="BA76" s="19">
        <v>1.8</v>
      </c>
      <c r="BB76" s="16">
        <v>0.3</v>
      </c>
      <c r="BC76" s="21">
        <v>1.125</v>
      </c>
      <c r="BD76" s="16">
        <v>7.4999999999999997E-2</v>
      </c>
      <c r="BE76" s="16">
        <v>0.15</v>
      </c>
      <c r="BF76" s="16">
        <v>0.5</v>
      </c>
      <c r="BG76" s="16">
        <v>0.22222222222222221</v>
      </c>
      <c r="BH76" s="16">
        <v>0.91666666666666663</v>
      </c>
      <c r="BI76" s="16">
        <v>0.5</v>
      </c>
      <c r="BJ76" s="16">
        <v>0.21249999999999999</v>
      </c>
      <c r="BK76" s="21">
        <v>1.4166666666666667</v>
      </c>
      <c r="BL76" s="16">
        <v>0.3235294117647059</v>
      </c>
      <c r="BM76" s="16">
        <v>0.3125</v>
      </c>
      <c r="BN76" s="16">
        <v>0.41176470588235292</v>
      </c>
      <c r="BO76" s="16">
        <v>0</v>
      </c>
      <c r="BP76" s="16">
        <v>0.64516129032258063</v>
      </c>
      <c r="BQ76" s="16">
        <v>0.76923076923076927</v>
      </c>
      <c r="BR76" s="16">
        <v>0.52631578947368418</v>
      </c>
      <c r="BS76" s="16">
        <v>1</v>
      </c>
      <c r="BT76" s="16">
        <v>0.47692307692307695</v>
      </c>
      <c r="BU76" s="16">
        <v>5.9701492537313432E-2</v>
      </c>
      <c r="BV76" s="16">
        <v>1.7543859649122806E-2</v>
      </c>
      <c r="BW76" s="16">
        <v>3</v>
      </c>
      <c r="BX76" s="16">
        <v>0.55000000000000004</v>
      </c>
      <c r="BY76" s="16">
        <v>0.47058823529411764</v>
      </c>
      <c r="BZ76" s="12">
        <v>4</v>
      </c>
      <c r="CA76" s="12">
        <v>11</v>
      </c>
      <c r="CB76" s="12">
        <v>2</v>
      </c>
      <c r="CC76" s="12">
        <v>4</v>
      </c>
      <c r="CD76" s="12">
        <v>2</v>
      </c>
      <c r="CE76" s="12">
        <v>0</v>
      </c>
      <c r="CF76" s="12">
        <v>3</v>
      </c>
      <c r="CG76" s="12">
        <v>0</v>
      </c>
      <c r="CH76" s="12">
        <v>0</v>
      </c>
      <c r="CI76" s="12">
        <v>0</v>
      </c>
      <c r="CJ76" s="12">
        <v>1</v>
      </c>
      <c r="CK76" s="12">
        <v>0</v>
      </c>
      <c r="CL76" s="12">
        <v>5</v>
      </c>
      <c r="CM76" s="12">
        <v>1</v>
      </c>
      <c r="CN76" s="12">
        <v>0</v>
      </c>
      <c r="CO76" s="12">
        <v>0</v>
      </c>
      <c r="CP76" s="12">
        <v>0</v>
      </c>
      <c r="CQ76" s="12">
        <v>0</v>
      </c>
      <c r="CR76" s="12">
        <v>4</v>
      </c>
      <c r="CS76" s="12">
        <v>1</v>
      </c>
      <c r="CT76" s="12">
        <v>5</v>
      </c>
      <c r="CU76" s="12">
        <v>0</v>
      </c>
      <c r="CV76" s="12">
        <v>2</v>
      </c>
      <c r="CW76" s="12">
        <v>0</v>
      </c>
      <c r="CX76" s="12">
        <v>8</v>
      </c>
      <c r="CY76" s="12">
        <v>0</v>
      </c>
      <c r="CZ76" s="12">
        <v>1</v>
      </c>
      <c r="DA76" s="12">
        <v>0</v>
      </c>
      <c r="DB76" s="12">
        <v>0</v>
      </c>
      <c r="DC76" s="12">
        <v>0</v>
      </c>
      <c r="DD76" s="12">
        <v>1</v>
      </c>
      <c r="DE76" s="12">
        <v>2</v>
      </c>
      <c r="DF76" s="12">
        <v>6</v>
      </c>
      <c r="DG76" s="12">
        <v>10</v>
      </c>
      <c r="DH76" s="12">
        <v>2</v>
      </c>
      <c r="DI76" s="12">
        <v>3</v>
      </c>
      <c r="DJ76" s="12">
        <v>3</v>
      </c>
      <c r="DK76" s="12">
        <v>0</v>
      </c>
      <c r="DL76" s="12">
        <v>6</v>
      </c>
      <c r="DM76" s="12">
        <v>8</v>
      </c>
      <c r="DN76" s="12">
        <v>10</v>
      </c>
      <c r="DO76" s="12">
        <v>16</v>
      </c>
      <c r="DP76" s="12">
        <v>2</v>
      </c>
      <c r="DQ76" s="12">
        <v>9</v>
      </c>
      <c r="DR76" s="12">
        <v>3</v>
      </c>
      <c r="DS76" s="12">
        <v>5</v>
      </c>
      <c r="DT76" s="12">
        <v>9</v>
      </c>
      <c r="DU76" s="12">
        <v>24</v>
      </c>
      <c r="DV76" s="12">
        <v>0</v>
      </c>
      <c r="DW76" s="12">
        <v>0</v>
      </c>
      <c r="DX76" s="12">
        <v>85</v>
      </c>
      <c r="DY76" s="12">
        <v>15</v>
      </c>
      <c r="DZ76" s="12">
        <v>27</v>
      </c>
      <c r="EA76" s="16">
        <v>0.55555555555555558</v>
      </c>
      <c r="EB76" s="12">
        <v>12</v>
      </c>
      <c r="EC76" s="12">
        <v>30</v>
      </c>
      <c r="ED76" s="16">
        <v>0.4</v>
      </c>
      <c r="EE76" s="12">
        <v>27</v>
      </c>
      <c r="EF76" s="12">
        <v>57</v>
      </c>
      <c r="EG76" s="16">
        <v>0.47368421052631576</v>
      </c>
      <c r="EH76" s="12">
        <v>19</v>
      </c>
      <c r="EI76" s="12">
        <v>21</v>
      </c>
      <c r="EJ76" s="16">
        <v>0.90476190476190477</v>
      </c>
      <c r="EK76" s="12">
        <v>11</v>
      </c>
      <c r="EL76" s="12">
        <v>23</v>
      </c>
      <c r="EM76" s="12">
        <v>34</v>
      </c>
      <c r="EN76" s="12">
        <v>18</v>
      </c>
      <c r="EO76" s="12">
        <v>17</v>
      </c>
      <c r="EP76" s="12">
        <v>20</v>
      </c>
      <c r="EQ76" s="12">
        <v>7</v>
      </c>
      <c r="ER76" s="12">
        <v>11</v>
      </c>
      <c r="ES76" s="12">
        <v>3</v>
      </c>
      <c r="ET76" s="12">
        <v>1</v>
      </c>
      <c r="EU76" s="12">
        <v>106</v>
      </c>
      <c r="EV76" s="12">
        <v>3</v>
      </c>
      <c r="EW76" s="12">
        <v>67</v>
      </c>
      <c r="EX76" s="12">
        <v>78</v>
      </c>
      <c r="EY76" s="12">
        <v>5</v>
      </c>
      <c r="EZ76" s="12">
        <v>7</v>
      </c>
      <c r="FA76" s="12">
        <v>10</v>
      </c>
      <c r="FB76" s="12">
        <v>1</v>
      </c>
      <c r="FC76" s="12">
        <v>2</v>
      </c>
      <c r="FD76" s="12">
        <v>1</v>
      </c>
      <c r="FE76" s="12">
        <v>0</v>
      </c>
      <c r="FF76" s="12">
        <v>0</v>
      </c>
      <c r="FG76" s="12">
        <v>0</v>
      </c>
      <c r="FH76" s="12">
        <v>2</v>
      </c>
      <c r="FI76" s="12">
        <v>0</v>
      </c>
      <c r="FJ76" s="12">
        <v>0</v>
      </c>
      <c r="FK76" s="12">
        <v>0</v>
      </c>
      <c r="FL76" s="12">
        <v>8</v>
      </c>
      <c r="FM76" s="12">
        <v>1</v>
      </c>
      <c r="FN76" s="12">
        <v>0</v>
      </c>
      <c r="FO76" s="12">
        <v>0</v>
      </c>
      <c r="FP76" s="12">
        <v>0</v>
      </c>
      <c r="FQ76" s="12">
        <v>0</v>
      </c>
      <c r="FR76" s="12">
        <v>3</v>
      </c>
      <c r="FS76" s="12">
        <v>0</v>
      </c>
      <c r="FT76" s="12">
        <v>7</v>
      </c>
      <c r="FU76" s="12">
        <v>1</v>
      </c>
      <c r="FV76" s="12">
        <v>1</v>
      </c>
      <c r="FW76" s="12">
        <v>0</v>
      </c>
      <c r="FX76" s="12">
        <v>8</v>
      </c>
      <c r="FY76" s="12">
        <v>1</v>
      </c>
      <c r="FZ76" s="12">
        <v>3</v>
      </c>
      <c r="GA76" s="12">
        <v>0</v>
      </c>
      <c r="GB76" s="12">
        <v>0</v>
      </c>
      <c r="GC76" s="12">
        <v>0</v>
      </c>
      <c r="GD76" s="12">
        <v>1</v>
      </c>
      <c r="GE76" s="12">
        <v>1</v>
      </c>
      <c r="GF76" s="12">
        <v>18</v>
      </c>
      <c r="GG76" s="12">
        <v>20</v>
      </c>
      <c r="GH76" s="12">
        <v>0</v>
      </c>
      <c r="GI76" s="12">
        <v>0</v>
      </c>
      <c r="GJ76" s="12">
        <v>0</v>
      </c>
      <c r="GK76" s="12">
        <v>0</v>
      </c>
      <c r="GL76" s="12">
        <v>8</v>
      </c>
      <c r="GM76" s="12">
        <v>9</v>
      </c>
      <c r="GN76" s="12">
        <v>5</v>
      </c>
      <c r="GO76" s="12">
        <v>9</v>
      </c>
      <c r="GP76" s="12">
        <v>2</v>
      </c>
      <c r="GQ76" s="12">
        <v>9</v>
      </c>
      <c r="GR76" s="12">
        <v>3</v>
      </c>
      <c r="GS76" s="12">
        <v>5</v>
      </c>
      <c r="GT76" s="12">
        <v>9</v>
      </c>
      <c r="GU76" s="12">
        <v>25</v>
      </c>
      <c r="GV76" s="12">
        <v>0</v>
      </c>
      <c r="GW76" s="12">
        <v>0</v>
      </c>
    </row>
    <row r="77" spans="2:205" ht="15" customHeight="1" x14ac:dyDescent="0.2">
      <c r="B77" s="12">
        <v>5</v>
      </c>
      <c r="C77" s="12" t="s">
        <v>289</v>
      </c>
      <c r="D77" s="12" t="s">
        <v>281</v>
      </c>
      <c r="E77" s="14" t="s">
        <v>291</v>
      </c>
      <c r="F77" s="14" t="s">
        <v>283</v>
      </c>
      <c r="G77" s="15">
        <v>45225</v>
      </c>
      <c r="H77" s="15" t="s">
        <v>271</v>
      </c>
      <c r="I77" s="12" t="s">
        <v>269</v>
      </c>
      <c r="J77" s="12" t="s">
        <v>272</v>
      </c>
      <c r="K77" s="12">
        <v>200</v>
      </c>
      <c r="L77" s="12">
        <v>85</v>
      </c>
      <c r="M77" s="12">
        <v>15</v>
      </c>
      <c r="N77" s="12">
        <v>27</v>
      </c>
      <c r="O77" s="16">
        <v>0.55555555555555558</v>
      </c>
      <c r="P77" s="12">
        <v>12</v>
      </c>
      <c r="Q77" s="12">
        <v>30</v>
      </c>
      <c r="R77" s="16">
        <v>0.4</v>
      </c>
      <c r="S77" s="12">
        <v>27</v>
      </c>
      <c r="T77" s="12">
        <v>57</v>
      </c>
      <c r="U77" s="16">
        <v>0.47368421052631576</v>
      </c>
      <c r="V77" s="12">
        <v>19</v>
      </c>
      <c r="W77" s="12">
        <v>21</v>
      </c>
      <c r="X77" s="16">
        <v>0.90476190476190477</v>
      </c>
      <c r="Y77" s="12">
        <v>11</v>
      </c>
      <c r="Z77" s="12">
        <v>23</v>
      </c>
      <c r="AA77" s="12">
        <v>34</v>
      </c>
      <c r="AB77" s="12">
        <v>18</v>
      </c>
      <c r="AC77" s="12">
        <v>11</v>
      </c>
      <c r="AD77" s="12">
        <v>7</v>
      </c>
      <c r="AE77" s="12">
        <v>3</v>
      </c>
      <c r="AF77" s="12">
        <v>1</v>
      </c>
      <c r="AG77" s="12">
        <v>17</v>
      </c>
      <c r="AH77" s="12">
        <v>20</v>
      </c>
      <c r="AI77" s="17">
        <v>106</v>
      </c>
      <c r="AJ77" s="12">
        <v>3</v>
      </c>
      <c r="AK77" s="12">
        <v>67</v>
      </c>
      <c r="AL77" s="12">
        <v>78</v>
      </c>
      <c r="AM77" s="19">
        <v>1.0897435897435896</v>
      </c>
      <c r="AN77" s="19">
        <v>1.0249999999999999</v>
      </c>
      <c r="AO77" s="18">
        <v>126.86567164179105</v>
      </c>
      <c r="AP77" s="18">
        <v>118.84057971014492</v>
      </c>
      <c r="AQ77" s="18">
        <v>8.0250919316461307</v>
      </c>
      <c r="AR77" s="53">
        <v>0.57894736842105265</v>
      </c>
      <c r="AS77" s="53">
        <v>0.63432835820895528</v>
      </c>
      <c r="AT77" s="16">
        <v>0.11538461538461539</v>
      </c>
      <c r="AU77" s="19">
        <v>1.7777777777777777</v>
      </c>
      <c r="AV77" s="16">
        <v>0.11538461538461539</v>
      </c>
      <c r="AW77" s="19">
        <v>1.1111111111111112</v>
      </c>
      <c r="AX77" s="16">
        <v>0.11538461538461539</v>
      </c>
      <c r="AY77" s="19">
        <v>0.44444444444444442</v>
      </c>
      <c r="AZ77" s="16">
        <v>6.4102564102564097E-2</v>
      </c>
      <c r="BA77" s="19">
        <v>1.8</v>
      </c>
      <c r="BB77" s="16">
        <v>0.32051282051282054</v>
      </c>
      <c r="BC77" s="21">
        <v>1.08</v>
      </c>
      <c r="BD77" s="16">
        <v>0.12820512820512819</v>
      </c>
      <c r="BE77" s="16">
        <v>0.14102564102564102</v>
      </c>
      <c r="BF77" s="16">
        <v>0.48648648648648651</v>
      </c>
      <c r="BG77" s="16">
        <v>0.46666666666666667</v>
      </c>
      <c r="BH77" s="16">
        <v>0.83333333333333337</v>
      </c>
      <c r="BI77" s="16">
        <v>0.1</v>
      </c>
      <c r="BJ77" s="16">
        <v>0.23076923076923078</v>
      </c>
      <c r="BK77" s="21">
        <v>1.6363636363636365</v>
      </c>
      <c r="BL77" s="16">
        <v>0.35483870967741937</v>
      </c>
      <c r="BM77" s="16">
        <v>0.23076923076923078</v>
      </c>
      <c r="BN77" s="16">
        <v>0.47368421052631576</v>
      </c>
      <c r="BO77" s="16">
        <v>0</v>
      </c>
      <c r="BP77" s="16">
        <v>0.67647058823529416</v>
      </c>
      <c r="BQ77" s="16">
        <v>0.6875</v>
      </c>
      <c r="BR77" s="16">
        <v>0.58823529411764708</v>
      </c>
      <c r="BS77" s="16">
        <v>1</v>
      </c>
      <c r="BT77" s="16">
        <v>0.52307692307692311</v>
      </c>
      <c r="BU77" s="16">
        <v>0.10144927536231885</v>
      </c>
      <c r="BV77" s="16">
        <v>4.8387096774193547E-2</v>
      </c>
      <c r="BW77" s="16">
        <v>5</v>
      </c>
      <c r="BX77" s="16">
        <v>0.47058823529411764</v>
      </c>
      <c r="BY77" s="16">
        <v>0.55000000000000004</v>
      </c>
      <c r="BZ77" s="12">
        <v>7</v>
      </c>
      <c r="CA77" s="12">
        <v>10</v>
      </c>
      <c r="CB77" s="12">
        <v>1</v>
      </c>
      <c r="CC77" s="12">
        <v>2</v>
      </c>
      <c r="CD77" s="12">
        <v>1</v>
      </c>
      <c r="CE77" s="12">
        <v>0</v>
      </c>
      <c r="CF77" s="12">
        <v>0</v>
      </c>
      <c r="CG77" s="12">
        <v>0</v>
      </c>
      <c r="CH77" s="12">
        <v>2</v>
      </c>
      <c r="CI77" s="12">
        <v>0</v>
      </c>
      <c r="CJ77" s="12">
        <v>0</v>
      </c>
      <c r="CK77" s="12">
        <v>0</v>
      </c>
      <c r="CL77" s="12">
        <v>8</v>
      </c>
      <c r="CM77" s="12">
        <v>1</v>
      </c>
      <c r="CN77" s="12">
        <v>0</v>
      </c>
      <c r="CO77" s="12">
        <v>0</v>
      </c>
      <c r="CP77" s="12">
        <v>0</v>
      </c>
      <c r="CQ77" s="12">
        <v>0</v>
      </c>
      <c r="CR77" s="12">
        <v>3</v>
      </c>
      <c r="CS77" s="12">
        <v>0</v>
      </c>
      <c r="CT77" s="12">
        <v>7</v>
      </c>
      <c r="CU77" s="12">
        <v>1</v>
      </c>
      <c r="CV77" s="12">
        <v>1</v>
      </c>
      <c r="CW77" s="12">
        <v>0</v>
      </c>
      <c r="CX77" s="12">
        <v>8</v>
      </c>
      <c r="CY77" s="12">
        <v>1</v>
      </c>
      <c r="CZ77" s="12">
        <v>3</v>
      </c>
      <c r="DA77" s="12">
        <v>0</v>
      </c>
      <c r="DB77" s="12">
        <v>0</v>
      </c>
      <c r="DC77" s="12">
        <v>0</v>
      </c>
      <c r="DD77" s="12">
        <v>1</v>
      </c>
      <c r="DE77" s="12">
        <v>1</v>
      </c>
      <c r="DF77" s="12">
        <v>18</v>
      </c>
      <c r="DG77" s="12">
        <v>20</v>
      </c>
      <c r="DH77" s="12">
        <v>0</v>
      </c>
      <c r="DI77" s="12">
        <v>0</v>
      </c>
      <c r="DJ77" s="12">
        <v>0</v>
      </c>
      <c r="DK77" s="12">
        <v>0</v>
      </c>
      <c r="DL77" s="12">
        <v>8</v>
      </c>
      <c r="DM77" s="12">
        <v>9</v>
      </c>
      <c r="DN77" s="12">
        <v>5</v>
      </c>
      <c r="DO77" s="12">
        <v>9</v>
      </c>
      <c r="DP77" s="12">
        <v>2</v>
      </c>
      <c r="DQ77" s="12">
        <v>9</v>
      </c>
      <c r="DR77" s="12">
        <v>3</v>
      </c>
      <c r="DS77" s="12">
        <v>5</v>
      </c>
      <c r="DT77" s="12">
        <v>9</v>
      </c>
      <c r="DU77" s="12">
        <v>25</v>
      </c>
      <c r="DV77" s="12">
        <v>0</v>
      </c>
      <c r="DW77" s="12">
        <v>0</v>
      </c>
      <c r="DX77" s="12">
        <v>82</v>
      </c>
      <c r="DY77" s="12">
        <v>18</v>
      </c>
      <c r="DZ77" s="12">
        <v>33</v>
      </c>
      <c r="EA77" s="16">
        <v>0.54545454545454541</v>
      </c>
      <c r="EB77" s="12">
        <v>12</v>
      </c>
      <c r="EC77" s="12">
        <v>29</v>
      </c>
      <c r="ED77" s="16">
        <v>0.41379310344827586</v>
      </c>
      <c r="EE77" s="12">
        <v>30</v>
      </c>
      <c r="EF77" s="12">
        <v>62</v>
      </c>
      <c r="EG77" s="16">
        <v>0.4838709677419355</v>
      </c>
      <c r="EH77" s="12">
        <v>10</v>
      </c>
      <c r="EI77" s="12">
        <v>15</v>
      </c>
      <c r="EJ77" s="16">
        <v>0.66666666666666663</v>
      </c>
      <c r="EK77" s="12">
        <v>11</v>
      </c>
      <c r="EL77" s="12">
        <v>20</v>
      </c>
      <c r="EM77" s="12">
        <v>31</v>
      </c>
      <c r="EN77" s="12">
        <v>17</v>
      </c>
      <c r="EO77" s="12">
        <v>20</v>
      </c>
      <c r="EP77" s="12">
        <v>17</v>
      </c>
      <c r="EQ77" s="12">
        <v>4</v>
      </c>
      <c r="ER77" s="12">
        <v>12</v>
      </c>
      <c r="ES77" s="12">
        <v>1</v>
      </c>
      <c r="ET77" s="12">
        <v>3</v>
      </c>
      <c r="EU77" s="12">
        <v>80</v>
      </c>
      <c r="EV77" s="12">
        <v>-3</v>
      </c>
      <c r="EW77" s="12">
        <v>69</v>
      </c>
      <c r="EX77" s="12">
        <v>80</v>
      </c>
      <c r="EY77" s="12">
        <v>3</v>
      </c>
      <c r="EZ77" s="12">
        <v>4</v>
      </c>
      <c r="FA77" s="12">
        <v>11</v>
      </c>
      <c r="FB77" s="12">
        <v>2</v>
      </c>
      <c r="FC77" s="12">
        <v>4</v>
      </c>
      <c r="FD77" s="12">
        <v>2</v>
      </c>
      <c r="FE77" s="12">
        <v>0</v>
      </c>
      <c r="FF77" s="12">
        <v>3</v>
      </c>
      <c r="FG77" s="12">
        <v>0</v>
      </c>
      <c r="FH77" s="12">
        <v>0</v>
      </c>
      <c r="FI77" s="12">
        <v>0</v>
      </c>
      <c r="FJ77" s="12">
        <v>1</v>
      </c>
      <c r="FK77" s="12">
        <v>0</v>
      </c>
      <c r="FL77" s="12">
        <v>5</v>
      </c>
      <c r="FM77" s="12">
        <v>1</v>
      </c>
      <c r="FN77" s="12">
        <v>0</v>
      </c>
      <c r="FO77" s="12">
        <v>0</v>
      </c>
      <c r="FP77" s="12">
        <v>0</v>
      </c>
      <c r="FQ77" s="12">
        <v>0</v>
      </c>
      <c r="FR77" s="12">
        <v>4</v>
      </c>
      <c r="FS77" s="12">
        <v>1</v>
      </c>
      <c r="FT77" s="12">
        <v>5</v>
      </c>
      <c r="FU77" s="12">
        <v>0</v>
      </c>
      <c r="FV77" s="12">
        <v>2</v>
      </c>
      <c r="FW77" s="12">
        <v>0</v>
      </c>
      <c r="FX77" s="12">
        <v>8</v>
      </c>
      <c r="FY77" s="12">
        <v>0</v>
      </c>
      <c r="FZ77" s="12">
        <v>1</v>
      </c>
      <c r="GA77" s="12">
        <v>0</v>
      </c>
      <c r="GB77" s="12">
        <v>0</v>
      </c>
      <c r="GC77" s="12">
        <v>0</v>
      </c>
      <c r="GD77" s="12">
        <v>1</v>
      </c>
      <c r="GE77" s="12">
        <v>2</v>
      </c>
      <c r="GF77" s="12">
        <v>6</v>
      </c>
      <c r="GG77" s="12">
        <v>10</v>
      </c>
      <c r="GH77" s="12">
        <v>2</v>
      </c>
      <c r="GI77" s="12">
        <v>3</v>
      </c>
      <c r="GJ77" s="12">
        <v>3</v>
      </c>
      <c r="GK77" s="12">
        <v>0</v>
      </c>
      <c r="GL77" s="12">
        <v>6</v>
      </c>
      <c r="GM77" s="12">
        <v>8</v>
      </c>
      <c r="GN77" s="12">
        <v>10</v>
      </c>
      <c r="GO77" s="12">
        <v>16</v>
      </c>
      <c r="GP77" s="12">
        <v>2</v>
      </c>
      <c r="GQ77" s="12">
        <v>9</v>
      </c>
      <c r="GR77" s="12">
        <v>3</v>
      </c>
      <c r="GS77" s="12">
        <v>5</v>
      </c>
      <c r="GT77" s="12">
        <v>9</v>
      </c>
      <c r="GU77" s="12">
        <v>24</v>
      </c>
      <c r="GV77" s="12">
        <v>0</v>
      </c>
      <c r="GW77" s="12">
        <v>0</v>
      </c>
    </row>
    <row r="78" spans="2:205" ht="15" customHeight="1" x14ac:dyDescent="0.2">
      <c r="B78" s="12">
        <v>5</v>
      </c>
      <c r="C78" s="12" t="s">
        <v>278</v>
      </c>
      <c r="D78" s="12" t="s">
        <v>298</v>
      </c>
      <c r="E78" s="14" t="s">
        <v>280</v>
      </c>
      <c r="F78" s="14" t="s">
        <v>300</v>
      </c>
      <c r="G78" s="15">
        <v>45225</v>
      </c>
      <c r="H78" s="15" t="s">
        <v>271</v>
      </c>
      <c r="I78" s="12" t="s">
        <v>269</v>
      </c>
      <c r="J78" s="12" t="s">
        <v>272</v>
      </c>
      <c r="K78" s="12">
        <v>200</v>
      </c>
      <c r="L78" s="12">
        <v>65</v>
      </c>
      <c r="M78" s="12">
        <v>22</v>
      </c>
      <c r="N78" s="12">
        <v>44</v>
      </c>
      <c r="O78" s="16">
        <v>0.5</v>
      </c>
      <c r="P78" s="12">
        <v>2</v>
      </c>
      <c r="Q78" s="12">
        <v>22</v>
      </c>
      <c r="R78" s="16">
        <v>9.0909090909090912E-2</v>
      </c>
      <c r="S78" s="12">
        <v>24</v>
      </c>
      <c r="T78" s="12">
        <v>66</v>
      </c>
      <c r="U78" s="16">
        <v>0.36363636363636365</v>
      </c>
      <c r="V78" s="12">
        <v>15</v>
      </c>
      <c r="W78" s="12">
        <v>24</v>
      </c>
      <c r="X78" s="16">
        <v>0.625</v>
      </c>
      <c r="Y78" s="12">
        <v>19</v>
      </c>
      <c r="Z78" s="12">
        <v>29</v>
      </c>
      <c r="AA78" s="12">
        <v>48</v>
      </c>
      <c r="AB78" s="12">
        <v>17</v>
      </c>
      <c r="AC78" s="12">
        <v>15</v>
      </c>
      <c r="AD78" s="12">
        <v>5</v>
      </c>
      <c r="AE78" s="12">
        <v>1</v>
      </c>
      <c r="AF78" s="12">
        <v>2</v>
      </c>
      <c r="AG78" s="12">
        <v>25</v>
      </c>
      <c r="AH78" s="12">
        <v>21</v>
      </c>
      <c r="AI78" s="17">
        <v>64</v>
      </c>
      <c r="AJ78" s="12">
        <v>1</v>
      </c>
      <c r="AK78" s="12">
        <v>72</v>
      </c>
      <c r="AL78" s="12">
        <v>91</v>
      </c>
      <c r="AM78" s="19">
        <v>0.7142857142857143</v>
      </c>
      <c r="AN78" s="19">
        <v>0.75294117647058822</v>
      </c>
      <c r="AO78" s="18">
        <v>90.277777777777786</v>
      </c>
      <c r="AP78" s="18">
        <v>90.140845070422543</v>
      </c>
      <c r="AQ78" s="18">
        <v>0.13693270735524266</v>
      </c>
      <c r="AR78" s="53">
        <v>0.37878787878787878</v>
      </c>
      <c r="AS78" s="53">
        <v>0.42763157894736842</v>
      </c>
      <c r="AT78" s="16">
        <v>0.14285714285714285</v>
      </c>
      <c r="AU78" s="19">
        <v>1.8461538461538463</v>
      </c>
      <c r="AV78" s="16">
        <v>0.30769230769230771</v>
      </c>
      <c r="AW78" s="19">
        <v>0.6428571428571429</v>
      </c>
      <c r="AX78" s="16">
        <v>3.2967032967032968E-2</v>
      </c>
      <c r="AY78" s="19">
        <v>0.66666666666666663</v>
      </c>
      <c r="AZ78" s="16">
        <v>0</v>
      </c>
      <c r="BA78" s="19" t="s">
        <v>269</v>
      </c>
      <c r="BB78" s="16">
        <v>0.24175824175824176</v>
      </c>
      <c r="BC78" s="21">
        <v>0.27272727272727271</v>
      </c>
      <c r="BD78" s="16">
        <v>0.10989010989010989</v>
      </c>
      <c r="BE78" s="16">
        <v>0.16483516483516483</v>
      </c>
      <c r="BF78" s="16">
        <v>0.51515151515151514</v>
      </c>
      <c r="BG78" s="16">
        <v>0.59090909090909094</v>
      </c>
      <c r="BH78" s="16">
        <v>1</v>
      </c>
      <c r="BI78" s="16">
        <v>0.22222222222222221</v>
      </c>
      <c r="BJ78" s="16">
        <v>0.18681318681318682</v>
      </c>
      <c r="BK78" s="21">
        <v>1.1333333333333333</v>
      </c>
      <c r="BL78" s="16">
        <v>0.39583333333333331</v>
      </c>
      <c r="BM78" s="16">
        <v>0.61538461538461542</v>
      </c>
      <c r="BN78" s="16">
        <v>0.2857142857142857</v>
      </c>
      <c r="BO78" s="16">
        <v>0.14285714285714285</v>
      </c>
      <c r="BP78" s="16">
        <v>0.67441860465116277</v>
      </c>
      <c r="BQ78" s="16">
        <v>0.69230769230769229</v>
      </c>
      <c r="BR78" s="16">
        <v>0.6470588235294118</v>
      </c>
      <c r="BS78" s="16">
        <v>1</v>
      </c>
      <c r="BT78" s="16">
        <v>0.52747252747252749</v>
      </c>
      <c r="BU78" s="16">
        <v>7.0422535211267609E-2</v>
      </c>
      <c r="BV78" s="16">
        <v>1.5384615384615385E-2</v>
      </c>
      <c r="BW78" s="16">
        <v>8</v>
      </c>
      <c r="BX78" s="16">
        <v>0.36</v>
      </c>
      <c r="BY78" s="16">
        <v>0.5714285714285714</v>
      </c>
      <c r="BZ78" s="12">
        <v>13</v>
      </c>
      <c r="CA78" s="12">
        <v>2</v>
      </c>
      <c r="CB78" s="12">
        <v>2</v>
      </c>
      <c r="CC78" s="12">
        <v>2</v>
      </c>
      <c r="CD78" s="12">
        <v>1</v>
      </c>
      <c r="CE78" s="12">
        <v>1</v>
      </c>
      <c r="CF78" s="12">
        <v>10</v>
      </c>
      <c r="CG78" s="12">
        <v>2</v>
      </c>
      <c r="CH78" s="12">
        <v>1</v>
      </c>
      <c r="CI78" s="12">
        <v>1</v>
      </c>
      <c r="CJ78" s="12">
        <v>0</v>
      </c>
      <c r="CK78" s="12">
        <v>0</v>
      </c>
      <c r="CL78" s="12">
        <v>6</v>
      </c>
      <c r="CM78" s="12">
        <v>0</v>
      </c>
      <c r="CN78" s="12">
        <v>1</v>
      </c>
      <c r="CO78" s="12">
        <v>0</v>
      </c>
      <c r="CP78" s="12">
        <v>2</v>
      </c>
      <c r="CQ78" s="12">
        <v>0</v>
      </c>
      <c r="CR78" s="12">
        <v>15</v>
      </c>
      <c r="CS78" s="12">
        <v>1</v>
      </c>
      <c r="CT78" s="12">
        <v>0</v>
      </c>
      <c r="CU78" s="12">
        <v>0</v>
      </c>
      <c r="CV78" s="12">
        <v>0</v>
      </c>
      <c r="CW78" s="12">
        <v>0</v>
      </c>
      <c r="CX78" s="12">
        <v>10</v>
      </c>
      <c r="CY78" s="12">
        <v>1</v>
      </c>
      <c r="CZ78" s="12">
        <v>2</v>
      </c>
      <c r="DA78" s="12">
        <v>0</v>
      </c>
      <c r="DB78" s="12">
        <v>1</v>
      </c>
      <c r="DC78" s="12">
        <v>1</v>
      </c>
      <c r="DD78" s="12">
        <v>1</v>
      </c>
      <c r="DE78" s="12">
        <v>2</v>
      </c>
      <c r="DF78" s="12">
        <v>11</v>
      </c>
      <c r="DG78" s="12">
        <v>18</v>
      </c>
      <c r="DH78" s="12">
        <v>1</v>
      </c>
      <c r="DI78" s="12">
        <v>2</v>
      </c>
      <c r="DJ78" s="12">
        <v>3</v>
      </c>
      <c r="DK78" s="12">
        <v>0</v>
      </c>
      <c r="DL78" s="12">
        <v>12</v>
      </c>
      <c r="DM78" s="12">
        <v>13</v>
      </c>
      <c r="DN78" s="12">
        <v>9</v>
      </c>
      <c r="DO78" s="12">
        <v>28</v>
      </c>
      <c r="DP78" s="12">
        <v>1</v>
      </c>
      <c r="DQ78" s="12">
        <v>3</v>
      </c>
      <c r="DR78" s="12">
        <v>0</v>
      </c>
      <c r="DS78" s="12">
        <v>0</v>
      </c>
      <c r="DT78" s="12">
        <v>2</v>
      </c>
      <c r="DU78" s="12">
        <v>22</v>
      </c>
      <c r="DV78" s="12">
        <v>0</v>
      </c>
      <c r="DW78" s="12">
        <v>0</v>
      </c>
      <c r="DX78" s="12">
        <v>64</v>
      </c>
      <c r="DY78" s="12">
        <v>20</v>
      </c>
      <c r="DZ78" s="12">
        <v>45</v>
      </c>
      <c r="EA78" s="16">
        <v>0.44444444444444442</v>
      </c>
      <c r="EB78" s="12">
        <v>5</v>
      </c>
      <c r="EC78" s="12">
        <v>20</v>
      </c>
      <c r="ED78" s="16">
        <v>0.25</v>
      </c>
      <c r="EE78" s="12">
        <v>25</v>
      </c>
      <c r="EF78" s="12">
        <v>65</v>
      </c>
      <c r="EG78" s="16">
        <v>0.38461538461538464</v>
      </c>
      <c r="EH78" s="12">
        <v>9</v>
      </c>
      <c r="EI78" s="12">
        <v>16</v>
      </c>
      <c r="EJ78" s="16">
        <v>0.5625</v>
      </c>
      <c r="EK78" s="12">
        <v>14</v>
      </c>
      <c r="EL78" s="12">
        <v>29</v>
      </c>
      <c r="EM78" s="12">
        <v>43</v>
      </c>
      <c r="EN78" s="12">
        <v>12</v>
      </c>
      <c r="EO78" s="12">
        <v>23</v>
      </c>
      <c r="EP78" s="12">
        <v>24</v>
      </c>
      <c r="EQ78" s="12">
        <v>8</v>
      </c>
      <c r="ER78" s="12">
        <v>14</v>
      </c>
      <c r="ES78" s="12">
        <v>2</v>
      </c>
      <c r="ET78" s="12">
        <v>1</v>
      </c>
      <c r="EU78" s="12">
        <v>68</v>
      </c>
      <c r="EV78" s="12">
        <v>-1</v>
      </c>
      <c r="EW78" s="12">
        <v>71</v>
      </c>
      <c r="EX78" s="12">
        <v>85</v>
      </c>
      <c r="EY78" s="12">
        <v>7</v>
      </c>
      <c r="EZ78" s="12">
        <v>8</v>
      </c>
      <c r="FA78" s="12">
        <v>4</v>
      </c>
      <c r="FB78" s="12">
        <v>0</v>
      </c>
      <c r="FC78" s="12">
        <v>0</v>
      </c>
      <c r="FD78" s="12">
        <v>0</v>
      </c>
      <c r="FE78" s="12">
        <v>0</v>
      </c>
      <c r="FF78" s="12">
        <v>5</v>
      </c>
      <c r="FG78" s="12">
        <v>0</v>
      </c>
      <c r="FH78" s="12">
        <v>3</v>
      </c>
      <c r="FI78" s="12">
        <v>0</v>
      </c>
      <c r="FJ78" s="12">
        <v>0</v>
      </c>
      <c r="FK78" s="12">
        <v>0</v>
      </c>
      <c r="FL78" s="12">
        <v>5</v>
      </c>
      <c r="FM78" s="12">
        <v>1</v>
      </c>
      <c r="FN78" s="12">
        <v>0</v>
      </c>
      <c r="FO78" s="12">
        <v>0</v>
      </c>
      <c r="FP78" s="12">
        <v>0</v>
      </c>
      <c r="FQ78" s="12">
        <v>0</v>
      </c>
      <c r="FR78" s="12">
        <v>9</v>
      </c>
      <c r="FS78" s="12">
        <v>0</v>
      </c>
      <c r="FT78" s="12">
        <v>1</v>
      </c>
      <c r="FU78" s="12">
        <v>0</v>
      </c>
      <c r="FV78" s="12">
        <v>0</v>
      </c>
      <c r="FW78" s="12">
        <v>0</v>
      </c>
      <c r="FX78" s="12">
        <v>14</v>
      </c>
      <c r="FY78" s="12">
        <v>1</v>
      </c>
      <c r="FZ78" s="12">
        <v>5</v>
      </c>
      <c r="GA78" s="12">
        <v>1</v>
      </c>
      <c r="GB78" s="12">
        <v>0</v>
      </c>
      <c r="GC78" s="12">
        <v>0</v>
      </c>
      <c r="GD78" s="12">
        <v>2</v>
      </c>
      <c r="GE78" s="12">
        <v>3</v>
      </c>
      <c r="GF78" s="12">
        <v>6</v>
      </c>
      <c r="GG78" s="12">
        <v>10</v>
      </c>
      <c r="GH78" s="12">
        <v>1</v>
      </c>
      <c r="GI78" s="12">
        <v>1</v>
      </c>
      <c r="GJ78" s="12">
        <v>3</v>
      </c>
      <c r="GK78" s="12">
        <v>0</v>
      </c>
      <c r="GL78" s="12">
        <v>5</v>
      </c>
      <c r="GM78" s="12">
        <v>7</v>
      </c>
      <c r="GN78" s="12">
        <v>14</v>
      </c>
      <c r="GO78" s="12">
        <v>34</v>
      </c>
      <c r="GP78" s="12">
        <v>1</v>
      </c>
      <c r="GQ78" s="12">
        <v>4</v>
      </c>
      <c r="GR78" s="12">
        <v>0</v>
      </c>
      <c r="GS78" s="12">
        <v>0</v>
      </c>
      <c r="GT78" s="12">
        <v>5</v>
      </c>
      <c r="GU78" s="12">
        <v>20</v>
      </c>
      <c r="GV78" s="12">
        <v>0</v>
      </c>
      <c r="GW78" s="12">
        <v>0</v>
      </c>
    </row>
    <row r="79" spans="2:205" ht="15" customHeight="1" x14ac:dyDescent="0.2">
      <c r="B79" s="12">
        <v>5</v>
      </c>
      <c r="C79" s="12" t="s">
        <v>298</v>
      </c>
      <c r="D79" s="12" t="s">
        <v>278</v>
      </c>
      <c r="E79" s="14" t="s">
        <v>300</v>
      </c>
      <c r="F79" s="14" t="s">
        <v>280</v>
      </c>
      <c r="G79" s="15">
        <v>45225</v>
      </c>
      <c r="H79" s="15" t="s">
        <v>268</v>
      </c>
      <c r="I79" s="12" t="s">
        <v>269</v>
      </c>
      <c r="J79" s="12" t="s">
        <v>270</v>
      </c>
      <c r="K79" s="12">
        <v>200</v>
      </c>
      <c r="L79" s="12">
        <v>64</v>
      </c>
      <c r="M79" s="12">
        <v>20</v>
      </c>
      <c r="N79" s="12">
        <v>45</v>
      </c>
      <c r="O79" s="16">
        <v>0.44444444444444442</v>
      </c>
      <c r="P79" s="12">
        <v>5</v>
      </c>
      <c r="Q79" s="12">
        <v>20</v>
      </c>
      <c r="R79" s="16">
        <v>0.25</v>
      </c>
      <c r="S79" s="12">
        <v>25</v>
      </c>
      <c r="T79" s="12">
        <v>65</v>
      </c>
      <c r="U79" s="16">
        <v>0.38461538461538464</v>
      </c>
      <c r="V79" s="12">
        <v>9</v>
      </c>
      <c r="W79" s="12">
        <v>16</v>
      </c>
      <c r="X79" s="16">
        <v>0.5625</v>
      </c>
      <c r="Y79" s="12">
        <v>14</v>
      </c>
      <c r="Z79" s="12">
        <v>29</v>
      </c>
      <c r="AA79" s="12">
        <v>43</v>
      </c>
      <c r="AB79" s="12">
        <v>12</v>
      </c>
      <c r="AC79" s="12">
        <v>14</v>
      </c>
      <c r="AD79" s="12">
        <v>8</v>
      </c>
      <c r="AE79" s="12">
        <v>2</v>
      </c>
      <c r="AF79" s="12">
        <v>1</v>
      </c>
      <c r="AG79" s="12">
        <v>22</v>
      </c>
      <c r="AH79" s="12">
        <v>24</v>
      </c>
      <c r="AI79" s="17">
        <v>69</v>
      </c>
      <c r="AJ79" s="12">
        <v>-1</v>
      </c>
      <c r="AK79" s="12">
        <v>71</v>
      </c>
      <c r="AL79" s="12">
        <v>85</v>
      </c>
      <c r="AM79" s="19">
        <v>0.75294117647058822</v>
      </c>
      <c r="AN79" s="19">
        <v>0.7142857142857143</v>
      </c>
      <c r="AO79" s="18">
        <v>90.140845070422543</v>
      </c>
      <c r="AP79" s="18">
        <v>90.277777777777786</v>
      </c>
      <c r="AQ79" s="18">
        <v>-0.13693270735524266</v>
      </c>
      <c r="AR79" s="53">
        <v>0.42307692307692307</v>
      </c>
      <c r="AS79" s="53">
        <v>0.45070422535211269</v>
      </c>
      <c r="AT79" s="16">
        <v>8.2352941176470587E-2</v>
      </c>
      <c r="AU79" s="19">
        <v>1.4285714285714286</v>
      </c>
      <c r="AV79" s="16">
        <v>0.4</v>
      </c>
      <c r="AW79" s="19">
        <v>0.82352941176470584</v>
      </c>
      <c r="AX79" s="16">
        <v>4.7058823529411764E-2</v>
      </c>
      <c r="AY79" s="19">
        <v>0.5</v>
      </c>
      <c r="AZ79" s="16">
        <v>0</v>
      </c>
      <c r="BA79" s="19" t="s">
        <v>269</v>
      </c>
      <c r="BB79" s="16">
        <v>0.23529411764705882</v>
      </c>
      <c r="BC79" s="21">
        <v>0.75</v>
      </c>
      <c r="BD79" s="16">
        <v>7.0588235294117646E-2</v>
      </c>
      <c r="BE79" s="16">
        <v>0.16470588235294117</v>
      </c>
      <c r="BF79" s="16">
        <v>0.4</v>
      </c>
      <c r="BG79" s="16">
        <v>0.4</v>
      </c>
      <c r="BH79" s="16">
        <v>0.8</v>
      </c>
      <c r="BI79" s="16">
        <v>0</v>
      </c>
      <c r="BJ79" s="16">
        <v>0.14117647058823529</v>
      </c>
      <c r="BK79" s="21">
        <v>0.8571428571428571</v>
      </c>
      <c r="BL79" s="16">
        <v>0.32558139534883723</v>
      </c>
      <c r="BM79" s="16">
        <v>0.30769230769230771</v>
      </c>
      <c r="BN79" s="16">
        <v>0.35294117647058826</v>
      </c>
      <c r="BO79" s="16">
        <v>0</v>
      </c>
      <c r="BP79" s="16">
        <v>0.60416666666666663</v>
      </c>
      <c r="BQ79" s="16">
        <v>0.38461538461538464</v>
      </c>
      <c r="BR79" s="16">
        <v>0.7142857142857143</v>
      </c>
      <c r="BS79" s="16">
        <v>0.8571428571428571</v>
      </c>
      <c r="BT79" s="16">
        <v>0.47252747252747251</v>
      </c>
      <c r="BU79" s="16">
        <v>0.1111111111111111</v>
      </c>
      <c r="BV79" s="16">
        <v>3.0303030303030304E-2</v>
      </c>
      <c r="BW79" s="16">
        <v>7</v>
      </c>
      <c r="BX79" s="16">
        <v>0.54545454545454541</v>
      </c>
      <c r="BY79" s="16">
        <v>0.375</v>
      </c>
      <c r="BZ79" s="12">
        <v>8</v>
      </c>
      <c r="CA79" s="12">
        <v>4</v>
      </c>
      <c r="CB79" s="12">
        <v>0</v>
      </c>
      <c r="CC79" s="12">
        <v>0</v>
      </c>
      <c r="CD79" s="12">
        <v>0</v>
      </c>
      <c r="CE79" s="12">
        <v>0</v>
      </c>
      <c r="CF79" s="12">
        <v>5</v>
      </c>
      <c r="CG79" s="12">
        <v>0</v>
      </c>
      <c r="CH79" s="12">
        <v>3</v>
      </c>
      <c r="CI79" s="12">
        <v>0</v>
      </c>
      <c r="CJ79" s="12">
        <v>0</v>
      </c>
      <c r="CK79" s="12">
        <v>0</v>
      </c>
      <c r="CL79" s="12">
        <v>5</v>
      </c>
      <c r="CM79" s="12">
        <v>1</v>
      </c>
      <c r="CN79" s="12">
        <v>0</v>
      </c>
      <c r="CO79" s="12">
        <v>0</v>
      </c>
      <c r="CP79" s="12">
        <v>0</v>
      </c>
      <c r="CQ79" s="12">
        <v>0</v>
      </c>
      <c r="CR79" s="12">
        <v>9</v>
      </c>
      <c r="CS79" s="12">
        <v>0</v>
      </c>
      <c r="CT79" s="12">
        <v>1</v>
      </c>
      <c r="CU79" s="12">
        <v>0</v>
      </c>
      <c r="CV79" s="12">
        <v>0</v>
      </c>
      <c r="CW79" s="12">
        <v>0</v>
      </c>
      <c r="CX79" s="12">
        <v>14</v>
      </c>
      <c r="CY79" s="12">
        <v>1</v>
      </c>
      <c r="CZ79" s="12">
        <v>5</v>
      </c>
      <c r="DA79" s="12">
        <v>1</v>
      </c>
      <c r="DB79" s="12">
        <v>0</v>
      </c>
      <c r="DC79" s="12">
        <v>0</v>
      </c>
      <c r="DD79" s="12">
        <v>2</v>
      </c>
      <c r="DE79" s="12">
        <v>3</v>
      </c>
      <c r="DF79" s="12">
        <v>6</v>
      </c>
      <c r="DG79" s="12">
        <v>10</v>
      </c>
      <c r="DH79" s="12">
        <v>1</v>
      </c>
      <c r="DI79" s="12">
        <v>1</v>
      </c>
      <c r="DJ79" s="12">
        <v>3</v>
      </c>
      <c r="DK79" s="12">
        <v>0</v>
      </c>
      <c r="DL79" s="12">
        <v>5</v>
      </c>
      <c r="DM79" s="12">
        <v>7</v>
      </c>
      <c r="DN79" s="12">
        <v>14</v>
      </c>
      <c r="DO79" s="12">
        <v>34</v>
      </c>
      <c r="DP79" s="12">
        <v>1</v>
      </c>
      <c r="DQ79" s="12">
        <v>4</v>
      </c>
      <c r="DR79" s="12">
        <v>0</v>
      </c>
      <c r="DS79" s="12">
        <v>0</v>
      </c>
      <c r="DT79" s="12">
        <v>5</v>
      </c>
      <c r="DU79" s="12">
        <v>20</v>
      </c>
      <c r="DV79" s="12">
        <v>0</v>
      </c>
      <c r="DW79" s="12">
        <v>0</v>
      </c>
      <c r="DX79" s="12">
        <v>65</v>
      </c>
      <c r="DY79" s="12">
        <v>22</v>
      </c>
      <c r="DZ79" s="12">
        <v>44</v>
      </c>
      <c r="EA79" s="16">
        <v>0.5</v>
      </c>
      <c r="EB79" s="12">
        <v>2</v>
      </c>
      <c r="EC79" s="12">
        <v>22</v>
      </c>
      <c r="ED79" s="16">
        <v>9.0909090909090912E-2</v>
      </c>
      <c r="EE79" s="12">
        <v>24</v>
      </c>
      <c r="EF79" s="12">
        <v>66</v>
      </c>
      <c r="EG79" s="16">
        <v>0.36363636363636365</v>
      </c>
      <c r="EH79" s="12">
        <v>15</v>
      </c>
      <c r="EI79" s="12">
        <v>24</v>
      </c>
      <c r="EJ79" s="16">
        <v>0.625</v>
      </c>
      <c r="EK79" s="12">
        <v>19</v>
      </c>
      <c r="EL79" s="12">
        <v>29</v>
      </c>
      <c r="EM79" s="12">
        <v>48</v>
      </c>
      <c r="EN79" s="12">
        <v>17</v>
      </c>
      <c r="EO79" s="12">
        <v>25</v>
      </c>
      <c r="EP79" s="12">
        <v>21</v>
      </c>
      <c r="EQ79" s="12">
        <v>5</v>
      </c>
      <c r="ER79" s="12">
        <v>15</v>
      </c>
      <c r="ES79" s="12">
        <v>1</v>
      </c>
      <c r="ET79" s="12">
        <v>2</v>
      </c>
      <c r="EU79" s="12">
        <v>64</v>
      </c>
      <c r="EV79" s="12">
        <v>1</v>
      </c>
      <c r="EW79" s="12">
        <v>72</v>
      </c>
      <c r="EX79" s="12">
        <v>91</v>
      </c>
      <c r="EY79" s="12">
        <v>8</v>
      </c>
      <c r="EZ79" s="12">
        <v>13</v>
      </c>
      <c r="FA79" s="12">
        <v>2</v>
      </c>
      <c r="FB79" s="12">
        <v>2</v>
      </c>
      <c r="FC79" s="12">
        <v>2</v>
      </c>
      <c r="FD79" s="12">
        <v>1</v>
      </c>
      <c r="FE79" s="12">
        <v>1</v>
      </c>
      <c r="FF79" s="12">
        <v>10</v>
      </c>
      <c r="FG79" s="12">
        <v>2</v>
      </c>
      <c r="FH79" s="12">
        <v>1</v>
      </c>
      <c r="FI79" s="12">
        <v>1</v>
      </c>
      <c r="FJ79" s="12">
        <v>0</v>
      </c>
      <c r="FK79" s="12">
        <v>0</v>
      </c>
      <c r="FL79" s="12">
        <v>6</v>
      </c>
      <c r="FM79" s="12">
        <v>0</v>
      </c>
      <c r="FN79" s="12">
        <v>1</v>
      </c>
      <c r="FO79" s="12">
        <v>0</v>
      </c>
      <c r="FP79" s="12">
        <v>2</v>
      </c>
      <c r="FQ79" s="12">
        <v>0</v>
      </c>
      <c r="FR79" s="12">
        <v>15</v>
      </c>
      <c r="FS79" s="12">
        <v>1</v>
      </c>
      <c r="FT79" s="12">
        <v>0</v>
      </c>
      <c r="FU79" s="12">
        <v>0</v>
      </c>
      <c r="FV79" s="12">
        <v>0</v>
      </c>
      <c r="FW79" s="12">
        <v>0</v>
      </c>
      <c r="FX79" s="12">
        <v>10</v>
      </c>
      <c r="FY79" s="12">
        <v>1</v>
      </c>
      <c r="FZ79" s="12">
        <v>2</v>
      </c>
      <c r="GA79" s="12">
        <v>0</v>
      </c>
      <c r="GB79" s="12">
        <v>1</v>
      </c>
      <c r="GC79" s="12">
        <v>1</v>
      </c>
      <c r="GD79" s="12">
        <v>1</v>
      </c>
      <c r="GE79" s="12">
        <v>2</v>
      </c>
      <c r="GF79" s="12">
        <v>11</v>
      </c>
      <c r="GG79" s="12">
        <v>18</v>
      </c>
      <c r="GH79" s="12">
        <v>1</v>
      </c>
      <c r="GI79" s="12">
        <v>2</v>
      </c>
      <c r="GJ79" s="12">
        <v>3</v>
      </c>
      <c r="GK79" s="12">
        <v>0</v>
      </c>
      <c r="GL79" s="12">
        <v>12</v>
      </c>
      <c r="GM79" s="12">
        <v>13</v>
      </c>
      <c r="GN79" s="12">
        <v>9</v>
      </c>
      <c r="GO79" s="12">
        <v>28</v>
      </c>
      <c r="GP79" s="12">
        <v>1</v>
      </c>
      <c r="GQ79" s="12">
        <v>3</v>
      </c>
      <c r="GR79" s="12">
        <v>0</v>
      </c>
      <c r="GS79" s="12">
        <v>0</v>
      </c>
      <c r="GT79" s="12">
        <v>2</v>
      </c>
      <c r="GU79" s="12">
        <v>22</v>
      </c>
      <c r="GV79" s="12">
        <v>0</v>
      </c>
      <c r="GW79" s="12">
        <v>0</v>
      </c>
    </row>
    <row r="80" spans="2:205" ht="15" customHeight="1" x14ac:dyDescent="0.2">
      <c r="B80" s="12">
        <v>5</v>
      </c>
      <c r="C80" s="12" t="s">
        <v>301</v>
      </c>
      <c r="D80" s="12" t="s">
        <v>273</v>
      </c>
      <c r="E80" s="14" t="s">
        <v>302</v>
      </c>
      <c r="F80" s="14" t="s">
        <v>275</v>
      </c>
      <c r="G80" s="15">
        <v>45225</v>
      </c>
      <c r="H80" s="15" t="s">
        <v>268</v>
      </c>
      <c r="I80" s="12" t="s">
        <v>269</v>
      </c>
      <c r="J80" s="12" t="s">
        <v>270</v>
      </c>
      <c r="K80" s="12">
        <v>200</v>
      </c>
      <c r="L80" s="12">
        <v>79</v>
      </c>
      <c r="M80" s="12">
        <v>22</v>
      </c>
      <c r="N80" s="12">
        <v>43</v>
      </c>
      <c r="O80" s="16">
        <v>0.51162790697674421</v>
      </c>
      <c r="P80" s="12">
        <v>7</v>
      </c>
      <c r="Q80" s="12">
        <v>26</v>
      </c>
      <c r="R80" s="16">
        <v>0.26923076923076922</v>
      </c>
      <c r="S80" s="12">
        <v>29</v>
      </c>
      <c r="T80" s="12">
        <v>69</v>
      </c>
      <c r="U80" s="16">
        <v>0.42028985507246375</v>
      </c>
      <c r="V80" s="12">
        <v>14</v>
      </c>
      <c r="W80" s="12">
        <v>19</v>
      </c>
      <c r="X80" s="16">
        <v>0.73684210526315785</v>
      </c>
      <c r="Y80" s="12">
        <v>22</v>
      </c>
      <c r="Z80" s="12">
        <v>13</v>
      </c>
      <c r="AA80" s="12">
        <v>35</v>
      </c>
      <c r="AB80" s="12">
        <v>18</v>
      </c>
      <c r="AC80" s="12">
        <v>13</v>
      </c>
      <c r="AD80" s="12">
        <v>4</v>
      </c>
      <c r="AE80" s="12">
        <v>1</v>
      </c>
      <c r="AF80" s="12">
        <v>1</v>
      </c>
      <c r="AG80" s="12">
        <v>19</v>
      </c>
      <c r="AH80" s="12">
        <v>19</v>
      </c>
      <c r="AI80" s="17">
        <v>78</v>
      </c>
      <c r="AJ80" s="12">
        <v>-28</v>
      </c>
      <c r="AK80" s="12">
        <v>68</v>
      </c>
      <c r="AL80" s="12">
        <v>90</v>
      </c>
      <c r="AM80" s="19">
        <v>0.87777777777777777</v>
      </c>
      <c r="AN80" s="19">
        <v>1.2588235294117647</v>
      </c>
      <c r="AO80" s="18">
        <v>116.1764705882353</v>
      </c>
      <c r="AP80" s="18">
        <v>152.85714285714283</v>
      </c>
      <c r="AQ80" s="18">
        <v>-36.680672268907529</v>
      </c>
      <c r="AR80" s="53">
        <v>0.47101449275362317</v>
      </c>
      <c r="AS80" s="53">
        <v>0.51298701298701299</v>
      </c>
      <c r="AT80" s="16">
        <v>0</v>
      </c>
      <c r="AU80" s="19" t="s">
        <v>269</v>
      </c>
      <c r="AV80" s="16">
        <v>0.33333333333333331</v>
      </c>
      <c r="AW80" s="19">
        <v>1.2666666666666666</v>
      </c>
      <c r="AX80" s="16">
        <v>0.14444444444444443</v>
      </c>
      <c r="AY80" s="19">
        <v>0.46153846153846156</v>
      </c>
      <c r="AZ80" s="16">
        <v>0</v>
      </c>
      <c r="BA80" s="19" t="s">
        <v>269</v>
      </c>
      <c r="BB80" s="16">
        <v>0.28888888888888886</v>
      </c>
      <c r="BC80" s="21">
        <v>0.80769230769230771</v>
      </c>
      <c r="BD80" s="16">
        <v>8.8888888888888892E-2</v>
      </c>
      <c r="BE80" s="16">
        <v>0.14444444444444443</v>
      </c>
      <c r="BF80" s="16">
        <v>0.48648648648648651</v>
      </c>
      <c r="BG80" s="16">
        <v>0.54545454545454541</v>
      </c>
      <c r="BH80" s="16">
        <v>0.7142857142857143</v>
      </c>
      <c r="BI80" s="16">
        <v>0.125</v>
      </c>
      <c r="BJ80" s="16">
        <v>0.2</v>
      </c>
      <c r="BK80" s="21">
        <v>1.3846153846153846</v>
      </c>
      <c r="BL80" s="16">
        <v>0.51162790697674421</v>
      </c>
      <c r="BM80" s="16">
        <v>0.44</v>
      </c>
      <c r="BN80" s="16">
        <v>0.65217391304347827</v>
      </c>
      <c r="BO80" s="16">
        <v>0.33333333333333331</v>
      </c>
      <c r="BP80" s="16">
        <v>0.48148148148148145</v>
      </c>
      <c r="BQ80" s="16">
        <v>0.52631578947368418</v>
      </c>
      <c r="BR80" s="16">
        <v>0.27272727272727271</v>
      </c>
      <c r="BS80" s="16">
        <v>1</v>
      </c>
      <c r="BT80" s="16">
        <v>0.5</v>
      </c>
      <c r="BU80" s="16">
        <v>5.7142857142857141E-2</v>
      </c>
      <c r="BV80" s="16">
        <v>1.4084507042253521E-2</v>
      </c>
      <c r="BW80" s="16">
        <v>1</v>
      </c>
      <c r="BX80" s="16">
        <v>0.36842105263157893</v>
      </c>
      <c r="BY80" s="16">
        <v>0.57894736842105265</v>
      </c>
      <c r="BZ80" s="12">
        <v>12</v>
      </c>
      <c r="CA80" s="12">
        <v>5</v>
      </c>
      <c r="CB80" s="12">
        <v>1</v>
      </c>
      <c r="CC80" s="12">
        <v>0</v>
      </c>
      <c r="CD80" s="12">
        <v>0</v>
      </c>
      <c r="CE80" s="12">
        <v>0</v>
      </c>
      <c r="CF80" s="12">
        <v>4</v>
      </c>
      <c r="CG80" s="12">
        <v>1</v>
      </c>
      <c r="CH80" s="12">
        <v>5</v>
      </c>
      <c r="CI80" s="12">
        <v>1</v>
      </c>
      <c r="CJ80" s="12">
        <v>0</v>
      </c>
      <c r="CK80" s="12">
        <v>0</v>
      </c>
      <c r="CL80" s="12">
        <v>12</v>
      </c>
      <c r="CM80" s="12">
        <v>3</v>
      </c>
      <c r="CN80" s="12">
        <v>1</v>
      </c>
      <c r="CO80" s="12">
        <v>0</v>
      </c>
      <c r="CP80" s="12">
        <v>0</v>
      </c>
      <c r="CQ80" s="12">
        <v>0</v>
      </c>
      <c r="CR80" s="12">
        <v>2</v>
      </c>
      <c r="CS80" s="12">
        <v>0</v>
      </c>
      <c r="CT80" s="12">
        <v>7</v>
      </c>
      <c r="CU80" s="12">
        <v>1</v>
      </c>
      <c r="CV80" s="12">
        <v>0</v>
      </c>
      <c r="CW80" s="12">
        <v>0</v>
      </c>
      <c r="CX80" s="12">
        <v>3</v>
      </c>
      <c r="CY80" s="12">
        <v>0</v>
      </c>
      <c r="CZ80" s="12">
        <v>1</v>
      </c>
      <c r="DA80" s="12">
        <v>0</v>
      </c>
      <c r="DB80" s="12">
        <v>0</v>
      </c>
      <c r="DC80" s="12">
        <v>0</v>
      </c>
      <c r="DD80" s="12">
        <v>2</v>
      </c>
      <c r="DE80" s="12">
        <v>3</v>
      </c>
      <c r="DF80" s="12">
        <v>12</v>
      </c>
      <c r="DG80" s="12">
        <v>16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19</v>
      </c>
      <c r="DO80" s="12">
        <v>30</v>
      </c>
      <c r="DP80" s="12">
        <v>3</v>
      </c>
      <c r="DQ80" s="12">
        <v>13</v>
      </c>
      <c r="DR80" s="12">
        <v>0</v>
      </c>
      <c r="DS80" s="12">
        <v>0</v>
      </c>
      <c r="DT80" s="12">
        <v>7</v>
      </c>
      <c r="DU80" s="12">
        <v>26</v>
      </c>
      <c r="DV80" s="12">
        <v>0</v>
      </c>
      <c r="DW80" s="12">
        <v>0</v>
      </c>
      <c r="DX80" s="12">
        <v>107</v>
      </c>
      <c r="DY80" s="12">
        <v>31</v>
      </c>
      <c r="DZ80" s="12">
        <v>49</v>
      </c>
      <c r="EA80" s="16">
        <v>0.63265306122448983</v>
      </c>
      <c r="EB80" s="12">
        <v>12</v>
      </c>
      <c r="EC80" s="12">
        <v>22</v>
      </c>
      <c r="ED80" s="16">
        <v>0.54545454545454541</v>
      </c>
      <c r="EE80" s="12">
        <v>43</v>
      </c>
      <c r="EF80" s="12">
        <v>71</v>
      </c>
      <c r="EG80" s="16">
        <v>0.60563380281690138</v>
      </c>
      <c r="EH80" s="12">
        <v>9</v>
      </c>
      <c r="EI80" s="12">
        <v>13</v>
      </c>
      <c r="EJ80" s="16">
        <v>0.69230769230769229</v>
      </c>
      <c r="EK80" s="12">
        <v>14</v>
      </c>
      <c r="EL80" s="12">
        <v>21</v>
      </c>
      <c r="EM80" s="12">
        <v>35</v>
      </c>
      <c r="EN80" s="12">
        <v>23</v>
      </c>
      <c r="EO80" s="12">
        <v>19</v>
      </c>
      <c r="EP80" s="12">
        <v>19</v>
      </c>
      <c r="EQ80" s="12">
        <v>8</v>
      </c>
      <c r="ER80" s="12">
        <v>9</v>
      </c>
      <c r="ES80" s="12">
        <v>1</v>
      </c>
      <c r="ET80" s="12">
        <v>1</v>
      </c>
      <c r="EU80" s="12">
        <v>132</v>
      </c>
      <c r="EV80" s="12">
        <v>28</v>
      </c>
      <c r="EW80" s="12">
        <v>70</v>
      </c>
      <c r="EX80" s="12">
        <v>85</v>
      </c>
      <c r="EY80" s="12">
        <v>4</v>
      </c>
      <c r="EZ80" s="12">
        <v>14</v>
      </c>
      <c r="FA80" s="12">
        <v>9</v>
      </c>
      <c r="FB80" s="12">
        <v>0</v>
      </c>
      <c r="FC80" s="12">
        <v>0</v>
      </c>
      <c r="FD80" s="12">
        <v>1</v>
      </c>
      <c r="FE80" s="12">
        <v>0</v>
      </c>
      <c r="FF80" s="12">
        <v>4</v>
      </c>
      <c r="FG80" s="12">
        <v>0</v>
      </c>
      <c r="FH80" s="12">
        <v>3</v>
      </c>
      <c r="FI80" s="12">
        <v>1</v>
      </c>
      <c r="FJ80" s="12">
        <v>0</v>
      </c>
      <c r="FK80" s="12">
        <v>0</v>
      </c>
      <c r="FL80" s="12">
        <v>6</v>
      </c>
      <c r="FM80" s="12">
        <v>2</v>
      </c>
      <c r="FN80" s="12">
        <v>0</v>
      </c>
      <c r="FO80" s="12">
        <v>0</v>
      </c>
      <c r="FP80" s="12">
        <v>0</v>
      </c>
      <c r="FQ80" s="12">
        <v>0</v>
      </c>
      <c r="FR80" s="12">
        <v>7</v>
      </c>
      <c r="FS80" s="12">
        <v>1</v>
      </c>
      <c r="FT80" s="12">
        <v>5</v>
      </c>
      <c r="FU80" s="12">
        <v>1</v>
      </c>
      <c r="FV80" s="12">
        <v>0</v>
      </c>
      <c r="FW80" s="12">
        <v>0</v>
      </c>
      <c r="FX80" s="12">
        <v>7</v>
      </c>
      <c r="FY80" s="12">
        <v>1</v>
      </c>
      <c r="FZ80" s="12">
        <v>2</v>
      </c>
      <c r="GA80" s="12">
        <v>0</v>
      </c>
      <c r="GB80" s="12">
        <v>0</v>
      </c>
      <c r="GC80" s="12">
        <v>1</v>
      </c>
      <c r="GD80" s="12">
        <v>2</v>
      </c>
      <c r="GE80" s="12">
        <v>2</v>
      </c>
      <c r="GF80" s="12">
        <v>7</v>
      </c>
      <c r="GG80" s="12">
        <v>10</v>
      </c>
      <c r="GH80" s="12">
        <v>0</v>
      </c>
      <c r="GI80" s="12">
        <v>0</v>
      </c>
      <c r="GJ80" s="12">
        <v>0</v>
      </c>
      <c r="GK80" s="12">
        <v>0</v>
      </c>
      <c r="GL80" s="12">
        <v>7</v>
      </c>
      <c r="GM80" s="12">
        <v>8</v>
      </c>
      <c r="GN80" s="12">
        <v>18</v>
      </c>
      <c r="GO80" s="12">
        <v>24</v>
      </c>
      <c r="GP80" s="12">
        <v>6</v>
      </c>
      <c r="GQ80" s="12">
        <v>17</v>
      </c>
      <c r="GR80" s="12">
        <v>0</v>
      </c>
      <c r="GS80" s="12">
        <v>0</v>
      </c>
      <c r="GT80" s="12">
        <v>12</v>
      </c>
      <c r="GU80" s="12">
        <v>22</v>
      </c>
      <c r="GV80" s="12">
        <v>0</v>
      </c>
      <c r="GW80" s="12">
        <v>0</v>
      </c>
    </row>
    <row r="81" spans="2:205" ht="15" customHeight="1" x14ac:dyDescent="0.2">
      <c r="B81" s="12">
        <v>5</v>
      </c>
      <c r="C81" s="12" t="s">
        <v>273</v>
      </c>
      <c r="D81" s="12" t="s">
        <v>301</v>
      </c>
      <c r="E81" s="14" t="s">
        <v>275</v>
      </c>
      <c r="F81" s="14" t="s">
        <v>302</v>
      </c>
      <c r="G81" s="15">
        <v>45225</v>
      </c>
      <c r="H81" s="15" t="s">
        <v>271</v>
      </c>
      <c r="I81" s="12" t="s">
        <v>269</v>
      </c>
      <c r="J81" s="12" t="s">
        <v>272</v>
      </c>
      <c r="K81" s="12">
        <v>200</v>
      </c>
      <c r="L81" s="12">
        <v>107</v>
      </c>
      <c r="M81" s="12">
        <v>31</v>
      </c>
      <c r="N81" s="12">
        <v>49</v>
      </c>
      <c r="O81" s="16">
        <v>0.63265306122448983</v>
      </c>
      <c r="P81" s="12">
        <v>12</v>
      </c>
      <c r="Q81" s="12">
        <v>22</v>
      </c>
      <c r="R81" s="16">
        <v>0.54545454545454541</v>
      </c>
      <c r="S81" s="12">
        <v>43</v>
      </c>
      <c r="T81" s="12">
        <v>71</v>
      </c>
      <c r="U81" s="16">
        <v>0.60563380281690138</v>
      </c>
      <c r="V81" s="12">
        <v>9</v>
      </c>
      <c r="W81" s="12">
        <v>13</v>
      </c>
      <c r="X81" s="16">
        <v>0.69230769230769229</v>
      </c>
      <c r="Y81" s="12">
        <v>14</v>
      </c>
      <c r="Z81" s="12">
        <v>21</v>
      </c>
      <c r="AA81" s="12">
        <v>35</v>
      </c>
      <c r="AB81" s="12">
        <v>23</v>
      </c>
      <c r="AC81" s="12">
        <v>9</v>
      </c>
      <c r="AD81" s="12">
        <v>8</v>
      </c>
      <c r="AE81" s="12">
        <v>1</v>
      </c>
      <c r="AF81" s="12">
        <v>1</v>
      </c>
      <c r="AG81" s="12">
        <v>19</v>
      </c>
      <c r="AH81" s="12">
        <v>19</v>
      </c>
      <c r="AI81" s="17">
        <v>132</v>
      </c>
      <c r="AJ81" s="12">
        <v>28</v>
      </c>
      <c r="AK81" s="12">
        <v>70</v>
      </c>
      <c r="AL81" s="12">
        <v>85</v>
      </c>
      <c r="AM81" s="19">
        <v>1.2588235294117647</v>
      </c>
      <c r="AN81" s="19">
        <v>0.87777777777777777</v>
      </c>
      <c r="AO81" s="18">
        <v>152.85714285714283</v>
      </c>
      <c r="AP81" s="18">
        <v>116.1764705882353</v>
      </c>
      <c r="AQ81" s="18">
        <v>36.680672268907529</v>
      </c>
      <c r="AR81" s="53">
        <v>0.6901408450704225</v>
      </c>
      <c r="AS81" s="53">
        <v>0.70394736842105265</v>
      </c>
      <c r="AT81" s="16">
        <v>9.4117647058823528E-2</v>
      </c>
      <c r="AU81" s="19">
        <v>1.75</v>
      </c>
      <c r="AV81" s="16">
        <v>0.28235294117647058</v>
      </c>
      <c r="AW81" s="19">
        <v>1.5</v>
      </c>
      <c r="AX81" s="16">
        <v>0.2</v>
      </c>
      <c r="AY81" s="19">
        <v>0.70588235294117652</v>
      </c>
      <c r="AZ81" s="16">
        <v>0</v>
      </c>
      <c r="BA81" s="19" t="s">
        <v>269</v>
      </c>
      <c r="BB81" s="16">
        <v>0.25882352941176473</v>
      </c>
      <c r="BC81" s="21">
        <v>1.6363636363636365</v>
      </c>
      <c r="BD81" s="16">
        <v>5.8823529411764705E-2</v>
      </c>
      <c r="BE81" s="16">
        <v>0.10714285714285714</v>
      </c>
      <c r="BF81" s="16">
        <v>0.47916666666666669</v>
      </c>
      <c r="BG81" s="16">
        <v>0.45161290322580644</v>
      </c>
      <c r="BH81" s="16">
        <v>0.75</v>
      </c>
      <c r="BI81" s="16">
        <v>0</v>
      </c>
      <c r="BJ81" s="16">
        <v>0.27380952380952384</v>
      </c>
      <c r="BK81" s="21">
        <v>2.5555555555555554</v>
      </c>
      <c r="BL81" s="16">
        <v>0.51851851851851849</v>
      </c>
      <c r="BM81" s="16">
        <v>0.47368421052631576</v>
      </c>
      <c r="BN81" s="16">
        <v>0.72727272727272729</v>
      </c>
      <c r="BO81" s="16">
        <v>0</v>
      </c>
      <c r="BP81" s="16">
        <v>0.48837209302325579</v>
      </c>
      <c r="BQ81" s="16">
        <v>0.56000000000000005</v>
      </c>
      <c r="BR81" s="16">
        <v>0.34782608695652173</v>
      </c>
      <c r="BS81" s="16">
        <v>0.66666666666666663</v>
      </c>
      <c r="BT81" s="16">
        <v>0.5</v>
      </c>
      <c r="BU81" s="16">
        <v>0.11764705882352941</v>
      </c>
      <c r="BV81" s="16">
        <v>1.4492753623188406E-2</v>
      </c>
      <c r="BW81" s="16">
        <v>4</v>
      </c>
      <c r="BX81" s="16">
        <v>0.57894736842105265</v>
      </c>
      <c r="BY81" s="16">
        <v>0.36842105263157893</v>
      </c>
      <c r="BZ81" s="12">
        <v>14</v>
      </c>
      <c r="CA81" s="12">
        <v>9</v>
      </c>
      <c r="CB81" s="12">
        <v>0</v>
      </c>
      <c r="CC81" s="12">
        <v>0</v>
      </c>
      <c r="CD81" s="12">
        <v>1</v>
      </c>
      <c r="CE81" s="12">
        <v>0</v>
      </c>
      <c r="CF81" s="12">
        <v>4</v>
      </c>
      <c r="CG81" s="12">
        <v>0</v>
      </c>
      <c r="CH81" s="12">
        <v>3</v>
      </c>
      <c r="CI81" s="12">
        <v>1</v>
      </c>
      <c r="CJ81" s="12">
        <v>0</v>
      </c>
      <c r="CK81" s="12">
        <v>0</v>
      </c>
      <c r="CL81" s="12">
        <v>6</v>
      </c>
      <c r="CM81" s="12">
        <v>2</v>
      </c>
      <c r="CN81" s="12">
        <v>0</v>
      </c>
      <c r="CO81" s="12">
        <v>0</v>
      </c>
      <c r="CP81" s="12">
        <v>0</v>
      </c>
      <c r="CQ81" s="12">
        <v>0</v>
      </c>
      <c r="CR81" s="12">
        <v>7</v>
      </c>
      <c r="CS81" s="12">
        <v>1</v>
      </c>
      <c r="CT81" s="12">
        <v>5</v>
      </c>
      <c r="CU81" s="12">
        <v>1</v>
      </c>
      <c r="CV81" s="12">
        <v>0</v>
      </c>
      <c r="CW81" s="12">
        <v>0</v>
      </c>
      <c r="CX81" s="12">
        <v>7</v>
      </c>
      <c r="CY81" s="12">
        <v>1</v>
      </c>
      <c r="CZ81" s="12">
        <v>2</v>
      </c>
      <c r="DA81" s="12">
        <v>0</v>
      </c>
      <c r="DB81" s="12">
        <v>0</v>
      </c>
      <c r="DC81" s="12">
        <v>1</v>
      </c>
      <c r="DD81" s="12">
        <v>2</v>
      </c>
      <c r="DE81" s="12">
        <v>2</v>
      </c>
      <c r="DF81" s="12">
        <v>7</v>
      </c>
      <c r="DG81" s="12">
        <v>10</v>
      </c>
      <c r="DH81" s="12">
        <v>0</v>
      </c>
      <c r="DI81" s="12">
        <v>0</v>
      </c>
      <c r="DJ81" s="12">
        <v>0</v>
      </c>
      <c r="DK81" s="12">
        <v>0</v>
      </c>
      <c r="DL81" s="12">
        <v>7</v>
      </c>
      <c r="DM81" s="12">
        <v>8</v>
      </c>
      <c r="DN81" s="12">
        <v>18</v>
      </c>
      <c r="DO81" s="12">
        <v>24</v>
      </c>
      <c r="DP81" s="12">
        <v>6</v>
      </c>
      <c r="DQ81" s="12">
        <v>17</v>
      </c>
      <c r="DR81" s="12">
        <v>0</v>
      </c>
      <c r="DS81" s="12">
        <v>0</v>
      </c>
      <c r="DT81" s="12">
        <v>12</v>
      </c>
      <c r="DU81" s="12">
        <v>22</v>
      </c>
      <c r="DV81" s="12">
        <v>0</v>
      </c>
      <c r="DW81" s="12">
        <v>0</v>
      </c>
      <c r="DX81" s="12">
        <v>79</v>
      </c>
      <c r="DY81" s="12">
        <v>22</v>
      </c>
      <c r="DZ81" s="12">
        <v>43</v>
      </c>
      <c r="EA81" s="16">
        <v>0.51162790697674421</v>
      </c>
      <c r="EB81" s="12">
        <v>7</v>
      </c>
      <c r="EC81" s="12">
        <v>26</v>
      </c>
      <c r="ED81" s="16">
        <v>0.26923076923076922</v>
      </c>
      <c r="EE81" s="12">
        <v>29</v>
      </c>
      <c r="EF81" s="12">
        <v>69</v>
      </c>
      <c r="EG81" s="16">
        <v>0.42028985507246375</v>
      </c>
      <c r="EH81" s="12">
        <v>14</v>
      </c>
      <c r="EI81" s="12">
        <v>19</v>
      </c>
      <c r="EJ81" s="16">
        <v>0.73684210526315785</v>
      </c>
      <c r="EK81" s="12">
        <v>22</v>
      </c>
      <c r="EL81" s="12">
        <v>13</v>
      </c>
      <c r="EM81" s="12">
        <v>35</v>
      </c>
      <c r="EN81" s="12">
        <v>18</v>
      </c>
      <c r="EO81" s="12">
        <v>20</v>
      </c>
      <c r="EP81" s="12">
        <v>19</v>
      </c>
      <c r="EQ81" s="12">
        <v>4</v>
      </c>
      <c r="ER81" s="12">
        <v>13</v>
      </c>
      <c r="ES81" s="12">
        <v>1</v>
      </c>
      <c r="ET81" s="12">
        <v>1</v>
      </c>
      <c r="EU81" s="12">
        <v>77</v>
      </c>
      <c r="EV81" s="12">
        <v>-28</v>
      </c>
      <c r="EW81" s="12">
        <v>68</v>
      </c>
      <c r="EX81" s="12">
        <v>90</v>
      </c>
      <c r="EY81" s="12">
        <v>1</v>
      </c>
      <c r="EZ81" s="12">
        <v>12</v>
      </c>
      <c r="FA81" s="12">
        <v>5</v>
      </c>
      <c r="FB81" s="12">
        <v>1</v>
      </c>
      <c r="FC81" s="12">
        <v>0</v>
      </c>
      <c r="FD81" s="12">
        <v>0</v>
      </c>
      <c r="FE81" s="12">
        <v>0</v>
      </c>
      <c r="FF81" s="12">
        <v>4</v>
      </c>
      <c r="FG81" s="12">
        <v>1</v>
      </c>
      <c r="FH81" s="12">
        <v>5</v>
      </c>
      <c r="FI81" s="12">
        <v>1</v>
      </c>
      <c r="FJ81" s="12">
        <v>0</v>
      </c>
      <c r="FK81" s="12">
        <v>0</v>
      </c>
      <c r="FL81" s="12">
        <v>12</v>
      </c>
      <c r="FM81" s="12">
        <v>3</v>
      </c>
      <c r="FN81" s="12">
        <v>1</v>
      </c>
      <c r="FO81" s="12">
        <v>0</v>
      </c>
      <c r="FP81" s="12">
        <v>0</v>
      </c>
      <c r="FQ81" s="12">
        <v>0</v>
      </c>
      <c r="FR81" s="12">
        <v>2</v>
      </c>
      <c r="FS81" s="12">
        <v>0</v>
      </c>
      <c r="FT81" s="12">
        <v>7</v>
      </c>
      <c r="FU81" s="12">
        <v>1</v>
      </c>
      <c r="FV81" s="12">
        <v>0</v>
      </c>
      <c r="FW81" s="12">
        <v>0</v>
      </c>
      <c r="FX81" s="12">
        <v>3</v>
      </c>
      <c r="FY81" s="12">
        <v>0</v>
      </c>
      <c r="FZ81" s="12">
        <v>1</v>
      </c>
      <c r="GA81" s="12">
        <v>0</v>
      </c>
      <c r="GB81" s="12">
        <v>0</v>
      </c>
      <c r="GC81" s="12">
        <v>0</v>
      </c>
      <c r="GD81" s="12">
        <v>2</v>
      </c>
      <c r="GE81" s="12">
        <v>3</v>
      </c>
      <c r="GF81" s="12">
        <v>12</v>
      </c>
      <c r="GG81" s="12">
        <v>16</v>
      </c>
      <c r="GH81" s="12">
        <v>0</v>
      </c>
      <c r="GI81" s="12">
        <v>0</v>
      </c>
      <c r="GJ81" s="12">
        <v>0</v>
      </c>
      <c r="GK81" s="12">
        <v>0</v>
      </c>
      <c r="GL81" s="12">
        <v>0</v>
      </c>
      <c r="GM81" s="12">
        <v>0</v>
      </c>
      <c r="GN81" s="12">
        <v>19</v>
      </c>
      <c r="GO81" s="12">
        <v>30</v>
      </c>
      <c r="GP81" s="12">
        <v>3</v>
      </c>
      <c r="GQ81" s="12">
        <v>13</v>
      </c>
      <c r="GR81" s="12">
        <v>0</v>
      </c>
      <c r="GS81" s="12">
        <v>0</v>
      </c>
      <c r="GT81" s="12">
        <v>7</v>
      </c>
      <c r="GU81" s="12">
        <v>26</v>
      </c>
      <c r="GV81" s="12">
        <v>0</v>
      </c>
      <c r="GW81" s="12">
        <v>0</v>
      </c>
    </row>
    <row r="82" spans="2:205" ht="15" customHeight="1" x14ac:dyDescent="0.2">
      <c r="B82" s="12">
        <v>5</v>
      </c>
      <c r="C82" s="12" t="s">
        <v>277</v>
      </c>
      <c r="D82" s="12" t="s">
        <v>293</v>
      </c>
      <c r="E82" s="14" t="s">
        <v>279</v>
      </c>
      <c r="F82" s="14" t="s">
        <v>295</v>
      </c>
      <c r="G82" s="15">
        <v>45225</v>
      </c>
      <c r="H82" s="15" t="s">
        <v>271</v>
      </c>
      <c r="I82" s="12" t="s">
        <v>269</v>
      </c>
      <c r="J82" s="12" t="s">
        <v>272</v>
      </c>
      <c r="K82" s="12">
        <v>200</v>
      </c>
      <c r="L82" s="12">
        <v>75</v>
      </c>
      <c r="M82" s="12">
        <v>22</v>
      </c>
      <c r="N82" s="12">
        <v>34</v>
      </c>
      <c r="O82" s="16">
        <v>0.6470588235294118</v>
      </c>
      <c r="P82" s="12">
        <v>8</v>
      </c>
      <c r="Q82" s="12">
        <v>26</v>
      </c>
      <c r="R82" s="16">
        <v>0.30769230769230771</v>
      </c>
      <c r="S82" s="12">
        <v>30</v>
      </c>
      <c r="T82" s="12">
        <v>60</v>
      </c>
      <c r="U82" s="16">
        <v>0.5</v>
      </c>
      <c r="V82" s="12">
        <v>7</v>
      </c>
      <c r="W82" s="12">
        <v>10</v>
      </c>
      <c r="X82" s="16">
        <v>0.7</v>
      </c>
      <c r="Y82" s="12">
        <v>9</v>
      </c>
      <c r="Z82" s="12">
        <v>30</v>
      </c>
      <c r="AA82" s="12">
        <v>39</v>
      </c>
      <c r="AB82" s="12">
        <v>21</v>
      </c>
      <c r="AC82" s="12">
        <v>10</v>
      </c>
      <c r="AD82" s="12">
        <v>7</v>
      </c>
      <c r="AE82" s="12">
        <v>1</v>
      </c>
      <c r="AF82" s="12">
        <v>3</v>
      </c>
      <c r="AG82" s="12">
        <v>15</v>
      </c>
      <c r="AH82" s="12">
        <v>17</v>
      </c>
      <c r="AI82" s="17">
        <v>99</v>
      </c>
      <c r="AJ82" s="12">
        <v>18</v>
      </c>
      <c r="AK82" s="12">
        <v>66</v>
      </c>
      <c r="AL82" s="12">
        <v>75</v>
      </c>
      <c r="AM82" s="19">
        <v>1</v>
      </c>
      <c r="AN82" s="19">
        <v>0.75</v>
      </c>
      <c r="AO82" s="18">
        <v>113.63636363636364</v>
      </c>
      <c r="AP82" s="18">
        <v>89.0625</v>
      </c>
      <c r="AQ82" s="18">
        <v>24.57386363636364</v>
      </c>
      <c r="AR82" s="53">
        <v>0.56666666666666665</v>
      </c>
      <c r="AS82" s="53">
        <v>0.57692307692307687</v>
      </c>
      <c r="AT82" s="16">
        <v>0.22666666666666666</v>
      </c>
      <c r="AU82" s="19">
        <v>1.7647058823529411</v>
      </c>
      <c r="AV82" s="16">
        <v>0.2</v>
      </c>
      <c r="AW82" s="19">
        <v>0.93333333333333335</v>
      </c>
      <c r="AX82" s="16">
        <v>2.6666666666666668E-2</v>
      </c>
      <c r="AY82" s="19">
        <v>0</v>
      </c>
      <c r="AZ82" s="16">
        <v>9.3333333333333338E-2</v>
      </c>
      <c r="BA82" s="19">
        <v>0.8571428571428571</v>
      </c>
      <c r="BB82" s="16">
        <v>0.25333333333333335</v>
      </c>
      <c r="BC82" s="21">
        <v>0.94736842105263153</v>
      </c>
      <c r="BD82" s="16">
        <v>6.6666666666666666E-2</v>
      </c>
      <c r="BE82" s="16">
        <v>0.13333333333333333</v>
      </c>
      <c r="BF82" s="16">
        <v>0.6</v>
      </c>
      <c r="BG82" s="16">
        <v>0.54545454545454541</v>
      </c>
      <c r="BH82" s="16">
        <v>0.875</v>
      </c>
      <c r="BI82" s="16">
        <v>0.4</v>
      </c>
      <c r="BJ82" s="16">
        <v>0.28000000000000003</v>
      </c>
      <c r="BK82" s="21">
        <v>2.1</v>
      </c>
      <c r="BL82" s="16">
        <v>0.28125</v>
      </c>
      <c r="BM82" s="16">
        <v>0.16666666666666666</v>
      </c>
      <c r="BN82" s="16">
        <v>0.42105263157894735</v>
      </c>
      <c r="BO82" s="16">
        <v>0</v>
      </c>
      <c r="BP82" s="16">
        <v>0.7142857142857143</v>
      </c>
      <c r="BQ82" s="16">
        <v>0.68421052631578949</v>
      </c>
      <c r="BR82" s="16">
        <v>0.75</v>
      </c>
      <c r="BS82" s="16">
        <v>1</v>
      </c>
      <c r="BT82" s="16">
        <v>0.52702702702702697</v>
      </c>
      <c r="BU82" s="16">
        <v>0.109375</v>
      </c>
      <c r="BV82" s="16">
        <v>1.5625E-2</v>
      </c>
      <c r="BW82" s="16">
        <v>7</v>
      </c>
      <c r="BX82" s="16">
        <v>0.13333333333333333</v>
      </c>
      <c r="BY82" s="16">
        <v>0.29411764705882354</v>
      </c>
      <c r="BZ82" s="12">
        <v>12</v>
      </c>
      <c r="CA82" s="12">
        <v>7</v>
      </c>
      <c r="CB82" s="12">
        <v>2</v>
      </c>
      <c r="CC82" s="12">
        <v>2</v>
      </c>
      <c r="CD82" s="12">
        <v>0</v>
      </c>
      <c r="CE82" s="12">
        <v>0</v>
      </c>
      <c r="CF82" s="12">
        <v>1</v>
      </c>
      <c r="CG82" s="12">
        <v>0</v>
      </c>
      <c r="CH82" s="12">
        <v>1</v>
      </c>
      <c r="CI82" s="12">
        <v>0</v>
      </c>
      <c r="CJ82" s="12">
        <v>3</v>
      </c>
      <c r="CK82" s="12">
        <v>0</v>
      </c>
      <c r="CL82" s="12">
        <v>4</v>
      </c>
      <c r="CM82" s="12">
        <v>1</v>
      </c>
      <c r="CN82" s="12">
        <v>0</v>
      </c>
      <c r="CO82" s="12">
        <v>0</v>
      </c>
      <c r="CP82" s="12">
        <v>1</v>
      </c>
      <c r="CQ82" s="12">
        <v>0</v>
      </c>
      <c r="CR82" s="12">
        <v>7</v>
      </c>
      <c r="CS82" s="12">
        <v>1</v>
      </c>
      <c r="CT82" s="12">
        <v>4</v>
      </c>
      <c r="CU82" s="12">
        <v>0</v>
      </c>
      <c r="CV82" s="12">
        <v>4</v>
      </c>
      <c r="CW82" s="12">
        <v>0</v>
      </c>
      <c r="CX82" s="12">
        <v>13</v>
      </c>
      <c r="CY82" s="12">
        <v>1</v>
      </c>
      <c r="CZ82" s="12">
        <v>1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7</v>
      </c>
      <c r="DG82" s="12">
        <v>10</v>
      </c>
      <c r="DH82" s="12">
        <v>0</v>
      </c>
      <c r="DI82" s="12">
        <v>0</v>
      </c>
      <c r="DJ82" s="12">
        <v>0</v>
      </c>
      <c r="DK82" s="12">
        <v>0</v>
      </c>
      <c r="DL82" s="12">
        <v>15</v>
      </c>
      <c r="DM82" s="12">
        <v>17</v>
      </c>
      <c r="DN82" s="12">
        <v>7</v>
      </c>
      <c r="DO82" s="12">
        <v>15</v>
      </c>
      <c r="DP82" s="12">
        <v>0</v>
      </c>
      <c r="DQ82" s="12">
        <v>2</v>
      </c>
      <c r="DR82" s="12">
        <v>2</v>
      </c>
      <c r="DS82" s="12">
        <v>7</v>
      </c>
      <c r="DT82" s="12">
        <v>6</v>
      </c>
      <c r="DU82" s="12">
        <v>19</v>
      </c>
      <c r="DV82" s="12">
        <v>0</v>
      </c>
      <c r="DW82" s="12">
        <v>0</v>
      </c>
      <c r="DX82" s="12">
        <v>57</v>
      </c>
      <c r="DY82" s="12">
        <v>15</v>
      </c>
      <c r="DZ82" s="12">
        <v>33</v>
      </c>
      <c r="EA82" s="16">
        <v>0.45454545454545453</v>
      </c>
      <c r="EB82" s="12">
        <v>8</v>
      </c>
      <c r="EC82" s="12">
        <v>31</v>
      </c>
      <c r="ED82" s="16">
        <v>0.25806451612903225</v>
      </c>
      <c r="EE82" s="12">
        <v>23</v>
      </c>
      <c r="EF82" s="12">
        <v>64</v>
      </c>
      <c r="EG82" s="16">
        <v>0.359375</v>
      </c>
      <c r="EH82" s="12">
        <v>3</v>
      </c>
      <c r="EI82" s="12">
        <v>4</v>
      </c>
      <c r="EJ82" s="16">
        <v>0.75</v>
      </c>
      <c r="EK82" s="12">
        <v>12</v>
      </c>
      <c r="EL82" s="12">
        <v>23</v>
      </c>
      <c r="EM82" s="12">
        <v>35</v>
      </c>
      <c r="EN82" s="12">
        <v>14</v>
      </c>
      <c r="EO82" s="12">
        <v>17</v>
      </c>
      <c r="EP82" s="12">
        <v>15</v>
      </c>
      <c r="EQ82" s="12">
        <v>5</v>
      </c>
      <c r="ER82" s="12">
        <v>10</v>
      </c>
      <c r="ES82" s="12">
        <v>3</v>
      </c>
      <c r="ET82" s="12">
        <v>1</v>
      </c>
      <c r="EU82" s="12">
        <v>59</v>
      </c>
      <c r="EV82" s="12">
        <v>-18</v>
      </c>
      <c r="EW82" s="12">
        <v>64</v>
      </c>
      <c r="EX82" s="12">
        <v>76</v>
      </c>
      <c r="EY82" s="12">
        <v>3</v>
      </c>
      <c r="EZ82" s="12">
        <v>7</v>
      </c>
      <c r="FA82" s="12">
        <v>7</v>
      </c>
      <c r="FB82" s="12">
        <v>0</v>
      </c>
      <c r="FC82" s="12">
        <v>0</v>
      </c>
      <c r="FD82" s="12">
        <v>0</v>
      </c>
      <c r="FE82" s="12">
        <v>0</v>
      </c>
      <c r="FF82" s="12">
        <v>3</v>
      </c>
      <c r="FG82" s="12">
        <v>0</v>
      </c>
      <c r="FH82" s="12">
        <v>3</v>
      </c>
      <c r="FI82" s="12">
        <v>0</v>
      </c>
      <c r="FJ82" s="12">
        <v>1</v>
      </c>
      <c r="FK82" s="12">
        <v>0</v>
      </c>
      <c r="FL82" s="12">
        <v>5</v>
      </c>
      <c r="FM82" s="12">
        <v>0</v>
      </c>
      <c r="FN82" s="12">
        <v>0</v>
      </c>
      <c r="FO82" s="12">
        <v>0</v>
      </c>
      <c r="FP82" s="12">
        <v>2</v>
      </c>
      <c r="FQ82" s="12">
        <v>0</v>
      </c>
      <c r="FR82" s="12">
        <v>7</v>
      </c>
      <c r="FS82" s="12">
        <v>0</v>
      </c>
      <c r="FT82" s="12">
        <v>1</v>
      </c>
      <c r="FU82" s="12">
        <v>0</v>
      </c>
      <c r="FV82" s="12">
        <v>2</v>
      </c>
      <c r="FW82" s="12">
        <v>1</v>
      </c>
      <c r="FX82" s="12">
        <v>8</v>
      </c>
      <c r="FY82" s="12">
        <v>0</v>
      </c>
      <c r="FZ82" s="12">
        <v>3</v>
      </c>
      <c r="GA82" s="12">
        <v>0</v>
      </c>
      <c r="GB82" s="12">
        <v>0</v>
      </c>
      <c r="GC82" s="12">
        <v>0</v>
      </c>
      <c r="GD82" s="12">
        <v>0</v>
      </c>
      <c r="GE82" s="12">
        <v>0</v>
      </c>
      <c r="GF82" s="12">
        <v>3</v>
      </c>
      <c r="GG82" s="12">
        <v>4</v>
      </c>
      <c r="GH82" s="12">
        <v>0</v>
      </c>
      <c r="GI82" s="12">
        <v>0</v>
      </c>
      <c r="GJ82" s="12">
        <v>0</v>
      </c>
      <c r="GK82" s="12">
        <v>0</v>
      </c>
      <c r="GL82" s="12">
        <v>6</v>
      </c>
      <c r="GM82" s="12">
        <v>7</v>
      </c>
      <c r="GN82" s="12">
        <v>6</v>
      </c>
      <c r="GO82" s="12">
        <v>16</v>
      </c>
      <c r="GP82" s="12">
        <v>3</v>
      </c>
      <c r="GQ82" s="12">
        <v>10</v>
      </c>
      <c r="GR82" s="12">
        <v>2</v>
      </c>
      <c r="GS82" s="12">
        <v>7</v>
      </c>
      <c r="GT82" s="12">
        <v>6</v>
      </c>
      <c r="GU82" s="12">
        <v>24</v>
      </c>
      <c r="GV82" s="12">
        <v>0</v>
      </c>
      <c r="GW82" s="12">
        <v>0</v>
      </c>
    </row>
    <row r="83" spans="2:205" ht="15" customHeight="1" x14ac:dyDescent="0.2">
      <c r="B83" s="12">
        <v>5</v>
      </c>
      <c r="C83" s="12" t="s">
        <v>293</v>
      </c>
      <c r="D83" s="12" t="s">
        <v>277</v>
      </c>
      <c r="E83" s="14" t="s">
        <v>295</v>
      </c>
      <c r="F83" s="14" t="s">
        <v>279</v>
      </c>
      <c r="G83" s="15">
        <v>45225</v>
      </c>
      <c r="H83" s="15" t="s">
        <v>268</v>
      </c>
      <c r="I83" s="12" t="s">
        <v>269</v>
      </c>
      <c r="J83" s="12" t="s">
        <v>270</v>
      </c>
      <c r="K83" s="12">
        <v>200</v>
      </c>
      <c r="L83" s="12">
        <v>57</v>
      </c>
      <c r="M83" s="12">
        <v>15</v>
      </c>
      <c r="N83" s="12">
        <v>33</v>
      </c>
      <c r="O83" s="16">
        <v>0.45454545454545453</v>
      </c>
      <c r="P83" s="12">
        <v>8</v>
      </c>
      <c r="Q83" s="12">
        <v>31</v>
      </c>
      <c r="R83" s="16">
        <v>0.25806451612903225</v>
      </c>
      <c r="S83" s="12">
        <v>23</v>
      </c>
      <c r="T83" s="12">
        <v>64</v>
      </c>
      <c r="U83" s="16">
        <v>0.359375</v>
      </c>
      <c r="V83" s="12">
        <v>3</v>
      </c>
      <c r="W83" s="12">
        <v>4</v>
      </c>
      <c r="X83" s="16">
        <v>0.75</v>
      </c>
      <c r="Y83" s="12">
        <v>12</v>
      </c>
      <c r="Z83" s="12">
        <v>23</v>
      </c>
      <c r="AA83" s="12">
        <v>35</v>
      </c>
      <c r="AB83" s="12">
        <v>14</v>
      </c>
      <c r="AC83" s="12">
        <v>10</v>
      </c>
      <c r="AD83" s="12">
        <v>5</v>
      </c>
      <c r="AE83" s="12">
        <v>3</v>
      </c>
      <c r="AF83" s="12">
        <v>1</v>
      </c>
      <c r="AG83" s="12">
        <v>17</v>
      </c>
      <c r="AH83" s="12">
        <v>15</v>
      </c>
      <c r="AI83" s="17">
        <v>59</v>
      </c>
      <c r="AJ83" s="12">
        <v>-18</v>
      </c>
      <c r="AK83" s="12">
        <v>64</v>
      </c>
      <c r="AL83" s="12">
        <v>76</v>
      </c>
      <c r="AM83" s="19">
        <v>0.75</v>
      </c>
      <c r="AN83" s="19">
        <v>1</v>
      </c>
      <c r="AO83" s="18">
        <v>89.0625</v>
      </c>
      <c r="AP83" s="18">
        <v>113.63636363636364</v>
      </c>
      <c r="AQ83" s="18">
        <v>-24.57386363636364</v>
      </c>
      <c r="AR83" s="53">
        <v>0.421875</v>
      </c>
      <c r="AS83" s="53">
        <v>0.43181818181818182</v>
      </c>
      <c r="AT83" s="16">
        <v>9.2105263157894732E-2</v>
      </c>
      <c r="AU83" s="19">
        <v>1.7142857142857142</v>
      </c>
      <c r="AV83" s="16">
        <v>0.21052631578947367</v>
      </c>
      <c r="AW83" s="19">
        <v>0.75</v>
      </c>
      <c r="AX83" s="16">
        <v>0.13157894736842105</v>
      </c>
      <c r="AY83" s="19">
        <v>0.6</v>
      </c>
      <c r="AZ83" s="16">
        <v>9.2105263157894732E-2</v>
      </c>
      <c r="BA83" s="19">
        <v>0.8571428571428571</v>
      </c>
      <c r="BB83" s="16">
        <v>0.31578947368421051</v>
      </c>
      <c r="BC83" s="21">
        <v>0.75</v>
      </c>
      <c r="BD83" s="16">
        <v>2.6315789473684209E-2</v>
      </c>
      <c r="BE83" s="16">
        <v>0.13157894736842105</v>
      </c>
      <c r="BF83" s="16">
        <v>0.56000000000000005</v>
      </c>
      <c r="BG83" s="16">
        <v>0.46666666666666667</v>
      </c>
      <c r="BH83" s="16">
        <v>0.875</v>
      </c>
      <c r="BI83" s="16">
        <v>0</v>
      </c>
      <c r="BJ83" s="16">
        <v>0.18421052631578946</v>
      </c>
      <c r="BK83" s="21">
        <v>1.4</v>
      </c>
      <c r="BL83" s="16">
        <v>0.2857142857142857</v>
      </c>
      <c r="BM83" s="16">
        <v>0.31578947368421051</v>
      </c>
      <c r="BN83" s="16">
        <v>0.25</v>
      </c>
      <c r="BO83" s="16">
        <v>0</v>
      </c>
      <c r="BP83" s="16">
        <v>0.71875</v>
      </c>
      <c r="BQ83" s="16">
        <v>0.83333333333333337</v>
      </c>
      <c r="BR83" s="16">
        <v>0.57894736842105265</v>
      </c>
      <c r="BS83" s="16">
        <v>1</v>
      </c>
      <c r="BT83" s="16">
        <v>0.47297297297297297</v>
      </c>
      <c r="BU83" s="16">
        <v>7.575757575757576E-2</v>
      </c>
      <c r="BV83" s="16">
        <v>0.05</v>
      </c>
      <c r="BW83" s="16">
        <v>3</v>
      </c>
      <c r="BX83" s="16">
        <v>0.29411764705882354</v>
      </c>
      <c r="BY83" s="16">
        <v>0.13333333333333333</v>
      </c>
      <c r="BZ83" s="12">
        <v>7</v>
      </c>
      <c r="CA83" s="12">
        <v>7</v>
      </c>
      <c r="CB83" s="12">
        <v>0</v>
      </c>
      <c r="CC83" s="12">
        <v>0</v>
      </c>
      <c r="CD83" s="12">
        <v>0</v>
      </c>
      <c r="CE83" s="12">
        <v>0</v>
      </c>
      <c r="CF83" s="12">
        <v>3</v>
      </c>
      <c r="CG83" s="12">
        <v>0</v>
      </c>
      <c r="CH83" s="12">
        <v>3</v>
      </c>
      <c r="CI83" s="12">
        <v>0</v>
      </c>
      <c r="CJ83" s="12">
        <v>1</v>
      </c>
      <c r="CK83" s="12">
        <v>0</v>
      </c>
      <c r="CL83" s="12">
        <v>5</v>
      </c>
      <c r="CM83" s="12">
        <v>0</v>
      </c>
      <c r="CN83" s="12">
        <v>0</v>
      </c>
      <c r="CO83" s="12">
        <v>0</v>
      </c>
      <c r="CP83" s="12">
        <v>2</v>
      </c>
      <c r="CQ83" s="12">
        <v>0</v>
      </c>
      <c r="CR83" s="12">
        <v>7</v>
      </c>
      <c r="CS83" s="12">
        <v>0</v>
      </c>
      <c r="CT83" s="12">
        <v>1</v>
      </c>
      <c r="CU83" s="12">
        <v>0</v>
      </c>
      <c r="CV83" s="12">
        <v>2</v>
      </c>
      <c r="CW83" s="12">
        <v>1</v>
      </c>
      <c r="CX83" s="12">
        <v>8</v>
      </c>
      <c r="CY83" s="12">
        <v>0</v>
      </c>
      <c r="CZ83" s="12">
        <v>3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3</v>
      </c>
      <c r="DG83" s="12">
        <v>4</v>
      </c>
      <c r="DH83" s="12">
        <v>0</v>
      </c>
      <c r="DI83" s="12">
        <v>0</v>
      </c>
      <c r="DJ83" s="12">
        <v>0</v>
      </c>
      <c r="DK83" s="12">
        <v>0</v>
      </c>
      <c r="DL83" s="12">
        <v>6</v>
      </c>
      <c r="DM83" s="12">
        <v>7</v>
      </c>
      <c r="DN83" s="12">
        <v>6</v>
      </c>
      <c r="DO83" s="12">
        <v>16</v>
      </c>
      <c r="DP83" s="12">
        <v>3</v>
      </c>
      <c r="DQ83" s="12">
        <v>10</v>
      </c>
      <c r="DR83" s="12">
        <v>2</v>
      </c>
      <c r="DS83" s="12">
        <v>7</v>
      </c>
      <c r="DT83" s="12">
        <v>6</v>
      </c>
      <c r="DU83" s="12">
        <v>24</v>
      </c>
      <c r="DV83" s="12">
        <v>0</v>
      </c>
      <c r="DW83" s="12">
        <v>0</v>
      </c>
      <c r="DX83" s="12">
        <v>75</v>
      </c>
      <c r="DY83" s="12">
        <v>22</v>
      </c>
      <c r="DZ83" s="12">
        <v>34</v>
      </c>
      <c r="EA83" s="16">
        <v>0.6470588235294118</v>
      </c>
      <c r="EB83" s="12">
        <v>8</v>
      </c>
      <c r="EC83" s="12">
        <v>26</v>
      </c>
      <c r="ED83" s="16">
        <v>0.30769230769230771</v>
      </c>
      <c r="EE83" s="12">
        <v>30</v>
      </c>
      <c r="EF83" s="12">
        <v>60</v>
      </c>
      <c r="EG83" s="16">
        <v>0.5</v>
      </c>
      <c r="EH83" s="12">
        <v>7</v>
      </c>
      <c r="EI83" s="12">
        <v>10</v>
      </c>
      <c r="EJ83" s="16">
        <v>0.7</v>
      </c>
      <c r="EK83" s="12">
        <v>9</v>
      </c>
      <c r="EL83" s="12">
        <v>30</v>
      </c>
      <c r="EM83" s="12">
        <v>39</v>
      </c>
      <c r="EN83" s="12">
        <v>21</v>
      </c>
      <c r="EO83" s="12">
        <v>15</v>
      </c>
      <c r="EP83" s="12">
        <v>17</v>
      </c>
      <c r="EQ83" s="12">
        <v>7</v>
      </c>
      <c r="ER83" s="12">
        <v>10</v>
      </c>
      <c r="ES83" s="12">
        <v>1</v>
      </c>
      <c r="ET83" s="12">
        <v>3</v>
      </c>
      <c r="EU83" s="12">
        <v>99</v>
      </c>
      <c r="EV83" s="12">
        <v>18</v>
      </c>
      <c r="EW83" s="12">
        <v>66</v>
      </c>
      <c r="EX83" s="12">
        <v>75</v>
      </c>
      <c r="EY83" s="12">
        <v>7</v>
      </c>
      <c r="EZ83" s="12">
        <v>12</v>
      </c>
      <c r="FA83" s="12">
        <v>7</v>
      </c>
      <c r="FB83" s="12">
        <v>2</v>
      </c>
      <c r="FC83" s="12">
        <v>2</v>
      </c>
      <c r="FD83" s="12">
        <v>0</v>
      </c>
      <c r="FE83" s="12">
        <v>0</v>
      </c>
      <c r="FF83" s="12">
        <v>1</v>
      </c>
      <c r="FG83" s="12">
        <v>0</v>
      </c>
      <c r="FH83" s="12">
        <v>1</v>
      </c>
      <c r="FI83" s="12">
        <v>0</v>
      </c>
      <c r="FJ83" s="12">
        <v>3</v>
      </c>
      <c r="FK83" s="12">
        <v>0</v>
      </c>
      <c r="FL83" s="12">
        <v>4</v>
      </c>
      <c r="FM83" s="12">
        <v>1</v>
      </c>
      <c r="FN83" s="12">
        <v>0</v>
      </c>
      <c r="FO83" s="12">
        <v>0</v>
      </c>
      <c r="FP83" s="12">
        <v>1</v>
      </c>
      <c r="FQ83" s="12">
        <v>0</v>
      </c>
      <c r="FR83" s="12">
        <v>7</v>
      </c>
      <c r="FS83" s="12">
        <v>1</v>
      </c>
      <c r="FT83" s="12">
        <v>4</v>
      </c>
      <c r="FU83" s="12">
        <v>0</v>
      </c>
      <c r="FV83" s="12">
        <v>4</v>
      </c>
      <c r="FW83" s="12">
        <v>0</v>
      </c>
      <c r="FX83" s="12">
        <v>13</v>
      </c>
      <c r="FY83" s="12">
        <v>1</v>
      </c>
      <c r="FZ83" s="12">
        <v>1</v>
      </c>
      <c r="GA83" s="12">
        <v>0</v>
      </c>
      <c r="GB83" s="12">
        <v>0</v>
      </c>
      <c r="GC83" s="12">
        <v>0</v>
      </c>
      <c r="GD83" s="12">
        <v>0</v>
      </c>
      <c r="GE83" s="12">
        <v>0</v>
      </c>
      <c r="GF83" s="12">
        <v>7</v>
      </c>
      <c r="GG83" s="12">
        <v>10</v>
      </c>
      <c r="GH83" s="12">
        <v>0</v>
      </c>
      <c r="GI83" s="12">
        <v>0</v>
      </c>
      <c r="GJ83" s="12">
        <v>0</v>
      </c>
      <c r="GK83" s="12">
        <v>0</v>
      </c>
      <c r="GL83" s="12">
        <v>15</v>
      </c>
      <c r="GM83" s="12">
        <v>17</v>
      </c>
      <c r="GN83" s="12">
        <v>7</v>
      </c>
      <c r="GO83" s="12">
        <v>15</v>
      </c>
      <c r="GP83" s="12">
        <v>0</v>
      </c>
      <c r="GQ83" s="12">
        <v>2</v>
      </c>
      <c r="GR83" s="12">
        <v>2</v>
      </c>
      <c r="GS83" s="12">
        <v>7</v>
      </c>
      <c r="GT83" s="12">
        <v>6</v>
      </c>
      <c r="GU83" s="12">
        <v>19</v>
      </c>
      <c r="GV83" s="12">
        <v>0</v>
      </c>
      <c r="GW83" s="12">
        <v>0</v>
      </c>
    </row>
    <row r="84" spans="2:205" ht="15" customHeight="1" x14ac:dyDescent="0.2">
      <c r="B84" s="12">
        <v>5</v>
      </c>
      <c r="C84" s="12" t="s">
        <v>93</v>
      </c>
      <c r="D84" s="12" t="s">
        <v>286</v>
      </c>
      <c r="E84" s="14" t="s">
        <v>303</v>
      </c>
      <c r="F84" s="14" t="s">
        <v>288</v>
      </c>
      <c r="G84" s="15">
        <v>45226</v>
      </c>
      <c r="H84" s="15" t="s">
        <v>271</v>
      </c>
      <c r="I84" s="12" t="s">
        <v>269</v>
      </c>
      <c r="J84" s="12" t="s">
        <v>270</v>
      </c>
      <c r="K84" s="12">
        <v>200</v>
      </c>
      <c r="L84" s="12">
        <v>72</v>
      </c>
      <c r="M84" s="12">
        <v>20</v>
      </c>
      <c r="N84" s="12">
        <v>31</v>
      </c>
      <c r="O84" s="16">
        <v>0.64516129032258063</v>
      </c>
      <c r="P84" s="12">
        <v>7</v>
      </c>
      <c r="Q84" s="12">
        <v>28</v>
      </c>
      <c r="R84" s="16">
        <v>0.25</v>
      </c>
      <c r="S84" s="12">
        <v>27</v>
      </c>
      <c r="T84" s="12">
        <v>59</v>
      </c>
      <c r="U84" s="16">
        <v>0.4576271186440678</v>
      </c>
      <c r="V84" s="12">
        <v>11</v>
      </c>
      <c r="W84" s="12">
        <v>13</v>
      </c>
      <c r="X84" s="16">
        <v>0.84615384615384615</v>
      </c>
      <c r="Y84" s="12">
        <v>6</v>
      </c>
      <c r="Z84" s="12">
        <v>21</v>
      </c>
      <c r="AA84" s="12">
        <v>27</v>
      </c>
      <c r="AB84" s="12">
        <v>15</v>
      </c>
      <c r="AC84" s="12">
        <v>14</v>
      </c>
      <c r="AD84" s="12">
        <v>7</v>
      </c>
      <c r="AE84" s="12">
        <v>1</v>
      </c>
      <c r="AF84" s="12">
        <v>2</v>
      </c>
      <c r="AG84" s="12">
        <v>17</v>
      </c>
      <c r="AH84" s="12">
        <v>19</v>
      </c>
      <c r="AI84" s="17">
        <v>74</v>
      </c>
      <c r="AJ84" s="12">
        <v>-15</v>
      </c>
      <c r="AK84" s="12">
        <v>72</v>
      </c>
      <c r="AL84" s="12">
        <v>78</v>
      </c>
      <c r="AM84" s="19">
        <v>0.92307692307692313</v>
      </c>
      <c r="AN84" s="19">
        <v>1.1012658227848102</v>
      </c>
      <c r="AO84" s="18">
        <v>100</v>
      </c>
      <c r="AP84" s="18">
        <v>117.56756756756756</v>
      </c>
      <c r="AQ84" s="18">
        <v>-17.567567567567565</v>
      </c>
      <c r="AR84" s="53">
        <v>0.51694915254237284</v>
      </c>
      <c r="AS84" s="53">
        <v>0.5625</v>
      </c>
      <c r="AT84" s="16">
        <v>0.12820512820512819</v>
      </c>
      <c r="AU84" s="19">
        <v>1.8</v>
      </c>
      <c r="AV84" s="16">
        <v>0.19230769230769232</v>
      </c>
      <c r="AW84" s="19">
        <v>1.2</v>
      </c>
      <c r="AX84" s="16">
        <v>7.6923076923076927E-2</v>
      </c>
      <c r="AY84" s="19">
        <v>0.66666666666666663</v>
      </c>
      <c r="AZ84" s="16">
        <v>1.282051282051282E-2</v>
      </c>
      <c r="BA84" s="19">
        <v>0</v>
      </c>
      <c r="BB84" s="16">
        <v>0.34615384615384615</v>
      </c>
      <c r="BC84" s="21">
        <v>0.77777777777777779</v>
      </c>
      <c r="BD84" s="16">
        <v>6.4102564102564097E-2</v>
      </c>
      <c r="BE84" s="16">
        <v>0.17948717948717949</v>
      </c>
      <c r="BF84" s="16">
        <v>0.46875</v>
      </c>
      <c r="BG84" s="16">
        <v>0.45</v>
      </c>
      <c r="BH84" s="16">
        <v>0.5714285714285714</v>
      </c>
      <c r="BI84" s="16">
        <v>0.4</v>
      </c>
      <c r="BJ84" s="16">
        <v>0.19230769230769232</v>
      </c>
      <c r="BK84" s="21">
        <v>1.0714285714285714</v>
      </c>
      <c r="BL84" s="16">
        <v>0.18181818181818182</v>
      </c>
      <c r="BM84" s="16">
        <v>0</v>
      </c>
      <c r="BN84" s="16">
        <v>0.30434782608695654</v>
      </c>
      <c r="BO84" s="16">
        <v>1</v>
      </c>
      <c r="BP84" s="16">
        <v>0.84</v>
      </c>
      <c r="BQ84" s="16">
        <v>0.82352941176470584</v>
      </c>
      <c r="BR84" s="16">
        <v>0.76923076923076927</v>
      </c>
      <c r="BS84" s="16" t="s">
        <v>269</v>
      </c>
      <c r="BT84" s="16">
        <v>0.46551724137931033</v>
      </c>
      <c r="BU84" s="16">
        <v>9.45945945945946E-2</v>
      </c>
      <c r="BV84" s="16">
        <v>1.6666666666666666E-2</v>
      </c>
      <c r="BW84" s="16">
        <v>4</v>
      </c>
      <c r="BX84" s="16">
        <v>0.47058823529411764</v>
      </c>
      <c r="BY84" s="16">
        <v>0.42105263157894735</v>
      </c>
      <c r="BZ84" s="12">
        <v>9</v>
      </c>
      <c r="CA84" s="12">
        <v>4</v>
      </c>
      <c r="CB84" s="12">
        <v>2</v>
      </c>
      <c r="CC84" s="12">
        <v>4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5</v>
      </c>
      <c r="CM84" s="12">
        <v>2</v>
      </c>
      <c r="CN84" s="12">
        <v>1</v>
      </c>
      <c r="CO84" s="12">
        <v>1</v>
      </c>
      <c r="CP84" s="12">
        <v>1</v>
      </c>
      <c r="CQ84" s="12">
        <v>0</v>
      </c>
      <c r="CR84" s="12">
        <v>6</v>
      </c>
      <c r="CS84" s="12">
        <v>1</v>
      </c>
      <c r="CT84" s="12">
        <v>6</v>
      </c>
      <c r="CU84" s="12">
        <v>0</v>
      </c>
      <c r="CV84" s="12">
        <v>3</v>
      </c>
      <c r="CW84" s="12">
        <v>1</v>
      </c>
      <c r="CX84" s="12">
        <v>5</v>
      </c>
      <c r="CY84" s="12">
        <v>1</v>
      </c>
      <c r="CZ84" s="12">
        <v>0</v>
      </c>
      <c r="DA84" s="12">
        <v>0</v>
      </c>
      <c r="DB84" s="12">
        <v>0</v>
      </c>
      <c r="DC84" s="12">
        <v>0</v>
      </c>
      <c r="DD84" s="12">
        <v>2</v>
      </c>
      <c r="DE84" s="12">
        <v>3</v>
      </c>
      <c r="DF84" s="12">
        <v>9</v>
      </c>
      <c r="DG84" s="12">
        <v>10</v>
      </c>
      <c r="DH84" s="12">
        <v>0</v>
      </c>
      <c r="DI84" s="12">
        <v>0</v>
      </c>
      <c r="DJ84" s="12">
        <v>0</v>
      </c>
      <c r="DK84" s="12">
        <v>0</v>
      </c>
      <c r="DL84" s="12">
        <v>9</v>
      </c>
      <c r="DM84" s="12">
        <v>10</v>
      </c>
      <c r="DN84" s="12">
        <v>9</v>
      </c>
      <c r="DO84" s="12">
        <v>15</v>
      </c>
      <c r="DP84" s="12">
        <v>2</v>
      </c>
      <c r="DQ84" s="12">
        <v>6</v>
      </c>
      <c r="DR84" s="12">
        <v>0</v>
      </c>
      <c r="DS84" s="12">
        <v>1</v>
      </c>
      <c r="DT84" s="12">
        <v>7</v>
      </c>
      <c r="DU84" s="12">
        <v>27</v>
      </c>
      <c r="DV84" s="12">
        <v>0</v>
      </c>
      <c r="DW84" s="12">
        <v>0</v>
      </c>
      <c r="DX84" s="12">
        <v>87</v>
      </c>
      <c r="DY84" s="12">
        <v>24</v>
      </c>
      <c r="DZ84" s="12">
        <v>41</v>
      </c>
      <c r="EA84" s="16">
        <v>0.58536585365853655</v>
      </c>
      <c r="EB84" s="12">
        <v>8</v>
      </c>
      <c r="EC84" s="12">
        <v>19</v>
      </c>
      <c r="ED84" s="16">
        <v>0.42105263157894735</v>
      </c>
      <c r="EE84" s="12">
        <v>32</v>
      </c>
      <c r="EF84" s="12">
        <v>60</v>
      </c>
      <c r="EG84" s="16">
        <v>0.53333333333333333</v>
      </c>
      <c r="EH84" s="12">
        <v>15</v>
      </c>
      <c r="EI84" s="12">
        <v>16</v>
      </c>
      <c r="EJ84" s="16">
        <v>0.9375</v>
      </c>
      <c r="EK84" s="12">
        <v>4</v>
      </c>
      <c r="EL84" s="12">
        <v>27</v>
      </c>
      <c r="EM84" s="12">
        <v>31</v>
      </c>
      <c r="EN84" s="12">
        <v>15</v>
      </c>
      <c r="EO84" s="12">
        <v>19</v>
      </c>
      <c r="EP84" s="12">
        <v>16</v>
      </c>
      <c r="EQ84" s="12">
        <v>5</v>
      </c>
      <c r="ER84" s="12">
        <v>13</v>
      </c>
      <c r="ES84" s="12">
        <v>2</v>
      </c>
      <c r="ET84" s="12">
        <v>1</v>
      </c>
      <c r="EU84" s="12">
        <v>94</v>
      </c>
      <c r="EV84" s="12">
        <v>15</v>
      </c>
      <c r="EW84" s="12">
        <v>74</v>
      </c>
      <c r="EX84" s="12">
        <v>79</v>
      </c>
      <c r="EY84" s="12">
        <v>5</v>
      </c>
      <c r="EZ84" s="12">
        <v>7</v>
      </c>
      <c r="FA84" s="12">
        <v>4</v>
      </c>
      <c r="FB84" s="12">
        <v>4</v>
      </c>
      <c r="FC84" s="12">
        <v>9</v>
      </c>
      <c r="FD84" s="12">
        <v>0</v>
      </c>
      <c r="FE84" s="12">
        <v>0</v>
      </c>
      <c r="FF84" s="12">
        <v>1</v>
      </c>
      <c r="FG84" s="12">
        <v>1</v>
      </c>
      <c r="FH84" s="12">
        <v>1</v>
      </c>
      <c r="FI84" s="12">
        <v>0</v>
      </c>
      <c r="FJ84" s="12">
        <v>0</v>
      </c>
      <c r="FK84" s="12">
        <v>0</v>
      </c>
      <c r="FL84" s="12">
        <v>2</v>
      </c>
      <c r="FM84" s="12">
        <v>1</v>
      </c>
      <c r="FN84" s="12">
        <v>0</v>
      </c>
      <c r="FO84" s="12">
        <v>0</v>
      </c>
      <c r="FP84" s="12">
        <v>1</v>
      </c>
      <c r="FQ84" s="12">
        <v>0</v>
      </c>
      <c r="FR84" s="12">
        <v>6</v>
      </c>
      <c r="FS84" s="12">
        <v>0</v>
      </c>
      <c r="FT84" s="12">
        <v>4</v>
      </c>
      <c r="FU84" s="12">
        <v>1</v>
      </c>
      <c r="FV84" s="12">
        <v>1</v>
      </c>
      <c r="FW84" s="12">
        <v>0</v>
      </c>
      <c r="FX84" s="12">
        <v>15</v>
      </c>
      <c r="FY84" s="12">
        <v>0</v>
      </c>
      <c r="FZ84" s="12">
        <v>0</v>
      </c>
      <c r="GA84" s="12">
        <v>0</v>
      </c>
      <c r="GB84" s="12">
        <v>1</v>
      </c>
      <c r="GC84" s="12">
        <v>1</v>
      </c>
      <c r="GD84" s="12">
        <v>2</v>
      </c>
      <c r="GE84" s="12">
        <v>2</v>
      </c>
      <c r="GF84" s="12">
        <v>9</v>
      </c>
      <c r="GG84" s="12">
        <v>10</v>
      </c>
      <c r="GH84" s="12">
        <v>0</v>
      </c>
      <c r="GI84" s="12">
        <v>3</v>
      </c>
      <c r="GJ84" s="12">
        <v>3</v>
      </c>
      <c r="GK84" s="12">
        <v>0</v>
      </c>
      <c r="GL84" s="12">
        <v>11</v>
      </c>
      <c r="GM84" s="12">
        <v>12</v>
      </c>
      <c r="GN84" s="12">
        <v>6</v>
      </c>
      <c r="GO84" s="12">
        <v>13</v>
      </c>
      <c r="GP84" s="12">
        <v>7</v>
      </c>
      <c r="GQ84" s="12">
        <v>16</v>
      </c>
      <c r="GR84" s="12">
        <v>2</v>
      </c>
      <c r="GS84" s="12">
        <v>5</v>
      </c>
      <c r="GT84" s="12">
        <v>6</v>
      </c>
      <c r="GU84" s="12">
        <v>14</v>
      </c>
      <c r="GV84" s="12">
        <v>0</v>
      </c>
      <c r="GW84" s="12">
        <v>0</v>
      </c>
    </row>
    <row r="85" spans="2:205" ht="15" customHeight="1" x14ac:dyDescent="0.2">
      <c r="B85" s="12">
        <v>5</v>
      </c>
      <c r="C85" s="12" t="s">
        <v>286</v>
      </c>
      <c r="D85" s="12" t="s">
        <v>93</v>
      </c>
      <c r="E85" s="14" t="s">
        <v>288</v>
      </c>
      <c r="F85" s="14" t="s">
        <v>303</v>
      </c>
      <c r="G85" s="15">
        <v>45226</v>
      </c>
      <c r="H85" s="15" t="s">
        <v>268</v>
      </c>
      <c r="I85" s="12" t="s">
        <v>269</v>
      </c>
      <c r="J85" s="12" t="s">
        <v>272</v>
      </c>
      <c r="K85" s="12">
        <v>200</v>
      </c>
      <c r="L85" s="12">
        <v>87</v>
      </c>
      <c r="M85" s="12">
        <v>24</v>
      </c>
      <c r="N85" s="12">
        <v>41</v>
      </c>
      <c r="O85" s="16">
        <v>0.58536585365853655</v>
      </c>
      <c r="P85" s="12">
        <v>8</v>
      </c>
      <c r="Q85" s="12">
        <v>19</v>
      </c>
      <c r="R85" s="16">
        <v>0.42105263157894735</v>
      </c>
      <c r="S85" s="12">
        <v>32</v>
      </c>
      <c r="T85" s="12">
        <v>60</v>
      </c>
      <c r="U85" s="16">
        <v>0.53333333333333333</v>
      </c>
      <c r="V85" s="12">
        <v>15</v>
      </c>
      <c r="W85" s="12">
        <v>16</v>
      </c>
      <c r="X85" s="16">
        <v>0.9375</v>
      </c>
      <c r="Y85" s="12">
        <v>4</v>
      </c>
      <c r="Z85" s="12">
        <v>27</v>
      </c>
      <c r="AA85" s="12">
        <v>31</v>
      </c>
      <c r="AB85" s="12">
        <v>15</v>
      </c>
      <c r="AC85" s="12">
        <v>13</v>
      </c>
      <c r="AD85" s="12">
        <v>5</v>
      </c>
      <c r="AE85" s="12">
        <v>2</v>
      </c>
      <c r="AF85" s="12">
        <v>1</v>
      </c>
      <c r="AG85" s="12">
        <v>19</v>
      </c>
      <c r="AH85" s="12">
        <v>16</v>
      </c>
      <c r="AI85" s="17">
        <v>94</v>
      </c>
      <c r="AJ85" s="12">
        <v>15</v>
      </c>
      <c r="AK85" s="12">
        <v>74</v>
      </c>
      <c r="AL85" s="12">
        <v>79</v>
      </c>
      <c r="AM85" s="19">
        <v>1.1012658227848102</v>
      </c>
      <c r="AN85" s="19">
        <v>0.92307692307692313</v>
      </c>
      <c r="AO85" s="18">
        <v>117.56756756756756</v>
      </c>
      <c r="AP85" s="18">
        <v>100</v>
      </c>
      <c r="AQ85" s="18">
        <v>17.567567567567565</v>
      </c>
      <c r="AR85" s="53">
        <v>0.6</v>
      </c>
      <c r="AS85" s="53">
        <v>0.65909090909090906</v>
      </c>
      <c r="AT85" s="16">
        <v>0.15189873417721519</v>
      </c>
      <c r="AU85" s="19">
        <v>1.8333333333333333</v>
      </c>
      <c r="AV85" s="16">
        <v>0.16455696202531644</v>
      </c>
      <c r="AW85" s="19">
        <v>0.92307692307692313</v>
      </c>
      <c r="AX85" s="16">
        <v>0.20253164556962025</v>
      </c>
      <c r="AY85" s="19">
        <v>0.875</v>
      </c>
      <c r="AZ85" s="16">
        <v>6.3291139240506333E-2</v>
      </c>
      <c r="BA85" s="19">
        <v>1.2</v>
      </c>
      <c r="BB85" s="16">
        <v>0.17721518987341772</v>
      </c>
      <c r="BC85" s="21">
        <v>1.2857142857142858</v>
      </c>
      <c r="BD85" s="16">
        <v>7.5949367088607597E-2</v>
      </c>
      <c r="BE85" s="16">
        <v>0.16666666666666666</v>
      </c>
      <c r="BF85" s="16">
        <v>0.39473684210526316</v>
      </c>
      <c r="BG85" s="16">
        <v>0.29166666666666669</v>
      </c>
      <c r="BH85" s="16">
        <v>0.5</v>
      </c>
      <c r="BI85" s="16">
        <v>0.66666666666666663</v>
      </c>
      <c r="BJ85" s="16">
        <v>0.19230769230769232</v>
      </c>
      <c r="BK85" s="21">
        <v>1.1538461538461537</v>
      </c>
      <c r="BL85" s="16">
        <v>0.16</v>
      </c>
      <c r="BM85" s="16">
        <v>0.17647058823529413</v>
      </c>
      <c r="BN85" s="16">
        <v>0.23076923076923078</v>
      </c>
      <c r="BO85" s="16" t="s">
        <v>269</v>
      </c>
      <c r="BP85" s="16">
        <v>0.81818181818181823</v>
      </c>
      <c r="BQ85" s="16">
        <v>1</v>
      </c>
      <c r="BR85" s="16">
        <v>0.69565217391304346</v>
      </c>
      <c r="BS85" s="16">
        <v>0</v>
      </c>
      <c r="BT85" s="16">
        <v>0.53448275862068961</v>
      </c>
      <c r="BU85" s="16">
        <v>6.9444444444444448E-2</v>
      </c>
      <c r="BV85" s="16">
        <v>3.3898305084745763E-2</v>
      </c>
      <c r="BW85" s="16">
        <v>5</v>
      </c>
      <c r="BX85" s="16">
        <v>0.42105263157894735</v>
      </c>
      <c r="BY85" s="16">
        <v>0.5</v>
      </c>
      <c r="BZ85" s="12">
        <v>7</v>
      </c>
      <c r="CA85" s="12">
        <v>4</v>
      </c>
      <c r="CB85" s="12">
        <v>4</v>
      </c>
      <c r="CC85" s="12">
        <v>9</v>
      </c>
      <c r="CD85" s="12">
        <v>0</v>
      </c>
      <c r="CE85" s="12">
        <v>0</v>
      </c>
      <c r="CF85" s="12">
        <v>1</v>
      </c>
      <c r="CG85" s="12">
        <v>1</v>
      </c>
      <c r="CH85" s="12">
        <v>1</v>
      </c>
      <c r="CI85" s="12">
        <v>0</v>
      </c>
      <c r="CJ85" s="12">
        <v>0</v>
      </c>
      <c r="CK85" s="12">
        <v>0</v>
      </c>
      <c r="CL85" s="12">
        <v>2</v>
      </c>
      <c r="CM85" s="12">
        <v>1</v>
      </c>
      <c r="CN85" s="12">
        <v>0</v>
      </c>
      <c r="CO85" s="12">
        <v>0</v>
      </c>
      <c r="CP85" s="12">
        <v>1</v>
      </c>
      <c r="CQ85" s="12">
        <v>0</v>
      </c>
      <c r="CR85" s="12">
        <v>6</v>
      </c>
      <c r="CS85" s="12">
        <v>0</v>
      </c>
      <c r="CT85" s="12">
        <v>4</v>
      </c>
      <c r="CU85" s="12">
        <v>1</v>
      </c>
      <c r="CV85" s="12">
        <v>1</v>
      </c>
      <c r="CW85" s="12">
        <v>0</v>
      </c>
      <c r="CX85" s="12">
        <v>15</v>
      </c>
      <c r="CY85" s="12">
        <v>0</v>
      </c>
      <c r="CZ85" s="12">
        <v>0</v>
      </c>
      <c r="DA85" s="12">
        <v>0</v>
      </c>
      <c r="DB85" s="12">
        <v>1</v>
      </c>
      <c r="DC85" s="12">
        <v>1</v>
      </c>
      <c r="DD85" s="12">
        <v>2</v>
      </c>
      <c r="DE85" s="12">
        <v>2</v>
      </c>
      <c r="DF85" s="12">
        <v>9</v>
      </c>
      <c r="DG85" s="12">
        <v>10</v>
      </c>
      <c r="DH85" s="12">
        <v>0</v>
      </c>
      <c r="DI85" s="12">
        <v>3</v>
      </c>
      <c r="DJ85" s="12">
        <v>3</v>
      </c>
      <c r="DK85" s="12">
        <v>0</v>
      </c>
      <c r="DL85" s="12">
        <v>11</v>
      </c>
      <c r="DM85" s="12">
        <v>12</v>
      </c>
      <c r="DN85" s="12">
        <v>6</v>
      </c>
      <c r="DO85" s="12">
        <v>13</v>
      </c>
      <c r="DP85" s="12">
        <v>7</v>
      </c>
      <c r="DQ85" s="12">
        <v>16</v>
      </c>
      <c r="DR85" s="12">
        <v>2</v>
      </c>
      <c r="DS85" s="12">
        <v>5</v>
      </c>
      <c r="DT85" s="12">
        <v>6</v>
      </c>
      <c r="DU85" s="12">
        <v>14</v>
      </c>
      <c r="DV85" s="12">
        <v>0</v>
      </c>
      <c r="DW85" s="12">
        <v>0</v>
      </c>
      <c r="DX85" s="12">
        <v>72</v>
      </c>
      <c r="DY85" s="12">
        <v>20</v>
      </c>
      <c r="DZ85" s="12">
        <v>31</v>
      </c>
      <c r="EA85" s="16">
        <v>0.64516129032258063</v>
      </c>
      <c r="EB85" s="12">
        <v>7</v>
      </c>
      <c r="EC85" s="12">
        <v>28</v>
      </c>
      <c r="ED85" s="16">
        <v>0.25</v>
      </c>
      <c r="EE85" s="12">
        <v>27</v>
      </c>
      <c r="EF85" s="12">
        <v>59</v>
      </c>
      <c r="EG85" s="16">
        <v>0.4576271186440678</v>
      </c>
      <c r="EH85" s="12">
        <v>11</v>
      </c>
      <c r="EI85" s="12">
        <v>13</v>
      </c>
      <c r="EJ85" s="16">
        <v>0.84615384615384615</v>
      </c>
      <c r="EK85" s="12">
        <v>6</v>
      </c>
      <c r="EL85" s="12">
        <v>21</v>
      </c>
      <c r="EM85" s="12">
        <v>27</v>
      </c>
      <c r="EN85" s="12">
        <v>15</v>
      </c>
      <c r="EO85" s="12">
        <v>17</v>
      </c>
      <c r="EP85" s="12">
        <v>19</v>
      </c>
      <c r="EQ85" s="12">
        <v>7</v>
      </c>
      <c r="ER85" s="12">
        <v>14</v>
      </c>
      <c r="ES85" s="12">
        <v>1</v>
      </c>
      <c r="ET85" s="12">
        <v>2</v>
      </c>
      <c r="EU85" s="12">
        <v>74</v>
      </c>
      <c r="EV85" s="12">
        <v>-15</v>
      </c>
      <c r="EW85" s="12">
        <v>72</v>
      </c>
      <c r="EX85" s="12">
        <v>78</v>
      </c>
      <c r="EY85" s="12">
        <v>4</v>
      </c>
      <c r="EZ85" s="12">
        <v>9</v>
      </c>
      <c r="FA85" s="12">
        <v>4</v>
      </c>
      <c r="FB85" s="12">
        <v>2</v>
      </c>
      <c r="FC85" s="12">
        <v>4</v>
      </c>
      <c r="FD85" s="12">
        <v>0</v>
      </c>
      <c r="FE85" s="12">
        <v>0</v>
      </c>
      <c r="FF85" s="12">
        <v>0</v>
      </c>
      <c r="FG85" s="12">
        <v>0</v>
      </c>
      <c r="FH85" s="12">
        <v>0</v>
      </c>
      <c r="FI85" s="12">
        <v>0</v>
      </c>
      <c r="FJ85" s="12">
        <v>0</v>
      </c>
      <c r="FK85" s="12">
        <v>0</v>
      </c>
      <c r="FL85" s="12">
        <v>5</v>
      </c>
      <c r="FM85" s="12">
        <v>2</v>
      </c>
      <c r="FN85" s="12">
        <v>1</v>
      </c>
      <c r="FO85" s="12">
        <v>1</v>
      </c>
      <c r="FP85" s="12">
        <v>1</v>
      </c>
      <c r="FQ85" s="12">
        <v>0</v>
      </c>
      <c r="FR85" s="12">
        <v>6</v>
      </c>
      <c r="FS85" s="12">
        <v>1</v>
      </c>
      <c r="FT85" s="12">
        <v>6</v>
      </c>
      <c r="FU85" s="12">
        <v>0</v>
      </c>
      <c r="FV85" s="12">
        <v>3</v>
      </c>
      <c r="FW85" s="12">
        <v>1</v>
      </c>
      <c r="FX85" s="12">
        <v>5</v>
      </c>
      <c r="FY85" s="12">
        <v>1</v>
      </c>
      <c r="FZ85" s="12">
        <v>0</v>
      </c>
      <c r="GA85" s="12">
        <v>0</v>
      </c>
      <c r="GB85" s="12">
        <v>0</v>
      </c>
      <c r="GC85" s="12">
        <v>0</v>
      </c>
      <c r="GD85" s="12">
        <v>2</v>
      </c>
      <c r="GE85" s="12">
        <v>3</v>
      </c>
      <c r="GF85" s="12">
        <v>9</v>
      </c>
      <c r="GG85" s="12">
        <v>10</v>
      </c>
      <c r="GH85" s="12">
        <v>0</v>
      </c>
      <c r="GI85" s="12">
        <v>0</v>
      </c>
      <c r="GJ85" s="12">
        <v>0</v>
      </c>
      <c r="GK85" s="12">
        <v>0</v>
      </c>
      <c r="GL85" s="12">
        <v>9</v>
      </c>
      <c r="GM85" s="12">
        <v>10</v>
      </c>
      <c r="GN85" s="12">
        <v>9</v>
      </c>
      <c r="GO85" s="12">
        <v>15</v>
      </c>
      <c r="GP85" s="12">
        <v>2</v>
      </c>
      <c r="GQ85" s="12">
        <v>6</v>
      </c>
      <c r="GR85" s="12">
        <v>0</v>
      </c>
      <c r="GS85" s="12">
        <v>1</v>
      </c>
      <c r="GT85" s="12">
        <v>7</v>
      </c>
      <c r="GU85" s="12">
        <v>27</v>
      </c>
      <c r="GV85" s="12">
        <v>0</v>
      </c>
      <c r="GW85" s="12">
        <v>0</v>
      </c>
    </row>
    <row r="86" spans="2:205" ht="15" customHeight="1" x14ac:dyDescent="0.2">
      <c r="B86" s="12">
        <v>5</v>
      </c>
      <c r="C86" s="12" t="s">
        <v>265</v>
      </c>
      <c r="D86" s="12" t="s">
        <v>285</v>
      </c>
      <c r="E86" s="14" t="s">
        <v>267</v>
      </c>
      <c r="F86" s="14" t="s">
        <v>287</v>
      </c>
      <c r="G86" s="15">
        <v>45226</v>
      </c>
      <c r="H86" s="15" t="s">
        <v>268</v>
      </c>
      <c r="I86" s="12" t="s">
        <v>269</v>
      </c>
      <c r="J86" s="12" t="s">
        <v>272</v>
      </c>
      <c r="K86" s="12">
        <v>200</v>
      </c>
      <c r="L86" s="12">
        <v>87</v>
      </c>
      <c r="M86" s="12">
        <v>22</v>
      </c>
      <c r="N86" s="12">
        <v>36</v>
      </c>
      <c r="O86" s="16">
        <v>0.61111111111111116</v>
      </c>
      <c r="P86" s="12">
        <v>11</v>
      </c>
      <c r="Q86" s="12">
        <v>24</v>
      </c>
      <c r="R86" s="16">
        <v>0.45833333333333331</v>
      </c>
      <c r="S86" s="12">
        <v>33</v>
      </c>
      <c r="T86" s="12">
        <v>60</v>
      </c>
      <c r="U86" s="16">
        <v>0.55000000000000004</v>
      </c>
      <c r="V86" s="12">
        <v>10</v>
      </c>
      <c r="W86" s="12">
        <v>10</v>
      </c>
      <c r="X86" s="16">
        <v>1</v>
      </c>
      <c r="Y86" s="12">
        <v>7</v>
      </c>
      <c r="Z86" s="12">
        <v>20</v>
      </c>
      <c r="AA86" s="12">
        <v>27</v>
      </c>
      <c r="AB86" s="12">
        <v>22</v>
      </c>
      <c r="AC86" s="12">
        <v>14</v>
      </c>
      <c r="AD86" s="12">
        <v>8</v>
      </c>
      <c r="AE86" s="12">
        <v>6</v>
      </c>
      <c r="AF86" s="12">
        <v>1</v>
      </c>
      <c r="AG86" s="12">
        <v>21</v>
      </c>
      <c r="AH86" s="12">
        <v>14</v>
      </c>
      <c r="AI86" s="17">
        <v>101</v>
      </c>
      <c r="AJ86" s="12">
        <v>3</v>
      </c>
      <c r="AK86" s="12">
        <v>71</v>
      </c>
      <c r="AL86" s="12">
        <v>78</v>
      </c>
      <c r="AM86" s="19">
        <v>1.1153846153846154</v>
      </c>
      <c r="AN86" s="19">
        <v>1.05</v>
      </c>
      <c r="AO86" s="18">
        <v>122.53521126760563</v>
      </c>
      <c r="AP86" s="18">
        <v>116.66666666666667</v>
      </c>
      <c r="AQ86" s="18">
        <v>5.8685446009389608</v>
      </c>
      <c r="AR86" s="53">
        <v>0.64166666666666672</v>
      </c>
      <c r="AS86" s="53">
        <v>0.6796875</v>
      </c>
      <c r="AT86" s="16">
        <v>0.19230769230769232</v>
      </c>
      <c r="AU86" s="19">
        <v>1.8666666666666667</v>
      </c>
      <c r="AV86" s="16">
        <v>0.12820512820512819</v>
      </c>
      <c r="AW86" s="19">
        <v>0.4</v>
      </c>
      <c r="AX86" s="16">
        <v>0.14102564102564102</v>
      </c>
      <c r="AY86" s="19">
        <v>1.0909090909090908</v>
      </c>
      <c r="AZ86" s="16">
        <v>2.564102564102564E-2</v>
      </c>
      <c r="BA86" s="19">
        <v>1.5</v>
      </c>
      <c r="BB86" s="16">
        <v>0.26923076923076922</v>
      </c>
      <c r="BC86" s="21">
        <v>1.4285714285714286</v>
      </c>
      <c r="BD86" s="16">
        <v>5.128205128205128E-2</v>
      </c>
      <c r="BE86" s="16">
        <v>0.17948717948717949</v>
      </c>
      <c r="BF86" s="16">
        <v>0.59459459459459463</v>
      </c>
      <c r="BG86" s="16">
        <v>0.45454545454545453</v>
      </c>
      <c r="BH86" s="16">
        <v>0.81818181818181823</v>
      </c>
      <c r="BI86" s="16">
        <v>0.75</v>
      </c>
      <c r="BJ86" s="16">
        <v>0.28205128205128205</v>
      </c>
      <c r="BK86" s="21">
        <v>1.5714285714285714</v>
      </c>
      <c r="BL86" s="16">
        <v>0.26923076923076922</v>
      </c>
      <c r="BM86" s="16">
        <v>0.2</v>
      </c>
      <c r="BN86" s="16">
        <v>0.33333333333333331</v>
      </c>
      <c r="BO86" s="16" t="s">
        <v>269</v>
      </c>
      <c r="BP86" s="16">
        <v>0.7142857142857143</v>
      </c>
      <c r="BQ86" s="16">
        <v>0.65217391304347827</v>
      </c>
      <c r="BR86" s="16">
        <v>0.8</v>
      </c>
      <c r="BS86" s="16">
        <v>1</v>
      </c>
      <c r="BT86" s="16">
        <v>0.5</v>
      </c>
      <c r="BU86" s="16">
        <v>0.1111111111111111</v>
      </c>
      <c r="BV86" s="16">
        <v>0.10344827586206896</v>
      </c>
      <c r="BW86" s="16">
        <v>3</v>
      </c>
      <c r="BX86" s="16">
        <v>0.38095238095238093</v>
      </c>
      <c r="BY86" s="16">
        <v>0.42857142857142855</v>
      </c>
      <c r="BZ86" s="12">
        <v>10</v>
      </c>
      <c r="CA86" s="12">
        <v>9</v>
      </c>
      <c r="CB86" s="12">
        <v>3</v>
      </c>
      <c r="CC86" s="12">
        <v>6</v>
      </c>
      <c r="CD86" s="12">
        <v>0</v>
      </c>
      <c r="CE86" s="12">
        <v>0</v>
      </c>
      <c r="CF86" s="12">
        <v>1</v>
      </c>
      <c r="CG86" s="12">
        <v>0</v>
      </c>
      <c r="CH86" s="12">
        <v>2</v>
      </c>
      <c r="CI86" s="12">
        <v>0</v>
      </c>
      <c r="CJ86" s="12">
        <v>0</v>
      </c>
      <c r="CK86" s="12">
        <v>0</v>
      </c>
      <c r="CL86" s="12">
        <v>4</v>
      </c>
      <c r="CM86" s="12">
        <v>1</v>
      </c>
      <c r="CN86" s="12">
        <v>0</v>
      </c>
      <c r="CO86" s="12">
        <v>0</v>
      </c>
      <c r="CP86" s="12">
        <v>4</v>
      </c>
      <c r="CQ86" s="12">
        <v>1</v>
      </c>
      <c r="CR86" s="12">
        <v>5</v>
      </c>
      <c r="CS86" s="12">
        <v>1</v>
      </c>
      <c r="CT86" s="12">
        <v>4</v>
      </c>
      <c r="CU86" s="12">
        <v>0</v>
      </c>
      <c r="CV86" s="12">
        <v>1</v>
      </c>
      <c r="CW86" s="12">
        <v>0</v>
      </c>
      <c r="CX86" s="12">
        <v>3</v>
      </c>
      <c r="CY86" s="12">
        <v>0</v>
      </c>
      <c r="CZ86" s="12">
        <v>3</v>
      </c>
      <c r="DA86" s="12">
        <v>0</v>
      </c>
      <c r="DB86" s="12">
        <v>0</v>
      </c>
      <c r="DC86" s="12">
        <v>0</v>
      </c>
      <c r="DD86" s="12">
        <v>2</v>
      </c>
      <c r="DE86" s="12">
        <v>2</v>
      </c>
      <c r="DF86" s="12">
        <v>8</v>
      </c>
      <c r="DG86" s="12">
        <v>8</v>
      </c>
      <c r="DH86" s="12">
        <v>0</v>
      </c>
      <c r="DI86" s="12">
        <v>0</v>
      </c>
      <c r="DJ86" s="12">
        <v>0</v>
      </c>
      <c r="DK86" s="12">
        <v>0</v>
      </c>
      <c r="DL86" s="12">
        <v>14</v>
      </c>
      <c r="DM86" s="12">
        <v>15</v>
      </c>
      <c r="DN86" s="12">
        <v>2</v>
      </c>
      <c r="DO86" s="12">
        <v>10</v>
      </c>
      <c r="DP86" s="12">
        <v>6</v>
      </c>
      <c r="DQ86" s="12">
        <v>11</v>
      </c>
      <c r="DR86" s="12">
        <v>1</v>
      </c>
      <c r="DS86" s="12">
        <v>2</v>
      </c>
      <c r="DT86" s="12">
        <v>10</v>
      </c>
      <c r="DU86" s="12">
        <v>21</v>
      </c>
      <c r="DV86" s="12">
        <v>0</v>
      </c>
      <c r="DW86" s="12">
        <v>1</v>
      </c>
      <c r="DX86" s="12">
        <v>84</v>
      </c>
      <c r="DY86" s="12">
        <v>22</v>
      </c>
      <c r="DZ86" s="12">
        <v>43</v>
      </c>
      <c r="EA86" s="16">
        <v>0.51162790697674421</v>
      </c>
      <c r="EB86" s="12">
        <v>9</v>
      </c>
      <c r="EC86" s="12">
        <v>15</v>
      </c>
      <c r="ED86" s="16">
        <v>0.6</v>
      </c>
      <c r="EE86" s="12">
        <v>31</v>
      </c>
      <c r="EF86" s="12">
        <v>58</v>
      </c>
      <c r="EG86" s="16">
        <v>0.53448275862068961</v>
      </c>
      <c r="EH86" s="12">
        <v>13</v>
      </c>
      <c r="EI86" s="12">
        <v>16</v>
      </c>
      <c r="EJ86" s="16">
        <v>0.8125</v>
      </c>
      <c r="EK86" s="12">
        <v>8</v>
      </c>
      <c r="EL86" s="12">
        <v>19</v>
      </c>
      <c r="EM86" s="12">
        <v>27</v>
      </c>
      <c r="EN86" s="12">
        <v>21</v>
      </c>
      <c r="EO86" s="12">
        <v>14</v>
      </c>
      <c r="EP86" s="12">
        <v>21</v>
      </c>
      <c r="EQ86" s="12">
        <v>6</v>
      </c>
      <c r="ER86" s="12">
        <v>15</v>
      </c>
      <c r="ES86" s="12">
        <v>1</v>
      </c>
      <c r="ET86" s="12">
        <v>6</v>
      </c>
      <c r="EU86" s="12">
        <v>95</v>
      </c>
      <c r="EV86" s="12">
        <v>-3</v>
      </c>
      <c r="EW86" s="12">
        <v>72</v>
      </c>
      <c r="EX86" s="12">
        <v>80</v>
      </c>
      <c r="EY86" s="12">
        <v>5</v>
      </c>
      <c r="EZ86" s="12">
        <v>11</v>
      </c>
      <c r="FA86" s="12">
        <v>9</v>
      </c>
      <c r="FB86" s="12">
        <v>1</v>
      </c>
      <c r="FC86" s="12">
        <v>0</v>
      </c>
      <c r="FD86" s="12">
        <v>2</v>
      </c>
      <c r="FE86" s="12">
        <v>0</v>
      </c>
      <c r="FF86" s="12">
        <v>4</v>
      </c>
      <c r="FG86" s="12">
        <v>1</v>
      </c>
      <c r="FH86" s="12">
        <v>1</v>
      </c>
      <c r="FI86" s="12">
        <v>0</v>
      </c>
      <c r="FJ86" s="12">
        <v>0</v>
      </c>
      <c r="FK86" s="12">
        <v>0</v>
      </c>
      <c r="FL86" s="12">
        <v>1</v>
      </c>
      <c r="FM86" s="12">
        <v>0</v>
      </c>
      <c r="FN86" s="12">
        <v>0</v>
      </c>
      <c r="FO86" s="12">
        <v>0</v>
      </c>
      <c r="FP86" s="12">
        <v>1</v>
      </c>
      <c r="FQ86" s="12">
        <v>0</v>
      </c>
      <c r="FR86" s="12">
        <v>7</v>
      </c>
      <c r="FS86" s="12">
        <v>1</v>
      </c>
      <c r="FT86" s="12">
        <v>3</v>
      </c>
      <c r="FU86" s="12">
        <v>0</v>
      </c>
      <c r="FV86" s="12">
        <v>1</v>
      </c>
      <c r="FW86" s="12">
        <v>1</v>
      </c>
      <c r="FX86" s="12">
        <v>7</v>
      </c>
      <c r="FY86" s="12">
        <v>1</v>
      </c>
      <c r="FZ86" s="12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1</v>
      </c>
      <c r="GF86" s="12">
        <v>10</v>
      </c>
      <c r="GG86" s="12">
        <v>12</v>
      </c>
      <c r="GH86" s="12">
        <v>0</v>
      </c>
      <c r="GI86" s="12">
        <v>3</v>
      </c>
      <c r="GJ86" s="12">
        <v>3</v>
      </c>
      <c r="GK86" s="12">
        <v>0</v>
      </c>
      <c r="GL86" s="12">
        <v>9</v>
      </c>
      <c r="GM86" s="12">
        <v>16</v>
      </c>
      <c r="GN86" s="12">
        <v>11</v>
      </c>
      <c r="GO86" s="12">
        <v>20</v>
      </c>
      <c r="GP86" s="12">
        <v>2</v>
      </c>
      <c r="GQ86" s="12">
        <v>7</v>
      </c>
      <c r="GR86" s="12">
        <v>2</v>
      </c>
      <c r="GS86" s="12">
        <v>3</v>
      </c>
      <c r="GT86" s="12">
        <v>7</v>
      </c>
      <c r="GU86" s="12">
        <v>12</v>
      </c>
      <c r="GV86" s="12">
        <v>0</v>
      </c>
      <c r="GW86" s="12">
        <v>0</v>
      </c>
    </row>
    <row r="87" spans="2:205" ht="15" customHeight="1" x14ac:dyDescent="0.2">
      <c r="B87" s="12">
        <v>5</v>
      </c>
      <c r="C87" s="12" t="s">
        <v>285</v>
      </c>
      <c r="D87" s="12" t="s">
        <v>265</v>
      </c>
      <c r="E87" s="14" t="s">
        <v>287</v>
      </c>
      <c r="F87" s="14" t="s">
        <v>267</v>
      </c>
      <c r="G87" s="15">
        <v>45226</v>
      </c>
      <c r="H87" s="15" t="s">
        <v>271</v>
      </c>
      <c r="I87" s="12" t="s">
        <v>269</v>
      </c>
      <c r="J87" s="12" t="s">
        <v>270</v>
      </c>
      <c r="K87" s="12">
        <v>200</v>
      </c>
      <c r="L87" s="12">
        <v>84</v>
      </c>
      <c r="M87" s="12">
        <v>22</v>
      </c>
      <c r="N87" s="12">
        <v>43</v>
      </c>
      <c r="O87" s="16">
        <v>0.51162790697674421</v>
      </c>
      <c r="P87" s="12">
        <v>9</v>
      </c>
      <c r="Q87" s="12">
        <v>15</v>
      </c>
      <c r="R87" s="16">
        <v>0.6</v>
      </c>
      <c r="S87" s="12">
        <v>31</v>
      </c>
      <c r="T87" s="12">
        <v>58</v>
      </c>
      <c r="U87" s="16">
        <v>0.53448275862068961</v>
      </c>
      <c r="V87" s="12">
        <v>13</v>
      </c>
      <c r="W87" s="12">
        <v>16</v>
      </c>
      <c r="X87" s="16">
        <v>0.8125</v>
      </c>
      <c r="Y87" s="12">
        <v>8</v>
      </c>
      <c r="Z87" s="12">
        <v>19</v>
      </c>
      <c r="AA87" s="12">
        <v>27</v>
      </c>
      <c r="AB87" s="12">
        <v>21</v>
      </c>
      <c r="AC87" s="12">
        <v>15</v>
      </c>
      <c r="AD87" s="12">
        <v>6</v>
      </c>
      <c r="AE87" s="12">
        <v>1</v>
      </c>
      <c r="AF87" s="12">
        <v>6</v>
      </c>
      <c r="AG87" s="12">
        <v>14</v>
      </c>
      <c r="AH87" s="12">
        <v>21</v>
      </c>
      <c r="AI87" s="17">
        <v>95</v>
      </c>
      <c r="AJ87" s="12">
        <v>-3</v>
      </c>
      <c r="AK87" s="12">
        <v>72</v>
      </c>
      <c r="AL87" s="12">
        <v>80</v>
      </c>
      <c r="AM87" s="19">
        <v>1.05</v>
      </c>
      <c r="AN87" s="19">
        <v>1.1153846153846154</v>
      </c>
      <c r="AO87" s="18">
        <v>116.66666666666667</v>
      </c>
      <c r="AP87" s="18">
        <v>122.53521126760563</v>
      </c>
      <c r="AQ87" s="18">
        <v>-5.8685446009389608</v>
      </c>
      <c r="AR87" s="53">
        <v>0.61206896551724133</v>
      </c>
      <c r="AS87" s="53">
        <v>0.64615384615384619</v>
      </c>
      <c r="AT87" s="16">
        <v>0.2</v>
      </c>
      <c r="AU87" s="19">
        <v>1.125</v>
      </c>
      <c r="AV87" s="16">
        <v>0.25</v>
      </c>
      <c r="AW87" s="19">
        <v>1.1000000000000001</v>
      </c>
      <c r="AX87" s="16">
        <v>8.7499999999999994E-2</v>
      </c>
      <c r="AY87" s="19">
        <v>0.5714285714285714</v>
      </c>
      <c r="AZ87" s="16">
        <v>3.7499999999999999E-2</v>
      </c>
      <c r="BA87" s="19">
        <v>2</v>
      </c>
      <c r="BB87" s="16">
        <v>0.15</v>
      </c>
      <c r="BC87" s="21">
        <v>1.75</v>
      </c>
      <c r="BD87" s="16">
        <v>8.7499999999999994E-2</v>
      </c>
      <c r="BE87" s="16">
        <v>0.1875</v>
      </c>
      <c r="BF87" s="16">
        <v>0.55263157894736847</v>
      </c>
      <c r="BG87" s="16">
        <v>0.5</v>
      </c>
      <c r="BH87" s="16">
        <v>1</v>
      </c>
      <c r="BI87" s="16">
        <v>0.14285714285714285</v>
      </c>
      <c r="BJ87" s="16">
        <v>0.26250000000000001</v>
      </c>
      <c r="BK87" s="21">
        <v>1.4</v>
      </c>
      <c r="BL87" s="16">
        <v>0.2857142857142857</v>
      </c>
      <c r="BM87" s="16">
        <v>0.34782608695652173</v>
      </c>
      <c r="BN87" s="16">
        <v>0.2</v>
      </c>
      <c r="BO87" s="16">
        <v>0</v>
      </c>
      <c r="BP87" s="16">
        <v>0.73076923076923073</v>
      </c>
      <c r="BQ87" s="16">
        <v>0.8</v>
      </c>
      <c r="BR87" s="16">
        <v>0.66666666666666663</v>
      </c>
      <c r="BS87" s="16" t="s">
        <v>269</v>
      </c>
      <c r="BT87" s="16">
        <v>0.5</v>
      </c>
      <c r="BU87" s="16">
        <v>8.4507042253521125E-2</v>
      </c>
      <c r="BV87" s="16">
        <v>1.6666666666666666E-2</v>
      </c>
      <c r="BW87" s="16">
        <v>5</v>
      </c>
      <c r="BX87" s="16">
        <v>0.42857142857142855</v>
      </c>
      <c r="BY87" s="16">
        <v>0.38095238095238093</v>
      </c>
      <c r="BZ87" s="12">
        <v>11</v>
      </c>
      <c r="CA87" s="12">
        <v>9</v>
      </c>
      <c r="CB87" s="12">
        <v>1</v>
      </c>
      <c r="CC87" s="12">
        <v>0</v>
      </c>
      <c r="CD87" s="12">
        <v>2</v>
      </c>
      <c r="CE87" s="12">
        <v>0</v>
      </c>
      <c r="CF87" s="12">
        <v>4</v>
      </c>
      <c r="CG87" s="12">
        <v>1</v>
      </c>
      <c r="CH87" s="12">
        <v>1</v>
      </c>
      <c r="CI87" s="12">
        <v>0</v>
      </c>
      <c r="CJ87" s="12">
        <v>0</v>
      </c>
      <c r="CK87" s="12">
        <v>0</v>
      </c>
      <c r="CL87" s="12">
        <v>1</v>
      </c>
      <c r="CM87" s="12">
        <v>0</v>
      </c>
      <c r="CN87" s="12">
        <v>0</v>
      </c>
      <c r="CO87" s="12">
        <v>0</v>
      </c>
      <c r="CP87" s="12">
        <v>1</v>
      </c>
      <c r="CQ87" s="12">
        <v>0</v>
      </c>
      <c r="CR87" s="12">
        <v>7</v>
      </c>
      <c r="CS87" s="12">
        <v>1</v>
      </c>
      <c r="CT87" s="12">
        <v>3</v>
      </c>
      <c r="CU87" s="12">
        <v>0</v>
      </c>
      <c r="CV87" s="12">
        <v>1</v>
      </c>
      <c r="CW87" s="12">
        <v>1</v>
      </c>
      <c r="CX87" s="12">
        <v>7</v>
      </c>
      <c r="CY87" s="12">
        <v>1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1</v>
      </c>
      <c r="DF87" s="12">
        <v>10</v>
      </c>
      <c r="DG87" s="12">
        <v>12</v>
      </c>
      <c r="DH87" s="12">
        <v>0</v>
      </c>
      <c r="DI87" s="12">
        <v>3</v>
      </c>
      <c r="DJ87" s="12">
        <v>3</v>
      </c>
      <c r="DK87" s="12">
        <v>0</v>
      </c>
      <c r="DL87" s="12">
        <v>9</v>
      </c>
      <c r="DM87" s="12">
        <v>16</v>
      </c>
      <c r="DN87" s="12">
        <v>11</v>
      </c>
      <c r="DO87" s="12">
        <v>20</v>
      </c>
      <c r="DP87" s="12">
        <v>2</v>
      </c>
      <c r="DQ87" s="12">
        <v>7</v>
      </c>
      <c r="DR87" s="12">
        <v>2</v>
      </c>
      <c r="DS87" s="12">
        <v>3</v>
      </c>
      <c r="DT87" s="12">
        <v>7</v>
      </c>
      <c r="DU87" s="12">
        <v>12</v>
      </c>
      <c r="DV87" s="12">
        <v>0</v>
      </c>
      <c r="DW87" s="12">
        <v>0</v>
      </c>
      <c r="DX87" s="12">
        <v>87</v>
      </c>
      <c r="DY87" s="12">
        <v>22</v>
      </c>
      <c r="DZ87" s="12">
        <v>36</v>
      </c>
      <c r="EA87" s="16">
        <v>0.61111111111111116</v>
      </c>
      <c r="EB87" s="12">
        <v>11</v>
      </c>
      <c r="EC87" s="12">
        <v>24</v>
      </c>
      <c r="ED87" s="16">
        <v>0.45833333333333331</v>
      </c>
      <c r="EE87" s="12">
        <v>33</v>
      </c>
      <c r="EF87" s="12">
        <v>60</v>
      </c>
      <c r="EG87" s="16">
        <v>0.55000000000000004</v>
      </c>
      <c r="EH87" s="12">
        <v>10</v>
      </c>
      <c r="EI87" s="12">
        <v>10</v>
      </c>
      <c r="EJ87" s="16">
        <v>1</v>
      </c>
      <c r="EK87" s="12">
        <v>7</v>
      </c>
      <c r="EL87" s="12">
        <v>20</v>
      </c>
      <c r="EM87" s="12">
        <v>27</v>
      </c>
      <c r="EN87" s="12">
        <v>22</v>
      </c>
      <c r="EO87" s="12">
        <v>21</v>
      </c>
      <c r="EP87" s="12">
        <v>14</v>
      </c>
      <c r="EQ87" s="12">
        <v>8</v>
      </c>
      <c r="ER87" s="12">
        <v>14</v>
      </c>
      <c r="ES87" s="12">
        <v>6</v>
      </c>
      <c r="ET87" s="12">
        <v>1</v>
      </c>
      <c r="EU87" s="12">
        <v>101</v>
      </c>
      <c r="EV87" s="12">
        <v>3</v>
      </c>
      <c r="EW87" s="12">
        <v>71</v>
      </c>
      <c r="EX87" s="12">
        <v>78</v>
      </c>
      <c r="EY87" s="12">
        <v>3</v>
      </c>
      <c r="EZ87" s="12">
        <v>10</v>
      </c>
      <c r="FA87" s="12">
        <v>9</v>
      </c>
      <c r="FB87" s="12">
        <v>3</v>
      </c>
      <c r="FC87" s="12">
        <v>6</v>
      </c>
      <c r="FD87" s="12">
        <v>0</v>
      </c>
      <c r="FE87" s="12">
        <v>0</v>
      </c>
      <c r="FF87" s="12">
        <v>1</v>
      </c>
      <c r="FG87" s="12">
        <v>0</v>
      </c>
      <c r="FH87" s="12">
        <v>2</v>
      </c>
      <c r="FI87" s="12">
        <v>0</v>
      </c>
      <c r="FJ87" s="12">
        <v>0</v>
      </c>
      <c r="FK87" s="12">
        <v>0</v>
      </c>
      <c r="FL87" s="12">
        <v>4</v>
      </c>
      <c r="FM87" s="12">
        <v>1</v>
      </c>
      <c r="FN87" s="12">
        <v>0</v>
      </c>
      <c r="FO87" s="12">
        <v>0</v>
      </c>
      <c r="FP87" s="12">
        <v>4</v>
      </c>
      <c r="FQ87" s="12">
        <v>1</v>
      </c>
      <c r="FR87" s="12">
        <v>5</v>
      </c>
      <c r="FS87" s="12">
        <v>1</v>
      </c>
      <c r="FT87" s="12">
        <v>4</v>
      </c>
      <c r="FU87" s="12">
        <v>0</v>
      </c>
      <c r="FV87" s="12">
        <v>1</v>
      </c>
      <c r="FW87" s="12">
        <v>0</v>
      </c>
      <c r="FX87" s="12">
        <v>3</v>
      </c>
      <c r="FY87" s="12">
        <v>0</v>
      </c>
      <c r="FZ87" s="12">
        <v>3</v>
      </c>
      <c r="GA87" s="12">
        <v>0</v>
      </c>
      <c r="GB87" s="12">
        <v>0</v>
      </c>
      <c r="GC87" s="12">
        <v>0</v>
      </c>
      <c r="GD87" s="12">
        <v>2</v>
      </c>
      <c r="GE87" s="12">
        <v>2</v>
      </c>
      <c r="GF87" s="12">
        <v>8</v>
      </c>
      <c r="GG87" s="12">
        <v>8</v>
      </c>
      <c r="GH87" s="12">
        <v>0</v>
      </c>
      <c r="GI87" s="12">
        <v>0</v>
      </c>
      <c r="GJ87" s="12">
        <v>0</v>
      </c>
      <c r="GK87" s="12">
        <v>0</v>
      </c>
      <c r="GL87" s="12">
        <v>14</v>
      </c>
      <c r="GM87" s="12">
        <v>15</v>
      </c>
      <c r="GN87" s="12">
        <v>2</v>
      </c>
      <c r="GO87" s="12">
        <v>10</v>
      </c>
      <c r="GP87" s="12">
        <v>6</v>
      </c>
      <c r="GQ87" s="12">
        <v>11</v>
      </c>
      <c r="GR87" s="12">
        <v>1</v>
      </c>
      <c r="GS87" s="12">
        <v>2</v>
      </c>
      <c r="GT87" s="12">
        <v>10</v>
      </c>
      <c r="GU87" s="12">
        <v>21</v>
      </c>
      <c r="GV87" s="12">
        <v>0</v>
      </c>
      <c r="GW87" s="12">
        <v>1</v>
      </c>
    </row>
    <row r="88" spans="2:205" ht="15" customHeight="1" x14ac:dyDescent="0.2">
      <c r="B88" s="12">
        <v>5</v>
      </c>
      <c r="C88" s="12" t="s">
        <v>297</v>
      </c>
      <c r="D88" s="12" t="s">
        <v>294</v>
      </c>
      <c r="E88" s="14" t="s">
        <v>299</v>
      </c>
      <c r="F88" s="14" t="s">
        <v>296</v>
      </c>
      <c r="G88" s="15">
        <v>45226</v>
      </c>
      <c r="H88" s="15" t="s">
        <v>271</v>
      </c>
      <c r="I88" s="12" t="s">
        <v>269</v>
      </c>
      <c r="J88" s="12" t="s">
        <v>272</v>
      </c>
      <c r="K88" s="12">
        <v>200</v>
      </c>
      <c r="L88" s="12">
        <v>95</v>
      </c>
      <c r="M88" s="12">
        <v>25</v>
      </c>
      <c r="N88" s="12">
        <v>43</v>
      </c>
      <c r="O88" s="16">
        <v>0.58139534883720934</v>
      </c>
      <c r="P88" s="12">
        <v>9</v>
      </c>
      <c r="Q88" s="12">
        <v>26</v>
      </c>
      <c r="R88" s="16">
        <v>0.34615384615384615</v>
      </c>
      <c r="S88" s="12">
        <v>34</v>
      </c>
      <c r="T88" s="12">
        <v>69</v>
      </c>
      <c r="U88" s="16">
        <v>0.49275362318840582</v>
      </c>
      <c r="V88" s="12">
        <v>18</v>
      </c>
      <c r="W88" s="12">
        <v>21</v>
      </c>
      <c r="X88" s="16">
        <v>0.8571428571428571</v>
      </c>
      <c r="Y88" s="12">
        <v>15</v>
      </c>
      <c r="Z88" s="12">
        <v>27</v>
      </c>
      <c r="AA88" s="12">
        <v>42</v>
      </c>
      <c r="AB88" s="12">
        <v>15</v>
      </c>
      <c r="AC88" s="12">
        <v>13</v>
      </c>
      <c r="AD88" s="12">
        <v>5</v>
      </c>
      <c r="AE88" s="12">
        <v>4</v>
      </c>
      <c r="AF88" s="12">
        <v>2</v>
      </c>
      <c r="AG88" s="12">
        <v>18</v>
      </c>
      <c r="AH88" s="12">
        <v>21</v>
      </c>
      <c r="AI88" s="17">
        <v>111</v>
      </c>
      <c r="AJ88" s="12">
        <v>14</v>
      </c>
      <c r="AK88" s="12">
        <v>74</v>
      </c>
      <c r="AL88" s="12">
        <v>89</v>
      </c>
      <c r="AM88" s="19">
        <v>1.0674157303370786</v>
      </c>
      <c r="AN88" s="19">
        <v>0.95294117647058818</v>
      </c>
      <c r="AO88" s="18">
        <v>128.37837837837839</v>
      </c>
      <c r="AP88" s="18">
        <v>108</v>
      </c>
      <c r="AQ88" s="18">
        <v>20.378378378378386</v>
      </c>
      <c r="AR88" s="53">
        <v>0.55797101449275366</v>
      </c>
      <c r="AS88" s="53">
        <v>0.625</v>
      </c>
      <c r="AT88" s="16">
        <v>0.2247191011235955</v>
      </c>
      <c r="AU88" s="19">
        <v>1.5</v>
      </c>
      <c r="AV88" s="16">
        <v>0.19101123595505617</v>
      </c>
      <c r="AW88" s="19">
        <v>0.94117647058823528</v>
      </c>
      <c r="AX88" s="16">
        <v>6.741573033707865E-2</v>
      </c>
      <c r="AY88" s="19">
        <v>0.66666666666666663</v>
      </c>
      <c r="AZ88" s="16">
        <v>2.247191011235955E-2</v>
      </c>
      <c r="BA88" s="19">
        <v>0</v>
      </c>
      <c r="BB88" s="16">
        <v>0.25842696629213485</v>
      </c>
      <c r="BC88" s="21">
        <v>1.173913043478261</v>
      </c>
      <c r="BD88" s="16">
        <v>7.8651685393258425E-2</v>
      </c>
      <c r="BE88" s="16">
        <v>0.14606741573033707</v>
      </c>
      <c r="BF88" s="16">
        <v>0.36585365853658536</v>
      </c>
      <c r="BG88" s="16">
        <v>0.32</v>
      </c>
      <c r="BH88" s="16">
        <v>0.66666666666666663</v>
      </c>
      <c r="BI88" s="16">
        <v>0.14285714285714285</v>
      </c>
      <c r="BJ88" s="16">
        <v>0.16853932584269662</v>
      </c>
      <c r="BK88" s="21">
        <v>1.1538461538461537</v>
      </c>
      <c r="BL88" s="16">
        <v>0.40540540540540543</v>
      </c>
      <c r="BM88" s="16">
        <v>0.36842105263157893</v>
      </c>
      <c r="BN88" s="16">
        <v>0.47058823529411764</v>
      </c>
      <c r="BO88" s="16">
        <v>0</v>
      </c>
      <c r="BP88" s="16">
        <v>0.72972972972972971</v>
      </c>
      <c r="BQ88" s="16">
        <v>0.70833333333333337</v>
      </c>
      <c r="BR88" s="16">
        <v>0.72222222222222221</v>
      </c>
      <c r="BS88" s="16">
        <v>1</v>
      </c>
      <c r="BT88" s="16">
        <v>0.56756756756756754</v>
      </c>
      <c r="BU88" s="16">
        <v>6.6666666666666666E-2</v>
      </c>
      <c r="BV88" s="16">
        <v>5.7971014492753624E-2</v>
      </c>
      <c r="BW88" s="16">
        <v>3</v>
      </c>
      <c r="BX88" s="16">
        <v>0.33333333333333331</v>
      </c>
      <c r="BY88" s="16">
        <v>0.61904761904761907</v>
      </c>
      <c r="BZ88" s="12">
        <v>8</v>
      </c>
      <c r="CA88" s="12">
        <v>6</v>
      </c>
      <c r="CB88" s="12">
        <v>1</v>
      </c>
      <c r="CC88" s="12">
        <v>2</v>
      </c>
      <c r="CD88" s="12">
        <v>4</v>
      </c>
      <c r="CE88" s="12">
        <v>0</v>
      </c>
      <c r="CF88" s="12">
        <v>2</v>
      </c>
      <c r="CG88" s="12">
        <v>0</v>
      </c>
      <c r="CH88" s="12">
        <v>1</v>
      </c>
      <c r="CI88" s="12">
        <v>0</v>
      </c>
      <c r="CJ88" s="12">
        <v>1</v>
      </c>
      <c r="CK88" s="12">
        <v>0</v>
      </c>
      <c r="CL88" s="12">
        <v>7</v>
      </c>
      <c r="CM88" s="12">
        <v>0</v>
      </c>
      <c r="CN88" s="12">
        <v>0</v>
      </c>
      <c r="CO88" s="12">
        <v>0</v>
      </c>
      <c r="CP88" s="12">
        <v>4</v>
      </c>
      <c r="CQ88" s="12">
        <v>1</v>
      </c>
      <c r="CR88" s="12">
        <v>7</v>
      </c>
      <c r="CS88" s="12">
        <v>1</v>
      </c>
      <c r="CT88" s="12">
        <v>2</v>
      </c>
      <c r="CU88" s="12">
        <v>2</v>
      </c>
      <c r="CV88" s="12">
        <v>4</v>
      </c>
      <c r="CW88" s="12">
        <v>0</v>
      </c>
      <c r="CX88" s="12">
        <v>8</v>
      </c>
      <c r="CY88" s="12">
        <v>1</v>
      </c>
      <c r="CZ88" s="12">
        <v>1</v>
      </c>
      <c r="DA88" s="12">
        <v>0</v>
      </c>
      <c r="DB88" s="12">
        <v>1</v>
      </c>
      <c r="DC88" s="12">
        <v>1</v>
      </c>
      <c r="DD88" s="12">
        <v>3</v>
      </c>
      <c r="DE88" s="12">
        <v>6</v>
      </c>
      <c r="DF88" s="12">
        <v>14</v>
      </c>
      <c r="DG88" s="12">
        <v>14</v>
      </c>
      <c r="DH88" s="12">
        <v>0</v>
      </c>
      <c r="DI88" s="12">
        <v>0</v>
      </c>
      <c r="DJ88" s="12">
        <v>0</v>
      </c>
      <c r="DK88" s="12">
        <v>0</v>
      </c>
      <c r="DL88" s="12">
        <v>15</v>
      </c>
      <c r="DM88" s="12">
        <v>20</v>
      </c>
      <c r="DN88" s="12">
        <v>8</v>
      </c>
      <c r="DO88" s="12">
        <v>17</v>
      </c>
      <c r="DP88" s="12">
        <v>2</v>
      </c>
      <c r="DQ88" s="12">
        <v>6</v>
      </c>
      <c r="DR88" s="12">
        <v>0</v>
      </c>
      <c r="DS88" s="12">
        <v>2</v>
      </c>
      <c r="DT88" s="12">
        <v>9</v>
      </c>
      <c r="DU88" s="12">
        <v>23</v>
      </c>
      <c r="DV88" s="12">
        <v>0</v>
      </c>
      <c r="DW88" s="12">
        <v>1</v>
      </c>
      <c r="DX88" s="12">
        <v>81</v>
      </c>
      <c r="DY88" s="12">
        <v>26</v>
      </c>
      <c r="DZ88" s="12">
        <v>44</v>
      </c>
      <c r="EA88" s="16">
        <v>0.59090909090909094</v>
      </c>
      <c r="EB88" s="12">
        <v>7</v>
      </c>
      <c r="EC88" s="12">
        <v>25</v>
      </c>
      <c r="ED88" s="16">
        <v>0.28000000000000003</v>
      </c>
      <c r="EE88" s="12">
        <v>33</v>
      </c>
      <c r="EF88" s="12">
        <v>69</v>
      </c>
      <c r="EG88" s="16">
        <v>0.47826086956521741</v>
      </c>
      <c r="EH88" s="12">
        <v>8</v>
      </c>
      <c r="EI88" s="12">
        <v>12</v>
      </c>
      <c r="EJ88" s="16">
        <v>0.66666666666666663</v>
      </c>
      <c r="EK88" s="12">
        <v>10</v>
      </c>
      <c r="EL88" s="12">
        <v>22</v>
      </c>
      <c r="EM88" s="12">
        <v>32</v>
      </c>
      <c r="EN88" s="12">
        <v>16</v>
      </c>
      <c r="EO88" s="12">
        <v>22</v>
      </c>
      <c r="EP88" s="12">
        <v>18</v>
      </c>
      <c r="EQ88" s="12">
        <v>7</v>
      </c>
      <c r="ER88" s="12">
        <v>12</v>
      </c>
      <c r="ES88" s="12">
        <v>2</v>
      </c>
      <c r="ET88" s="12">
        <v>4</v>
      </c>
      <c r="EU88" s="12">
        <v>78</v>
      </c>
      <c r="EV88" s="12">
        <v>-14</v>
      </c>
      <c r="EW88" s="12">
        <v>75</v>
      </c>
      <c r="EX88" s="12">
        <v>85</v>
      </c>
      <c r="EY88" s="12">
        <v>2</v>
      </c>
      <c r="EZ88" s="12">
        <v>13</v>
      </c>
      <c r="FA88" s="12">
        <v>2</v>
      </c>
      <c r="FB88" s="12">
        <v>1</v>
      </c>
      <c r="FC88" s="12">
        <v>3</v>
      </c>
      <c r="FD88" s="12">
        <v>1</v>
      </c>
      <c r="FE88" s="12">
        <v>1</v>
      </c>
      <c r="FF88" s="12">
        <v>2</v>
      </c>
      <c r="FG88" s="12">
        <v>1</v>
      </c>
      <c r="FH88" s="12">
        <v>2</v>
      </c>
      <c r="FI88" s="12">
        <v>0</v>
      </c>
      <c r="FJ88" s="12">
        <v>2</v>
      </c>
      <c r="FK88" s="12">
        <v>0</v>
      </c>
      <c r="FL88" s="12">
        <v>3</v>
      </c>
      <c r="FM88" s="12">
        <v>0</v>
      </c>
      <c r="FN88" s="12">
        <v>0</v>
      </c>
      <c r="FO88" s="12">
        <v>0</v>
      </c>
      <c r="FP88" s="12">
        <v>1</v>
      </c>
      <c r="FQ88" s="12">
        <v>1</v>
      </c>
      <c r="FR88" s="12">
        <v>7</v>
      </c>
      <c r="FS88" s="12">
        <v>0</v>
      </c>
      <c r="FT88" s="12">
        <v>3</v>
      </c>
      <c r="FU88" s="12">
        <v>0</v>
      </c>
      <c r="FV88" s="12">
        <v>1</v>
      </c>
      <c r="FW88" s="12">
        <v>0</v>
      </c>
      <c r="FX88" s="12">
        <v>7</v>
      </c>
      <c r="FY88" s="12">
        <v>1</v>
      </c>
      <c r="FZ88" s="12">
        <v>3</v>
      </c>
      <c r="GA88" s="12">
        <v>0</v>
      </c>
      <c r="GB88" s="12">
        <v>0</v>
      </c>
      <c r="GC88" s="12">
        <v>0</v>
      </c>
      <c r="GD88" s="12">
        <v>2</v>
      </c>
      <c r="GE88" s="12">
        <v>2</v>
      </c>
      <c r="GF88" s="12">
        <v>2</v>
      </c>
      <c r="GG88" s="12">
        <v>4</v>
      </c>
      <c r="GH88" s="12">
        <v>0</v>
      </c>
      <c r="GI88" s="12">
        <v>4</v>
      </c>
      <c r="GJ88" s="12">
        <v>6</v>
      </c>
      <c r="GK88" s="12">
        <v>0</v>
      </c>
      <c r="GL88" s="12">
        <v>16</v>
      </c>
      <c r="GM88" s="12">
        <v>21</v>
      </c>
      <c r="GN88" s="12">
        <v>8</v>
      </c>
      <c r="GO88" s="12">
        <v>17</v>
      </c>
      <c r="GP88" s="12">
        <v>2</v>
      </c>
      <c r="GQ88" s="12">
        <v>6</v>
      </c>
      <c r="GR88" s="12">
        <v>1</v>
      </c>
      <c r="GS88" s="12">
        <v>7</v>
      </c>
      <c r="GT88" s="12">
        <v>6</v>
      </c>
      <c r="GU88" s="12">
        <v>17</v>
      </c>
      <c r="GV88" s="12">
        <v>0</v>
      </c>
      <c r="GW88" s="12">
        <v>1</v>
      </c>
    </row>
    <row r="89" spans="2:205" ht="15" customHeight="1" x14ac:dyDescent="0.2">
      <c r="B89" s="12">
        <v>5</v>
      </c>
      <c r="C89" s="12" t="s">
        <v>294</v>
      </c>
      <c r="D89" s="12" t="s">
        <v>297</v>
      </c>
      <c r="E89" s="14" t="s">
        <v>296</v>
      </c>
      <c r="F89" s="14" t="s">
        <v>299</v>
      </c>
      <c r="G89" s="15">
        <v>45226</v>
      </c>
      <c r="H89" s="15" t="s">
        <v>268</v>
      </c>
      <c r="I89" s="12" t="s">
        <v>269</v>
      </c>
      <c r="J89" s="12" t="s">
        <v>270</v>
      </c>
      <c r="K89" s="12">
        <v>200</v>
      </c>
      <c r="L89" s="12">
        <v>81</v>
      </c>
      <c r="M89" s="12">
        <v>26</v>
      </c>
      <c r="N89" s="12">
        <v>44</v>
      </c>
      <c r="O89" s="16">
        <v>0.59090909090909094</v>
      </c>
      <c r="P89" s="12">
        <v>7</v>
      </c>
      <c r="Q89" s="12">
        <v>25</v>
      </c>
      <c r="R89" s="16">
        <v>0.28000000000000003</v>
      </c>
      <c r="S89" s="12">
        <v>33</v>
      </c>
      <c r="T89" s="12">
        <v>69</v>
      </c>
      <c r="U89" s="16">
        <v>0.47826086956521741</v>
      </c>
      <c r="V89" s="12">
        <v>8</v>
      </c>
      <c r="W89" s="12">
        <v>12</v>
      </c>
      <c r="X89" s="16">
        <v>0.66666666666666663</v>
      </c>
      <c r="Y89" s="12">
        <v>10</v>
      </c>
      <c r="Z89" s="12">
        <v>22</v>
      </c>
      <c r="AA89" s="12">
        <v>32</v>
      </c>
      <c r="AB89" s="12">
        <v>16</v>
      </c>
      <c r="AC89" s="12">
        <v>12</v>
      </c>
      <c r="AD89" s="12">
        <v>7</v>
      </c>
      <c r="AE89" s="12">
        <v>2</v>
      </c>
      <c r="AF89" s="12">
        <v>4</v>
      </c>
      <c r="AG89" s="12">
        <v>21</v>
      </c>
      <c r="AH89" s="12">
        <v>18</v>
      </c>
      <c r="AI89" s="17">
        <v>79</v>
      </c>
      <c r="AJ89" s="12">
        <v>-14</v>
      </c>
      <c r="AK89" s="12">
        <v>75</v>
      </c>
      <c r="AL89" s="12">
        <v>85</v>
      </c>
      <c r="AM89" s="19">
        <v>0.95294117647058818</v>
      </c>
      <c r="AN89" s="19">
        <v>1.0674157303370786</v>
      </c>
      <c r="AO89" s="18">
        <v>108</v>
      </c>
      <c r="AP89" s="18">
        <v>128.37837837837839</v>
      </c>
      <c r="AQ89" s="18">
        <v>-20.378378378378386</v>
      </c>
      <c r="AR89" s="53">
        <v>0.52898550724637683</v>
      </c>
      <c r="AS89" s="53">
        <v>0.5547945205479452</v>
      </c>
      <c r="AT89" s="16">
        <v>0.24705882352941178</v>
      </c>
      <c r="AU89" s="19">
        <v>1.5238095238095237</v>
      </c>
      <c r="AV89" s="16">
        <v>0.2</v>
      </c>
      <c r="AW89" s="19">
        <v>0.94117647058823528</v>
      </c>
      <c r="AX89" s="16">
        <v>7.0588235294117646E-2</v>
      </c>
      <c r="AY89" s="19">
        <v>0.66666666666666663</v>
      </c>
      <c r="AZ89" s="16">
        <v>8.2352941176470587E-2</v>
      </c>
      <c r="BA89" s="19">
        <v>0.42857142857142855</v>
      </c>
      <c r="BB89" s="16">
        <v>0.2</v>
      </c>
      <c r="BC89" s="21">
        <v>1.0588235294117647</v>
      </c>
      <c r="BD89" s="16">
        <v>4.7058823529411764E-2</v>
      </c>
      <c r="BE89" s="16">
        <v>0.14117647058823529</v>
      </c>
      <c r="BF89" s="16">
        <v>0.43243243243243246</v>
      </c>
      <c r="BG89" s="16">
        <v>0.5</v>
      </c>
      <c r="BH89" s="16">
        <v>0.2857142857142857</v>
      </c>
      <c r="BI89" s="16">
        <v>0.25</v>
      </c>
      <c r="BJ89" s="16">
        <v>0.18823529411764706</v>
      </c>
      <c r="BK89" s="21">
        <v>1.3333333333333333</v>
      </c>
      <c r="BL89" s="16">
        <v>0.27027027027027029</v>
      </c>
      <c r="BM89" s="16">
        <v>0.29166666666666669</v>
      </c>
      <c r="BN89" s="16">
        <v>0.27777777777777779</v>
      </c>
      <c r="BO89" s="16">
        <v>0</v>
      </c>
      <c r="BP89" s="16">
        <v>0.59459459459459463</v>
      </c>
      <c r="BQ89" s="16">
        <v>0.63157894736842102</v>
      </c>
      <c r="BR89" s="16">
        <v>0.52941176470588236</v>
      </c>
      <c r="BS89" s="16">
        <v>1</v>
      </c>
      <c r="BT89" s="16">
        <v>0.43243243243243246</v>
      </c>
      <c r="BU89" s="16">
        <v>9.45945945945946E-2</v>
      </c>
      <c r="BV89" s="16">
        <v>2.8985507246376812E-2</v>
      </c>
      <c r="BW89" s="16">
        <v>2</v>
      </c>
      <c r="BX89" s="16">
        <v>0.61904761904761907</v>
      </c>
      <c r="BY89" s="16">
        <v>0.33333333333333331</v>
      </c>
      <c r="BZ89" s="12">
        <v>13</v>
      </c>
      <c r="CA89" s="12">
        <v>2</v>
      </c>
      <c r="CB89" s="12">
        <v>1</v>
      </c>
      <c r="CC89" s="12">
        <v>3</v>
      </c>
      <c r="CD89" s="12">
        <v>1</v>
      </c>
      <c r="CE89" s="12">
        <v>1</v>
      </c>
      <c r="CF89" s="12">
        <v>2</v>
      </c>
      <c r="CG89" s="12">
        <v>1</v>
      </c>
      <c r="CH89" s="12">
        <v>2</v>
      </c>
      <c r="CI89" s="12">
        <v>0</v>
      </c>
      <c r="CJ89" s="12">
        <v>2</v>
      </c>
      <c r="CK89" s="12">
        <v>0</v>
      </c>
      <c r="CL89" s="12">
        <v>3</v>
      </c>
      <c r="CM89" s="12">
        <v>0</v>
      </c>
      <c r="CN89" s="12">
        <v>0</v>
      </c>
      <c r="CO89" s="12">
        <v>0</v>
      </c>
      <c r="CP89" s="12">
        <v>1</v>
      </c>
      <c r="CQ89" s="12">
        <v>1</v>
      </c>
      <c r="CR89" s="12">
        <v>7</v>
      </c>
      <c r="CS89" s="12">
        <v>0</v>
      </c>
      <c r="CT89" s="12">
        <v>3</v>
      </c>
      <c r="CU89" s="12">
        <v>0</v>
      </c>
      <c r="CV89" s="12">
        <v>1</v>
      </c>
      <c r="CW89" s="12">
        <v>0</v>
      </c>
      <c r="CX89" s="12">
        <v>7</v>
      </c>
      <c r="CY89" s="12">
        <v>1</v>
      </c>
      <c r="CZ89" s="12">
        <v>3</v>
      </c>
      <c r="DA89" s="12">
        <v>0</v>
      </c>
      <c r="DB89" s="12">
        <v>0</v>
      </c>
      <c r="DC89" s="12">
        <v>0</v>
      </c>
      <c r="DD89" s="12">
        <v>2</v>
      </c>
      <c r="DE89" s="12">
        <v>2</v>
      </c>
      <c r="DF89" s="12">
        <v>2</v>
      </c>
      <c r="DG89" s="12">
        <v>4</v>
      </c>
      <c r="DH89" s="12">
        <v>0</v>
      </c>
      <c r="DI89" s="12">
        <v>4</v>
      </c>
      <c r="DJ89" s="12">
        <v>6</v>
      </c>
      <c r="DK89" s="12">
        <v>0</v>
      </c>
      <c r="DL89" s="12">
        <v>16</v>
      </c>
      <c r="DM89" s="12">
        <v>21</v>
      </c>
      <c r="DN89" s="12">
        <v>8</v>
      </c>
      <c r="DO89" s="12">
        <v>17</v>
      </c>
      <c r="DP89" s="12">
        <v>2</v>
      </c>
      <c r="DQ89" s="12">
        <v>6</v>
      </c>
      <c r="DR89" s="12">
        <v>1</v>
      </c>
      <c r="DS89" s="12">
        <v>7</v>
      </c>
      <c r="DT89" s="12">
        <v>6</v>
      </c>
      <c r="DU89" s="12">
        <v>17</v>
      </c>
      <c r="DV89" s="12">
        <v>0</v>
      </c>
      <c r="DW89" s="12">
        <v>1</v>
      </c>
      <c r="DX89" s="12">
        <v>95</v>
      </c>
      <c r="DY89" s="12">
        <v>25</v>
      </c>
      <c r="DZ89" s="12">
        <v>43</v>
      </c>
      <c r="EA89" s="16">
        <v>0.58139534883720934</v>
      </c>
      <c r="EB89" s="12">
        <v>9</v>
      </c>
      <c r="EC89" s="12">
        <v>26</v>
      </c>
      <c r="ED89" s="16">
        <v>0.34615384615384615</v>
      </c>
      <c r="EE89" s="12">
        <v>34</v>
      </c>
      <c r="EF89" s="12">
        <v>69</v>
      </c>
      <c r="EG89" s="16">
        <v>0.49275362318840582</v>
      </c>
      <c r="EH89" s="12">
        <v>18</v>
      </c>
      <c r="EI89" s="12">
        <v>21</v>
      </c>
      <c r="EJ89" s="16">
        <v>0.8571428571428571</v>
      </c>
      <c r="EK89" s="12">
        <v>15</v>
      </c>
      <c r="EL89" s="12">
        <v>27</v>
      </c>
      <c r="EM89" s="12">
        <v>42</v>
      </c>
      <c r="EN89" s="12">
        <v>15</v>
      </c>
      <c r="EO89" s="12">
        <v>18</v>
      </c>
      <c r="EP89" s="12">
        <v>21</v>
      </c>
      <c r="EQ89" s="12">
        <v>5</v>
      </c>
      <c r="ER89" s="12">
        <v>13</v>
      </c>
      <c r="ES89" s="12">
        <v>4</v>
      </c>
      <c r="ET89" s="12">
        <v>2</v>
      </c>
      <c r="EU89" s="12">
        <v>111</v>
      </c>
      <c r="EV89" s="12">
        <v>14</v>
      </c>
      <c r="EW89" s="12">
        <v>74</v>
      </c>
      <c r="EX89" s="12">
        <v>89</v>
      </c>
      <c r="EY89" s="12">
        <v>3</v>
      </c>
      <c r="EZ89" s="12">
        <v>8</v>
      </c>
      <c r="FA89" s="12">
        <v>6</v>
      </c>
      <c r="FB89" s="12">
        <v>1</v>
      </c>
      <c r="FC89" s="12">
        <v>2</v>
      </c>
      <c r="FD89" s="12">
        <v>4</v>
      </c>
      <c r="FE89" s="12">
        <v>0</v>
      </c>
      <c r="FF89" s="12">
        <v>2</v>
      </c>
      <c r="FG89" s="12">
        <v>0</v>
      </c>
      <c r="FH89" s="12">
        <v>1</v>
      </c>
      <c r="FI89" s="12">
        <v>0</v>
      </c>
      <c r="FJ89" s="12">
        <v>1</v>
      </c>
      <c r="FK89" s="12">
        <v>0</v>
      </c>
      <c r="FL89" s="12">
        <v>7</v>
      </c>
      <c r="FM89" s="12">
        <v>0</v>
      </c>
      <c r="FN89" s="12">
        <v>0</v>
      </c>
      <c r="FO89" s="12">
        <v>0</v>
      </c>
      <c r="FP89" s="12">
        <v>4</v>
      </c>
      <c r="FQ89" s="12">
        <v>1</v>
      </c>
      <c r="FR89" s="12">
        <v>7</v>
      </c>
      <c r="FS89" s="12">
        <v>1</v>
      </c>
      <c r="FT89" s="12">
        <v>2</v>
      </c>
      <c r="FU89" s="12">
        <v>2</v>
      </c>
      <c r="FV89" s="12">
        <v>4</v>
      </c>
      <c r="FW89" s="12">
        <v>0</v>
      </c>
      <c r="FX89" s="12">
        <v>8</v>
      </c>
      <c r="FY89" s="12">
        <v>1</v>
      </c>
      <c r="FZ89" s="12">
        <v>1</v>
      </c>
      <c r="GA89" s="12">
        <v>0</v>
      </c>
      <c r="GB89" s="12">
        <v>1</v>
      </c>
      <c r="GC89" s="12">
        <v>1</v>
      </c>
      <c r="GD89" s="12">
        <v>3</v>
      </c>
      <c r="GE89" s="12">
        <v>6</v>
      </c>
      <c r="GF89" s="12">
        <v>14</v>
      </c>
      <c r="GG89" s="12">
        <v>14</v>
      </c>
      <c r="GH89" s="12">
        <v>0</v>
      </c>
      <c r="GI89" s="12">
        <v>0</v>
      </c>
      <c r="GJ89" s="12">
        <v>0</v>
      </c>
      <c r="GK89" s="12">
        <v>0</v>
      </c>
      <c r="GL89" s="12">
        <v>15</v>
      </c>
      <c r="GM89" s="12">
        <v>20</v>
      </c>
      <c r="GN89" s="12">
        <v>8</v>
      </c>
      <c r="GO89" s="12">
        <v>17</v>
      </c>
      <c r="GP89" s="12">
        <v>2</v>
      </c>
      <c r="GQ89" s="12">
        <v>6</v>
      </c>
      <c r="GR89" s="12">
        <v>0</v>
      </c>
      <c r="GS89" s="12">
        <v>2</v>
      </c>
      <c r="GT89" s="12">
        <v>9</v>
      </c>
      <c r="GU89" s="12">
        <v>23</v>
      </c>
      <c r="GV89" s="12">
        <v>0</v>
      </c>
      <c r="GW89" s="12">
        <v>1</v>
      </c>
    </row>
    <row r="90" spans="2:205" ht="15" customHeight="1" x14ac:dyDescent="0.2">
      <c r="B90" s="12">
        <v>5</v>
      </c>
      <c r="C90" s="12" t="s">
        <v>282</v>
      </c>
      <c r="D90" s="12" t="s">
        <v>290</v>
      </c>
      <c r="E90" s="14" t="s">
        <v>284</v>
      </c>
      <c r="F90" s="14" t="s">
        <v>292</v>
      </c>
      <c r="G90" s="15">
        <v>45226</v>
      </c>
      <c r="H90" s="15" t="s">
        <v>268</v>
      </c>
      <c r="I90" s="12" t="s">
        <v>269</v>
      </c>
      <c r="J90" s="12" t="s">
        <v>272</v>
      </c>
      <c r="K90" s="12">
        <v>200</v>
      </c>
      <c r="L90" s="12">
        <v>76</v>
      </c>
      <c r="M90" s="12">
        <v>20</v>
      </c>
      <c r="N90" s="12">
        <v>44</v>
      </c>
      <c r="O90" s="16">
        <v>0.45454545454545453</v>
      </c>
      <c r="P90" s="12">
        <v>7</v>
      </c>
      <c r="Q90" s="12">
        <v>27</v>
      </c>
      <c r="R90" s="16">
        <v>0.25925925925925924</v>
      </c>
      <c r="S90" s="12">
        <v>27</v>
      </c>
      <c r="T90" s="12">
        <v>71</v>
      </c>
      <c r="U90" s="16">
        <v>0.38028169014084506</v>
      </c>
      <c r="V90" s="12">
        <v>15</v>
      </c>
      <c r="W90" s="12">
        <v>18</v>
      </c>
      <c r="X90" s="16">
        <v>0.83333333333333337</v>
      </c>
      <c r="Y90" s="12">
        <v>17</v>
      </c>
      <c r="Z90" s="12">
        <v>31</v>
      </c>
      <c r="AA90" s="12">
        <v>48</v>
      </c>
      <c r="AB90" s="12">
        <v>10</v>
      </c>
      <c r="AC90" s="12">
        <v>11</v>
      </c>
      <c r="AD90" s="12">
        <v>5</v>
      </c>
      <c r="AE90" s="12">
        <v>4</v>
      </c>
      <c r="AF90" s="12">
        <v>4</v>
      </c>
      <c r="AG90" s="12">
        <v>21</v>
      </c>
      <c r="AH90" s="12">
        <v>21</v>
      </c>
      <c r="AI90" s="17">
        <v>81</v>
      </c>
      <c r="AJ90" s="12">
        <v>9</v>
      </c>
      <c r="AK90" s="12">
        <v>70</v>
      </c>
      <c r="AL90" s="12">
        <v>88</v>
      </c>
      <c r="AM90" s="19">
        <v>0.86363636363636365</v>
      </c>
      <c r="AN90" s="19">
        <v>0.79761904761904767</v>
      </c>
      <c r="AO90" s="18">
        <v>108.57142857142857</v>
      </c>
      <c r="AP90" s="18">
        <v>94.366197183098592</v>
      </c>
      <c r="AQ90" s="18">
        <v>14.205231388329977</v>
      </c>
      <c r="AR90" s="53">
        <v>0.42957746478873238</v>
      </c>
      <c r="AS90" s="53">
        <v>0.4935064935064935</v>
      </c>
      <c r="AT90" s="16">
        <v>0.10227272727272728</v>
      </c>
      <c r="AU90" s="19">
        <v>1.5555555555555556</v>
      </c>
      <c r="AV90" s="16">
        <v>0.30681818181818182</v>
      </c>
      <c r="AW90" s="19">
        <v>0.66666666666666663</v>
      </c>
      <c r="AX90" s="16">
        <v>9.0909090909090912E-2</v>
      </c>
      <c r="AY90" s="19">
        <v>1</v>
      </c>
      <c r="AZ90" s="16">
        <v>4.5454545454545456E-2</v>
      </c>
      <c r="BA90" s="19">
        <v>0.75</v>
      </c>
      <c r="BB90" s="16">
        <v>0.25</v>
      </c>
      <c r="BC90" s="21">
        <v>0.81818181818181823</v>
      </c>
      <c r="BD90" s="16">
        <v>6.8181818181818177E-2</v>
      </c>
      <c r="BE90" s="16">
        <v>0.12643678160919541</v>
      </c>
      <c r="BF90" s="16">
        <v>0.30303030303030304</v>
      </c>
      <c r="BG90" s="16">
        <v>0.3</v>
      </c>
      <c r="BH90" s="16">
        <v>0.42857142857142855</v>
      </c>
      <c r="BI90" s="16">
        <v>0.16666666666666666</v>
      </c>
      <c r="BJ90" s="16">
        <v>0.11494252873563218</v>
      </c>
      <c r="BK90" s="21">
        <v>0.90909090909090906</v>
      </c>
      <c r="BL90" s="16">
        <v>0.39534883720930231</v>
      </c>
      <c r="BM90" s="16">
        <v>0.44</v>
      </c>
      <c r="BN90" s="16">
        <v>0.3888888888888889</v>
      </c>
      <c r="BO90" s="16">
        <v>0</v>
      </c>
      <c r="BP90" s="16">
        <v>0.70454545454545459</v>
      </c>
      <c r="BQ90" s="16">
        <v>0.6</v>
      </c>
      <c r="BR90" s="16">
        <v>0.79166666666666663</v>
      </c>
      <c r="BS90" s="16">
        <v>1</v>
      </c>
      <c r="BT90" s="16">
        <v>0.55172413793103448</v>
      </c>
      <c r="BU90" s="16">
        <v>7.0422535211267609E-2</v>
      </c>
      <c r="BV90" s="16">
        <v>5.7142857142857141E-2</v>
      </c>
      <c r="BW90" s="16">
        <v>6</v>
      </c>
      <c r="BX90" s="16">
        <v>0.33333333333333331</v>
      </c>
      <c r="BY90" s="16">
        <v>0.47619047619047616</v>
      </c>
      <c r="BZ90" s="12">
        <v>6</v>
      </c>
      <c r="CA90" s="12">
        <v>3</v>
      </c>
      <c r="CB90" s="12">
        <v>1</v>
      </c>
      <c r="CC90" s="12">
        <v>0</v>
      </c>
      <c r="CD90" s="12">
        <v>2</v>
      </c>
      <c r="CE90" s="12">
        <v>1</v>
      </c>
      <c r="CF90" s="12">
        <v>7</v>
      </c>
      <c r="CG90" s="12">
        <v>0</v>
      </c>
      <c r="CH90" s="12">
        <v>1</v>
      </c>
      <c r="CI90" s="12">
        <v>0</v>
      </c>
      <c r="CJ90" s="12">
        <v>1</v>
      </c>
      <c r="CK90" s="12">
        <v>0</v>
      </c>
      <c r="CL90" s="12">
        <v>6</v>
      </c>
      <c r="CM90" s="12">
        <v>0</v>
      </c>
      <c r="CN90" s="12">
        <v>0</v>
      </c>
      <c r="CO90" s="12">
        <v>0</v>
      </c>
      <c r="CP90" s="12">
        <v>2</v>
      </c>
      <c r="CQ90" s="12">
        <v>0</v>
      </c>
      <c r="CR90" s="12">
        <v>6</v>
      </c>
      <c r="CS90" s="12">
        <v>0</v>
      </c>
      <c r="CT90" s="12">
        <v>5</v>
      </c>
      <c r="CU90" s="12">
        <v>2</v>
      </c>
      <c r="CV90" s="12">
        <v>3</v>
      </c>
      <c r="CW90" s="12">
        <v>1</v>
      </c>
      <c r="CX90" s="12">
        <v>14</v>
      </c>
      <c r="CY90" s="12">
        <v>1</v>
      </c>
      <c r="CZ90" s="12">
        <v>1</v>
      </c>
      <c r="DA90" s="12">
        <v>0</v>
      </c>
      <c r="DB90" s="12">
        <v>0</v>
      </c>
      <c r="DC90" s="12">
        <v>1</v>
      </c>
      <c r="DD90" s="12">
        <v>3</v>
      </c>
      <c r="DE90" s="12">
        <v>4</v>
      </c>
      <c r="DF90" s="12">
        <v>9</v>
      </c>
      <c r="DG90" s="12">
        <v>10</v>
      </c>
      <c r="DH90" s="12">
        <v>0</v>
      </c>
      <c r="DI90" s="12">
        <v>3</v>
      </c>
      <c r="DJ90" s="12">
        <v>3</v>
      </c>
      <c r="DK90" s="12">
        <v>0</v>
      </c>
      <c r="DL90" s="12">
        <v>7</v>
      </c>
      <c r="DM90" s="12">
        <v>9</v>
      </c>
      <c r="DN90" s="12">
        <v>9</v>
      </c>
      <c r="DO90" s="12">
        <v>27</v>
      </c>
      <c r="DP90" s="12">
        <v>4</v>
      </c>
      <c r="DQ90" s="12">
        <v>8</v>
      </c>
      <c r="DR90" s="12">
        <v>1</v>
      </c>
      <c r="DS90" s="12">
        <v>4</v>
      </c>
      <c r="DT90" s="12">
        <v>6</v>
      </c>
      <c r="DU90" s="12">
        <v>22</v>
      </c>
      <c r="DV90" s="12">
        <v>0</v>
      </c>
      <c r="DW90" s="12">
        <v>1</v>
      </c>
      <c r="DX90" s="12">
        <v>67</v>
      </c>
      <c r="DY90" s="12">
        <v>20</v>
      </c>
      <c r="DZ90" s="12">
        <v>41</v>
      </c>
      <c r="EA90" s="16">
        <v>0.48780487804878048</v>
      </c>
      <c r="EB90" s="12">
        <v>6</v>
      </c>
      <c r="EC90" s="12">
        <v>29</v>
      </c>
      <c r="ED90" s="16">
        <v>0.20689655172413793</v>
      </c>
      <c r="EE90" s="12">
        <v>26</v>
      </c>
      <c r="EF90" s="12">
        <v>70</v>
      </c>
      <c r="EG90" s="16">
        <v>0.37142857142857144</v>
      </c>
      <c r="EH90" s="12">
        <v>9</v>
      </c>
      <c r="EI90" s="12">
        <v>12</v>
      </c>
      <c r="EJ90" s="16">
        <v>0.75</v>
      </c>
      <c r="EK90" s="12">
        <v>13</v>
      </c>
      <c r="EL90" s="12">
        <v>26</v>
      </c>
      <c r="EM90" s="12">
        <v>39</v>
      </c>
      <c r="EN90" s="12">
        <v>12</v>
      </c>
      <c r="EO90" s="12">
        <v>22</v>
      </c>
      <c r="EP90" s="12">
        <v>21</v>
      </c>
      <c r="EQ90" s="12">
        <v>5</v>
      </c>
      <c r="ER90" s="12">
        <v>9</v>
      </c>
      <c r="ES90" s="12">
        <v>4</v>
      </c>
      <c r="ET90" s="12">
        <v>4</v>
      </c>
      <c r="EU90" s="12">
        <v>66</v>
      </c>
      <c r="EV90" s="12">
        <v>-9</v>
      </c>
      <c r="EW90" s="12">
        <v>71</v>
      </c>
      <c r="EX90" s="12">
        <v>84</v>
      </c>
      <c r="EY90" s="12">
        <v>4</v>
      </c>
      <c r="EZ90" s="12">
        <v>10</v>
      </c>
      <c r="FA90" s="12">
        <v>2</v>
      </c>
      <c r="FB90" s="12">
        <v>0</v>
      </c>
      <c r="FC90" s="12">
        <v>0</v>
      </c>
      <c r="FD90" s="12">
        <v>1</v>
      </c>
      <c r="FE90" s="12">
        <v>0</v>
      </c>
      <c r="FF90" s="12">
        <v>4</v>
      </c>
      <c r="FG90" s="12">
        <v>0</v>
      </c>
      <c r="FH90" s="12">
        <v>3</v>
      </c>
      <c r="FI90" s="12">
        <v>2</v>
      </c>
      <c r="FJ90" s="12">
        <v>0</v>
      </c>
      <c r="FK90" s="12">
        <v>0</v>
      </c>
      <c r="FL90" s="12">
        <v>5</v>
      </c>
      <c r="FM90" s="12">
        <v>0</v>
      </c>
      <c r="FN90" s="12">
        <v>0</v>
      </c>
      <c r="FO90" s="12">
        <v>0</v>
      </c>
      <c r="FP90" s="12">
        <v>0</v>
      </c>
      <c r="FQ90" s="12">
        <v>0</v>
      </c>
      <c r="FR90" s="12">
        <v>10</v>
      </c>
      <c r="FS90" s="12">
        <v>1</v>
      </c>
      <c r="FT90" s="12">
        <v>3</v>
      </c>
      <c r="FU90" s="12">
        <v>0</v>
      </c>
      <c r="FV90" s="12">
        <v>2</v>
      </c>
      <c r="FW90" s="12">
        <v>0</v>
      </c>
      <c r="FX90" s="12">
        <v>9</v>
      </c>
      <c r="FY90" s="12">
        <v>0</v>
      </c>
      <c r="FZ90" s="12">
        <v>2</v>
      </c>
      <c r="GA90" s="12">
        <v>0</v>
      </c>
      <c r="GB90" s="12">
        <v>0</v>
      </c>
      <c r="GC90" s="12">
        <v>0</v>
      </c>
      <c r="GD90" s="12">
        <v>1</v>
      </c>
      <c r="GE90" s="12">
        <v>2</v>
      </c>
      <c r="GF90" s="12">
        <v>8</v>
      </c>
      <c r="GG90" s="12">
        <v>10</v>
      </c>
      <c r="GH90" s="12">
        <v>0</v>
      </c>
      <c r="GI90" s="12">
        <v>0</v>
      </c>
      <c r="GJ90" s="12">
        <v>0</v>
      </c>
      <c r="GK90" s="12">
        <v>0</v>
      </c>
      <c r="GL90" s="12">
        <v>4</v>
      </c>
      <c r="GM90" s="12">
        <v>7</v>
      </c>
      <c r="GN90" s="12">
        <v>10</v>
      </c>
      <c r="GO90" s="12">
        <v>20</v>
      </c>
      <c r="GP90" s="12">
        <v>6</v>
      </c>
      <c r="GQ90" s="12">
        <v>14</v>
      </c>
      <c r="GR90" s="12">
        <v>1</v>
      </c>
      <c r="GS90" s="12">
        <v>4</v>
      </c>
      <c r="GT90" s="12">
        <v>5</v>
      </c>
      <c r="GU90" s="12">
        <v>25</v>
      </c>
      <c r="GV90" s="12">
        <v>0</v>
      </c>
      <c r="GW90" s="12">
        <v>0</v>
      </c>
    </row>
    <row r="91" spans="2:205" ht="15" customHeight="1" x14ac:dyDescent="0.2">
      <c r="B91" s="12">
        <v>5</v>
      </c>
      <c r="C91" s="12" t="s">
        <v>290</v>
      </c>
      <c r="D91" s="12" t="s">
        <v>282</v>
      </c>
      <c r="E91" s="14" t="s">
        <v>292</v>
      </c>
      <c r="F91" s="14" t="s">
        <v>284</v>
      </c>
      <c r="G91" s="15">
        <v>45226</v>
      </c>
      <c r="H91" s="15" t="s">
        <v>271</v>
      </c>
      <c r="I91" s="12" t="s">
        <v>269</v>
      </c>
      <c r="J91" s="12" t="s">
        <v>270</v>
      </c>
      <c r="K91" s="12">
        <v>200</v>
      </c>
      <c r="L91" s="12">
        <v>67</v>
      </c>
      <c r="M91" s="12">
        <v>20</v>
      </c>
      <c r="N91" s="12">
        <v>41</v>
      </c>
      <c r="O91" s="16">
        <v>0.48780487804878048</v>
      </c>
      <c r="P91" s="12">
        <v>6</v>
      </c>
      <c r="Q91" s="12">
        <v>29</v>
      </c>
      <c r="R91" s="16">
        <v>0.20689655172413793</v>
      </c>
      <c r="S91" s="12">
        <v>26</v>
      </c>
      <c r="T91" s="12">
        <v>70</v>
      </c>
      <c r="U91" s="16">
        <v>0.37142857142857144</v>
      </c>
      <c r="V91" s="12">
        <v>9</v>
      </c>
      <c r="W91" s="12">
        <v>12</v>
      </c>
      <c r="X91" s="16">
        <v>0.75</v>
      </c>
      <c r="Y91" s="12">
        <v>13</v>
      </c>
      <c r="Z91" s="12">
        <v>26</v>
      </c>
      <c r="AA91" s="12">
        <v>39</v>
      </c>
      <c r="AB91" s="12">
        <v>12</v>
      </c>
      <c r="AC91" s="12">
        <v>9</v>
      </c>
      <c r="AD91" s="12">
        <v>5</v>
      </c>
      <c r="AE91" s="12">
        <v>4</v>
      </c>
      <c r="AF91" s="12">
        <v>4</v>
      </c>
      <c r="AG91" s="12">
        <v>22</v>
      </c>
      <c r="AH91" s="12">
        <v>21</v>
      </c>
      <c r="AI91" s="17">
        <v>66</v>
      </c>
      <c r="AJ91" s="12">
        <v>-9</v>
      </c>
      <c r="AK91" s="12">
        <v>71</v>
      </c>
      <c r="AL91" s="12">
        <v>84</v>
      </c>
      <c r="AM91" s="19">
        <v>0.79761904761904767</v>
      </c>
      <c r="AN91" s="19">
        <v>0.86363636363636365</v>
      </c>
      <c r="AO91" s="18">
        <v>94.366197183098592</v>
      </c>
      <c r="AP91" s="18">
        <v>108.57142857142857</v>
      </c>
      <c r="AQ91" s="18">
        <v>-14.205231388329977</v>
      </c>
      <c r="AR91" s="53">
        <v>0.41428571428571431</v>
      </c>
      <c r="AS91" s="53">
        <v>0.44666666666666666</v>
      </c>
      <c r="AT91" s="16">
        <v>8.3333333333333329E-2</v>
      </c>
      <c r="AU91" s="19">
        <v>1.1428571428571428</v>
      </c>
      <c r="AV91" s="16">
        <v>0.23809523809523808</v>
      </c>
      <c r="AW91" s="19">
        <v>1</v>
      </c>
      <c r="AX91" s="16">
        <v>0.16666666666666666</v>
      </c>
      <c r="AY91" s="19">
        <v>0.8571428571428571</v>
      </c>
      <c r="AZ91" s="16">
        <v>4.7619047619047616E-2</v>
      </c>
      <c r="BA91" s="19">
        <v>0.75</v>
      </c>
      <c r="BB91" s="16">
        <v>0.29761904761904762</v>
      </c>
      <c r="BC91" s="21">
        <v>0.6</v>
      </c>
      <c r="BD91" s="16">
        <v>5.9523809523809521E-2</v>
      </c>
      <c r="BE91" s="16">
        <v>0.10714285714285714</v>
      </c>
      <c r="BF91" s="16">
        <v>0.38709677419354838</v>
      </c>
      <c r="BG91" s="16">
        <v>0.5</v>
      </c>
      <c r="BH91" s="16">
        <v>0.33333333333333331</v>
      </c>
      <c r="BI91" s="16">
        <v>0</v>
      </c>
      <c r="BJ91" s="16">
        <v>0.14285714285714285</v>
      </c>
      <c r="BK91" s="21">
        <v>1.3333333333333333</v>
      </c>
      <c r="BL91" s="16">
        <v>0.29545454545454547</v>
      </c>
      <c r="BM91" s="16">
        <v>0.4</v>
      </c>
      <c r="BN91" s="16">
        <v>0.20833333333333334</v>
      </c>
      <c r="BO91" s="16">
        <v>0</v>
      </c>
      <c r="BP91" s="16">
        <v>0.60465116279069764</v>
      </c>
      <c r="BQ91" s="16">
        <v>0.56000000000000005</v>
      </c>
      <c r="BR91" s="16">
        <v>0.61111111111111116</v>
      </c>
      <c r="BS91" s="16">
        <v>1</v>
      </c>
      <c r="BT91" s="16">
        <v>0.44827586206896552</v>
      </c>
      <c r="BU91" s="16">
        <v>7.1428571428571425E-2</v>
      </c>
      <c r="BV91" s="16">
        <v>5.6338028169014086E-2</v>
      </c>
      <c r="BW91" s="16">
        <v>4</v>
      </c>
      <c r="BX91" s="16">
        <v>0.45454545454545453</v>
      </c>
      <c r="BY91" s="16">
        <v>0.33333333333333331</v>
      </c>
      <c r="BZ91" s="12">
        <v>10</v>
      </c>
      <c r="CA91" s="12">
        <v>2</v>
      </c>
      <c r="CB91" s="12">
        <v>0</v>
      </c>
      <c r="CC91" s="12">
        <v>0</v>
      </c>
      <c r="CD91" s="12">
        <v>1</v>
      </c>
      <c r="CE91" s="12">
        <v>0</v>
      </c>
      <c r="CF91" s="12">
        <v>4</v>
      </c>
      <c r="CG91" s="12">
        <v>0</v>
      </c>
      <c r="CH91" s="12">
        <v>3</v>
      </c>
      <c r="CI91" s="12">
        <v>2</v>
      </c>
      <c r="CJ91" s="12">
        <v>0</v>
      </c>
      <c r="CK91" s="12">
        <v>0</v>
      </c>
      <c r="CL91" s="12">
        <v>5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10</v>
      </c>
      <c r="CS91" s="12">
        <v>1</v>
      </c>
      <c r="CT91" s="12">
        <v>3</v>
      </c>
      <c r="CU91" s="12">
        <v>0</v>
      </c>
      <c r="CV91" s="12">
        <v>2</v>
      </c>
      <c r="CW91" s="12">
        <v>0</v>
      </c>
      <c r="CX91" s="12">
        <v>9</v>
      </c>
      <c r="CY91" s="12">
        <v>0</v>
      </c>
      <c r="CZ91" s="12">
        <v>2</v>
      </c>
      <c r="DA91" s="12">
        <v>0</v>
      </c>
      <c r="DB91" s="12">
        <v>0</v>
      </c>
      <c r="DC91" s="12">
        <v>0</v>
      </c>
      <c r="DD91" s="12">
        <v>1</v>
      </c>
      <c r="DE91" s="12">
        <v>2</v>
      </c>
      <c r="DF91" s="12">
        <v>8</v>
      </c>
      <c r="DG91" s="12">
        <v>10</v>
      </c>
      <c r="DH91" s="12">
        <v>0</v>
      </c>
      <c r="DI91" s="12">
        <v>0</v>
      </c>
      <c r="DJ91" s="12">
        <v>0</v>
      </c>
      <c r="DK91" s="12">
        <v>0</v>
      </c>
      <c r="DL91" s="12">
        <v>4</v>
      </c>
      <c r="DM91" s="12">
        <v>7</v>
      </c>
      <c r="DN91" s="12">
        <v>10</v>
      </c>
      <c r="DO91" s="12">
        <v>20</v>
      </c>
      <c r="DP91" s="12">
        <v>6</v>
      </c>
      <c r="DQ91" s="12">
        <v>14</v>
      </c>
      <c r="DR91" s="12">
        <v>1</v>
      </c>
      <c r="DS91" s="12">
        <v>4</v>
      </c>
      <c r="DT91" s="12">
        <v>5</v>
      </c>
      <c r="DU91" s="12">
        <v>25</v>
      </c>
      <c r="DV91" s="12">
        <v>0</v>
      </c>
      <c r="DW91" s="12">
        <v>0</v>
      </c>
      <c r="DX91" s="12">
        <v>76</v>
      </c>
      <c r="DY91" s="12">
        <v>20</v>
      </c>
      <c r="DZ91" s="12">
        <v>44</v>
      </c>
      <c r="EA91" s="16">
        <v>0.45454545454545453</v>
      </c>
      <c r="EB91" s="12">
        <v>7</v>
      </c>
      <c r="EC91" s="12">
        <v>27</v>
      </c>
      <c r="ED91" s="16">
        <v>0.25925925925925924</v>
      </c>
      <c r="EE91" s="12">
        <v>27</v>
      </c>
      <c r="EF91" s="12">
        <v>71</v>
      </c>
      <c r="EG91" s="16">
        <v>0.38028169014084506</v>
      </c>
      <c r="EH91" s="12">
        <v>15</v>
      </c>
      <c r="EI91" s="12">
        <v>18</v>
      </c>
      <c r="EJ91" s="16">
        <v>0.83333333333333337</v>
      </c>
      <c r="EK91" s="12">
        <v>17</v>
      </c>
      <c r="EL91" s="12">
        <v>31</v>
      </c>
      <c r="EM91" s="12">
        <v>48</v>
      </c>
      <c r="EN91" s="12">
        <v>10</v>
      </c>
      <c r="EO91" s="12">
        <v>21</v>
      </c>
      <c r="EP91" s="12">
        <v>21</v>
      </c>
      <c r="EQ91" s="12">
        <v>5</v>
      </c>
      <c r="ER91" s="12">
        <v>11</v>
      </c>
      <c r="ES91" s="12">
        <v>4</v>
      </c>
      <c r="ET91" s="12">
        <v>4</v>
      </c>
      <c r="EU91" s="12">
        <v>81</v>
      </c>
      <c r="EV91" s="12">
        <v>9</v>
      </c>
      <c r="EW91" s="12">
        <v>70</v>
      </c>
      <c r="EX91" s="12">
        <v>88</v>
      </c>
      <c r="EY91" s="12">
        <v>6</v>
      </c>
      <c r="EZ91" s="12">
        <v>6</v>
      </c>
      <c r="FA91" s="12">
        <v>3</v>
      </c>
      <c r="FB91" s="12">
        <v>1</v>
      </c>
      <c r="FC91" s="12">
        <v>0</v>
      </c>
      <c r="FD91" s="12">
        <v>2</v>
      </c>
      <c r="FE91" s="12">
        <v>1</v>
      </c>
      <c r="FF91" s="12">
        <v>7</v>
      </c>
      <c r="FG91" s="12">
        <v>0</v>
      </c>
      <c r="FH91" s="12">
        <v>1</v>
      </c>
      <c r="FI91" s="12">
        <v>0</v>
      </c>
      <c r="FJ91" s="12">
        <v>1</v>
      </c>
      <c r="FK91" s="12">
        <v>0</v>
      </c>
      <c r="FL91" s="12">
        <v>6</v>
      </c>
      <c r="FM91" s="12">
        <v>0</v>
      </c>
      <c r="FN91" s="12">
        <v>0</v>
      </c>
      <c r="FO91" s="12">
        <v>0</v>
      </c>
      <c r="FP91" s="12">
        <v>2</v>
      </c>
      <c r="FQ91" s="12">
        <v>0</v>
      </c>
      <c r="FR91" s="12">
        <v>6</v>
      </c>
      <c r="FS91" s="12">
        <v>0</v>
      </c>
      <c r="FT91" s="12">
        <v>5</v>
      </c>
      <c r="FU91" s="12">
        <v>2</v>
      </c>
      <c r="FV91" s="12">
        <v>3</v>
      </c>
      <c r="FW91" s="12">
        <v>1</v>
      </c>
      <c r="FX91" s="12">
        <v>14</v>
      </c>
      <c r="FY91" s="12">
        <v>1</v>
      </c>
      <c r="FZ91" s="12">
        <v>1</v>
      </c>
      <c r="GA91" s="12">
        <v>0</v>
      </c>
      <c r="GB91" s="12">
        <v>0</v>
      </c>
      <c r="GC91" s="12">
        <v>1</v>
      </c>
      <c r="GD91" s="12">
        <v>3</v>
      </c>
      <c r="GE91" s="12">
        <v>4</v>
      </c>
      <c r="GF91" s="12">
        <v>9</v>
      </c>
      <c r="GG91" s="12">
        <v>10</v>
      </c>
      <c r="GH91" s="12">
        <v>0</v>
      </c>
      <c r="GI91" s="12">
        <v>3</v>
      </c>
      <c r="GJ91" s="12">
        <v>3</v>
      </c>
      <c r="GK91" s="12">
        <v>0</v>
      </c>
      <c r="GL91" s="12">
        <v>7</v>
      </c>
      <c r="GM91" s="12">
        <v>9</v>
      </c>
      <c r="GN91" s="12">
        <v>9</v>
      </c>
      <c r="GO91" s="12">
        <v>27</v>
      </c>
      <c r="GP91" s="12">
        <v>4</v>
      </c>
      <c r="GQ91" s="12">
        <v>8</v>
      </c>
      <c r="GR91" s="12">
        <v>1</v>
      </c>
      <c r="GS91" s="12">
        <v>4</v>
      </c>
      <c r="GT91" s="12">
        <v>6</v>
      </c>
      <c r="GU91" s="12">
        <v>22</v>
      </c>
      <c r="GV91" s="12">
        <v>0</v>
      </c>
      <c r="GW91" s="12">
        <v>1</v>
      </c>
    </row>
    <row r="92" spans="2:205" ht="15" customHeight="1" x14ac:dyDescent="0.2">
      <c r="B92" s="12">
        <v>2</v>
      </c>
      <c r="C92" s="12" t="s">
        <v>289</v>
      </c>
      <c r="D92" s="12" t="s">
        <v>273</v>
      </c>
      <c r="E92" s="14" t="s">
        <v>291</v>
      </c>
      <c r="F92" s="14" t="s">
        <v>275</v>
      </c>
      <c r="G92" s="15">
        <v>45230</v>
      </c>
      <c r="H92" s="15" t="s">
        <v>268</v>
      </c>
      <c r="I92" s="12" t="s">
        <v>269</v>
      </c>
      <c r="J92" s="12" t="s">
        <v>272</v>
      </c>
      <c r="K92" s="12">
        <v>200</v>
      </c>
      <c r="L92" s="12">
        <v>98</v>
      </c>
      <c r="M92" s="12">
        <v>30</v>
      </c>
      <c r="N92" s="12">
        <v>45</v>
      </c>
      <c r="O92" s="16">
        <v>0.66666666666666663</v>
      </c>
      <c r="P92" s="12">
        <v>6</v>
      </c>
      <c r="Q92" s="12">
        <v>20</v>
      </c>
      <c r="R92" s="16">
        <v>0.3</v>
      </c>
      <c r="S92" s="12">
        <v>36</v>
      </c>
      <c r="T92" s="12">
        <v>65</v>
      </c>
      <c r="U92" s="16">
        <v>0.55384615384615388</v>
      </c>
      <c r="V92" s="12">
        <v>20</v>
      </c>
      <c r="W92" s="12">
        <v>26</v>
      </c>
      <c r="X92" s="16">
        <v>0.76923076923076927</v>
      </c>
      <c r="Y92" s="12">
        <v>14</v>
      </c>
      <c r="Z92" s="12">
        <v>20</v>
      </c>
      <c r="AA92" s="12">
        <v>34</v>
      </c>
      <c r="AB92" s="12">
        <v>22</v>
      </c>
      <c r="AC92" s="12">
        <v>14</v>
      </c>
      <c r="AD92" s="12">
        <v>10</v>
      </c>
      <c r="AE92" s="12">
        <v>2</v>
      </c>
      <c r="AF92" s="12">
        <v>1</v>
      </c>
      <c r="AG92" s="12">
        <v>20</v>
      </c>
      <c r="AH92" s="12">
        <v>23</v>
      </c>
      <c r="AI92" s="17">
        <v>119</v>
      </c>
      <c r="AJ92" s="12">
        <v>8</v>
      </c>
      <c r="AK92" s="12">
        <v>76</v>
      </c>
      <c r="AL92" s="12">
        <v>90</v>
      </c>
      <c r="AM92" s="19">
        <v>1.0888888888888888</v>
      </c>
      <c r="AN92" s="19">
        <v>1.0227272727272727</v>
      </c>
      <c r="AO92" s="18">
        <v>128.94736842105263</v>
      </c>
      <c r="AP92" s="18">
        <v>116.88311688311688</v>
      </c>
      <c r="AQ92" s="18">
        <v>12.064251537935746</v>
      </c>
      <c r="AR92" s="53">
        <v>0.6</v>
      </c>
      <c r="AS92" s="53">
        <v>0.64473684210526316</v>
      </c>
      <c r="AT92" s="16">
        <v>0.28888888888888886</v>
      </c>
      <c r="AU92" s="19">
        <v>1.6923076923076923</v>
      </c>
      <c r="AV92" s="16">
        <v>0.14444444444444443</v>
      </c>
      <c r="AW92" s="19">
        <v>0.76923076923076927</v>
      </c>
      <c r="AX92" s="16">
        <v>6.6666666666666666E-2</v>
      </c>
      <c r="AY92" s="19">
        <v>1</v>
      </c>
      <c r="AZ92" s="16">
        <v>0</v>
      </c>
      <c r="BA92" s="19" t="s">
        <v>269</v>
      </c>
      <c r="BB92" s="16">
        <v>0.21111111111111111</v>
      </c>
      <c r="BC92" s="21">
        <v>0.94736842105263153</v>
      </c>
      <c r="BD92" s="16">
        <v>0.12222222222222222</v>
      </c>
      <c r="BE92" s="16">
        <v>0.15555555555555556</v>
      </c>
      <c r="BF92" s="16">
        <v>0.47826086956521741</v>
      </c>
      <c r="BG92" s="16">
        <v>0.6333333333333333</v>
      </c>
      <c r="BH92" s="16">
        <v>0.16666666666666666</v>
      </c>
      <c r="BI92" s="16">
        <v>0.2</v>
      </c>
      <c r="BJ92" s="16">
        <v>0.24444444444444444</v>
      </c>
      <c r="BK92" s="21">
        <v>1.5714285714285714</v>
      </c>
      <c r="BL92" s="16">
        <v>0.45161290322580644</v>
      </c>
      <c r="BM92" s="16">
        <v>0.75</v>
      </c>
      <c r="BN92" s="16">
        <v>0.3125</v>
      </c>
      <c r="BO92" s="16">
        <v>0</v>
      </c>
      <c r="BP92" s="16">
        <v>0.66666666666666663</v>
      </c>
      <c r="BQ92" s="16">
        <v>0.72727272727272729</v>
      </c>
      <c r="BR92" s="16">
        <v>0.55555555555555558</v>
      </c>
      <c r="BS92" s="16">
        <v>0.5</v>
      </c>
      <c r="BT92" s="16">
        <v>0.55737704918032782</v>
      </c>
      <c r="BU92" s="16">
        <v>0.12987012987012986</v>
      </c>
      <c r="BV92" s="16">
        <v>3.125E-2</v>
      </c>
      <c r="BW92" s="16">
        <v>5</v>
      </c>
      <c r="BX92" s="16">
        <v>0.35</v>
      </c>
      <c r="BY92" s="16">
        <v>0.65217391304347827</v>
      </c>
      <c r="BZ92" s="12">
        <v>19</v>
      </c>
      <c r="CA92" s="12">
        <v>1</v>
      </c>
      <c r="CB92" s="12">
        <v>2</v>
      </c>
      <c r="CC92" s="12">
        <v>2</v>
      </c>
      <c r="CD92" s="12">
        <v>3</v>
      </c>
      <c r="CE92" s="12">
        <v>2</v>
      </c>
      <c r="CF92" s="12">
        <v>4</v>
      </c>
      <c r="CG92" s="12">
        <v>1</v>
      </c>
      <c r="CH92" s="12">
        <v>3</v>
      </c>
      <c r="CI92" s="12">
        <v>2</v>
      </c>
      <c r="CJ92" s="12">
        <v>0</v>
      </c>
      <c r="CK92" s="12">
        <v>0</v>
      </c>
      <c r="CL92" s="12">
        <v>4</v>
      </c>
      <c r="CM92" s="12">
        <v>1</v>
      </c>
      <c r="CN92" s="12">
        <v>0</v>
      </c>
      <c r="CO92" s="12">
        <v>0</v>
      </c>
      <c r="CP92" s="12">
        <v>6</v>
      </c>
      <c r="CQ92" s="12">
        <v>0</v>
      </c>
      <c r="CR92" s="12">
        <v>1</v>
      </c>
      <c r="CS92" s="12">
        <v>0</v>
      </c>
      <c r="CT92" s="12">
        <v>1</v>
      </c>
      <c r="CU92" s="12">
        <v>0</v>
      </c>
      <c r="CV92" s="12">
        <v>0</v>
      </c>
      <c r="CW92" s="12">
        <v>0</v>
      </c>
      <c r="CX92" s="12">
        <v>10</v>
      </c>
      <c r="CY92" s="12">
        <v>0</v>
      </c>
      <c r="CZ92" s="12">
        <v>1</v>
      </c>
      <c r="DA92" s="12">
        <v>0</v>
      </c>
      <c r="DB92" s="12">
        <v>0</v>
      </c>
      <c r="DC92" s="12">
        <v>0</v>
      </c>
      <c r="DD92" s="12">
        <v>4</v>
      </c>
      <c r="DE92" s="12">
        <v>4</v>
      </c>
      <c r="DF92" s="12">
        <v>16</v>
      </c>
      <c r="DG92" s="12">
        <v>22</v>
      </c>
      <c r="DH92" s="12">
        <v>1</v>
      </c>
      <c r="DI92" s="12">
        <v>0</v>
      </c>
      <c r="DJ92" s="12">
        <v>0</v>
      </c>
      <c r="DK92" s="12">
        <v>0</v>
      </c>
      <c r="DL92" s="12">
        <v>22</v>
      </c>
      <c r="DM92" s="12">
        <v>26</v>
      </c>
      <c r="DN92" s="12">
        <v>5</v>
      </c>
      <c r="DO92" s="12">
        <v>13</v>
      </c>
      <c r="DP92" s="12">
        <v>3</v>
      </c>
      <c r="DQ92" s="12">
        <v>6</v>
      </c>
      <c r="DR92" s="12">
        <v>0</v>
      </c>
      <c r="DS92" s="12">
        <v>0</v>
      </c>
      <c r="DT92" s="12">
        <v>6</v>
      </c>
      <c r="DU92" s="12">
        <v>19</v>
      </c>
      <c r="DV92" s="12">
        <v>0</v>
      </c>
      <c r="DW92" s="12">
        <v>0</v>
      </c>
      <c r="DX92" s="12">
        <v>90</v>
      </c>
      <c r="DY92" s="12">
        <v>22</v>
      </c>
      <c r="DZ92" s="12">
        <v>34</v>
      </c>
      <c r="EA92" s="16">
        <v>0.6470588235294118</v>
      </c>
      <c r="EB92" s="12">
        <v>12</v>
      </c>
      <c r="EC92" s="12">
        <v>30</v>
      </c>
      <c r="ED92" s="16">
        <v>0.4</v>
      </c>
      <c r="EE92" s="12">
        <v>34</v>
      </c>
      <c r="EF92" s="12">
        <v>64</v>
      </c>
      <c r="EG92" s="16">
        <v>0.53125</v>
      </c>
      <c r="EH92" s="12">
        <v>10</v>
      </c>
      <c r="EI92" s="12">
        <v>15</v>
      </c>
      <c r="EJ92" s="16">
        <v>0.66666666666666663</v>
      </c>
      <c r="EK92" s="12">
        <v>10</v>
      </c>
      <c r="EL92" s="12">
        <v>17</v>
      </c>
      <c r="EM92" s="12">
        <v>27</v>
      </c>
      <c r="EN92" s="12">
        <v>25</v>
      </c>
      <c r="EO92" s="12">
        <v>23</v>
      </c>
      <c r="EP92" s="12">
        <v>20</v>
      </c>
      <c r="EQ92" s="12">
        <v>7</v>
      </c>
      <c r="ER92" s="12">
        <v>18</v>
      </c>
      <c r="ES92" s="12">
        <v>1</v>
      </c>
      <c r="ET92" s="12">
        <v>2</v>
      </c>
      <c r="EU92" s="12">
        <v>92</v>
      </c>
      <c r="EV92" s="12">
        <v>-8</v>
      </c>
      <c r="EW92" s="12">
        <v>77</v>
      </c>
      <c r="EX92" s="12">
        <v>88</v>
      </c>
      <c r="EY92" s="12">
        <v>2</v>
      </c>
      <c r="EZ92" s="12">
        <v>11</v>
      </c>
      <c r="FA92" s="12">
        <v>11</v>
      </c>
      <c r="FB92" s="12">
        <v>3</v>
      </c>
      <c r="FC92" s="12">
        <v>6</v>
      </c>
      <c r="FD92" s="12">
        <v>2</v>
      </c>
      <c r="FE92" s="12">
        <v>0</v>
      </c>
      <c r="FF92" s="12">
        <v>1</v>
      </c>
      <c r="FG92" s="12">
        <v>0</v>
      </c>
      <c r="FH92" s="12">
        <v>0</v>
      </c>
      <c r="FI92" s="12">
        <v>0</v>
      </c>
      <c r="FJ92" s="12">
        <v>0</v>
      </c>
      <c r="FK92" s="12">
        <v>0</v>
      </c>
      <c r="FL92" s="12">
        <v>6</v>
      </c>
      <c r="FM92" s="12">
        <v>2</v>
      </c>
      <c r="FN92" s="12">
        <v>1</v>
      </c>
      <c r="FO92" s="12">
        <v>0</v>
      </c>
      <c r="FP92" s="12">
        <v>2</v>
      </c>
      <c r="FQ92" s="12">
        <v>0</v>
      </c>
      <c r="FR92" s="12">
        <v>3</v>
      </c>
      <c r="FS92" s="12">
        <v>0</v>
      </c>
      <c r="FT92" s="12">
        <v>0</v>
      </c>
      <c r="FU92" s="12">
        <v>0</v>
      </c>
      <c r="FV92" s="12">
        <v>0</v>
      </c>
      <c r="FW92" s="12">
        <v>0</v>
      </c>
      <c r="FX92" s="12">
        <v>9</v>
      </c>
      <c r="FY92" s="12">
        <v>2</v>
      </c>
      <c r="FZ92" s="12">
        <v>3</v>
      </c>
      <c r="GA92" s="12">
        <v>0</v>
      </c>
      <c r="GB92" s="12">
        <v>1</v>
      </c>
      <c r="GC92" s="12">
        <v>2</v>
      </c>
      <c r="GD92" s="12">
        <v>0</v>
      </c>
      <c r="GE92" s="12">
        <v>1</v>
      </c>
      <c r="GF92" s="12">
        <v>9</v>
      </c>
      <c r="GG92" s="12">
        <v>12</v>
      </c>
      <c r="GH92" s="12">
        <v>0</v>
      </c>
      <c r="GI92" s="12">
        <v>0</v>
      </c>
      <c r="GJ92" s="12">
        <v>0</v>
      </c>
      <c r="GK92" s="12">
        <v>0</v>
      </c>
      <c r="GL92" s="12">
        <v>17</v>
      </c>
      <c r="GM92" s="12">
        <v>25</v>
      </c>
      <c r="GN92" s="12">
        <v>3</v>
      </c>
      <c r="GO92" s="12">
        <v>5</v>
      </c>
      <c r="GP92" s="12">
        <v>2</v>
      </c>
      <c r="GQ92" s="12">
        <v>4</v>
      </c>
      <c r="GR92" s="12">
        <v>0</v>
      </c>
      <c r="GS92" s="12">
        <v>1</v>
      </c>
      <c r="GT92" s="12">
        <v>12</v>
      </c>
      <c r="GU92" s="12">
        <v>29</v>
      </c>
      <c r="GV92" s="12">
        <v>0</v>
      </c>
      <c r="GW92" s="12">
        <v>0</v>
      </c>
    </row>
    <row r="93" spans="2:205" ht="15" customHeight="1" x14ac:dyDescent="0.2">
      <c r="B93" s="12">
        <v>2</v>
      </c>
      <c r="C93" s="12" t="s">
        <v>273</v>
      </c>
      <c r="D93" s="12" t="s">
        <v>289</v>
      </c>
      <c r="E93" s="14" t="s">
        <v>275</v>
      </c>
      <c r="F93" s="14" t="s">
        <v>291</v>
      </c>
      <c r="G93" s="15">
        <v>45230</v>
      </c>
      <c r="H93" s="15" t="s">
        <v>271</v>
      </c>
      <c r="I93" s="12" t="s">
        <v>269</v>
      </c>
      <c r="J93" s="12" t="s">
        <v>270</v>
      </c>
      <c r="K93" s="12">
        <v>200</v>
      </c>
      <c r="L93" s="12">
        <v>90</v>
      </c>
      <c r="M93" s="12">
        <v>22</v>
      </c>
      <c r="N93" s="12">
        <v>34</v>
      </c>
      <c r="O93" s="16">
        <v>0.6470588235294118</v>
      </c>
      <c r="P93" s="12">
        <v>12</v>
      </c>
      <c r="Q93" s="12">
        <v>30</v>
      </c>
      <c r="R93" s="16">
        <v>0.4</v>
      </c>
      <c r="S93" s="12">
        <v>34</v>
      </c>
      <c r="T93" s="12">
        <v>64</v>
      </c>
      <c r="U93" s="16">
        <v>0.53125</v>
      </c>
      <c r="V93" s="12">
        <v>10</v>
      </c>
      <c r="W93" s="12">
        <v>15</v>
      </c>
      <c r="X93" s="16">
        <v>0.66666666666666663</v>
      </c>
      <c r="Y93" s="12">
        <v>10</v>
      </c>
      <c r="Z93" s="12">
        <v>17</v>
      </c>
      <c r="AA93" s="12">
        <v>27</v>
      </c>
      <c r="AB93" s="12">
        <v>25</v>
      </c>
      <c r="AC93" s="12">
        <v>18</v>
      </c>
      <c r="AD93" s="12">
        <v>7</v>
      </c>
      <c r="AE93" s="12">
        <v>1</v>
      </c>
      <c r="AF93" s="12">
        <v>2</v>
      </c>
      <c r="AG93" s="12">
        <v>23</v>
      </c>
      <c r="AH93" s="12">
        <v>20</v>
      </c>
      <c r="AI93" s="17">
        <v>92</v>
      </c>
      <c r="AJ93" s="12">
        <v>-8</v>
      </c>
      <c r="AK93" s="12">
        <v>77</v>
      </c>
      <c r="AL93" s="12">
        <v>88</v>
      </c>
      <c r="AM93" s="19">
        <v>1.0227272727272727</v>
      </c>
      <c r="AN93" s="19">
        <v>1.0888888888888888</v>
      </c>
      <c r="AO93" s="18">
        <v>116.88311688311688</v>
      </c>
      <c r="AP93" s="18">
        <v>128.94736842105263</v>
      </c>
      <c r="AQ93" s="18">
        <v>-12.064251537935746</v>
      </c>
      <c r="AR93" s="53">
        <v>0.625</v>
      </c>
      <c r="AS93" s="53">
        <v>0.6428571428571429</v>
      </c>
      <c r="AT93" s="16">
        <v>0.28409090909090912</v>
      </c>
      <c r="AU93" s="19">
        <v>1.36</v>
      </c>
      <c r="AV93" s="16">
        <v>5.6818181818181816E-2</v>
      </c>
      <c r="AW93" s="19">
        <v>1.2</v>
      </c>
      <c r="AX93" s="16">
        <v>4.5454545454545456E-2</v>
      </c>
      <c r="AY93" s="19">
        <v>1</v>
      </c>
      <c r="AZ93" s="16">
        <v>1.1363636363636364E-2</v>
      </c>
      <c r="BA93" s="19">
        <v>0</v>
      </c>
      <c r="BB93" s="16">
        <v>0.32954545454545453</v>
      </c>
      <c r="BC93" s="21">
        <v>1.2413793103448276</v>
      </c>
      <c r="BD93" s="16">
        <v>6.8181818181818177E-2</v>
      </c>
      <c r="BE93" s="16">
        <v>0.20689655172413793</v>
      </c>
      <c r="BF93" s="16">
        <v>0.625</v>
      </c>
      <c r="BG93" s="16">
        <v>0.5</v>
      </c>
      <c r="BH93" s="16">
        <v>0.91666666666666663</v>
      </c>
      <c r="BI93" s="16">
        <v>0.5</v>
      </c>
      <c r="BJ93" s="16">
        <v>0.28735632183908044</v>
      </c>
      <c r="BK93" s="21">
        <v>1.3888888888888888</v>
      </c>
      <c r="BL93" s="16">
        <v>0.33333333333333331</v>
      </c>
      <c r="BM93" s="16">
        <v>0.27272727272727271</v>
      </c>
      <c r="BN93" s="16">
        <v>0.44444444444444442</v>
      </c>
      <c r="BO93" s="16">
        <v>0.5</v>
      </c>
      <c r="BP93" s="16">
        <v>0.54838709677419351</v>
      </c>
      <c r="BQ93" s="16">
        <v>0.25</v>
      </c>
      <c r="BR93" s="16">
        <v>0.6875</v>
      </c>
      <c r="BS93" s="16">
        <v>1</v>
      </c>
      <c r="BT93" s="16">
        <v>0.44262295081967212</v>
      </c>
      <c r="BU93" s="16">
        <v>9.2105263157894732E-2</v>
      </c>
      <c r="BV93" s="16">
        <v>1.5384615384615385E-2</v>
      </c>
      <c r="BW93" s="16">
        <v>2</v>
      </c>
      <c r="BX93" s="16">
        <v>0.65217391304347827</v>
      </c>
      <c r="BY93" s="16">
        <v>0.35</v>
      </c>
      <c r="BZ93" s="12">
        <v>11</v>
      </c>
      <c r="CA93" s="12">
        <v>11</v>
      </c>
      <c r="CB93" s="12">
        <v>3</v>
      </c>
      <c r="CC93" s="12">
        <v>6</v>
      </c>
      <c r="CD93" s="12">
        <v>2</v>
      </c>
      <c r="CE93" s="12">
        <v>0</v>
      </c>
      <c r="CF93" s="12">
        <v>1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6</v>
      </c>
      <c r="CM93" s="12">
        <v>2</v>
      </c>
      <c r="CN93" s="12">
        <v>1</v>
      </c>
      <c r="CO93" s="12">
        <v>0</v>
      </c>
      <c r="CP93" s="12">
        <v>2</v>
      </c>
      <c r="CQ93" s="12">
        <v>0</v>
      </c>
      <c r="CR93" s="12">
        <v>3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9</v>
      </c>
      <c r="CY93" s="12">
        <v>2</v>
      </c>
      <c r="CZ93" s="12">
        <v>3</v>
      </c>
      <c r="DA93" s="12">
        <v>0</v>
      </c>
      <c r="DB93" s="12">
        <v>1</v>
      </c>
      <c r="DC93" s="12">
        <v>2</v>
      </c>
      <c r="DD93" s="12">
        <v>0</v>
      </c>
      <c r="DE93" s="12">
        <v>1</v>
      </c>
      <c r="DF93" s="12">
        <v>9</v>
      </c>
      <c r="DG93" s="12">
        <v>12</v>
      </c>
      <c r="DH93" s="12">
        <v>0</v>
      </c>
      <c r="DI93" s="12">
        <v>0</v>
      </c>
      <c r="DJ93" s="12">
        <v>0</v>
      </c>
      <c r="DK93" s="12">
        <v>0</v>
      </c>
      <c r="DL93" s="12">
        <v>17</v>
      </c>
      <c r="DM93" s="12">
        <v>25</v>
      </c>
      <c r="DN93" s="12">
        <v>3</v>
      </c>
      <c r="DO93" s="12">
        <v>5</v>
      </c>
      <c r="DP93" s="12">
        <v>2</v>
      </c>
      <c r="DQ93" s="12">
        <v>4</v>
      </c>
      <c r="DR93" s="12">
        <v>0</v>
      </c>
      <c r="DS93" s="12">
        <v>1</v>
      </c>
      <c r="DT93" s="12">
        <v>12</v>
      </c>
      <c r="DU93" s="12">
        <v>29</v>
      </c>
      <c r="DV93" s="12">
        <v>0</v>
      </c>
      <c r="DW93" s="12">
        <v>0</v>
      </c>
      <c r="DX93" s="12">
        <v>98</v>
      </c>
      <c r="DY93" s="12">
        <v>30</v>
      </c>
      <c r="DZ93" s="12">
        <v>45</v>
      </c>
      <c r="EA93" s="16">
        <v>0.66666666666666663</v>
      </c>
      <c r="EB93" s="12">
        <v>6</v>
      </c>
      <c r="EC93" s="12">
        <v>20</v>
      </c>
      <c r="ED93" s="16">
        <v>0.3</v>
      </c>
      <c r="EE93" s="12">
        <v>36</v>
      </c>
      <c r="EF93" s="12">
        <v>65</v>
      </c>
      <c r="EG93" s="16">
        <v>0.55384615384615388</v>
      </c>
      <c r="EH93" s="12">
        <v>20</v>
      </c>
      <c r="EI93" s="12">
        <v>26</v>
      </c>
      <c r="EJ93" s="16">
        <v>0.76923076923076927</v>
      </c>
      <c r="EK93" s="12">
        <v>14</v>
      </c>
      <c r="EL93" s="12">
        <v>20</v>
      </c>
      <c r="EM93" s="12">
        <v>34</v>
      </c>
      <c r="EN93" s="12">
        <v>22</v>
      </c>
      <c r="EO93" s="12">
        <v>22</v>
      </c>
      <c r="EP93" s="12">
        <v>23</v>
      </c>
      <c r="EQ93" s="12">
        <v>10</v>
      </c>
      <c r="ER93" s="12">
        <v>14</v>
      </c>
      <c r="ES93" s="12">
        <v>2</v>
      </c>
      <c r="ET93" s="12">
        <v>1</v>
      </c>
      <c r="EU93" s="12">
        <v>117</v>
      </c>
      <c r="EV93" s="12">
        <v>8</v>
      </c>
      <c r="EW93" s="12">
        <v>76</v>
      </c>
      <c r="EX93" s="12">
        <v>90</v>
      </c>
      <c r="EY93" s="12">
        <v>5</v>
      </c>
      <c r="EZ93" s="12">
        <v>19</v>
      </c>
      <c r="FA93" s="12">
        <v>1</v>
      </c>
      <c r="FB93" s="12">
        <v>2</v>
      </c>
      <c r="FC93" s="12">
        <v>2</v>
      </c>
      <c r="FD93" s="12">
        <v>3</v>
      </c>
      <c r="FE93" s="12">
        <v>2</v>
      </c>
      <c r="FF93" s="12">
        <v>4</v>
      </c>
      <c r="FG93" s="12">
        <v>1</v>
      </c>
      <c r="FH93" s="12">
        <v>3</v>
      </c>
      <c r="FI93" s="12">
        <v>2</v>
      </c>
      <c r="FJ93" s="12">
        <v>0</v>
      </c>
      <c r="FK93" s="12">
        <v>0</v>
      </c>
      <c r="FL93" s="12">
        <v>4</v>
      </c>
      <c r="FM93" s="12">
        <v>1</v>
      </c>
      <c r="FN93" s="12">
        <v>0</v>
      </c>
      <c r="FO93" s="12">
        <v>0</v>
      </c>
      <c r="FP93" s="12">
        <v>6</v>
      </c>
      <c r="FQ93" s="12">
        <v>0</v>
      </c>
      <c r="FR93" s="12">
        <v>1</v>
      </c>
      <c r="FS93" s="12">
        <v>0</v>
      </c>
      <c r="FT93" s="12">
        <v>1</v>
      </c>
      <c r="FU93" s="12">
        <v>0</v>
      </c>
      <c r="FV93" s="12">
        <v>0</v>
      </c>
      <c r="FW93" s="12">
        <v>0</v>
      </c>
      <c r="FX93" s="12">
        <v>10</v>
      </c>
      <c r="FY93" s="12">
        <v>0</v>
      </c>
      <c r="FZ93" s="12">
        <v>1</v>
      </c>
      <c r="GA93" s="12">
        <v>0</v>
      </c>
      <c r="GB93" s="12">
        <v>0</v>
      </c>
      <c r="GC93" s="12">
        <v>0</v>
      </c>
      <c r="GD93" s="12">
        <v>4</v>
      </c>
      <c r="GE93" s="12">
        <v>4</v>
      </c>
      <c r="GF93" s="12">
        <v>16</v>
      </c>
      <c r="GG93" s="12">
        <v>22</v>
      </c>
      <c r="GH93" s="12">
        <v>1</v>
      </c>
      <c r="GI93" s="12">
        <v>0</v>
      </c>
      <c r="GJ93" s="12">
        <v>0</v>
      </c>
      <c r="GK93" s="12">
        <v>0</v>
      </c>
      <c r="GL93" s="12">
        <v>22</v>
      </c>
      <c r="GM93" s="12">
        <v>26</v>
      </c>
      <c r="GN93" s="12">
        <v>5</v>
      </c>
      <c r="GO93" s="12">
        <v>13</v>
      </c>
      <c r="GP93" s="12">
        <v>3</v>
      </c>
      <c r="GQ93" s="12">
        <v>6</v>
      </c>
      <c r="GR93" s="12">
        <v>0</v>
      </c>
      <c r="GS93" s="12">
        <v>0</v>
      </c>
      <c r="GT93" s="12">
        <v>6</v>
      </c>
      <c r="GU93" s="12">
        <v>19</v>
      </c>
      <c r="GV93" s="12">
        <v>0</v>
      </c>
      <c r="GW93" s="12">
        <v>0</v>
      </c>
    </row>
    <row r="94" spans="2:205" ht="15" customHeight="1" x14ac:dyDescent="0.2">
      <c r="B94" s="12">
        <v>6</v>
      </c>
      <c r="C94" s="12" t="s">
        <v>264</v>
      </c>
      <c r="D94" s="12" t="s">
        <v>282</v>
      </c>
      <c r="E94" s="14" t="s">
        <v>266</v>
      </c>
      <c r="F94" s="14" t="s">
        <v>284</v>
      </c>
      <c r="G94" s="15">
        <v>45232</v>
      </c>
      <c r="H94" s="15" t="s">
        <v>268</v>
      </c>
      <c r="I94" s="12" t="s">
        <v>269</v>
      </c>
      <c r="J94" s="12" t="s">
        <v>270</v>
      </c>
      <c r="K94" s="12">
        <v>200</v>
      </c>
      <c r="L94" s="12">
        <v>68</v>
      </c>
      <c r="M94" s="12">
        <v>14</v>
      </c>
      <c r="N94" s="12">
        <v>30</v>
      </c>
      <c r="O94" s="16">
        <v>0.46666666666666667</v>
      </c>
      <c r="P94" s="12">
        <v>11</v>
      </c>
      <c r="Q94" s="12">
        <v>33</v>
      </c>
      <c r="R94" s="16">
        <v>0.33333333333333331</v>
      </c>
      <c r="S94" s="12">
        <v>25</v>
      </c>
      <c r="T94" s="12">
        <v>63</v>
      </c>
      <c r="U94" s="16">
        <v>0.3968253968253968</v>
      </c>
      <c r="V94" s="12">
        <v>7</v>
      </c>
      <c r="W94" s="12">
        <v>9</v>
      </c>
      <c r="X94" s="16">
        <v>0.77777777777777779</v>
      </c>
      <c r="Y94" s="12">
        <v>13</v>
      </c>
      <c r="Z94" s="12">
        <v>27</v>
      </c>
      <c r="AA94" s="12">
        <v>40</v>
      </c>
      <c r="AB94" s="12">
        <v>20</v>
      </c>
      <c r="AC94" s="12">
        <v>17</v>
      </c>
      <c r="AD94" s="12">
        <v>8</v>
      </c>
      <c r="AE94" s="12">
        <v>1</v>
      </c>
      <c r="AF94" s="12">
        <v>2</v>
      </c>
      <c r="AG94" s="12">
        <v>20</v>
      </c>
      <c r="AH94" s="12">
        <v>17</v>
      </c>
      <c r="AI94" s="17">
        <v>75</v>
      </c>
      <c r="AJ94" s="12">
        <v>-6</v>
      </c>
      <c r="AK94" s="12">
        <v>71</v>
      </c>
      <c r="AL94" s="12">
        <v>84</v>
      </c>
      <c r="AM94" s="19">
        <v>0.80952380952380953</v>
      </c>
      <c r="AN94" s="19">
        <v>0.88095238095238093</v>
      </c>
      <c r="AO94" s="18">
        <v>95.774647887323937</v>
      </c>
      <c r="AP94" s="18">
        <v>104.22535211267605</v>
      </c>
      <c r="AQ94" s="18">
        <v>-8.4507042253521121</v>
      </c>
      <c r="AR94" s="53">
        <v>0.48412698412698413</v>
      </c>
      <c r="AS94" s="53">
        <v>0.5074626865671642</v>
      </c>
      <c r="AT94" s="16">
        <v>7.1428571428571425E-2</v>
      </c>
      <c r="AU94" s="19">
        <v>1.3333333333333333</v>
      </c>
      <c r="AV94" s="16">
        <v>0.19047619047619047</v>
      </c>
      <c r="AW94" s="19">
        <v>0.625</v>
      </c>
      <c r="AX94" s="16">
        <v>9.5238095238095233E-2</v>
      </c>
      <c r="AY94" s="19">
        <v>1.25</v>
      </c>
      <c r="AZ94" s="16">
        <v>0.10714285714285714</v>
      </c>
      <c r="BA94" s="19">
        <v>1</v>
      </c>
      <c r="BB94" s="16">
        <v>0.2857142857142857</v>
      </c>
      <c r="BC94" s="21">
        <v>1</v>
      </c>
      <c r="BD94" s="16">
        <v>4.7619047619047616E-2</v>
      </c>
      <c r="BE94" s="16">
        <v>0.20238095238095238</v>
      </c>
      <c r="BF94" s="16">
        <v>0.68965517241379315</v>
      </c>
      <c r="BG94" s="16">
        <v>0.5</v>
      </c>
      <c r="BH94" s="16">
        <v>0.90909090909090906</v>
      </c>
      <c r="BI94" s="16">
        <v>0.75</v>
      </c>
      <c r="BJ94" s="16">
        <v>0.23809523809523808</v>
      </c>
      <c r="BK94" s="21">
        <v>1.1764705882352942</v>
      </c>
      <c r="BL94" s="16">
        <v>0.34210526315789475</v>
      </c>
      <c r="BM94" s="16">
        <v>0.3125</v>
      </c>
      <c r="BN94" s="16">
        <v>0.375</v>
      </c>
      <c r="BO94" s="16" t="s">
        <v>269</v>
      </c>
      <c r="BP94" s="16">
        <v>0.69230769230769229</v>
      </c>
      <c r="BQ94" s="16">
        <v>0.6875</v>
      </c>
      <c r="BR94" s="16">
        <v>0.75</v>
      </c>
      <c r="BS94" s="16">
        <v>0.66666666666666663</v>
      </c>
      <c r="BT94" s="16">
        <v>0.51948051948051943</v>
      </c>
      <c r="BU94" s="16">
        <v>0.11267605633802817</v>
      </c>
      <c r="BV94" s="16">
        <v>1.5625E-2</v>
      </c>
      <c r="BW94" s="16">
        <v>5</v>
      </c>
      <c r="BX94" s="16">
        <v>0.55000000000000004</v>
      </c>
      <c r="BY94" s="16">
        <v>0.29411764705882354</v>
      </c>
      <c r="BZ94" s="12">
        <v>7</v>
      </c>
      <c r="CA94" s="12">
        <v>10</v>
      </c>
      <c r="CB94" s="12">
        <v>3</v>
      </c>
      <c r="CC94" s="12">
        <v>6</v>
      </c>
      <c r="CD94" s="12">
        <v>1</v>
      </c>
      <c r="CE94" s="12">
        <v>0</v>
      </c>
      <c r="CF94" s="12">
        <v>3</v>
      </c>
      <c r="CG94" s="12">
        <v>1</v>
      </c>
      <c r="CH94" s="12">
        <v>0</v>
      </c>
      <c r="CI94" s="12">
        <v>0</v>
      </c>
      <c r="CJ94" s="12">
        <v>0</v>
      </c>
      <c r="CK94" s="12">
        <v>0</v>
      </c>
      <c r="CL94" s="12">
        <v>9</v>
      </c>
      <c r="CM94" s="12">
        <v>0</v>
      </c>
      <c r="CN94" s="12">
        <v>0</v>
      </c>
      <c r="CO94" s="12">
        <v>0</v>
      </c>
      <c r="CP94" s="12">
        <v>4</v>
      </c>
      <c r="CQ94" s="12">
        <v>1</v>
      </c>
      <c r="CR94" s="12">
        <v>2</v>
      </c>
      <c r="CS94" s="12">
        <v>0</v>
      </c>
      <c r="CT94" s="12">
        <v>4</v>
      </c>
      <c r="CU94" s="12">
        <v>0</v>
      </c>
      <c r="CV94" s="12">
        <v>4</v>
      </c>
      <c r="CW94" s="12">
        <v>2</v>
      </c>
      <c r="CX94" s="12">
        <v>11</v>
      </c>
      <c r="CY94" s="12">
        <v>1</v>
      </c>
      <c r="CZ94" s="12">
        <v>2</v>
      </c>
      <c r="DA94" s="12">
        <v>0</v>
      </c>
      <c r="DB94" s="12">
        <v>0</v>
      </c>
      <c r="DC94" s="12">
        <v>0</v>
      </c>
      <c r="DD94" s="12">
        <v>1</v>
      </c>
      <c r="DE94" s="12">
        <v>1</v>
      </c>
      <c r="DF94" s="12">
        <v>6</v>
      </c>
      <c r="DG94" s="12">
        <v>8</v>
      </c>
      <c r="DH94" s="12">
        <v>0</v>
      </c>
      <c r="DI94" s="12">
        <v>0</v>
      </c>
      <c r="DJ94" s="12">
        <v>0</v>
      </c>
      <c r="DK94" s="12">
        <v>0</v>
      </c>
      <c r="DL94" s="12">
        <v>4</v>
      </c>
      <c r="DM94" s="12">
        <v>6</v>
      </c>
      <c r="DN94" s="12">
        <v>5</v>
      </c>
      <c r="DO94" s="12">
        <v>16</v>
      </c>
      <c r="DP94" s="12">
        <v>5</v>
      </c>
      <c r="DQ94" s="12">
        <v>8</v>
      </c>
      <c r="DR94" s="12">
        <v>3</v>
      </c>
      <c r="DS94" s="12">
        <v>9</v>
      </c>
      <c r="DT94" s="12">
        <v>8</v>
      </c>
      <c r="DU94" s="12">
        <v>24</v>
      </c>
      <c r="DV94" s="12">
        <v>0</v>
      </c>
      <c r="DW94" s="12">
        <v>0</v>
      </c>
      <c r="DX94" s="12">
        <v>74</v>
      </c>
      <c r="DY94" s="12">
        <v>19</v>
      </c>
      <c r="DZ94" s="12">
        <v>35</v>
      </c>
      <c r="EA94" s="16">
        <v>0.54285714285714282</v>
      </c>
      <c r="EB94" s="12">
        <v>7</v>
      </c>
      <c r="EC94" s="12">
        <v>29</v>
      </c>
      <c r="ED94" s="16">
        <v>0.2413793103448276</v>
      </c>
      <c r="EE94" s="12">
        <v>26</v>
      </c>
      <c r="EF94" s="12">
        <v>64</v>
      </c>
      <c r="EG94" s="16">
        <v>0.40625</v>
      </c>
      <c r="EH94" s="12">
        <v>15</v>
      </c>
      <c r="EI94" s="12">
        <v>21</v>
      </c>
      <c r="EJ94" s="16">
        <v>0.7142857142857143</v>
      </c>
      <c r="EK94" s="12">
        <v>12</v>
      </c>
      <c r="EL94" s="12">
        <v>25</v>
      </c>
      <c r="EM94" s="12">
        <v>37</v>
      </c>
      <c r="EN94" s="12">
        <v>17</v>
      </c>
      <c r="EO94" s="12">
        <v>17</v>
      </c>
      <c r="EP94" s="12">
        <v>20</v>
      </c>
      <c r="EQ94" s="12">
        <v>11</v>
      </c>
      <c r="ER94" s="12">
        <v>11</v>
      </c>
      <c r="ES94" s="12">
        <v>2</v>
      </c>
      <c r="ET94" s="12">
        <v>1</v>
      </c>
      <c r="EU94" s="12">
        <v>88</v>
      </c>
      <c r="EV94" s="12">
        <v>6</v>
      </c>
      <c r="EW94" s="12">
        <v>71</v>
      </c>
      <c r="EX94" s="12">
        <v>84</v>
      </c>
      <c r="EY94" s="12">
        <v>7</v>
      </c>
      <c r="EZ94" s="12">
        <v>10</v>
      </c>
      <c r="FA94" s="12">
        <v>5</v>
      </c>
      <c r="FB94" s="12">
        <v>2</v>
      </c>
      <c r="FC94" s="12">
        <v>5</v>
      </c>
      <c r="FD94" s="12">
        <v>1</v>
      </c>
      <c r="FE94" s="12">
        <v>0</v>
      </c>
      <c r="FF94" s="12">
        <v>3</v>
      </c>
      <c r="FG94" s="12">
        <v>0</v>
      </c>
      <c r="FH94" s="12">
        <v>1</v>
      </c>
      <c r="FI94" s="12">
        <v>0</v>
      </c>
      <c r="FJ94" s="12">
        <v>1</v>
      </c>
      <c r="FK94" s="12">
        <v>0</v>
      </c>
      <c r="FL94" s="12">
        <v>5</v>
      </c>
      <c r="FM94" s="12">
        <v>0</v>
      </c>
      <c r="FN94" s="12">
        <v>1</v>
      </c>
      <c r="FO94" s="12">
        <v>0</v>
      </c>
      <c r="FP94" s="12">
        <v>1</v>
      </c>
      <c r="FQ94" s="12">
        <v>0</v>
      </c>
      <c r="FR94" s="12">
        <v>7</v>
      </c>
      <c r="FS94" s="12">
        <v>0</v>
      </c>
      <c r="FT94" s="12">
        <v>3</v>
      </c>
      <c r="FU94" s="12">
        <v>0</v>
      </c>
      <c r="FV94" s="12">
        <v>6</v>
      </c>
      <c r="FW94" s="12">
        <v>0</v>
      </c>
      <c r="FX94" s="12">
        <v>7</v>
      </c>
      <c r="FY94" s="12">
        <v>2</v>
      </c>
      <c r="FZ94" s="12">
        <v>0</v>
      </c>
      <c r="GA94" s="12">
        <v>0</v>
      </c>
      <c r="GB94" s="12">
        <v>0</v>
      </c>
      <c r="GC94" s="12">
        <v>0</v>
      </c>
      <c r="GD94" s="12">
        <v>2</v>
      </c>
      <c r="GE94" s="12">
        <v>2</v>
      </c>
      <c r="GF94" s="12">
        <v>10</v>
      </c>
      <c r="GG94" s="12">
        <v>16</v>
      </c>
      <c r="GH94" s="12">
        <v>1</v>
      </c>
      <c r="GI94" s="12">
        <v>3</v>
      </c>
      <c r="GJ94" s="12">
        <v>3</v>
      </c>
      <c r="GK94" s="12">
        <v>0</v>
      </c>
      <c r="GL94" s="12">
        <v>6</v>
      </c>
      <c r="GM94" s="12">
        <v>12</v>
      </c>
      <c r="GN94" s="12">
        <v>9</v>
      </c>
      <c r="GO94" s="12">
        <v>14</v>
      </c>
      <c r="GP94" s="12">
        <v>4</v>
      </c>
      <c r="GQ94" s="12">
        <v>9</v>
      </c>
      <c r="GR94" s="12">
        <v>0</v>
      </c>
      <c r="GS94" s="12">
        <v>5</v>
      </c>
      <c r="GT94" s="12">
        <v>7</v>
      </c>
      <c r="GU94" s="12">
        <v>24</v>
      </c>
      <c r="GV94" s="12">
        <v>0</v>
      </c>
      <c r="GW94" s="12">
        <v>0</v>
      </c>
    </row>
    <row r="95" spans="2:205" ht="15" customHeight="1" x14ac:dyDescent="0.2">
      <c r="B95" s="12">
        <v>6</v>
      </c>
      <c r="C95" s="12" t="s">
        <v>282</v>
      </c>
      <c r="D95" s="12" t="s">
        <v>264</v>
      </c>
      <c r="E95" s="14" t="s">
        <v>284</v>
      </c>
      <c r="F95" s="14" t="s">
        <v>266</v>
      </c>
      <c r="G95" s="15">
        <v>45232</v>
      </c>
      <c r="H95" s="15" t="s">
        <v>271</v>
      </c>
      <c r="I95" s="12" t="s">
        <v>269</v>
      </c>
      <c r="J95" s="12" t="s">
        <v>272</v>
      </c>
      <c r="K95" s="12">
        <v>200</v>
      </c>
      <c r="L95" s="12">
        <v>74</v>
      </c>
      <c r="M95" s="12">
        <v>19</v>
      </c>
      <c r="N95" s="12">
        <v>35</v>
      </c>
      <c r="O95" s="16">
        <v>0.54285714285714282</v>
      </c>
      <c r="P95" s="12">
        <v>7</v>
      </c>
      <c r="Q95" s="12">
        <v>29</v>
      </c>
      <c r="R95" s="16">
        <v>0.2413793103448276</v>
      </c>
      <c r="S95" s="12">
        <v>26</v>
      </c>
      <c r="T95" s="12">
        <v>64</v>
      </c>
      <c r="U95" s="16">
        <v>0.40625</v>
      </c>
      <c r="V95" s="12">
        <v>15</v>
      </c>
      <c r="W95" s="12">
        <v>21</v>
      </c>
      <c r="X95" s="16">
        <v>0.7142857142857143</v>
      </c>
      <c r="Y95" s="12">
        <v>12</v>
      </c>
      <c r="Z95" s="12">
        <v>25</v>
      </c>
      <c r="AA95" s="12">
        <v>37</v>
      </c>
      <c r="AB95" s="12">
        <v>17</v>
      </c>
      <c r="AC95" s="12">
        <v>11</v>
      </c>
      <c r="AD95" s="12">
        <v>11</v>
      </c>
      <c r="AE95" s="12">
        <v>2</v>
      </c>
      <c r="AF95" s="12">
        <v>1</v>
      </c>
      <c r="AG95" s="12">
        <v>17</v>
      </c>
      <c r="AH95" s="12">
        <v>20</v>
      </c>
      <c r="AI95" s="17">
        <v>88</v>
      </c>
      <c r="AJ95" s="12">
        <v>6</v>
      </c>
      <c r="AK95" s="12">
        <v>71</v>
      </c>
      <c r="AL95" s="12">
        <v>84</v>
      </c>
      <c r="AM95" s="19">
        <v>0.88095238095238093</v>
      </c>
      <c r="AN95" s="19">
        <v>0.80952380952380953</v>
      </c>
      <c r="AO95" s="18">
        <v>104.22535211267605</v>
      </c>
      <c r="AP95" s="18">
        <v>95.774647887323937</v>
      </c>
      <c r="AQ95" s="18">
        <v>8.4507042253521121</v>
      </c>
      <c r="AR95" s="53">
        <v>0.4609375</v>
      </c>
      <c r="AS95" s="53">
        <v>0.50684931506849318</v>
      </c>
      <c r="AT95" s="16">
        <v>0.14285714285714285</v>
      </c>
      <c r="AU95" s="19">
        <v>1</v>
      </c>
      <c r="AV95" s="16">
        <v>0.16666666666666666</v>
      </c>
      <c r="AW95" s="19">
        <v>1.2857142857142858</v>
      </c>
      <c r="AX95" s="16">
        <v>0.10714285714285714</v>
      </c>
      <c r="AY95" s="19">
        <v>0.88888888888888884</v>
      </c>
      <c r="AZ95" s="16">
        <v>5.9523809523809521E-2</v>
      </c>
      <c r="BA95" s="19">
        <v>0</v>
      </c>
      <c r="BB95" s="16">
        <v>0.2857142857142857</v>
      </c>
      <c r="BC95" s="21">
        <v>0.875</v>
      </c>
      <c r="BD95" s="16">
        <v>0.10714285714285714</v>
      </c>
      <c r="BE95" s="16">
        <v>0.13253012048192772</v>
      </c>
      <c r="BF95" s="16">
        <v>0.5</v>
      </c>
      <c r="BG95" s="16">
        <v>0.52631578947368418</v>
      </c>
      <c r="BH95" s="16">
        <v>0.7142857142857143</v>
      </c>
      <c r="BI95" s="16">
        <v>0.25</v>
      </c>
      <c r="BJ95" s="16">
        <v>0.20481927710843373</v>
      </c>
      <c r="BK95" s="21">
        <v>1.5454545454545454</v>
      </c>
      <c r="BL95" s="16">
        <v>0.30769230769230771</v>
      </c>
      <c r="BM95" s="16">
        <v>0.3125</v>
      </c>
      <c r="BN95" s="16">
        <v>0.25</v>
      </c>
      <c r="BO95" s="16">
        <v>0.33333333333333331</v>
      </c>
      <c r="BP95" s="16">
        <v>0.65789473684210531</v>
      </c>
      <c r="BQ95" s="16">
        <v>0.6875</v>
      </c>
      <c r="BR95" s="16">
        <v>0.625</v>
      </c>
      <c r="BS95" s="16" t="s">
        <v>269</v>
      </c>
      <c r="BT95" s="16">
        <v>0.48051948051948051</v>
      </c>
      <c r="BU95" s="16">
        <v>0.15492957746478872</v>
      </c>
      <c r="BV95" s="16">
        <v>3.1746031746031744E-2</v>
      </c>
      <c r="BW95" s="16">
        <v>7</v>
      </c>
      <c r="BX95" s="16">
        <v>0.29411764705882354</v>
      </c>
      <c r="BY95" s="16">
        <v>0.55000000000000004</v>
      </c>
      <c r="BZ95" s="12">
        <v>10</v>
      </c>
      <c r="CA95" s="12">
        <v>5</v>
      </c>
      <c r="CB95" s="12">
        <v>2</v>
      </c>
      <c r="CC95" s="12">
        <v>5</v>
      </c>
      <c r="CD95" s="12">
        <v>1</v>
      </c>
      <c r="CE95" s="12">
        <v>0</v>
      </c>
      <c r="CF95" s="12">
        <v>3</v>
      </c>
      <c r="CG95" s="12">
        <v>0</v>
      </c>
      <c r="CH95" s="12">
        <v>1</v>
      </c>
      <c r="CI95" s="12">
        <v>0</v>
      </c>
      <c r="CJ95" s="12">
        <v>1</v>
      </c>
      <c r="CK95" s="12">
        <v>0</v>
      </c>
      <c r="CL95" s="12">
        <v>5</v>
      </c>
      <c r="CM95" s="12">
        <v>0</v>
      </c>
      <c r="CN95" s="12">
        <v>1</v>
      </c>
      <c r="CO95" s="12">
        <v>0</v>
      </c>
      <c r="CP95" s="12">
        <v>1</v>
      </c>
      <c r="CQ95" s="12">
        <v>0</v>
      </c>
      <c r="CR95" s="12">
        <v>7</v>
      </c>
      <c r="CS95" s="12">
        <v>0</v>
      </c>
      <c r="CT95" s="12">
        <v>3</v>
      </c>
      <c r="CU95" s="12">
        <v>0</v>
      </c>
      <c r="CV95" s="12">
        <v>6</v>
      </c>
      <c r="CW95" s="12">
        <v>0</v>
      </c>
      <c r="CX95" s="12">
        <v>7</v>
      </c>
      <c r="CY95" s="12">
        <v>2</v>
      </c>
      <c r="CZ95" s="12">
        <v>0</v>
      </c>
      <c r="DA95" s="12">
        <v>0</v>
      </c>
      <c r="DB95" s="12">
        <v>0</v>
      </c>
      <c r="DC95" s="12">
        <v>0</v>
      </c>
      <c r="DD95" s="12">
        <v>2</v>
      </c>
      <c r="DE95" s="12">
        <v>2</v>
      </c>
      <c r="DF95" s="12">
        <v>10</v>
      </c>
      <c r="DG95" s="12">
        <v>16</v>
      </c>
      <c r="DH95" s="12">
        <v>1</v>
      </c>
      <c r="DI95" s="12">
        <v>3</v>
      </c>
      <c r="DJ95" s="12">
        <v>3</v>
      </c>
      <c r="DK95" s="12">
        <v>0</v>
      </c>
      <c r="DL95" s="12">
        <v>6</v>
      </c>
      <c r="DM95" s="12">
        <v>12</v>
      </c>
      <c r="DN95" s="12">
        <v>9</v>
      </c>
      <c r="DO95" s="12">
        <v>14</v>
      </c>
      <c r="DP95" s="12">
        <v>4</v>
      </c>
      <c r="DQ95" s="12">
        <v>9</v>
      </c>
      <c r="DR95" s="12">
        <v>0</v>
      </c>
      <c r="DS95" s="12">
        <v>5</v>
      </c>
      <c r="DT95" s="12">
        <v>7</v>
      </c>
      <c r="DU95" s="12">
        <v>24</v>
      </c>
      <c r="DV95" s="12">
        <v>0</v>
      </c>
      <c r="DW95" s="12">
        <v>0</v>
      </c>
      <c r="DX95" s="12">
        <v>68</v>
      </c>
      <c r="DY95" s="12">
        <v>14</v>
      </c>
      <c r="DZ95" s="12">
        <v>30</v>
      </c>
      <c r="EA95" s="16">
        <v>0.46666666666666667</v>
      </c>
      <c r="EB95" s="12">
        <v>11</v>
      </c>
      <c r="EC95" s="12">
        <v>33</v>
      </c>
      <c r="ED95" s="16">
        <v>0.33333333333333331</v>
      </c>
      <c r="EE95" s="12">
        <v>25</v>
      </c>
      <c r="EF95" s="12">
        <v>63</v>
      </c>
      <c r="EG95" s="16">
        <v>0.3968253968253968</v>
      </c>
      <c r="EH95" s="12">
        <v>7</v>
      </c>
      <c r="EI95" s="12">
        <v>9</v>
      </c>
      <c r="EJ95" s="16">
        <v>0.77777777777777779</v>
      </c>
      <c r="EK95" s="12">
        <v>13</v>
      </c>
      <c r="EL95" s="12">
        <v>27</v>
      </c>
      <c r="EM95" s="12">
        <v>40</v>
      </c>
      <c r="EN95" s="12">
        <v>20</v>
      </c>
      <c r="EO95" s="12">
        <v>20</v>
      </c>
      <c r="EP95" s="12">
        <v>17</v>
      </c>
      <c r="EQ95" s="12">
        <v>8</v>
      </c>
      <c r="ER95" s="12">
        <v>17</v>
      </c>
      <c r="ES95" s="12">
        <v>1</v>
      </c>
      <c r="ET95" s="12">
        <v>2</v>
      </c>
      <c r="EU95" s="12">
        <v>75</v>
      </c>
      <c r="EV95" s="12">
        <v>-6</v>
      </c>
      <c r="EW95" s="12">
        <v>71</v>
      </c>
      <c r="EX95" s="12">
        <v>84</v>
      </c>
      <c r="EY95" s="12">
        <v>5</v>
      </c>
      <c r="EZ95" s="12">
        <v>7</v>
      </c>
      <c r="FA95" s="12">
        <v>10</v>
      </c>
      <c r="FB95" s="12">
        <v>3</v>
      </c>
      <c r="FC95" s="12">
        <v>6</v>
      </c>
      <c r="FD95" s="12">
        <v>1</v>
      </c>
      <c r="FE95" s="12">
        <v>0</v>
      </c>
      <c r="FF95" s="12">
        <v>3</v>
      </c>
      <c r="FG95" s="12">
        <v>1</v>
      </c>
      <c r="FH95" s="12">
        <v>0</v>
      </c>
      <c r="FI95" s="12">
        <v>0</v>
      </c>
      <c r="FJ95" s="12">
        <v>0</v>
      </c>
      <c r="FK95" s="12">
        <v>0</v>
      </c>
      <c r="FL95" s="12">
        <v>9</v>
      </c>
      <c r="FM95" s="12">
        <v>0</v>
      </c>
      <c r="FN95" s="12">
        <v>0</v>
      </c>
      <c r="FO95" s="12">
        <v>0</v>
      </c>
      <c r="FP95" s="12">
        <v>4</v>
      </c>
      <c r="FQ95" s="12">
        <v>1</v>
      </c>
      <c r="FR95" s="12">
        <v>2</v>
      </c>
      <c r="FS95" s="12">
        <v>0</v>
      </c>
      <c r="FT95" s="12">
        <v>4</v>
      </c>
      <c r="FU95" s="12">
        <v>0</v>
      </c>
      <c r="FV95" s="12">
        <v>4</v>
      </c>
      <c r="FW95" s="12">
        <v>2</v>
      </c>
      <c r="FX95" s="12">
        <v>11</v>
      </c>
      <c r="FY95" s="12">
        <v>1</v>
      </c>
      <c r="FZ95" s="12">
        <v>2</v>
      </c>
      <c r="GA95" s="12">
        <v>0</v>
      </c>
      <c r="GB95" s="12">
        <v>0</v>
      </c>
      <c r="GC95" s="12">
        <v>0</v>
      </c>
      <c r="GD95" s="12">
        <v>1</v>
      </c>
      <c r="GE95" s="12">
        <v>1</v>
      </c>
      <c r="GF95" s="12">
        <v>6</v>
      </c>
      <c r="GG95" s="12">
        <v>8</v>
      </c>
      <c r="GH95" s="12">
        <v>0</v>
      </c>
      <c r="GI95" s="12">
        <v>0</v>
      </c>
      <c r="GJ95" s="12">
        <v>0</v>
      </c>
      <c r="GK95" s="12">
        <v>0</v>
      </c>
      <c r="GL95" s="12">
        <v>4</v>
      </c>
      <c r="GM95" s="12">
        <v>6</v>
      </c>
      <c r="GN95" s="12">
        <v>5</v>
      </c>
      <c r="GO95" s="12">
        <v>16</v>
      </c>
      <c r="GP95" s="12">
        <v>5</v>
      </c>
      <c r="GQ95" s="12">
        <v>8</v>
      </c>
      <c r="GR95" s="12">
        <v>3</v>
      </c>
      <c r="GS95" s="12">
        <v>9</v>
      </c>
      <c r="GT95" s="12">
        <v>8</v>
      </c>
      <c r="GU95" s="12">
        <v>24</v>
      </c>
      <c r="GV95" s="12">
        <v>0</v>
      </c>
      <c r="GW95" s="12">
        <v>0</v>
      </c>
    </row>
    <row r="96" spans="2:205" ht="15" customHeight="1" x14ac:dyDescent="0.2">
      <c r="B96" s="12">
        <v>6</v>
      </c>
      <c r="C96" s="12" t="s">
        <v>290</v>
      </c>
      <c r="D96" s="12" t="s">
        <v>293</v>
      </c>
      <c r="E96" s="14" t="s">
        <v>292</v>
      </c>
      <c r="F96" s="14" t="s">
        <v>295</v>
      </c>
      <c r="G96" s="15">
        <v>45232</v>
      </c>
      <c r="H96" s="15" t="s">
        <v>268</v>
      </c>
      <c r="I96" s="12" t="s">
        <v>269</v>
      </c>
      <c r="J96" s="12" t="s">
        <v>270</v>
      </c>
      <c r="K96" s="12">
        <v>200</v>
      </c>
      <c r="L96" s="12">
        <v>77</v>
      </c>
      <c r="M96" s="12">
        <v>21</v>
      </c>
      <c r="N96" s="12">
        <v>35</v>
      </c>
      <c r="O96" s="16">
        <v>0.6</v>
      </c>
      <c r="P96" s="12">
        <v>7</v>
      </c>
      <c r="Q96" s="12">
        <v>19</v>
      </c>
      <c r="R96" s="16">
        <v>0.36842105263157893</v>
      </c>
      <c r="S96" s="12">
        <v>28</v>
      </c>
      <c r="T96" s="12">
        <v>54</v>
      </c>
      <c r="U96" s="16">
        <v>0.51851851851851849</v>
      </c>
      <c r="V96" s="12">
        <v>14</v>
      </c>
      <c r="W96" s="12">
        <v>20</v>
      </c>
      <c r="X96" s="16">
        <v>0.7</v>
      </c>
      <c r="Y96" s="12">
        <v>7</v>
      </c>
      <c r="Z96" s="12">
        <v>22</v>
      </c>
      <c r="AA96" s="12">
        <v>29</v>
      </c>
      <c r="AB96" s="12">
        <v>22</v>
      </c>
      <c r="AC96" s="12">
        <v>11</v>
      </c>
      <c r="AD96" s="12">
        <v>2</v>
      </c>
      <c r="AE96" s="12">
        <v>2</v>
      </c>
      <c r="AF96" s="12">
        <v>3</v>
      </c>
      <c r="AG96" s="12">
        <v>19</v>
      </c>
      <c r="AH96" s="12">
        <v>22</v>
      </c>
      <c r="AI96" s="17">
        <v>89</v>
      </c>
      <c r="AJ96" s="12">
        <v>-2</v>
      </c>
      <c r="AK96" s="12">
        <v>67</v>
      </c>
      <c r="AL96" s="12">
        <v>74</v>
      </c>
      <c r="AM96" s="19">
        <v>1.0405405405405406</v>
      </c>
      <c r="AN96" s="19">
        <v>1.1126760563380282</v>
      </c>
      <c r="AO96" s="18">
        <v>114.92537313432835</v>
      </c>
      <c r="AP96" s="18">
        <v>121.53846153846153</v>
      </c>
      <c r="AQ96" s="18">
        <v>-6.6130884041331797</v>
      </c>
      <c r="AR96" s="53">
        <v>0.58333333333333337</v>
      </c>
      <c r="AS96" s="53">
        <v>0.61111111111111116</v>
      </c>
      <c r="AT96" s="16">
        <v>0.17567567567567569</v>
      </c>
      <c r="AU96" s="19">
        <v>2</v>
      </c>
      <c r="AV96" s="16">
        <v>0.25675675675675674</v>
      </c>
      <c r="AW96" s="19">
        <v>0.73684210526315785</v>
      </c>
      <c r="AX96" s="16">
        <v>4.0540540540540543E-2</v>
      </c>
      <c r="AY96" s="19">
        <v>0.66666666666666663</v>
      </c>
      <c r="AZ96" s="16">
        <v>4.0540540540540543E-2</v>
      </c>
      <c r="BA96" s="19">
        <v>2</v>
      </c>
      <c r="BB96" s="16">
        <v>0.21621621621621623</v>
      </c>
      <c r="BC96" s="21">
        <v>0.9375</v>
      </c>
      <c r="BD96" s="16">
        <v>0.12162162162162163</v>
      </c>
      <c r="BE96" s="16">
        <v>0.14864864864864866</v>
      </c>
      <c r="BF96" s="16">
        <v>0.59459459459459463</v>
      </c>
      <c r="BG96" s="16">
        <v>0.61904761904761907</v>
      </c>
      <c r="BH96" s="16">
        <v>1</v>
      </c>
      <c r="BI96" s="16">
        <v>0.22222222222222221</v>
      </c>
      <c r="BJ96" s="16">
        <v>0.29729729729729731</v>
      </c>
      <c r="BK96" s="21">
        <v>2</v>
      </c>
      <c r="BL96" s="16">
        <v>0.26923076923076922</v>
      </c>
      <c r="BM96" s="16">
        <v>0.36363636363636365</v>
      </c>
      <c r="BN96" s="16">
        <v>0.1</v>
      </c>
      <c r="BO96" s="16">
        <v>0</v>
      </c>
      <c r="BP96" s="16">
        <v>0.7857142857142857</v>
      </c>
      <c r="BQ96" s="16">
        <v>0.81818181818181823</v>
      </c>
      <c r="BR96" s="16">
        <v>0.8</v>
      </c>
      <c r="BS96" s="16">
        <v>1</v>
      </c>
      <c r="BT96" s="16">
        <v>0.53703703703703709</v>
      </c>
      <c r="BU96" s="16">
        <v>3.0769230769230771E-2</v>
      </c>
      <c r="BV96" s="16">
        <v>3.5087719298245612E-2</v>
      </c>
      <c r="BW96" s="16">
        <v>3</v>
      </c>
      <c r="BX96" s="16">
        <v>0.36842105263157893</v>
      </c>
      <c r="BY96" s="16">
        <v>0.5</v>
      </c>
      <c r="BZ96" s="12">
        <v>13</v>
      </c>
      <c r="CA96" s="12">
        <v>7</v>
      </c>
      <c r="CB96" s="12">
        <v>2</v>
      </c>
      <c r="CC96" s="12">
        <v>2</v>
      </c>
      <c r="CD96" s="12">
        <v>0</v>
      </c>
      <c r="CE96" s="12">
        <v>0</v>
      </c>
      <c r="CF96" s="12">
        <v>3</v>
      </c>
      <c r="CG96" s="12">
        <v>0</v>
      </c>
      <c r="CH96" s="12">
        <v>1</v>
      </c>
      <c r="CI96" s="12">
        <v>0</v>
      </c>
      <c r="CJ96" s="12">
        <v>0</v>
      </c>
      <c r="CK96" s="12">
        <v>0</v>
      </c>
      <c r="CL96" s="12">
        <v>1</v>
      </c>
      <c r="CM96" s="12">
        <v>0</v>
      </c>
      <c r="CN96" s="12">
        <v>0</v>
      </c>
      <c r="CO96" s="12">
        <v>0</v>
      </c>
      <c r="CP96" s="12">
        <v>1</v>
      </c>
      <c r="CQ96" s="12">
        <v>0</v>
      </c>
      <c r="CR96" s="12">
        <v>5</v>
      </c>
      <c r="CS96" s="12">
        <v>1</v>
      </c>
      <c r="CT96" s="12">
        <v>2</v>
      </c>
      <c r="CU96" s="12">
        <v>0</v>
      </c>
      <c r="CV96" s="12">
        <v>4</v>
      </c>
      <c r="CW96" s="12">
        <v>1</v>
      </c>
      <c r="CX96" s="12">
        <v>9</v>
      </c>
      <c r="CY96" s="12">
        <v>2</v>
      </c>
      <c r="CZ96" s="12">
        <v>1</v>
      </c>
      <c r="DA96" s="12">
        <v>0</v>
      </c>
      <c r="DB96" s="12">
        <v>0</v>
      </c>
      <c r="DC96" s="12">
        <v>0</v>
      </c>
      <c r="DD96" s="12">
        <v>1</v>
      </c>
      <c r="DE96" s="12">
        <v>2</v>
      </c>
      <c r="DF96" s="12">
        <v>13</v>
      </c>
      <c r="DG96" s="12">
        <v>18</v>
      </c>
      <c r="DH96" s="12">
        <v>0</v>
      </c>
      <c r="DI96" s="12">
        <v>0</v>
      </c>
      <c r="DJ96" s="12">
        <v>0</v>
      </c>
      <c r="DK96" s="12">
        <v>0</v>
      </c>
      <c r="DL96" s="12">
        <v>13</v>
      </c>
      <c r="DM96" s="12">
        <v>13</v>
      </c>
      <c r="DN96" s="12">
        <v>7</v>
      </c>
      <c r="DO96" s="12">
        <v>19</v>
      </c>
      <c r="DP96" s="12">
        <v>1</v>
      </c>
      <c r="DQ96" s="12">
        <v>3</v>
      </c>
      <c r="DR96" s="12">
        <v>2</v>
      </c>
      <c r="DS96" s="12">
        <v>3</v>
      </c>
      <c r="DT96" s="12">
        <v>5</v>
      </c>
      <c r="DU96" s="12">
        <v>16</v>
      </c>
      <c r="DV96" s="12">
        <v>0</v>
      </c>
      <c r="DW96" s="12">
        <v>0</v>
      </c>
      <c r="DX96" s="12">
        <v>79</v>
      </c>
      <c r="DY96" s="12">
        <v>23</v>
      </c>
      <c r="DZ96" s="12">
        <v>33</v>
      </c>
      <c r="EA96" s="16">
        <v>0.69696969696969702</v>
      </c>
      <c r="EB96" s="12">
        <v>7</v>
      </c>
      <c r="EC96" s="12">
        <v>24</v>
      </c>
      <c r="ED96" s="16">
        <v>0.29166666666666669</v>
      </c>
      <c r="EE96" s="12">
        <v>30</v>
      </c>
      <c r="EF96" s="12">
        <v>57</v>
      </c>
      <c r="EG96" s="16">
        <v>0.52631578947368418</v>
      </c>
      <c r="EH96" s="12">
        <v>12</v>
      </c>
      <c r="EI96" s="12">
        <v>14</v>
      </c>
      <c r="EJ96" s="16">
        <v>0.8571428571428571</v>
      </c>
      <c r="EK96" s="12">
        <v>6</v>
      </c>
      <c r="EL96" s="12">
        <v>19</v>
      </c>
      <c r="EM96" s="12">
        <v>25</v>
      </c>
      <c r="EN96" s="12">
        <v>22</v>
      </c>
      <c r="EO96" s="12">
        <v>22</v>
      </c>
      <c r="EP96" s="12">
        <v>19</v>
      </c>
      <c r="EQ96" s="12">
        <v>6</v>
      </c>
      <c r="ER96" s="12">
        <v>9</v>
      </c>
      <c r="ES96" s="12">
        <v>3</v>
      </c>
      <c r="ET96" s="12">
        <v>2</v>
      </c>
      <c r="EU96" s="12">
        <v>92</v>
      </c>
      <c r="EV96" s="12">
        <v>2</v>
      </c>
      <c r="EW96" s="12">
        <v>65</v>
      </c>
      <c r="EX96" s="12">
        <v>71</v>
      </c>
      <c r="EY96" s="12">
        <v>4</v>
      </c>
      <c r="EZ96" s="12">
        <v>15</v>
      </c>
      <c r="FA96" s="12">
        <v>7</v>
      </c>
      <c r="FB96" s="12">
        <v>0</v>
      </c>
      <c r="FC96" s="12">
        <v>0</v>
      </c>
      <c r="FD96" s="12">
        <v>0</v>
      </c>
      <c r="FE96" s="12">
        <v>0</v>
      </c>
      <c r="FF96" s="12">
        <v>1</v>
      </c>
      <c r="FG96" s="12">
        <v>0</v>
      </c>
      <c r="FH96" s="12">
        <v>1</v>
      </c>
      <c r="FI96" s="12">
        <v>0</v>
      </c>
      <c r="FJ96" s="12">
        <v>1</v>
      </c>
      <c r="FK96" s="12">
        <v>0</v>
      </c>
      <c r="FL96" s="12">
        <v>3</v>
      </c>
      <c r="FM96" s="12">
        <v>0</v>
      </c>
      <c r="FN96" s="12">
        <v>0</v>
      </c>
      <c r="FO96" s="12">
        <v>0</v>
      </c>
      <c r="FP96" s="12">
        <v>0</v>
      </c>
      <c r="FQ96" s="12">
        <v>0</v>
      </c>
      <c r="FR96" s="12">
        <v>7</v>
      </c>
      <c r="FS96" s="12">
        <v>0</v>
      </c>
      <c r="FT96" s="12">
        <v>0</v>
      </c>
      <c r="FU96" s="12">
        <v>0</v>
      </c>
      <c r="FV96" s="12">
        <v>1</v>
      </c>
      <c r="FW96" s="12">
        <v>0</v>
      </c>
      <c r="FX96" s="12">
        <v>8</v>
      </c>
      <c r="FY96" s="12">
        <v>0</v>
      </c>
      <c r="FZ96" s="12">
        <v>3</v>
      </c>
      <c r="GA96" s="12">
        <v>0</v>
      </c>
      <c r="GB96" s="12">
        <v>0</v>
      </c>
      <c r="GC96" s="12">
        <v>0</v>
      </c>
      <c r="GD96" s="12">
        <v>2</v>
      </c>
      <c r="GE96" s="12">
        <v>2</v>
      </c>
      <c r="GF96" s="12">
        <v>4</v>
      </c>
      <c r="GG96" s="12">
        <v>6</v>
      </c>
      <c r="GH96" s="12">
        <v>0</v>
      </c>
      <c r="GI96" s="12">
        <v>6</v>
      </c>
      <c r="GJ96" s="12">
        <v>6</v>
      </c>
      <c r="GK96" s="12">
        <v>0</v>
      </c>
      <c r="GL96" s="12">
        <v>13</v>
      </c>
      <c r="GM96" s="12">
        <v>14</v>
      </c>
      <c r="GN96" s="12">
        <v>9</v>
      </c>
      <c r="GO96" s="12">
        <v>15</v>
      </c>
      <c r="GP96" s="12">
        <v>1</v>
      </c>
      <c r="GQ96" s="12">
        <v>4</v>
      </c>
      <c r="GR96" s="12">
        <v>2</v>
      </c>
      <c r="GS96" s="12">
        <v>7</v>
      </c>
      <c r="GT96" s="12">
        <v>5</v>
      </c>
      <c r="GU96" s="12">
        <v>17</v>
      </c>
      <c r="GV96" s="12">
        <v>0</v>
      </c>
      <c r="GW96" s="12">
        <v>0</v>
      </c>
    </row>
    <row r="97" spans="2:205" ht="15" customHeight="1" x14ac:dyDescent="0.2">
      <c r="B97" s="12">
        <v>6</v>
      </c>
      <c r="C97" s="12" t="s">
        <v>293</v>
      </c>
      <c r="D97" s="12" t="s">
        <v>290</v>
      </c>
      <c r="E97" s="14" t="s">
        <v>295</v>
      </c>
      <c r="F97" s="14" t="s">
        <v>292</v>
      </c>
      <c r="G97" s="15">
        <v>45232</v>
      </c>
      <c r="H97" s="15" t="s">
        <v>271</v>
      </c>
      <c r="I97" s="12" t="s">
        <v>269</v>
      </c>
      <c r="J97" s="12" t="s">
        <v>272</v>
      </c>
      <c r="K97" s="12">
        <v>200</v>
      </c>
      <c r="L97" s="12">
        <v>79</v>
      </c>
      <c r="M97" s="12">
        <v>23</v>
      </c>
      <c r="N97" s="12">
        <v>33</v>
      </c>
      <c r="O97" s="16">
        <v>0.69696969696969702</v>
      </c>
      <c r="P97" s="12">
        <v>7</v>
      </c>
      <c r="Q97" s="12">
        <v>24</v>
      </c>
      <c r="R97" s="16">
        <v>0.29166666666666669</v>
      </c>
      <c r="S97" s="12">
        <v>30</v>
      </c>
      <c r="T97" s="12">
        <v>57</v>
      </c>
      <c r="U97" s="16">
        <v>0.52631578947368418</v>
      </c>
      <c r="V97" s="12">
        <v>12</v>
      </c>
      <c r="W97" s="12">
        <v>14</v>
      </c>
      <c r="X97" s="16">
        <v>0.8571428571428571</v>
      </c>
      <c r="Y97" s="12">
        <v>6</v>
      </c>
      <c r="Z97" s="12">
        <v>19</v>
      </c>
      <c r="AA97" s="12">
        <v>25</v>
      </c>
      <c r="AB97" s="12">
        <v>22</v>
      </c>
      <c r="AC97" s="12">
        <v>9</v>
      </c>
      <c r="AD97" s="12">
        <v>6</v>
      </c>
      <c r="AE97" s="12">
        <v>3</v>
      </c>
      <c r="AF97" s="12">
        <v>2</v>
      </c>
      <c r="AG97" s="12">
        <v>22</v>
      </c>
      <c r="AH97" s="12">
        <v>19</v>
      </c>
      <c r="AI97" s="17">
        <v>92</v>
      </c>
      <c r="AJ97" s="12">
        <v>2</v>
      </c>
      <c r="AK97" s="12">
        <v>65</v>
      </c>
      <c r="AL97" s="12">
        <v>71</v>
      </c>
      <c r="AM97" s="19">
        <v>1.1126760563380282</v>
      </c>
      <c r="AN97" s="19">
        <v>1.0405405405405406</v>
      </c>
      <c r="AO97" s="18">
        <v>121.53846153846153</v>
      </c>
      <c r="AP97" s="18">
        <v>114.92537313432835</v>
      </c>
      <c r="AQ97" s="18">
        <v>6.6130884041331797</v>
      </c>
      <c r="AR97" s="53">
        <v>0.58771929824561409</v>
      </c>
      <c r="AS97" s="53">
        <v>0.63709677419354838</v>
      </c>
      <c r="AT97" s="16">
        <v>0.19718309859154928</v>
      </c>
      <c r="AU97" s="19">
        <v>1.8571428571428572</v>
      </c>
      <c r="AV97" s="16">
        <v>0.21126760563380281</v>
      </c>
      <c r="AW97" s="19">
        <v>1.2</v>
      </c>
      <c r="AX97" s="16">
        <v>5.6338028169014086E-2</v>
      </c>
      <c r="AY97" s="19">
        <v>0.5</v>
      </c>
      <c r="AZ97" s="16">
        <v>9.8591549295774641E-2</v>
      </c>
      <c r="BA97" s="19">
        <v>0.8571428571428571</v>
      </c>
      <c r="BB97" s="16">
        <v>0.23943661971830985</v>
      </c>
      <c r="BC97" s="21">
        <v>0.88235294117647056</v>
      </c>
      <c r="BD97" s="16">
        <v>7.0422535211267609E-2</v>
      </c>
      <c r="BE97" s="16">
        <v>0.12676056338028169</v>
      </c>
      <c r="BF97" s="16">
        <v>0.62857142857142856</v>
      </c>
      <c r="BG97" s="16">
        <v>0.65217391304347827</v>
      </c>
      <c r="BH97" s="16">
        <v>1</v>
      </c>
      <c r="BI97" s="16">
        <v>0</v>
      </c>
      <c r="BJ97" s="16">
        <v>0.30985915492957744</v>
      </c>
      <c r="BK97" s="21">
        <v>2.4444444444444446</v>
      </c>
      <c r="BL97" s="16">
        <v>0.21428571428571427</v>
      </c>
      <c r="BM97" s="16">
        <v>0.18181818181818182</v>
      </c>
      <c r="BN97" s="16">
        <v>0.2</v>
      </c>
      <c r="BO97" s="16">
        <v>0</v>
      </c>
      <c r="BP97" s="16">
        <v>0.73076923076923073</v>
      </c>
      <c r="BQ97" s="16">
        <v>0.63636363636363635</v>
      </c>
      <c r="BR97" s="16">
        <v>0.9</v>
      </c>
      <c r="BS97" s="16">
        <v>1</v>
      </c>
      <c r="BT97" s="16">
        <v>0.46296296296296297</v>
      </c>
      <c r="BU97" s="16">
        <v>8.9552238805970144E-2</v>
      </c>
      <c r="BV97" s="16">
        <v>5.5555555555555552E-2</v>
      </c>
      <c r="BW97" s="16">
        <v>4</v>
      </c>
      <c r="BX97" s="16">
        <v>0.5</v>
      </c>
      <c r="BY97" s="16">
        <v>0.36842105263157893</v>
      </c>
      <c r="BZ97" s="12">
        <v>15</v>
      </c>
      <c r="CA97" s="12">
        <v>7</v>
      </c>
      <c r="CB97" s="12">
        <v>0</v>
      </c>
      <c r="CC97" s="12">
        <v>0</v>
      </c>
      <c r="CD97" s="12">
        <v>0</v>
      </c>
      <c r="CE97" s="12">
        <v>0</v>
      </c>
      <c r="CF97" s="12">
        <v>1</v>
      </c>
      <c r="CG97" s="12">
        <v>0</v>
      </c>
      <c r="CH97" s="12">
        <v>1</v>
      </c>
      <c r="CI97" s="12">
        <v>0</v>
      </c>
      <c r="CJ97" s="12">
        <v>1</v>
      </c>
      <c r="CK97" s="12">
        <v>0</v>
      </c>
      <c r="CL97" s="12">
        <v>3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7</v>
      </c>
      <c r="CS97" s="12">
        <v>0</v>
      </c>
      <c r="CT97" s="12">
        <v>0</v>
      </c>
      <c r="CU97" s="12">
        <v>0</v>
      </c>
      <c r="CV97" s="12">
        <v>1</v>
      </c>
      <c r="CW97" s="12">
        <v>0</v>
      </c>
      <c r="CX97" s="12">
        <v>8</v>
      </c>
      <c r="CY97" s="12">
        <v>0</v>
      </c>
      <c r="CZ97" s="12">
        <v>3</v>
      </c>
      <c r="DA97" s="12">
        <v>0</v>
      </c>
      <c r="DB97" s="12">
        <v>0</v>
      </c>
      <c r="DC97" s="12">
        <v>0</v>
      </c>
      <c r="DD97" s="12">
        <v>2</v>
      </c>
      <c r="DE97" s="12">
        <v>2</v>
      </c>
      <c r="DF97" s="12">
        <v>4</v>
      </c>
      <c r="DG97" s="12">
        <v>6</v>
      </c>
      <c r="DH97" s="12">
        <v>0</v>
      </c>
      <c r="DI97" s="12">
        <v>6</v>
      </c>
      <c r="DJ97" s="12">
        <v>6</v>
      </c>
      <c r="DK97" s="12">
        <v>0</v>
      </c>
      <c r="DL97" s="12">
        <v>13</v>
      </c>
      <c r="DM97" s="12">
        <v>14</v>
      </c>
      <c r="DN97" s="12">
        <v>9</v>
      </c>
      <c r="DO97" s="12">
        <v>15</v>
      </c>
      <c r="DP97" s="12">
        <v>1</v>
      </c>
      <c r="DQ97" s="12">
        <v>4</v>
      </c>
      <c r="DR97" s="12">
        <v>2</v>
      </c>
      <c r="DS97" s="12">
        <v>7</v>
      </c>
      <c r="DT97" s="12">
        <v>5</v>
      </c>
      <c r="DU97" s="12">
        <v>17</v>
      </c>
      <c r="DV97" s="12">
        <v>0</v>
      </c>
      <c r="DW97" s="12">
        <v>0</v>
      </c>
      <c r="DX97" s="12">
        <v>77</v>
      </c>
      <c r="DY97" s="12">
        <v>21</v>
      </c>
      <c r="DZ97" s="12">
        <v>35</v>
      </c>
      <c r="EA97" s="16">
        <v>0.6</v>
      </c>
      <c r="EB97" s="12">
        <v>7</v>
      </c>
      <c r="EC97" s="12">
        <v>19</v>
      </c>
      <c r="ED97" s="16">
        <v>0.36842105263157893</v>
      </c>
      <c r="EE97" s="12">
        <v>28</v>
      </c>
      <c r="EF97" s="12">
        <v>54</v>
      </c>
      <c r="EG97" s="16">
        <v>0.51851851851851849</v>
      </c>
      <c r="EH97" s="12">
        <v>14</v>
      </c>
      <c r="EI97" s="12">
        <v>20</v>
      </c>
      <c r="EJ97" s="16">
        <v>0.7</v>
      </c>
      <c r="EK97" s="12">
        <v>7</v>
      </c>
      <c r="EL97" s="12">
        <v>22</v>
      </c>
      <c r="EM97" s="12">
        <v>29</v>
      </c>
      <c r="EN97" s="12">
        <v>22</v>
      </c>
      <c r="EO97" s="12">
        <v>19</v>
      </c>
      <c r="EP97" s="12">
        <v>22</v>
      </c>
      <c r="EQ97" s="12">
        <v>2</v>
      </c>
      <c r="ER97" s="12">
        <v>11</v>
      </c>
      <c r="ES97" s="12">
        <v>2</v>
      </c>
      <c r="ET97" s="12">
        <v>3</v>
      </c>
      <c r="EU97" s="12">
        <v>89</v>
      </c>
      <c r="EV97" s="12">
        <v>-2</v>
      </c>
      <c r="EW97" s="12">
        <v>67</v>
      </c>
      <c r="EX97" s="12">
        <v>74</v>
      </c>
      <c r="EY97" s="12">
        <v>3</v>
      </c>
      <c r="EZ97" s="12">
        <v>13</v>
      </c>
      <c r="FA97" s="12">
        <v>7</v>
      </c>
      <c r="FB97" s="12">
        <v>2</v>
      </c>
      <c r="FC97" s="12">
        <v>2</v>
      </c>
      <c r="FD97" s="12">
        <v>0</v>
      </c>
      <c r="FE97" s="12">
        <v>0</v>
      </c>
      <c r="FF97" s="12">
        <v>3</v>
      </c>
      <c r="FG97" s="12">
        <v>0</v>
      </c>
      <c r="FH97" s="12">
        <v>1</v>
      </c>
      <c r="FI97" s="12">
        <v>0</v>
      </c>
      <c r="FJ97" s="12">
        <v>0</v>
      </c>
      <c r="FK97" s="12">
        <v>0</v>
      </c>
      <c r="FL97" s="12">
        <v>1</v>
      </c>
      <c r="FM97" s="12">
        <v>0</v>
      </c>
      <c r="FN97" s="12">
        <v>0</v>
      </c>
      <c r="FO97" s="12">
        <v>0</v>
      </c>
      <c r="FP97" s="12">
        <v>1</v>
      </c>
      <c r="FQ97" s="12">
        <v>0</v>
      </c>
      <c r="FR97" s="12">
        <v>5</v>
      </c>
      <c r="FS97" s="12">
        <v>1</v>
      </c>
      <c r="FT97" s="12">
        <v>2</v>
      </c>
      <c r="FU97" s="12">
        <v>0</v>
      </c>
      <c r="FV97" s="12">
        <v>4</v>
      </c>
      <c r="FW97" s="12">
        <v>1</v>
      </c>
      <c r="FX97" s="12">
        <v>9</v>
      </c>
      <c r="FY97" s="12">
        <v>2</v>
      </c>
      <c r="FZ97" s="12">
        <v>1</v>
      </c>
      <c r="GA97" s="12">
        <v>0</v>
      </c>
      <c r="GB97" s="12">
        <v>0</v>
      </c>
      <c r="GC97" s="12">
        <v>0</v>
      </c>
      <c r="GD97" s="12">
        <v>1</v>
      </c>
      <c r="GE97" s="12">
        <v>2</v>
      </c>
      <c r="GF97" s="12">
        <v>13</v>
      </c>
      <c r="GG97" s="12">
        <v>18</v>
      </c>
      <c r="GH97" s="12">
        <v>0</v>
      </c>
      <c r="GI97" s="12">
        <v>0</v>
      </c>
      <c r="GJ97" s="12">
        <v>0</v>
      </c>
      <c r="GK97" s="12">
        <v>0</v>
      </c>
      <c r="GL97" s="12">
        <v>13</v>
      </c>
      <c r="GM97" s="12">
        <v>13</v>
      </c>
      <c r="GN97" s="12">
        <v>7</v>
      </c>
      <c r="GO97" s="12">
        <v>19</v>
      </c>
      <c r="GP97" s="12">
        <v>1</v>
      </c>
      <c r="GQ97" s="12">
        <v>3</v>
      </c>
      <c r="GR97" s="12">
        <v>2</v>
      </c>
      <c r="GS97" s="12">
        <v>3</v>
      </c>
      <c r="GT97" s="12">
        <v>5</v>
      </c>
      <c r="GU97" s="12">
        <v>16</v>
      </c>
      <c r="GV97" s="12">
        <v>0</v>
      </c>
      <c r="GW97" s="12">
        <v>0</v>
      </c>
    </row>
    <row r="98" spans="2:205" ht="15" customHeight="1" x14ac:dyDescent="0.2">
      <c r="B98" s="12">
        <v>6</v>
      </c>
      <c r="C98" s="12" t="s">
        <v>265</v>
      </c>
      <c r="D98" s="12" t="s">
        <v>286</v>
      </c>
      <c r="E98" s="14" t="s">
        <v>267</v>
      </c>
      <c r="F98" s="14" t="s">
        <v>288</v>
      </c>
      <c r="G98" s="15">
        <v>45232</v>
      </c>
      <c r="H98" s="15" t="s">
        <v>271</v>
      </c>
      <c r="I98" s="12" t="s">
        <v>269</v>
      </c>
      <c r="J98" s="12" t="s">
        <v>270</v>
      </c>
      <c r="K98" s="12">
        <v>200</v>
      </c>
      <c r="L98" s="12">
        <v>88</v>
      </c>
      <c r="M98" s="12">
        <v>21</v>
      </c>
      <c r="N98" s="12">
        <v>34</v>
      </c>
      <c r="O98" s="16">
        <v>0.61764705882352944</v>
      </c>
      <c r="P98" s="12">
        <v>11</v>
      </c>
      <c r="Q98" s="12">
        <v>28</v>
      </c>
      <c r="R98" s="16">
        <v>0.39285714285714285</v>
      </c>
      <c r="S98" s="12">
        <v>32</v>
      </c>
      <c r="T98" s="12">
        <v>62</v>
      </c>
      <c r="U98" s="16">
        <v>0.5161290322580645</v>
      </c>
      <c r="V98" s="12">
        <v>13</v>
      </c>
      <c r="W98" s="12">
        <v>14</v>
      </c>
      <c r="X98" s="16">
        <v>0.9285714285714286</v>
      </c>
      <c r="Y98" s="12">
        <v>12</v>
      </c>
      <c r="Z98" s="12">
        <v>17</v>
      </c>
      <c r="AA98" s="12">
        <v>29</v>
      </c>
      <c r="AB98" s="12">
        <v>15</v>
      </c>
      <c r="AC98" s="12">
        <v>11</v>
      </c>
      <c r="AD98" s="12">
        <v>4</v>
      </c>
      <c r="AE98" s="12">
        <v>2</v>
      </c>
      <c r="AF98" s="12">
        <v>1</v>
      </c>
      <c r="AG98" s="12">
        <v>22</v>
      </c>
      <c r="AH98" s="12">
        <v>18</v>
      </c>
      <c r="AI98" s="17">
        <v>91</v>
      </c>
      <c r="AJ98" s="12">
        <v>-3</v>
      </c>
      <c r="AK98" s="12">
        <v>67</v>
      </c>
      <c r="AL98" s="12">
        <v>79</v>
      </c>
      <c r="AM98" s="19">
        <v>1.1139240506329113</v>
      </c>
      <c r="AN98" s="19">
        <v>1.2297297297297298</v>
      </c>
      <c r="AO98" s="18">
        <v>131.34328358208955</v>
      </c>
      <c r="AP98" s="18">
        <v>135.82089552238804</v>
      </c>
      <c r="AQ98" s="18">
        <v>-4.4776119402984875</v>
      </c>
      <c r="AR98" s="53">
        <v>0.60483870967741937</v>
      </c>
      <c r="AS98" s="53">
        <v>0.6470588235294118</v>
      </c>
      <c r="AT98" s="16">
        <v>0.16455696202531644</v>
      </c>
      <c r="AU98" s="19">
        <v>1.5384615384615385</v>
      </c>
      <c r="AV98" s="16">
        <v>0.16455696202531644</v>
      </c>
      <c r="AW98" s="19">
        <v>1.2307692307692308</v>
      </c>
      <c r="AX98" s="16">
        <v>0.10126582278481013</v>
      </c>
      <c r="AY98" s="19">
        <v>0.75</v>
      </c>
      <c r="AZ98" s="16">
        <v>6.3291139240506333E-2</v>
      </c>
      <c r="BA98" s="19">
        <v>1.2</v>
      </c>
      <c r="BB98" s="16">
        <v>0.29113924050632911</v>
      </c>
      <c r="BC98" s="21">
        <v>1.173913043478261</v>
      </c>
      <c r="BD98" s="16">
        <v>7.5949367088607597E-2</v>
      </c>
      <c r="BE98" s="16">
        <v>0.13924050632911392</v>
      </c>
      <c r="BF98" s="16">
        <v>0.39473684210526316</v>
      </c>
      <c r="BG98" s="16">
        <v>0.2857142857142857</v>
      </c>
      <c r="BH98" s="16">
        <v>0.63636363636363635</v>
      </c>
      <c r="BI98" s="16">
        <v>0.33333333333333331</v>
      </c>
      <c r="BJ98" s="16">
        <v>0.189873417721519</v>
      </c>
      <c r="BK98" s="21">
        <v>1.3636363636363635</v>
      </c>
      <c r="BL98" s="16">
        <v>0.38709677419354838</v>
      </c>
      <c r="BM98" s="16">
        <v>0.625</v>
      </c>
      <c r="BN98" s="16">
        <v>0.33333333333333331</v>
      </c>
      <c r="BO98" s="16">
        <v>0</v>
      </c>
      <c r="BP98" s="16">
        <v>0.70833333333333337</v>
      </c>
      <c r="BQ98" s="16">
        <v>0.72727272727272729</v>
      </c>
      <c r="BR98" s="16">
        <v>0.5625</v>
      </c>
      <c r="BS98" s="16">
        <v>1</v>
      </c>
      <c r="BT98" s="16">
        <v>0.52727272727272723</v>
      </c>
      <c r="BU98" s="16">
        <v>5.9701492537313432E-2</v>
      </c>
      <c r="BV98" s="16">
        <v>3.5087719298245612E-2</v>
      </c>
      <c r="BW98" s="16">
        <v>0</v>
      </c>
      <c r="BX98" s="16">
        <v>0.40909090909090912</v>
      </c>
      <c r="BY98" s="16">
        <v>0.44444444444444442</v>
      </c>
      <c r="BZ98" s="12">
        <v>6</v>
      </c>
      <c r="CA98" s="12">
        <v>7</v>
      </c>
      <c r="CB98" s="12">
        <v>2</v>
      </c>
      <c r="CC98" s="12">
        <v>4</v>
      </c>
      <c r="CD98" s="12">
        <v>3</v>
      </c>
      <c r="CE98" s="12">
        <v>2</v>
      </c>
      <c r="CF98" s="12">
        <v>3</v>
      </c>
      <c r="CG98" s="12">
        <v>1</v>
      </c>
      <c r="CH98" s="12">
        <v>1</v>
      </c>
      <c r="CI98" s="12">
        <v>0</v>
      </c>
      <c r="CJ98" s="12">
        <v>1</v>
      </c>
      <c r="CK98" s="12">
        <v>0</v>
      </c>
      <c r="CL98" s="12">
        <v>4</v>
      </c>
      <c r="CM98" s="12">
        <v>1</v>
      </c>
      <c r="CN98" s="12">
        <v>0</v>
      </c>
      <c r="CO98" s="12">
        <v>0</v>
      </c>
      <c r="CP98" s="12">
        <v>2</v>
      </c>
      <c r="CQ98" s="12">
        <v>0</v>
      </c>
      <c r="CR98" s="12">
        <v>3</v>
      </c>
      <c r="CS98" s="12">
        <v>0</v>
      </c>
      <c r="CT98" s="12">
        <v>3</v>
      </c>
      <c r="CU98" s="12">
        <v>0</v>
      </c>
      <c r="CV98" s="12">
        <v>1</v>
      </c>
      <c r="CW98" s="12">
        <v>0</v>
      </c>
      <c r="CX98" s="12">
        <v>7</v>
      </c>
      <c r="CY98" s="12">
        <v>1</v>
      </c>
      <c r="CZ98" s="12">
        <v>1</v>
      </c>
      <c r="DA98" s="12">
        <v>0</v>
      </c>
      <c r="DB98" s="12">
        <v>0</v>
      </c>
      <c r="DC98" s="12">
        <v>0</v>
      </c>
      <c r="DD98" s="12">
        <v>2</v>
      </c>
      <c r="DE98" s="12">
        <v>2</v>
      </c>
      <c r="DF98" s="12">
        <v>11</v>
      </c>
      <c r="DG98" s="12">
        <v>12</v>
      </c>
      <c r="DH98" s="12">
        <v>0</v>
      </c>
      <c r="DI98" s="12">
        <v>0</v>
      </c>
      <c r="DJ98" s="12">
        <v>0</v>
      </c>
      <c r="DK98" s="12">
        <v>0</v>
      </c>
      <c r="DL98" s="12">
        <v>10</v>
      </c>
      <c r="DM98" s="12">
        <v>13</v>
      </c>
      <c r="DN98" s="12">
        <v>8</v>
      </c>
      <c r="DO98" s="12">
        <v>13</v>
      </c>
      <c r="DP98" s="12">
        <v>3</v>
      </c>
      <c r="DQ98" s="12">
        <v>8</v>
      </c>
      <c r="DR98" s="12">
        <v>2</v>
      </c>
      <c r="DS98" s="12">
        <v>5</v>
      </c>
      <c r="DT98" s="12">
        <v>9</v>
      </c>
      <c r="DU98" s="12">
        <v>23</v>
      </c>
      <c r="DV98" s="12">
        <v>0</v>
      </c>
      <c r="DW98" s="12">
        <v>0</v>
      </c>
      <c r="DX98" s="12">
        <v>91</v>
      </c>
      <c r="DY98" s="12">
        <v>27</v>
      </c>
      <c r="DZ98" s="12">
        <v>37</v>
      </c>
      <c r="EA98" s="16">
        <v>0.72972972972972971</v>
      </c>
      <c r="EB98" s="12">
        <v>7</v>
      </c>
      <c r="EC98" s="12">
        <v>20</v>
      </c>
      <c r="ED98" s="16">
        <v>0.35</v>
      </c>
      <c r="EE98" s="12">
        <v>34</v>
      </c>
      <c r="EF98" s="12">
        <v>57</v>
      </c>
      <c r="EG98" s="16">
        <v>0.59649122807017541</v>
      </c>
      <c r="EH98" s="12">
        <v>16</v>
      </c>
      <c r="EI98" s="12">
        <v>18</v>
      </c>
      <c r="EJ98" s="16">
        <v>0.88888888888888884</v>
      </c>
      <c r="EK98" s="12">
        <v>7</v>
      </c>
      <c r="EL98" s="12">
        <v>19</v>
      </c>
      <c r="EM98" s="12">
        <v>26</v>
      </c>
      <c r="EN98" s="12">
        <v>24</v>
      </c>
      <c r="EO98" s="12">
        <v>18</v>
      </c>
      <c r="EP98" s="12">
        <v>22</v>
      </c>
      <c r="EQ98" s="12">
        <v>7</v>
      </c>
      <c r="ER98" s="12">
        <v>9</v>
      </c>
      <c r="ES98" s="12">
        <v>1</v>
      </c>
      <c r="ET98" s="12">
        <v>2</v>
      </c>
      <c r="EU98" s="12">
        <v>117</v>
      </c>
      <c r="EV98" s="12">
        <v>3</v>
      </c>
      <c r="EW98" s="12">
        <v>67</v>
      </c>
      <c r="EX98" s="12">
        <v>74</v>
      </c>
      <c r="EY98" s="12">
        <v>3</v>
      </c>
      <c r="EZ98" s="12">
        <v>17</v>
      </c>
      <c r="FA98" s="12">
        <v>6</v>
      </c>
      <c r="FB98" s="12">
        <v>1</v>
      </c>
      <c r="FC98" s="12">
        <v>2</v>
      </c>
      <c r="FD98" s="12">
        <v>2</v>
      </c>
      <c r="FE98" s="12">
        <v>1</v>
      </c>
      <c r="FF98" s="12">
        <v>0</v>
      </c>
      <c r="FG98" s="12">
        <v>0</v>
      </c>
      <c r="FH98" s="12">
        <v>0</v>
      </c>
      <c r="FI98" s="12">
        <v>0</v>
      </c>
      <c r="FJ98" s="12">
        <v>2</v>
      </c>
      <c r="FK98" s="12">
        <v>1</v>
      </c>
      <c r="FL98" s="12">
        <v>3</v>
      </c>
      <c r="FM98" s="12">
        <v>1</v>
      </c>
      <c r="FN98" s="12">
        <v>0</v>
      </c>
      <c r="FO98" s="12">
        <v>0</v>
      </c>
      <c r="FP98" s="12">
        <v>0</v>
      </c>
      <c r="FQ98" s="12">
        <v>0</v>
      </c>
      <c r="FR98" s="12">
        <v>2</v>
      </c>
      <c r="FS98" s="12">
        <v>0</v>
      </c>
      <c r="FT98" s="12">
        <v>4</v>
      </c>
      <c r="FU98" s="12">
        <v>0</v>
      </c>
      <c r="FV98" s="12">
        <v>2</v>
      </c>
      <c r="FW98" s="12">
        <v>0</v>
      </c>
      <c r="FX98" s="12">
        <v>10</v>
      </c>
      <c r="FY98" s="12">
        <v>0</v>
      </c>
      <c r="FZ98" s="12">
        <v>1</v>
      </c>
      <c r="GA98" s="12">
        <v>0</v>
      </c>
      <c r="GB98" s="12">
        <v>0</v>
      </c>
      <c r="GC98" s="12">
        <v>0</v>
      </c>
      <c r="GD98" s="12">
        <v>1</v>
      </c>
      <c r="GE98" s="12">
        <v>1</v>
      </c>
      <c r="GF98" s="12">
        <v>12</v>
      </c>
      <c r="GG98" s="12">
        <v>14</v>
      </c>
      <c r="GH98" s="12">
        <v>0</v>
      </c>
      <c r="GI98" s="12">
        <v>3</v>
      </c>
      <c r="GJ98" s="12">
        <v>3</v>
      </c>
      <c r="GK98" s="12">
        <v>0</v>
      </c>
      <c r="GL98" s="12">
        <v>17</v>
      </c>
      <c r="GM98" s="12">
        <v>21</v>
      </c>
      <c r="GN98" s="12">
        <v>6</v>
      </c>
      <c r="GO98" s="12">
        <v>9</v>
      </c>
      <c r="GP98" s="12">
        <v>4</v>
      </c>
      <c r="GQ98" s="12">
        <v>7</v>
      </c>
      <c r="GR98" s="12">
        <v>1</v>
      </c>
      <c r="GS98" s="12">
        <v>4</v>
      </c>
      <c r="GT98" s="12">
        <v>6</v>
      </c>
      <c r="GU98" s="12">
        <v>16</v>
      </c>
      <c r="GV98" s="12">
        <v>0</v>
      </c>
      <c r="GW98" s="12">
        <v>0</v>
      </c>
    </row>
    <row r="99" spans="2:205" ht="15" customHeight="1" x14ac:dyDescent="0.2">
      <c r="B99" s="12">
        <v>6</v>
      </c>
      <c r="C99" s="12" t="s">
        <v>286</v>
      </c>
      <c r="D99" s="12" t="s">
        <v>265</v>
      </c>
      <c r="E99" s="14" t="s">
        <v>288</v>
      </c>
      <c r="F99" s="14" t="s">
        <v>267</v>
      </c>
      <c r="G99" s="15">
        <v>45232</v>
      </c>
      <c r="H99" s="15" t="s">
        <v>268</v>
      </c>
      <c r="I99" s="12" t="s">
        <v>269</v>
      </c>
      <c r="J99" s="12" t="s">
        <v>272</v>
      </c>
      <c r="K99" s="12">
        <v>200</v>
      </c>
      <c r="L99" s="12">
        <v>91</v>
      </c>
      <c r="M99" s="12">
        <v>27</v>
      </c>
      <c r="N99" s="12">
        <v>37</v>
      </c>
      <c r="O99" s="16">
        <v>0.72972972972972971</v>
      </c>
      <c r="P99" s="12">
        <v>7</v>
      </c>
      <c r="Q99" s="12">
        <v>20</v>
      </c>
      <c r="R99" s="16">
        <v>0.35</v>
      </c>
      <c r="S99" s="12">
        <v>34</v>
      </c>
      <c r="T99" s="12">
        <v>57</v>
      </c>
      <c r="U99" s="16">
        <v>0.59649122807017541</v>
      </c>
      <c r="V99" s="12">
        <v>16</v>
      </c>
      <c r="W99" s="12">
        <v>18</v>
      </c>
      <c r="X99" s="16">
        <v>0.88888888888888884</v>
      </c>
      <c r="Y99" s="12">
        <v>7</v>
      </c>
      <c r="Z99" s="12">
        <v>19</v>
      </c>
      <c r="AA99" s="12">
        <v>26</v>
      </c>
      <c r="AB99" s="12">
        <v>24</v>
      </c>
      <c r="AC99" s="12">
        <v>9</v>
      </c>
      <c r="AD99" s="12">
        <v>7</v>
      </c>
      <c r="AE99" s="12">
        <v>1</v>
      </c>
      <c r="AF99" s="12">
        <v>2</v>
      </c>
      <c r="AG99" s="12">
        <v>18</v>
      </c>
      <c r="AH99" s="12">
        <v>22</v>
      </c>
      <c r="AI99" s="17">
        <v>117</v>
      </c>
      <c r="AJ99" s="12">
        <v>3</v>
      </c>
      <c r="AK99" s="12">
        <v>67</v>
      </c>
      <c r="AL99" s="12">
        <v>74</v>
      </c>
      <c r="AM99" s="19">
        <v>1.2297297297297298</v>
      </c>
      <c r="AN99" s="19">
        <v>1.1139240506329113</v>
      </c>
      <c r="AO99" s="18">
        <v>135.82089552238804</v>
      </c>
      <c r="AP99" s="18">
        <v>131.34328358208955</v>
      </c>
      <c r="AQ99" s="18">
        <v>4.4776119402984875</v>
      </c>
      <c r="AR99" s="53">
        <v>0.65789473684210531</v>
      </c>
      <c r="AS99" s="53">
        <v>0.7</v>
      </c>
      <c r="AT99" s="16">
        <v>0.28378378378378377</v>
      </c>
      <c r="AU99" s="19">
        <v>1.6190476190476191</v>
      </c>
      <c r="AV99" s="16">
        <v>0.12162162162162163</v>
      </c>
      <c r="AW99" s="19">
        <v>1.3333333333333333</v>
      </c>
      <c r="AX99" s="16">
        <v>9.45945945945946E-2</v>
      </c>
      <c r="AY99" s="19">
        <v>1.1428571428571428</v>
      </c>
      <c r="AZ99" s="16">
        <v>5.4054054054054057E-2</v>
      </c>
      <c r="BA99" s="19">
        <v>0.75</v>
      </c>
      <c r="BB99" s="16">
        <v>0.21621621621621623</v>
      </c>
      <c r="BC99" s="21">
        <v>1.125</v>
      </c>
      <c r="BD99" s="16">
        <v>0.10810810810810811</v>
      </c>
      <c r="BE99" s="16">
        <v>0.12162162162162163</v>
      </c>
      <c r="BF99" s="16">
        <v>0.5714285714285714</v>
      </c>
      <c r="BG99" s="16">
        <v>0.62962962962962965</v>
      </c>
      <c r="BH99" s="16">
        <v>0.8571428571428571</v>
      </c>
      <c r="BI99" s="16">
        <v>0.125</v>
      </c>
      <c r="BJ99" s="16">
        <v>0.32432432432432434</v>
      </c>
      <c r="BK99" s="21">
        <v>2.6666666666666665</v>
      </c>
      <c r="BL99" s="16">
        <v>0.29166666666666669</v>
      </c>
      <c r="BM99" s="16">
        <v>0.27272727272727271</v>
      </c>
      <c r="BN99" s="16">
        <v>0.4375</v>
      </c>
      <c r="BO99" s="16">
        <v>0</v>
      </c>
      <c r="BP99" s="16">
        <v>0.61290322580645162</v>
      </c>
      <c r="BQ99" s="16">
        <v>0.375</v>
      </c>
      <c r="BR99" s="16">
        <v>0.66666666666666663</v>
      </c>
      <c r="BS99" s="16">
        <v>1</v>
      </c>
      <c r="BT99" s="16">
        <v>0.47272727272727272</v>
      </c>
      <c r="BU99" s="16">
        <v>0.1044776119402985</v>
      </c>
      <c r="BV99" s="16">
        <v>1.6129032258064516E-2</v>
      </c>
      <c r="BW99" s="16">
        <v>3</v>
      </c>
      <c r="BX99" s="16">
        <v>0.44444444444444442</v>
      </c>
      <c r="BY99" s="16">
        <v>0.40909090909090912</v>
      </c>
      <c r="BZ99" s="12">
        <v>17</v>
      </c>
      <c r="CA99" s="12">
        <v>6</v>
      </c>
      <c r="CB99" s="12">
        <v>1</v>
      </c>
      <c r="CC99" s="12">
        <v>2</v>
      </c>
      <c r="CD99" s="12">
        <v>2</v>
      </c>
      <c r="CE99" s="12">
        <v>1</v>
      </c>
      <c r="CF99" s="12">
        <v>0</v>
      </c>
      <c r="CG99" s="12">
        <v>0</v>
      </c>
      <c r="CH99" s="12">
        <v>0</v>
      </c>
      <c r="CI99" s="12">
        <v>0</v>
      </c>
      <c r="CJ99" s="12">
        <v>2</v>
      </c>
      <c r="CK99" s="12">
        <v>1</v>
      </c>
      <c r="CL99" s="12">
        <v>3</v>
      </c>
      <c r="CM99" s="12">
        <v>1</v>
      </c>
      <c r="CN99" s="12">
        <v>0</v>
      </c>
      <c r="CO99" s="12">
        <v>0</v>
      </c>
      <c r="CP99" s="12">
        <v>0</v>
      </c>
      <c r="CQ99" s="12">
        <v>0</v>
      </c>
      <c r="CR99" s="12">
        <v>2</v>
      </c>
      <c r="CS99" s="12">
        <v>0</v>
      </c>
      <c r="CT99" s="12">
        <v>4</v>
      </c>
      <c r="CU99" s="12">
        <v>0</v>
      </c>
      <c r="CV99" s="12">
        <v>2</v>
      </c>
      <c r="CW99" s="12">
        <v>0</v>
      </c>
      <c r="CX99" s="12">
        <v>10</v>
      </c>
      <c r="CY99" s="12">
        <v>0</v>
      </c>
      <c r="CZ99" s="12">
        <v>1</v>
      </c>
      <c r="DA99" s="12">
        <v>0</v>
      </c>
      <c r="DB99" s="12">
        <v>0</v>
      </c>
      <c r="DC99" s="12">
        <v>0</v>
      </c>
      <c r="DD99" s="12">
        <v>1</v>
      </c>
      <c r="DE99" s="12">
        <v>1</v>
      </c>
      <c r="DF99" s="12">
        <v>12</v>
      </c>
      <c r="DG99" s="12">
        <v>14</v>
      </c>
      <c r="DH99" s="12">
        <v>0</v>
      </c>
      <c r="DI99" s="12">
        <v>3</v>
      </c>
      <c r="DJ99" s="12">
        <v>3</v>
      </c>
      <c r="DK99" s="12">
        <v>0</v>
      </c>
      <c r="DL99" s="12">
        <v>17</v>
      </c>
      <c r="DM99" s="12">
        <v>21</v>
      </c>
      <c r="DN99" s="12">
        <v>6</v>
      </c>
      <c r="DO99" s="12">
        <v>9</v>
      </c>
      <c r="DP99" s="12">
        <v>4</v>
      </c>
      <c r="DQ99" s="12">
        <v>7</v>
      </c>
      <c r="DR99" s="12">
        <v>1</v>
      </c>
      <c r="DS99" s="12">
        <v>4</v>
      </c>
      <c r="DT99" s="12">
        <v>6</v>
      </c>
      <c r="DU99" s="12">
        <v>16</v>
      </c>
      <c r="DV99" s="12">
        <v>0</v>
      </c>
      <c r="DW99" s="12">
        <v>0</v>
      </c>
      <c r="DX99" s="12">
        <v>88</v>
      </c>
      <c r="DY99" s="12">
        <v>21</v>
      </c>
      <c r="DZ99" s="12">
        <v>34</v>
      </c>
      <c r="EA99" s="16">
        <v>0.61764705882352944</v>
      </c>
      <c r="EB99" s="12">
        <v>11</v>
      </c>
      <c r="EC99" s="12">
        <v>28</v>
      </c>
      <c r="ED99" s="16">
        <v>0.39285714285714285</v>
      </c>
      <c r="EE99" s="12">
        <v>32</v>
      </c>
      <c r="EF99" s="12">
        <v>62</v>
      </c>
      <c r="EG99" s="16">
        <v>0.5161290322580645</v>
      </c>
      <c r="EH99" s="12">
        <v>13</v>
      </c>
      <c r="EI99" s="12">
        <v>14</v>
      </c>
      <c r="EJ99" s="16">
        <v>0.9285714285714286</v>
      </c>
      <c r="EK99" s="12">
        <v>12</v>
      </c>
      <c r="EL99" s="12">
        <v>17</v>
      </c>
      <c r="EM99" s="12">
        <v>29</v>
      </c>
      <c r="EN99" s="12">
        <v>15</v>
      </c>
      <c r="EO99" s="12">
        <v>22</v>
      </c>
      <c r="EP99" s="12">
        <v>18</v>
      </c>
      <c r="EQ99" s="12">
        <v>4</v>
      </c>
      <c r="ER99" s="12">
        <v>11</v>
      </c>
      <c r="ES99" s="12">
        <v>2</v>
      </c>
      <c r="ET99" s="12">
        <v>1</v>
      </c>
      <c r="EU99" s="12">
        <v>91</v>
      </c>
      <c r="EV99" s="12">
        <v>-3</v>
      </c>
      <c r="EW99" s="12">
        <v>67</v>
      </c>
      <c r="EX99" s="12">
        <v>79</v>
      </c>
      <c r="EY99" s="12">
        <v>0</v>
      </c>
      <c r="EZ99" s="12">
        <v>6</v>
      </c>
      <c r="FA99" s="12">
        <v>7</v>
      </c>
      <c r="FB99" s="12">
        <v>2</v>
      </c>
      <c r="FC99" s="12">
        <v>4</v>
      </c>
      <c r="FD99" s="12">
        <v>3</v>
      </c>
      <c r="FE99" s="12">
        <v>2</v>
      </c>
      <c r="FF99" s="12">
        <v>3</v>
      </c>
      <c r="FG99" s="12">
        <v>1</v>
      </c>
      <c r="FH99" s="12">
        <v>1</v>
      </c>
      <c r="FI99" s="12">
        <v>0</v>
      </c>
      <c r="FJ99" s="12">
        <v>1</v>
      </c>
      <c r="FK99" s="12">
        <v>0</v>
      </c>
      <c r="FL99" s="12">
        <v>4</v>
      </c>
      <c r="FM99" s="12">
        <v>1</v>
      </c>
      <c r="FN99" s="12">
        <v>0</v>
      </c>
      <c r="FO99" s="12">
        <v>0</v>
      </c>
      <c r="FP99" s="12">
        <v>2</v>
      </c>
      <c r="FQ99" s="12">
        <v>0</v>
      </c>
      <c r="FR99" s="12">
        <v>3</v>
      </c>
      <c r="FS99" s="12">
        <v>0</v>
      </c>
      <c r="FT99" s="12">
        <v>3</v>
      </c>
      <c r="FU99" s="12">
        <v>0</v>
      </c>
      <c r="FV99" s="12">
        <v>1</v>
      </c>
      <c r="FW99" s="12">
        <v>0</v>
      </c>
      <c r="FX99" s="12">
        <v>7</v>
      </c>
      <c r="FY99" s="12">
        <v>1</v>
      </c>
      <c r="FZ99" s="12">
        <v>1</v>
      </c>
      <c r="GA99" s="12">
        <v>0</v>
      </c>
      <c r="GB99" s="12">
        <v>0</v>
      </c>
      <c r="GC99" s="12">
        <v>0</v>
      </c>
      <c r="GD99" s="12">
        <v>2</v>
      </c>
      <c r="GE99" s="12">
        <v>2</v>
      </c>
      <c r="GF99" s="12">
        <v>11</v>
      </c>
      <c r="GG99" s="12">
        <v>12</v>
      </c>
      <c r="GH99" s="12">
        <v>0</v>
      </c>
      <c r="GI99" s="12">
        <v>0</v>
      </c>
      <c r="GJ99" s="12">
        <v>0</v>
      </c>
      <c r="GK99" s="12">
        <v>0</v>
      </c>
      <c r="GL99" s="12">
        <v>10</v>
      </c>
      <c r="GM99" s="12">
        <v>13</v>
      </c>
      <c r="GN99" s="12">
        <v>8</v>
      </c>
      <c r="GO99" s="12">
        <v>13</v>
      </c>
      <c r="GP99" s="12">
        <v>3</v>
      </c>
      <c r="GQ99" s="12">
        <v>8</v>
      </c>
      <c r="GR99" s="12">
        <v>2</v>
      </c>
      <c r="GS99" s="12">
        <v>5</v>
      </c>
      <c r="GT99" s="12">
        <v>9</v>
      </c>
      <c r="GU99" s="12">
        <v>23</v>
      </c>
      <c r="GV99" s="12">
        <v>0</v>
      </c>
      <c r="GW99" s="12">
        <v>0</v>
      </c>
    </row>
    <row r="100" spans="2:205" ht="15" customHeight="1" x14ac:dyDescent="0.2">
      <c r="B100" s="12">
        <v>6</v>
      </c>
      <c r="C100" s="12" t="s">
        <v>301</v>
      </c>
      <c r="D100" s="12" t="s">
        <v>289</v>
      </c>
      <c r="E100" s="14" t="s">
        <v>302</v>
      </c>
      <c r="F100" s="14" t="s">
        <v>291</v>
      </c>
      <c r="G100" s="15">
        <v>45232</v>
      </c>
      <c r="H100" s="15" t="s">
        <v>271</v>
      </c>
      <c r="I100" s="12" t="s">
        <v>269</v>
      </c>
      <c r="J100" s="12" t="s">
        <v>270</v>
      </c>
      <c r="K100" s="12">
        <v>200</v>
      </c>
      <c r="L100" s="12">
        <v>66</v>
      </c>
      <c r="M100" s="12">
        <v>12</v>
      </c>
      <c r="N100" s="12">
        <v>26</v>
      </c>
      <c r="O100" s="16">
        <v>0.46153846153846156</v>
      </c>
      <c r="P100" s="12">
        <v>10</v>
      </c>
      <c r="Q100" s="12">
        <v>27</v>
      </c>
      <c r="R100" s="16">
        <v>0.37037037037037035</v>
      </c>
      <c r="S100" s="12">
        <v>22</v>
      </c>
      <c r="T100" s="12">
        <v>53</v>
      </c>
      <c r="U100" s="16">
        <v>0.41509433962264153</v>
      </c>
      <c r="V100" s="12">
        <v>12</v>
      </c>
      <c r="W100" s="12">
        <v>17</v>
      </c>
      <c r="X100" s="16">
        <v>0.70588235294117652</v>
      </c>
      <c r="Y100" s="12">
        <v>9</v>
      </c>
      <c r="Z100" s="12">
        <v>23</v>
      </c>
      <c r="AA100" s="12">
        <v>32</v>
      </c>
      <c r="AB100" s="12">
        <v>18</v>
      </c>
      <c r="AC100" s="12">
        <v>14</v>
      </c>
      <c r="AD100" s="12">
        <v>7</v>
      </c>
      <c r="AE100" s="12">
        <v>0</v>
      </c>
      <c r="AF100" s="12">
        <v>2</v>
      </c>
      <c r="AG100" s="12">
        <v>21</v>
      </c>
      <c r="AH100" s="12">
        <v>21</v>
      </c>
      <c r="AI100" s="17">
        <v>71</v>
      </c>
      <c r="AJ100" s="12">
        <v>-6</v>
      </c>
      <c r="AK100" s="12">
        <v>66</v>
      </c>
      <c r="AL100" s="12">
        <v>75</v>
      </c>
      <c r="AM100" s="19">
        <v>0.88</v>
      </c>
      <c r="AN100" s="19">
        <v>0.94736842105263153</v>
      </c>
      <c r="AO100" s="18">
        <v>100</v>
      </c>
      <c r="AP100" s="18">
        <v>107.46268656716418</v>
      </c>
      <c r="AQ100" s="18">
        <v>-7.4626865671641838</v>
      </c>
      <c r="AR100" s="53">
        <v>0.50943396226415094</v>
      </c>
      <c r="AS100" s="53">
        <v>0.54098360655737709</v>
      </c>
      <c r="AT100" s="16">
        <v>0.14666666666666667</v>
      </c>
      <c r="AU100" s="19">
        <v>1.6363636363636365</v>
      </c>
      <c r="AV100" s="16">
        <v>0.16</v>
      </c>
      <c r="AW100" s="19">
        <v>0.5</v>
      </c>
      <c r="AX100" s="16">
        <v>0.04</v>
      </c>
      <c r="AY100" s="19">
        <v>0</v>
      </c>
      <c r="AZ100" s="16">
        <v>1.3333333333333334E-2</v>
      </c>
      <c r="BA100" s="19">
        <v>0</v>
      </c>
      <c r="BB100" s="16">
        <v>0.34666666666666668</v>
      </c>
      <c r="BC100" s="21">
        <v>1.1538461538461537</v>
      </c>
      <c r="BD100" s="16">
        <v>0.10666666666666667</v>
      </c>
      <c r="BE100" s="16">
        <v>0.18666666666666668</v>
      </c>
      <c r="BF100" s="16">
        <v>0.62068965517241381</v>
      </c>
      <c r="BG100" s="16">
        <v>0.58333333333333337</v>
      </c>
      <c r="BH100" s="16">
        <v>0.9</v>
      </c>
      <c r="BI100" s="16">
        <v>0.2857142857142857</v>
      </c>
      <c r="BJ100" s="16">
        <v>0.24</v>
      </c>
      <c r="BK100" s="21">
        <v>1.2857142857142858</v>
      </c>
      <c r="BL100" s="16">
        <v>0.27272727272727271</v>
      </c>
      <c r="BM100" s="16">
        <v>0.26666666666666666</v>
      </c>
      <c r="BN100" s="16">
        <v>0.41176470588235292</v>
      </c>
      <c r="BO100" s="16">
        <v>0</v>
      </c>
      <c r="BP100" s="16">
        <v>0.71875</v>
      </c>
      <c r="BQ100" s="16">
        <v>0.60869565217391308</v>
      </c>
      <c r="BR100" s="16">
        <v>0.81818181818181823</v>
      </c>
      <c r="BS100" s="16">
        <v>0.33333333333333331</v>
      </c>
      <c r="BT100" s="16">
        <v>0.49230769230769234</v>
      </c>
      <c r="BU100" s="16">
        <v>0.1044776119402985</v>
      </c>
      <c r="BV100" s="16">
        <v>0</v>
      </c>
      <c r="BW100" s="16">
        <v>5</v>
      </c>
      <c r="BX100" s="16">
        <v>0.38095238095238093</v>
      </c>
      <c r="BY100" s="16">
        <v>0.38095238095238093</v>
      </c>
      <c r="BZ100" s="12">
        <v>7</v>
      </c>
      <c r="CA100" s="12">
        <v>9</v>
      </c>
      <c r="CB100" s="12">
        <v>2</v>
      </c>
      <c r="CC100" s="12">
        <v>2</v>
      </c>
      <c r="CD100" s="12">
        <v>0</v>
      </c>
      <c r="CE100" s="12">
        <v>0</v>
      </c>
      <c r="CF100" s="12">
        <v>3</v>
      </c>
      <c r="CG100" s="12">
        <v>1</v>
      </c>
      <c r="CH100" s="12">
        <v>0</v>
      </c>
      <c r="CI100" s="12">
        <v>0</v>
      </c>
      <c r="CJ100" s="12">
        <v>0</v>
      </c>
      <c r="CK100" s="12">
        <v>0</v>
      </c>
      <c r="CL100" s="12">
        <v>6</v>
      </c>
      <c r="CM100" s="12">
        <v>1</v>
      </c>
      <c r="CN100" s="12">
        <v>0</v>
      </c>
      <c r="CO100" s="12">
        <v>0</v>
      </c>
      <c r="CP100" s="12">
        <v>3</v>
      </c>
      <c r="CQ100" s="12">
        <v>0</v>
      </c>
      <c r="CR100" s="12">
        <v>4</v>
      </c>
      <c r="CS100" s="12">
        <v>0</v>
      </c>
      <c r="CT100" s="12">
        <v>7</v>
      </c>
      <c r="CU100" s="12">
        <v>0</v>
      </c>
      <c r="CV100" s="12">
        <v>0</v>
      </c>
      <c r="CW100" s="12">
        <v>0</v>
      </c>
      <c r="CX100" s="12">
        <v>8</v>
      </c>
      <c r="CY100" s="12">
        <v>1</v>
      </c>
      <c r="CZ100" s="12">
        <v>1</v>
      </c>
      <c r="DA100" s="12">
        <v>0</v>
      </c>
      <c r="DB100" s="12">
        <v>1</v>
      </c>
      <c r="DC100" s="12">
        <v>1</v>
      </c>
      <c r="DD100" s="12">
        <v>0</v>
      </c>
      <c r="DE100" s="12">
        <v>0</v>
      </c>
      <c r="DF100" s="12">
        <v>11</v>
      </c>
      <c r="DG100" s="12">
        <v>16</v>
      </c>
      <c r="DH100" s="12">
        <v>1</v>
      </c>
      <c r="DI100" s="12">
        <v>0</v>
      </c>
      <c r="DJ100" s="12">
        <v>0</v>
      </c>
      <c r="DK100" s="12">
        <v>0</v>
      </c>
      <c r="DL100" s="12">
        <v>9</v>
      </c>
      <c r="DM100" s="12">
        <v>11</v>
      </c>
      <c r="DN100" s="12">
        <v>3</v>
      </c>
      <c r="DO100" s="12">
        <v>12</v>
      </c>
      <c r="DP100" s="12">
        <v>0</v>
      </c>
      <c r="DQ100" s="12">
        <v>3</v>
      </c>
      <c r="DR100" s="12">
        <v>0</v>
      </c>
      <c r="DS100" s="12">
        <v>1</v>
      </c>
      <c r="DT100" s="12">
        <v>10</v>
      </c>
      <c r="DU100" s="12">
        <v>26</v>
      </c>
      <c r="DV100" s="12">
        <v>0</v>
      </c>
      <c r="DW100" s="12">
        <v>0</v>
      </c>
      <c r="DX100" s="12">
        <v>72</v>
      </c>
      <c r="DY100" s="12">
        <v>20</v>
      </c>
      <c r="DZ100" s="12">
        <v>40</v>
      </c>
      <c r="EA100" s="16">
        <v>0.5</v>
      </c>
      <c r="EB100" s="12">
        <v>7</v>
      </c>
      <c r="EC100" s="12">
        <v>17</v>
      </c>
      <c r="ED100" s="16">
        <v>0.41176470588235292</v>
      </c>
      <c r="EE100" s="12">
        <v>27</v>
      </c>
      <c r="EF100" s="12">
        <v>57</v>
      </c>
      <c r="EG100" s="16">
        <v>0.47368421052631576</v>
      </c>
      <c r="EH100" s="12">
        <v>11</v>
      </c>
      <c r="EI100" s="12">
        <v>15</v>
      </c>
      <c r="EJ100" s="16">
        <v>0.73333333333333328</v>
      </c>
      <c r="EK100" s="12">
        <v>9</v>
      </c>
      <c r="EL100" s="12">
        <v>24</v>
      </c>
      <c r="EM100" s="12">
        <v>33</v>
      </c>
      <c r="EN100" s="12">
        <v>11</v>
      </c>
      <c r="EO100" s="12">
        <v>22</v>
      </c>
      <c r="EP100" s="12">
        <v>21</v>
      </c>
      <c r="EQ100" s="12">
        <v>7</v>
      </c>
      <c r="ER100" s="12">
        <v>12</v>
      </c>
      <c r="ES100" s="12">
        <v>2</v>
      </c>
      <c r="ET100" s="12">
        <v>0</v>
      </c>
      <c r="EU100" s="12">
        <v>78</v>
      </c>
      <c r="EV100" s="12">
        <v>6</v>
      </c>
      <c r="EW100" s="12">
        <v>67</v>
      </c>
      <c r="EX100" s="12">
        <v>76</v>
      </c>
      <c r="EY100" s="12">
        <v>7</v>
      </c>
      <c r="EZ100" s="12">
        <v>7</v>
      </c>
      <c r="FA100" s="12">
        <v>4</v>
      </c>
      <c r="FB100" s="12">
        <v>0</v>
      </c>
      <c r="FC100" s="12">
        <v>0</v>
      </c>
      <c r="FD100" s="12">
        <v>1</v>
      </c>
      <c r="FE100" s="12">
        <v>1</v>
      </c>
      <c r="FF100" s="12">
        <v>1</v>
      </c>
      <c r="FG100" s="12">
        <v>0</v>
      </c>
      <c r="FH100" s="12">
        <v>4</v>
      </c>
      <c r="FI100" s="12">
        <v>2</v>
      </c>
      <c r="FJ100" s="12">
        <v>1</v>
      </c>
      <c r="FK100" s="12">
        <v>0</v>
      </c>
      <c r="FL100" s="12">
        <v>1</v>
      </c>
      <c r="FM100" s="12">
        <v>0</v>
      </c>
      <c r="FN100" s="12">
        <v>1</v>
      </c>
      <c r="FO100" s="12">
        <v>1</v>
      </c>
      <c r="FP100" s="12">
        <v>2</v>
      </c>
      <c r="FQ100" s="12">
        <v>0</v>
      </c>
      <c r="FR100" s="12">
        <v>6</v>
      </c>
      <c r="FS100" s="12">
        <v>0</v>
      </c>
      <c r="FT100" s="12">
        <v>3</v>
      </c>
      <c r="FU100" s="12">
        <v>0</v>
      </c>
      <c r="FV100" s="12">
        <v>1</v>
      </c>
      <c r="FW100" s="12">
        <v>0</v>
      </c>
      <c r="FX100" s="12">
        <v>9</v>
      </c>
      <c r="FY100" s="12">
        <v>0</v>
      </c>
      <c r="FZ100" s="12">
        <v>3</v>
      </c>
      <c r="GA100" s="12">
        <v>0</v>
      </c>
      <c r="GB100" s="12">
        <v>0</v>
      </c>
      <c r="GC100" s="12">
        <v>0</v>
      </c>
      <c r="GD100" s="12">
        <v>1</v>
      </c>
      <c r="GE100" s="12">
        <v>1</v>
      </c>
      <c r="GF100" s="12">
        <v>10</v>
      </c>
      <c r="GG100" s="12">
        <v>14</v>
      </c>
      <c r="GH100" s="12">
        <v>1</v>
      </c>
      <c r="GI100" s="12">
        <v>0</v>
      </c>
      <c r="GJ100" s="12">
        <v>0</v>
      </c>
      <c r="GK100" s="12">
        <v>0</v>
      </c>
      <c r="GL100" s="12">
        <v>10</v>
      </c>
      <c r="GM100" s="12">
        <v>14</v>
      </c>
      <c r="GN100" s="12">
        <v>5</v>
      </c>
      <c r="GO100" s="12">
        <v>10</v>
      </c>
      <c r="GP100" s="12">
        <v>5</v>
      </c>
      <c r="GQ100" s="12">
        <v>16</v>
      </c>
      <c r="GR100" s="12">
        <v>0</v>
      </c>
      <c r="GS100" s="12">
        <v>1</v>
      </c>
      <c r="GT100" s="12">
        <v>7</v>
      </c>
      <c r="GU100" s="12">
        <v>16</v>
      </c>
      <c r="GV100" s="12">
        <v>0</v>
      </c>
      <c r="GW100" s="12">
        <v>0</v>
      </c>
    </row>
    <row r="101" spans="2:205" ht="15" customHeight="1" x14ac:dyDescent="0.2">
      <c r="B101" s="12">
        <v>6</v>
      </c>
      <c r="C101" s="12" t="s">
        <v>289</v>
      </c>
      <c r="D101" s="12" t="s">
        <v>301</v>
      </c>
      <c r="E101" s="14" t="s">
        <v>291</v>
      </c>
      <c r="F101" s="14" t="s">
        <v>302</v>
      </c>
      <c r="G101" s="15">
        <v>45232</v>
      </c>
      <c r="H101" s="15" t="s">
        <v>268</v>
      </c>
      <c r="I101" s="12" t="s">
        <v>269</v>
      </c>
      <c r="J101" s="12" t="s">
        <v>272</v>
      </c>
      <c r="K101" s="12">
        <v>200</v>
      </c>
      <c r="L101" s="12">
        <v>72</v>
      </c>
      <c r="M101" s="12">
        <v>20</v>
      </c>
      <c r="N101" s="12">
        <v>40</v>
      </c>
      <c r="O101" s="16">
        <v>0.5</v>
      </c>
      <c r="P101" s="12">
        <v>7</v>
      </c>
      <c r="Q101" s="12">
        <v>17</v>
      </c>
      <c r="R101" s="16">
        <v>0.41176470588235292</v>
      </c>
      <c r="S101" s="12">
        <v>27</v>
      </c>
      <c r="T101" s="12">
        <v>57</v>
      </c>
      <c r="U101" s="16">
        <v>0.47368421052631576</v>
      </c>
      <c r="V101" s="12">
        <v>11</v>
      </c>
      <c r="W101" s="12">
        <v>15</v>
      </c>
      <c r="X101" s="16">
        <v>0.73333333333333328</v>
      </c>
      <c r="Y101" s="12">
        <v>9</v>
      </c>
      <c r="Z101" s="12">
        <v>24</v>
      </c>
      <c r="AA101" s="12">
        <v>33</v>
      </c>
      <c r="AB101" s="12">
        <v>11</v>
      </c>
      <c r="AC101" s="12">
        <v>12</v>
      </c>
      <c r="AD101" s="12">
        <v>7</v>
      </c>
      <c r="AE101" s="12">
        <v>2</v>
      </c>
      <c r="AF101" s="12">
        <v>0</v>
      </c>
      <c r="AG101" s="12">
        <v>22</v>
      </c>
      <c r="AH101" s="12">
        <v>21</v>
      </c>
      <c r="AI101" s="17">
        <v>78</v>
      </c>
      <c r="AJ101" s="12">
        <v>6</v>
      </c>
      <c r="AK101" s="12">
        <v>67</v>
      </c>
      <c r="AL101" s="12">
        <v>76</v>
      </c>
      <c r="AM101" s="19">
        <v>0.94736842105263153</v>
      </c>
      <c r="AN101" s="19">
        <v>0.88</v>
      </c>
      <c r="AO101" s="18">
        <v>107.46268656716418</v>
      </c>
      <c r="AP101" s="18">
        <v>100</v>
      </c>
      <c r="AQ101" s="18">
        <v>7.4626865671641838</v>
      </c>
      <c r="AR101" s="53">
        <v>0.53508771929824561</v>
      </c>
      <c r="AS101" s="53">
        <v>0.5625</v>
      </c>
      <c r="AT101" s="16">
        <v>0.18421052631578946</v>
      </c>
      <c r="AU101" s="19">
        <v>1.4285714285714286</v>
      </c>
      <c r="AV101" s="16">
        <v>0.13157894736842105</v>
      </c>
      <c r="AW101" s="19">
        <v>1</v>
      </c>
      <c r="AX101" s="16">
        <v>0.21052631578947367</v>
      </c>
      <c r="AY101" s="19">
        <v>0.625</v>
      </c>
      <c r="AZ101" s="16">
        <v>1.3157894736842105E-2</v>
      </c>
      <c r="BA101" s="19">
        <v>0</v>
      </c>
      <c r="BB101" s="16">
        <v>0.21052631578947367</v>
      </c>
      <c r="BC101" s="21">
        <v>1.3125</v>
      </c>
      <c r="BD101" s="16">
        <v>9.2105263157894732E-2</v>
      </c>
      <c r="BE101" s="16">
        <v>0.15789473684210525</v>
      </c>
      <c r="BF101" s="16">
        <v>0.33333333333333331</v>
      </c>
      <c r="BG101" s="16">
        <v>0.35</v>
      </c>
      <c r="BH101" s="16">
        <v>0.5714285714285714</v>
      </c>
      <c r="BI101" s="16">
        <v>0</v>
      </c>
      <c r="BJ101" s="16">
        <v>0.14473684210526316</v>
      </c>
      <c r="BK101" s="21">
        <v>0.91666666666666663</v>
      </c>
      <c r="BL101" s="16">
        <v>0.28125</v>
      </c>
      <c r="BM101" s="16">
        <v>0.39130434782608697</v>
      </c>
      <c r="BN101" s="16">
        <v>0.18181818181818182</v>
      </c>
      <c r="BO101" s="16">
        <v>0.66666666666666663</v>
      </c>
      <c r="BP101" s="16">
        <v>0.72727272727272729</v>
      </c>
      <c r="BQ101" s="16">
        <v>0.73333333333333328</v>
      </c>
      <c r="BR101" s="16">
        <v>0.58823529411764708</v>
      </c>
      <c r="BS101" s="16">
        <v>1</v>
      </c>
      <c r="BT101" s="16">
        <v>0.50769230769230766</v>
      </c>
      <c r="BU101" s="16">
        <v>0.10606060606060606</v>
      </c>
      <c r="BV101" s="16">
        <v>3.7735849056603772E-2</v>
      </c>
      <c r="BW101" s="16">
        <v>7</v>
      </c>
      <c r="BX101" s="16">
        <v>0.36363636363636365</v>
      </c>
      <c r="BY101" s="16">
        <v>0.38095238095238093</v>
      </c>
      <c r="BZ101" s="12">
        <v>7</v>
      </c>
      <c r="CA101" s="12">
        <v>4</v>
      </c>
      <c r="CB101" s="12">
        <v>0</v>
      </c>
      <c r="CC101" s="12">
        <v>0</v>
      </c>
      <c r="CD101" s="12">
        <v>1</v>
      </c>
      <c r="CE101" s="12">
        <v>1</v>
      </c>
      <c r="CF101" s="12">
        <v>1</v>
      </c>
      <c r="CG101" s="12">
        <v>0</v>
      </c>
      <c r="CH101" s="12">
        <v>4</v>
      </c>
      <c r="CI101" s="12">
        <v>2</v>
      </c>
      <c r="CJ101" s="12">
        <v>1</v>
      </c>
      <c r="CK101" s="12">
        <v>0</v>
      </c>
      <c r="CL101" s="12">
        <v>1</v>
      </c>
      <c r="CM101" s="12">
        <v>0</v>
      </c>
      <c r="CN101" s="12">
        <v>1</v>
      </c>
      <c r="CO101" s="12">
        <v>1</v>
      </c>
      <c r="CP101" s="12">
        <v>2</v>
      </c>
      <c r="CQ101" s="12">
        <v>0</v>
      </c>
      <c r="CR101" s="12">
        <v>6</v>
      </c>
      <c r="CS101" s="12">
        <v>0</v>
      </c>
      <c r="CT101" s="12">
        <v>3</v>
      </c>
      <c r="CU101" s="12">
        <v>0</v>
      </c>
      <c r="CV101" s="12">
        <v>1</v>
      </c>
      <c r="CW101" s="12">
        <v>0</v>
      </c>
      <c r="CX101" s="12">
        <v>9</v>
      </c>
      <c r="CY101" s="12">
        <v>0</v>
      </c>
      <c r="CZ101" s="12">
        <v>3</v>
      </c>
      <c r="DA101" s="12">
        <v>0</v>
      </c>
      <c r="DB101" s="12">
        <v>0</v>
      </c>
      <c r="DC101" s="12">
        <v>0</v>
      </c>
      <c r="DD101" s="12">
        <v>1</v>
      </c>
      <c r="DE101" s="12">
        <v>1</v>
      </c>
      <c r="DF101" s="12">
        <v>10</v>
      </c>
      <c r="DG101" s="12">
        <v>14</v>
      </c>
      <c r="DH101" s="12">
        <v>1</v>
      </c>
      <c r="DI101" s="12">
        <v>0</v>
      </c>
      <c r="DJ101" s="12">
        <v>0</v>
      </c>
      <c r="DK101" s="12">
        <v>0</v>
      </c>
      <c r="DL101" s="12">
        <v>10</v>
      </c>
      <c r="DM101" s="12">
        <v>14</v>
      </c>
      <c r="DN101" s="12">
        <v>5</v>
      </c>
      <c r="DO101" s="12">
        <v>10</v>
      </c>
      <c r="DP101" s="12">
        <v>5</v>
      </c>
      <c r="DQ101" s="12">
        <v>16</v>
      </c>
      <c r="DR101" s="12">
        <v>0</v>
      </c>
      <c r="DS101" s="12">
        <v>1</v>
      </c>
      <c r="DT101" s="12">
        <v>7</v>
      </c>
      <c r="DU101" s="12">
        <v>16</v>
      </c>
      <c r="DV101" s="12">
        <v>0</v>
      </c>
      <c r="DW101" s="12">
        <v>0</v>
      </c>
      <c r="DX101" s="12">
        <v>66</v>
      </c>
      <c r="DY101" s="12">
        <v>12</v>
      </c>
      <c r="DZ101" s="12">
        <v>26</v>
      </c>
      <c r="EA101" s="16">
        <v>0.46153846153846156</v>
      </c>
      <c r="EB101" s="12">
        <v>10</v>
      </c>
      <c r="EC101" s="12">
        <v>27</v>
      </c>
      <c r="ED101" s="16">
        <v>0.37037037037037035</v>
      </c>
      <c r="EE101" s="12">
        <v>22</v>
      </c>
      <c r="EF101" s="12">
        <v>53</v>
      </c>
      <c r="EG101" s="16">
        <v>0.41509433962264153</v>
      </c>
      <c r="EH101" s="12">
        <v>12</v>
      </c>
      <c r="EI101" s="12">
        <v>17</v>
      </c>
      <c r="EJ101" s="16">
        <v>0.70588235294117652</v>
      </c>
      <c r="EK101" s="12">
        <v>9</v>
      </c>
      <c r="EL101" s="12">
        <v>23</v>
      </c>
      <c r="EM101" s="12">
        <v>32</v>
      </c>
      <c r="EN101" s="12">
        <v>18</v>
      </c>
      <c r="EO101" s="12">
        <v>21</v>
      </c>
      <c r="EP101" s="12">
        <v>21</v>
      </c>
      <c r="EQ101" s="12">
        <v>7</v>
      </c>
      <c r="ER101" s="12">
        <v>14</v>
      </c>
      <c r="ES101" s="12">
        <v>0</v>
      </c>
      <c r="ET101" s="12">
        <v>2</v>
      </c>
      <c r="EU101" s="12">
        <v>71</v>
      </c>
      <c r="EV101" s="12">
        <v>-6</v>
      </c>
      <c r="EW101" s="12">
        <v>66</v>
      </c>
      <c r="EX101" s="12">
        <v>75</v>
      </c>
      <c r="EY101" s="12">
        <v>5</v>
      </c>
      <c r="EZ101" s="12">
        <v>7</v>
      </c>
      <c r="FA101" s="12">
        <v>9</v>
      </c>
      <c r="FB101" s="12">
        <v>2</v>
      </c>
      <c r="FC101" s="12">
        <v>2</v>
      </c>
      <c r="FD101" s="12">
        <v>0</v>
      </c>
      <c r="FE101" s="12">
        <v>0</v>
      </c>
      <c r="FF101" s="12">
        <v>3</v>
      </c>
      <c r="FG101" s="12">
        <v>1</v>
      </c>
      <c r="FH101" s="12">
        <v>0</v>
      </c>
      <c r="FI101" s="12">
        <v>0</v>
      </c>
      <c r="FJ101" s="12">
        <v>0</v>
      </c>
      <c r="FK101" s="12">
        <v>0</v>
      </c>
      <c r="FL101" s="12">
        <v>6</v>
      </c>
      <c r="FM101" s="12">
        <v>1</v>
      </c>
      <c r="FN101" s="12">
        <v>0</v>
      </c>
      <c r="FO101" s="12">
        <v>0</v>
      </c>
      <c r="FP101" s="12">
        <v>3</v>
      </c>
      <c r="FQ101" s="12">
        <v>0</v>
      </c>
      <c r="FR101" s="12">
        <v>4</v>
      </c>
      <c r="FS101" s="12">
        <v>0</v>
      </c>
      <c r="FT101" s="12">
        <v>7</v>
      </c>
      <c r="FU101" s="12">
        <v>0</v>
      </c>
      <c r="FV101" s="12">
        <v>0</v>
      </c>
      <c r="FW101" s="12">
        <v>0</v>
      </c>
      <c r="FX101" s="12">
        <v>8</v>
      </c>
      <c r="FY101" s="12">
        <v>1</v>
      </c>
      <c r="FZ101" s="12">
        <v>1</v>
      </c>
      <c r="GA101" s="12">
        <v>0</v>
      </c>
      <c r="GB101" s="12">
        <v>1</v>
      </c>
      <c r="GC101" s="12">
        <v>1</v>
      </c>
      <c r="GD101" s="12">
        <v>0</v>
      </c>
      <c r="GE101" s="12">
        <v>0</v>
      </c>
      <c r="GF101" s="12">
        <v>11</v>
      </c>
      <c r="GG101" s="12">
        <v>16</v>
      </c>
      <c r="GH101" s="12">
        <v>1</v>
      </c>
      <c r="GI101" s="12">
        <v>0</v>
      </c>
      <c r="GJ101" s="12">
        <v>0</v>
      </c>
      <c r="GK101" s="12">
        <v>0</v>
      </c>
      <c r="GL101" s="12">
        <v>9</v>
      </c>
      <c r="GM101" s="12">
        <v>11</v>
      </c>
      <c r="GN101" s="12">
        <v>3</v>
      </c>
      <c r="GO101" s="12">
        <v>12</v>
      </c>
      <c r="GP101" s="12">
        <v>0</v>
      </c>
      <c r="GQ101" s="12">
        <v>3</v>
      </c>
      <c r="GR101" s="12">
        <v>0</v>
      </c>
      <c r="GS101" s="12">
        <v>1</v>
      </c>
      <c r="GT101" s="12">
        <v>10</v>
      </c>
      <c r="GU101" s="12">
        <v>26</v>
      </c>
      <c r="GV101" s="12">
        <v>0</v>
      </c>
      <c r="GW101" s="12">
        <v>0</v>
      </c>
    </row>
    <row r="102" spans="2:205" ht="15" customHeight="1" x14ac:dyDescent="0.2">
      <c r="B102" s="12">
        <v>6</v>
      </c>
      <c r="C102" s="12" t="s">
        <v>281</v>
      </c>
      <c r="D102" s="12" t="s">
        <v>93</v>
      </c>
      <c r="E102" s="14" t="s">
        <v>283</v>
      </c>
      <c r="F102" s="14" t="s">
        <v>303</v>
      </c>
      <c r="G102" s="15">
        <v>45232</v>
      </c>
      <c r="H102" s="15" t="s">
        <v>271</v>
      </c>
      <c r="I102" s="12" t="s">
        <v>269</v>
      </c>
      <c r="J102" s="12" t="s">
        <v>272</v>
      </c>
      <c r="K102" s="12">
        <v>200</v>
      </c>
      <c r="L102" s="12">
        <v>79</v>
      </c>
      <c r="M102" s="12">
        <v>23</v>
      </c>
      <c r="N102" s="12">
        <v>43</v>
      </c>
      <c r="O102" s="16">
        <v>0.53488372093023251</v>
      </c>
      <c r="P102" s="12">
        <v>7</v>
      </c>
      <c r="Q102" s="12">
        <v>23</v>
      </c>
      <c r="R102" s="16">
        <v>0.30434782608695654</v>
      </c>
      <c r="S102" s="12">
        <v>30</v>
      </c>
      <c r="T102" s="12">
        <v>66</v>
      </c>
      <c r="U102" s="16">
        <v>0.45454545454545453</v>
      </c>
      <c r="V102" s="12">
        <v>12</v>
      </c>
      <c r="W102" s="12">
        <v>14</v>
      </c>
      <c r="X102" s="16">
        <v>0.8571428571428571</v>
      </c>
      <c r="Y102" s="12">
        <v>12</v>
      </c>
      <c r="Z102" s="12">
        <v>24</v>
      </c>
      <c r="AA102" s="12">
        <v>36</v>
      </c>
      <c r="AB102" s="12">
        <v>18</v>
      </c>
      <c r="AC102" s="12">
        <v>15</v>
      </c>
      <c r="AD102" s="12">
        <v>10</v>
      </c>
      <c r="AE102" s="12">
        <v>3</v>
      </c>
      <c r="AF102" s="12">
        <v>5</v>
      </c>
      <c r="AG102" s="12">
        <v>20</v>
      </c>
      <c r="AH102" s="12">
        <v>17</v>
      </c>
      <c r="AI102" s="17">
        <v>85</v>
      </c>
      <c r="AJ102" s="12">
        <v>8</v>
      </c>
      <c r="AK102" s="12">
        <v>75</v>
      </c>
      <c r="AL102" s="12">
        <v>87</v>
      </c>
      <c r="AM102" s="19">
        <v>0.90804597701149425</v>
      </c>
      <c r="AN102" s="19">
        <v>0.85542168674698793</v>
      </c>
      <c r="AO102" s="18">
        <v>105.33333333333333</v>
      </c>
      <c r="AP102" s="18">
        <v>97.260273972602747</v>
      </c>
      <c r="AQ102" s="18">
        <v>8.0730593607305821</v>
      </c>
      <c r="AR102" s="53">
        <v>0.50757575757575757</v>
      </c>
      <c r="AS102" s="53">
        <v>0.54861111111111116</v>
      </c>
      <c r="AT102" s="16">
        <v>0.21839080459770116</v>
      </c>
      <c r="AU102" s="19">
        <v>1.368421052631579</v>
      </c>
      <c r="AV102" s="16">
        <v>0.18390804597701149</v>
      </c>
      <c r="AW102" s="19">
        <v>0.875</v>
      </c>
      <c r="AX102" s="16">
        <v>9.1954022988505746E-2</v>
      </c>
      <c r="AY102" s="19">
        <v>0.75</v>
      </c>
      <c r="AZ102" s="16">
        <v>9.1954022988505746E-2</v>
      </c>
      <c r="BA102" s="19">
        <v>1.125</v>
      </c>
      <c r="BB102" s="16">
        <v>0.17241379310344829</v>
      </c>
      <c r="BC102" s="21">
        <v>0.8</v>
      </c>
      <c r="BD102" s="16">
        <v>6.8965517241379309E-2</v>
      </c>
      <c r="BE102" s="16">
        <v>0.17241379310344829</v>
      </c>
      <c r="BF102" s="16">
        <v>0.5</v>
      </c>
      <c r="BG102" s="16">
        <v>0.52173913043478259</v>
      </c>
      <c r="BH102" s="16">
        <v>0.7142857142857143</v>
      </c>
      <c r="BI102" s="16">
        <v>0.16666666666666666</v>
      </c>
      <c r="BJ102" s="16">
        <v>0.20689655172413793</v>
      </c>
      <c r="BK102" s="21">
        <v>1.2</v>
      </c>
      <c r="BL102" s="16">
        <v>0.34285714285714286</v>
      </c>
      <c r="BM102" s="16">
        <v>0.375</v>
      </c>
      <c r="BN102" s="16">
        <v>0.33333333333333331</v>
      </c>
      <c r="BO102" s="16">
        <v>0</v>
      </c>
      <c r="BP102" s="16">
        <v>0.70588235294117652</v>
      </c>
      <c r="BQ102" s="16">
        <v>0.58823529411764708</v>
      </c>
      <c r="BR102" s="16">
        <v>0.8</v>
      </c>
      <c r="BS102" s="16">
        <v>1</v>
      </c>
      <c r="BT102" s="16">
        <v>0.52173913043478259</v>
      </c>
      <c r="BU102" s="16">
        <v>0.13698630136986301</v>
      </c>
      <c r="BV102" s="16">
        <v>5.3571428571428568E-2</v>
      </c>
      <c r="BW102" s="16">
        <v>8</v>
      </c>
      <c r="BX102" s="16">
        <v>0.45</v>
      </c>
      <c r="BY102" s="16">
        <v>0.47058823529411764</v>
      </c>
      <c r="BZ102" s="12">
        <v>12</v>
      </c>
      <c r="CA102" s="12">
        <v>5</v>
      </c>
      <c r="CB102" s="12">
        <v>1</v>
      </c>
      <c r="CC102" s="12">
        <v>2</v>
      </c>
      <c r="CD102" s="12">
        <v>2</v>
      </c>
      <c r="CE102" s="12">
        <v>2</v>
      </c>
      <c r="CF102" s="12">
        <v>3</v>
      </c>
      <c r="CG102" s="12">
        <v>1</v>
      </c>
      <c r="CH102" s="12">
        <v>1</v>
      </c>
      <c r="CI102" s="12">
        <v>0</v>
      </c>
      <c r="CJ102" s="12">
        <v>0</v>
      </c>
      <c r="CK102" s="12">
        <v>0</v>
      </c>
      <c r="CL102" s="12">
        <v>5</v>
      </c>
      <c r="CM102" s="12">
        <v>0</v>
      </c>
      <c r="CN102" s="12">
        <v>0</v>
      </c>
      <c r="CO102" s="12">
        <v>0</v>
      </c>
      <c r="CP102" s="12">
        <v>3</v>
      </c>
      <c r="CQ102" s="12">
        <v>0</v>
      </c>
      <c r="CR102" s="12">
        <v>4</v>
      </c>
      <c r="CS102" s="12">
        <v>0</v>
      </c>
      <c r="CT102" s="12">
        <v>2</v>
      </c>
      <c r="CU102" s="12">
        <v>1</v>
      </c>
      <c r="CV102" s="12">
        <v>3</v>
      </c>
      <c r="CW102" s="12">
        <v>0</v>
      </c>
      <c r="CX102" s="12">
        <v>11</v>
      </c>
      <c r="CY102" s="12">
        <v>2</v>
      </c>
      <c r="CZ102" s="12">
        <v>1</v>
      </c>
      <c r="DA102" s="12">
        <v>0</v>
      </c>
      <c r="DB102" s="12">
        <v>0</v>
      </c>
      <c r="DC102" s="12">
        <v>0</v>
      </c>
      <c r="DD102" s="12">
        <v>2</v>
      </c>
      <c r="DE102" s="12">
        <v>2</v>
      </c>
      <c r="DF102" s="12">
        <v>10</v>
      </c>
      <c r="DG102" s="12">
        <v>12</v>
      </c>
      <c r="DH102" s="12">
        <v>0</v>
      </c>
      <c r="DI102" s="12">
        <v>0</v>
      </c>
      <c r="DJ102" s="12">
        <v>0</v>
      </c>
      <c r="DK102" s="12">
        <v>0</v>
      </c>
      <c r="DL102" s="12">
        <v>13</v>
      </c>
      <c r="DM102" s="12">
        <v>19</v>
      </c>
      <c r="DN102" s="12">
        <v>7</v>
      </c>
      <c r="DO102" s="12">
        <v>16</v>
      </c>
      <c r="DP102" s="12">
        <v>3</v>
      </c>
      <c r="DQ102" s="12">
        <v>8</v>
      </c>
      <c r="DR102" s="12">
        <v>3</v>
      </c>
      <c r="DS102" s="12">
        <v>8</v>
      </c>
      <c r="DT102" s="12">
        <v>4</v>
      </c>
      <c r="DU102" s="12">
        <v>15</v>
      </c>
      <c r="DV102" s="12">
        <v>0</v>
      </c>
      <c r="DW102" s="12">
        <v>0</v>
      </c>
      <c r="DX102" s="12">
        <v>71</v>
      </c>
      <c r="DY102" s="12">
        <v>13</v>
      </c>
      <c r="DZ102" s="12">
        <v>28</v>
      </c>
      <c r="EA102" s="16">
        <v>0.4642857142857143</v>
      </c>
      <c r="EB102" s="12">
        <v>9</v>
      </c>
      <c r="EC102" s="12">
        <v>28</v>
      </c>
      <c r="ED102" s="16">
        <v>0.32142857142857145</v>
      </c>
      <c r="EE102" s="12">
        <v>22</v>
      </c>
      <c r="EF102" s="12">
        <v>56</v>
      </c>
      <c r="EG102" s="16">
        <v>0.39285714285714285</v>
      </c>
      <c r="EH102" s="12">
        <v>18</v>
      </c>
      <c r="EI102" s="12">
        <v>20</v>
      </c>
      <c r="EJ102" s="16">
        <v>0.9</v>
      </c>
      <c r="EK102" s="12">
        <v>10</v>
      </c>
      <c r="EL102" s="12">
        <v>23</v>
      </c>
      <c r="EM102" s="12">
        <v>33</v>
      </c>
      <c r="EN102" s="12">
        <v>13</v>
      </c>
      <c r="EO102" s="12">
        <v>17</v>
      </c>
      <c r="EP102" s="12">
        <v>20</v>
      </c>
      <c r="EQ102" s="12">
        <v>9</v>
      </c>
      <c r="ER102" s="12">
        <v>18</v>
      </c>
      <c r="ES102" s="12">
        <v>5</v>
      </c>
      <c r="ET102" s="12">
        <v>3</v>
      </c>
      <c r="EU102" s="12">
        <v>77</v>
      </c>
      <c r="EV102" s="12">
        <v>-8</v>
      </c>
      <c r="EW102" s="12">
        <v>73</v>
      </c>
      <c r="EX102" s="12">
        <v>83</v>
      </c>
      <c r="EY102" s="12">
        <v>5</v>
      </c>
      <c r="EZ102" s="12">
        <v>5</v>
      </c>
      <c r="FA102" s="12">
        <v>6</v>
      </c>
      <c r="FB102" s="12">
        <v>2</v>
      </c>
      <c r="FC102" s="12">
        <v>4</v>
      </c>
      <c r="FD102" s="12">
        <v>2</v>
      </c>
      <c r="FE102" s="12">
        <v>0</v>
      </c>
      <c r="FF102" s="12">
        <v>3</v>
      </c>
      <c r="FG102" s="12">
        <v>0</v>
      </c>
      <c r="FH102" s="12">
        <v>2</v>
      </c>
      <c r="FI102" s="12">
        <v>0</v>
      </c>
      <c r="FJ102" s="12">
        <v>1</v>
      </c>
      <c r="FK102" s="12">
        <v>0</v>
      </c>
      <c r="FL102" s="12">
        <v>2</v>
      </c>
      <c r="FM102" s="12">
        <v>1</v>
      </c>
      <c r="FN102" s="12">
        <v>0</v>
      </c>
      <c r="FO102" s="12">
        <v>0</v>
      </c>
      <c r="FP102" s="12">
        <v>3</v>
      </c>
      <c r="FQ102" s="12">
        <v>0</v>
      </c>
      <c r="FR102" s="12">
        <v>6</v>
      </c>
      <c r="FS102" s="12">
        <v>1</v>
      </c>
      <c r="FT102" s="12">
        <v>4</v>
      </c>
      <c r="FU102" s="12">
        <v>1</v>
      </c>
      <c r="FV102" s="12">
        <v>5</v>
      </c>
      <c r="FW102" s="12">
        <v>1</v>
      </c>
      <c r="FX102" s="12">
        <v>4</v>
      </c>
      <c r="FY102" s="12">
        <v>0</v>
      </c>
      <c r="FZ102" s="12">
        <v>1</v>
      </c>
      <c r="GA102" s="12">
        <v>0</v>
      </c>
      <c r="GB102" s="12">
        <v>0</v>
      </c>
      <c r="GC102" s="12">
        <v>0</v>
      </c>
      <c r="GD102" s="12">
        <v>0</v>
      </c>
      <c r="GE102" s="12">
        <v>0</v>
      </c>
      <c r="GF102" s="12">
        <v>14</v>
      </c>
      <c r="GG102" s="12">
        <v>14</v>
      </c>
      <c r="GH102" s="12">
        <v>0</v>
      </c>
      <c r="GI102" s="12">
        <v>4</v>
      </c>
      <c r="GJ102" s="12">
        <v>6</v>
      </c>
      <c r="GK102" s="12">
        <v>0</v>
      </c>
      <c r="GL102" s="12">
        <v>8</v>
      </c>
      <c r="GM102" s="12">
        <v>12</v>
      </c>
      <c r="GN102" s="12">
        <v>3</v>
      </c>
      <c r="GO102" s="12">
        <v>10</v>
      </c>
      <c r="GP102" s="12">
        <v>2</v>
      </c>
      <c r="GQ102" s="12">
        <v>6</v>
      </c>
      <c r="GR102" s="12">
        <v>2</v>
      </c>
      <c r="GS102" s="12">
        <v>6</v>
      </c>
      <c r="GT102" s="12">
        <v>7</v>
      </c>
      <c r="GU102" s="12">
        <v>20</v>
      </c>
      <c r="GV102" s="12">
        <v>0</v>
      </c>
      <c r="GW102" s="12">
        <v>0</v>
      </c>
    </row>
    <row r="103" spans="2:205" ht="15" customHeight="1" x14ac:dyDescent="0.2">
      <c r="B103" s="12">
        <v>6</v>
      </c>
      <c r="C103" s="12" t="s">
        <v>93</v>
      </c>
      <c r="D103" s="12" t="s">
        <v>281</v>
      </c>
      <c r="E103" s="14" t="s">
        <v>303</v>
      </c>
      <c r="F103" s="14" t="s">
        <v>283</v>
      </c>
      <c r="G103" s="15">
        <v>45232</v>
      </c>
      <c r="H103" s="15" t="s">
        <v>268</v>
      </c>
      <c r="I103" s="12" t="s">
        <v>269</v>
      </c>
      <c r="J103" s="12" t="s">
        <v>270</v>
      </c>
      <c r="K103" s="12">
        <v>200</v>
      </c>
      <c r="L103" s="12">
        <v>71</v>
      </c>
      <c r="M103" s="12">
        <v>13</v>
      </c>
      <c r="N103" s="12">
        <v>28</v>
      </c>
      <c r="O103" s="16">
        <v>0.4642857142857143</v>
      </c>
      <c r="P103" s="12">
        <v>9</v>
      </c>
      <c r="Q103" s="12">
        <v>28</v>
      </c>
      <c r="R103" s="16">
        <v>0.32142857142857145</v>
      </c>
      <c r="S103" s="12">
        <v>22</v>
      </c>
      <c r="T103" s="12">
        <v>56</v>
      </c>
      <c r="U103" s="16">
        <v>0.39285714285714285</v>
      </c>
      <c r="V103" s="12">
        <v>18</v>
      </c>
      <c r="W103" s="12">
        <v>20</v>
      </c>
      <c r="X103" s="16">
        <v>0.9</v>
      </c>
      <c r="Y103" s="12">
        <v>10</v>
      </c>
      <c r="Z103" s="12">
        <v>23</v>
      </c>
      <c r="AA103" s="12">
        <v>33</v>
      </c>
      <c r="AB103" s="12">
        <v>13</v>
      </c>
      <c r="AC103" s="12">
        <v>18</v>
      </c>
      <c r="AD103" s="12">
        <v>9</v>
      </c>
      <c r="AE103" s="12">
        <v>5</v>
      </c>
      <c r="AF103" s="12">
        <v>3</v>
      </c>
      <c r="AG103" s="12">
        <v>17</v>
      </c>
      <c r="AH103" s="12">
        <v>20</v>
      </c>
      <c r="AI103" s="17">
        <v>77</v>
      </c>
      <c r="AJ103" s="12">
        <v>-8</v>
      </c>
      <c r="AK103" s="12">
        <v>73</v>
      </c>
      <c r="AL103" s="12">
        <v>83</v>
      </c>
      <c r="AM103" s="19">
        <v>0.85542168674698793</v>
      </c>
      <c r="AN103" s="19">
        <v>0.90804597701149425</v>
      </c>
      <c r="AO103" s="18">
        <v>97.260273972602747</v>
      </c>
      <c r="AP103" s="18">
        <v>105.33333333333333</v>
      </c>
      <c r="AQ103" s="18">
        <v>-8.0730593607305821</v>
      </c>
      <c r="AR103" s="53">
        <v>0.4732142857142857</v>
      </c>
      <c r="AS103" s="53">
        <v>0.5461538461538461</v>
      </c>
      <c r="AT103" s="16">
        <v>0.14457831325301204</v>
      </c>
      <c r="AU103" s="19">
        <v>1.3333333333333333</v>
      </c>
      <c r="AV103" s="16">
        <v>0.12048192771084337</v>
      </c>
      <c r="AW103" s="19">
        <v>0.6</v>
      </c>
      <c r="AX103" s="16">
        <v>7.2289156626506021E-2</v>
      </c>
      <c r="AY103" s="19">
        <v>0.66666666666666663</v>
      </c>
      <c r="AZ103" s="16">
        <v>7.2289156626506021E-2</v>
      </c>
      <c r="BA103" s="19">
        <v>1</v>
      </c>
      <c r="BB103" s="16">
        <v>0.24096385542168675</v>
      </c>
      <c r="BC103" s="21">
        <v>1.05</v>
      </c>
      <c r="BD103" s="16">
        <v>0.10843373493975904</v>
      </c>
      <c r="BE103" s="16">
        <v>0.21686746987951808</v>
      </c>
      <c r="BF103" s="16">
        <v>0.41935483870967744</v>
      </c>
      <c r="BG103" s="16">
        <v>0.38461538461538464</v>
      </c>
      <c r="BH103" s="16">
        <v>0.66666666666666663</v>
      </c>
      <c r="BI103" s="16">
        <v>0.22222222222222221</v>
      </c>
      <c r="BJ103" s="16">
        <v>0.15662650602409639</v>
      </c>
      <c r="BK103" s="21">
        <v>0.72222222222222221</v>
      </c>
      <c r="BL103" s="16">
        <v>0.29411764705882354</v>
      </c>
      <c r="BM103" s="16">
        <v>0.41176470588235292</v>
      </c>
      <c r="BN103" s="16">
        <v>0.2</v>
      </c>
      <c r="BO103" s="16">
        <v>0</v>
      </c>
      <c r="BP103" s="16">
        <v>0.65714285714285714</v>
      </c>
      <c r="BQ103" s="16">
        <v>0.625</v>
      </c>
      <c r="BR103" s="16">
        <v>0.66666666666666663</v>
      </c>
      <c r="BS103" s="16">
        <v>1</v>
      </c>
      <c r="BT103" s="16">
        <v>0.47826086956521741</v>
      </c>
      <c r="BU103" s="16">
        <v>0.12</v>
      </c>
      <c r="BV103" s="16">
        <v>7.575757575757576E-2</v>
      </c>
      <c r="BW103" s="16">
        <v>5</v>
      </c>
      <c r="BX103" s="16">
        <v>0.47058823529411764</v>
      </c>
      <c r="BY103" s="16">
        <v>0.45</v>
      </c>
      <c r="BZ103" s="12">
        <v>5</v>
      </c>
      <c r="CA103" s="12">
        <v>6</v>
      </c>
      <c r="CB103" s="12">
        <v>2</v>
      </c>
      <c r="CC103" s="12">
        <v>4</v>
      </c>
      <c r="CD103" s="12">
        <v>2</v>
      </c>
      <c r="CE103" s="12">
        <v>0</v>
      </c>
      <c r="CF103" s="12">
        <v>3</v>
      </c>
      <c r="CG103" s="12">
        <v>0</v>
      </c>
      <c r="CH103" s="12">
        <v>2</v>
      </c>
      <c r="CI103" s="12">
        <v>0</v>
      </c>
      <c r="CJ103" s="12">
        <v>1</v>
      </c>
      <c r="CK103" s="12">
        <v>0</v>
      </c>
      <c r="CL103" s="12">
        <v>2</v>
      </c>
      <c r="CM103" s="12">
        <v>1</v>
      </c>
      <c r="CN103" s="12">
        <v>0</v>
      </c>
      <c r="CO103" s="12">
        <v>0</v>
      </c>
      <c r="CP103" s="12">
        <v>3</v>
      </c>
      <c r="CQ103" s="12">
        <v>0</v>
      </c>
      <c r="CR103" s="12">
        <v>6</v>
      </c>
      <c r="CS103" s="12">
        <v>1</v>
      </c>
      <c r="CT103" s="12">
        <v>4</v>
      </c>
      <c r="CU103" s="12">
        <v>1</v>
      </c>
      <c r="CV103" s="12">
        <v>5</v>
      </c>
      <c r="CW103" s="12">
        <v>1</v>
      </c>
      <c r="CX103" s="12">
        <v>4</v>
      </c>
      <c r="CY103" s="12">
        <v>0</v>
      </c>
      <c r="CZ103" s="12">
        <v>1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14</v>
      </c>
      <c r="DG103" s="12">
        <v>14</v>
      </c>
      <c r="DH103" s="12">
        <v>0</v>
      </c>
      <c r="DI103" s="12">
        <v>4</v>
      </c>
      <c r="DJ103" s="12">
        <v>6</v>
      </c>
      <c r="DK103" s="12">
        <v>0</v>
      </c>
      <c r="DL103" s="12">
        <v>8</v>
      </c>
      <c r="DM103" s="12">
        <v>12</v>
      </c>
      <c r="DN103" s="12">
        <v>3</v>
      </c>
      <c r="DO103" s="12">
        <v>10</v>
      </c>
      <c r="DP103" s="12">
        <v>2</v>
      </c>
      <c r="DQ103" s="12">
        <v>6</v>
      </c>
      <c r="DR103" s="12">
        <v>2</v>
      </c>
      <c r="DS103" s="12">
        <v>6</v>
      </c>
      <c r="DT103" s="12">
        <v>7</v>
      </c>
      <c r="DU103" s="12">
        <v>20</v>
      </c>
      <c r="DV103" s="12">
        <v>0</v>
      </c>
      <c r="DW103" s="12">
        <v>0</v>
      </c>
      <c r="DX103" s="12">
        <v>79</v>
      </c>
      <c r="DY103" s="12">
        <v>23</v>
      </c>
      <c r="DZ103" s="12">
        <v>43</v>
      </c>
      <c r="EA103" s="16">
        <v>0.53488372093023251</v>
      </c>
      <c r="EB103" s="12">
        <v>7</v>
      </c>
      <c r="EC103" s="12">
        <v>23</v>
      </c>
      <c r="ED103" s="16">
        <v>0.30434782608695654</v>
      </c>
      <c r="EE103" s="12">
        <v>30</v>
      </c>
      <c r="EF103" s="12">
        <v>66</v>
      </c>
      <c r="EG103" s="16">
        <v>0.45454545454545453</v>
      </c>
      <c r="EH103" s="12">
        <v>12</v>
      </c>
      <c r="EI103" s="12">
        <v>14</v>
      </c>
      <c r="EJ103" s="16">
        <v>0.8571428571428571</v>
      </c>
      <c r="EK103" s="12">
        <v>12</v>
      </c>
      <c r="EL103" s="12">
        <v>24</v>
      </c>
      <c r="EM103" s="12">
        <v>36</v>
      </c>
      <c r="EN103" s="12">
        <v>18</v>
      </c>
      <c r="EO103" s="12">
        <v>20</v>
      </c>
      <c r="EP103" s="12">
        <v>17</v>
      </c>
      <c r="EQ103" s="12">
        <v>10</v>
      </c>
      <c r="ER103" s="12">
        <v>15</v>
      </c>
      <c r="ES103" s="12">
        <v>3</v>
      </c>
      <c r="ET103" s="12">
        <v>5</v>
      </c>
      <c r="EU103" s="12">
        <v>85</v>
      </c>
      <c r="EV103" s="12">
        <v>8</v>
      </c>
      <c r="EW103" s="12">
        <v>75</v>
      </c>
      <c r="EX103" s="12">
        <v>87</v>
      </c>
      <c r="EY103" s="12">
        <v>8</v>
      </c>
      <c r="EZ103" s="12">
        <v>12</v>
      </c>
      <c r="FA103" s="12">
        <v>5</v>
      </c>
      <c r="FB103" s="12">
        <v>1</v>
      </c>
      <c r="FC103" s="12">
        <v>2</v>
      </c>
      <c r="FD103" s="12">
        <v>2</v>
      </c>
      <c r="FE103" s="12">
        <v>2</v>
      </c>
      <c r="FF103" s="12">
        <v>3</v>
      </c>
      <c r="FG103" s="12">
        <v>1</v>
      </c>
      <c r="FH103" s="12">
        <v>1</v>
      </c>
      <c r="FI103" s="12">
        <v>0</v>
      </c>
      <c r="FJ103" s="12">
        <v>0</v>
      </c>
      <c r="FK103" s="12">
        <v>0</v>
      </c>
      <c r="FL103" s="12">
        <v>5</v>
      </c>
      <c r="FM103" s="12">
        <v>0</v>
      </c>
      <c r="FN103" s="12">
        <v>0</v>
      </c>
      <c r="FO103" s="12">
        <v>0</v>
      </c>
      <c r="FP103" s="12">
        <v>3</v>
      </c>
      <c r="FQ103" s="12">
        <v>0</v>
      </c>
      <c r="FR103" s="12">
        <v>4</v>
      </c>
      <c r="FS103" s="12">
        <v>0</v>
      </c>
      <c r="FT103" s="12">
        <v>2</v>
      </c>
      <c r="FU103" s="12">
        <v>1</v>
      </c>
      <c r="FV103" s="12">
        <v>3</v>
      </c>
      <c r="FW103" s="12">
        <v>0</v>
      </c>
      <c r="FX103" s="12">
        <v>11</v>
      </c>
      <c r="FY103" s="12">
        <v>2</v>
      </c>
      <c r="FZ103" s="12">
        <v>1</v>
      </c>
      <c r="GA103" s="12">
        <v>0</v>
      </c>
      <c r="GB103" s="12">
        <v>0</v>
      </c>
      <c r="GC103" s="12">
        <v>0</v>
      </c>
      <c r="GD103" s="12">
        <v>2</v>
      </c>
      <c r="GE103" s="12">
        <v>2</v>
      </c>
      <c r="GF103" s="12">
        <v>10</v>
      </c>
      <c r="GG103" s="12">
        <v>12</v>
      </c>
      <c r="GH103" s="12">
        <v>0</v>
      </c>
      <c r="GI103" s="12">
        <v>0</v>
      </c>
      <c r="GJ103" s="12">
        <v>0</v>
      </c>
      <c r="GK103" s="12">
        <v>0</v>
      </c>
      <c r="GL103" s="12">
        <v>13</v>
      </c>
      <c r="GM103" s="12">
        <v>19</v>
      </c>
      <c r="GN103" s="12">
        <v>7</v>
      </c>
      <c r="GO103" s="12">
        <v>16</v>
      </c>
      <c r="GP103" s="12">
        <v>3</v>
      </c>
      <c r="GQ103" s="12">
        <v>8</v>
      </c>
      <c r="GR103" s="12">
        <v>3</v>
      </c>
      <c r="GS103" s="12">
        <v>8</v>
      </c>
      <c r="GT103" s="12">
        <v>4</v>
      </c>
      <c r="GU103" s="12">
        <v>15</v>
      </c>
      <c r="GV103" s="12">
        <v>0</v>
      </c>
      <c r="GW103" s="12">
        <v>0</v>
      </c>
    </row>
    <row r="104" spans="2:205" ht="15" customHeight="1" x14ac:dyDescent="0.2">
      <c r="B104" s="12">
        <v>6</v>
      </c>
      <c r="C104" s="12" t="s">
        <v>278</v>
      </c>
      <c r="D104" s="12" t="s">
        <v>294</v>
      </c>
      <c r="E104" s="14" t="s">
        <v>280</v>
      </c>
      <c r="F104" s="14" t="s">
        <v>296</v>
      </c>
      <c r="G104" s="15">
        <v>45233</v>
      </c>
      <c r="H104" s="15" t="s">
        <v>268</v>
      </c>
      <c r="I104" s="12" t="s">
        <v>269</v>
      </c>
      <c r="J104" s="12" t="s">
        <v>270</v>
      </c>
      <c r="K104" s="12">
        <v>200</v>
      </c>
      <c r="L104" s="12">
        <v>72</v>
      </c>
      <c r="M104" s="12">
        <v>17</v>
      </c>
      <c r="N104" s="12">
        <v>38</v>
      </c>
      <c r="O104" s="16">
        <v>0.44736842105263158</v>
      </c>
      <c r="P104" s="12">
        <v>8</v>
      </c>
      <c r="Q104" s="12">
        <v>22</v>
      </c>
      <c r="R104" s="16">
        <v>0.36363636363636365</v>
      </c>
      <c r="S104" s="12">
        <v>25</v>
      </c>
      <c r="T104" s="12">
        <v>60</v>
      </c>
      <c r="U104" s="16">
        <v>0.41666666666666669</v>
      </c>
      <c r="V104" s="12">
        <v>14</v>
      </c>
      <c r="W104" s="12">
        <v>17</v>
      </c>
      <c r="X104" s="16">
        <v>0.82352941176470584</v>
      </c>
      <c r="Y104" s="12">
        <v>7</v>
      </c>
      <c r="Z104" s="12">
        <v>22</v>
      </c>
      <c r="AA104" s="12">
        <v>29</v>
      </c>
      <c r="AB104" s="12">
        <v>15</v>
      </c>
      <c r="AC104" s="12">
        <v>12</v>
      </c>
      <c r="AD104" s="12">
        <v>4</v>
      </c>
      <c r="AE104" s="12">
        <v>1</v>
      </c>
      <c r="AF104" s="12">
        <v>2</v>
      </c>
      <c r="AG104" s="12">
        <v>19</v>
      </c>
      <c r="AH104" s="12">
        <v>18</v>
      </c>
      <c r="AI104" s="17">
        <v>68</v>
      </c>
      <c r="AJ104" s="12">
        <v>-8</v>
      </c>
      <c r="AK104" s="12">
        <v>72</v>
      </c>
      <c r="AL104" s="12">
        <v>79</v>
      </c>
      <c r="AM104" s="19">
        <v>0.91139240506329111</v>
      </c>
      <c r="AN104" s="19">
        <v>0.898876404494382</v>
      </c>
      <c r="AO104" s="18">
        <v>100</v>
      </c>
      <c r="AP104" s="18">
        <v>105.26315789473684</v>
      </c>
      <c r="AQ104" s="18">
        <v>-5.2631578947368354</v>
      </c>
      <c r="AR104" s="53">
        <v>0.48333333333333334</v>
      </c>
      <c r="AS104" s="53">
        <v>0.53731343283582089</v>
      </c>
      <c r="AT104" s="16">
        <v>7.5949367088607597E-2</v>
      </c>
      <c r="AU104" s="19">
        <v>1.3333333333333333</v>
      </c>
      <c r="AV104" s="16">
        <v>0.34177215189873417</v>
      </c>
      <c r="AW104" s="19">
        <v>0.88888888888888884</v>
      </c>
      <c r="AX104" s="16">
        <v>6.3291139240506333E-2</v>
      </c>
      <c r="AY104" s="19">
        <v>0.4</v>
      </c>
      <c r="AZ104" s="16">
        <v>0</v>
      </c>
      <c r="BA104" s="19" t="s">
        <v>269</v>
      </c>
      <c r="BB104" s="16">
        <v>0.27848101265822783</v>
      </c>
      <c r="BC104" s="21">
        <v>1.0909090909090908</v>
      </c>
      <c r="BD104" s="16">
        <v>8.8607594936708861E-2</v>
      </c>
      <c r="BE104" s="16">
        <v>0.15189873417721519</v>
      </c>
      <c r="BF104" s="16">
        <v>0.46875</v>
      </c>
      <c r="BG104" s="16">
        <v>0.41176470588235292</v>
      </c>
      <c r="BH104" s="16">
        <v>0.75</v>
      </c>
      <c r="BI104" s="16">
        <v>0.2857142857142857</v>
      </c>
      <c r="BJ104" s="16">
        <v>0.189873417721519</v>
      </c>
      <c r="BK104" s="21">
        <v>1.25</v>
      </c>
      <c r="BL104" s="16">
        <v>0.19444444444444445</v>
      </c>
      <c r="BM104" s="16">
        <v>0.25</v>
      </c>
      <c r="BN104" s="16">
        <v>5.8823529411764705E-2</v>
      </c>
      <c r="BO104" s="16">
        <v>0</v>
      </c>
      <c r="BP104" s="16">
        <v>0.62857142857142856</v>
      </c>
      <c r="BQ104" s="16">
        <v>0.7</v>
      </c>
      <c r="BR104" s="16">
        <v>0.5</v>
      </c>
      <c r="BS104" s="16">
        <v>0.33333333333333331</v>
      </c>
      <c r="BT104" s="16">
        <v>0.40845070422535212</v>
      </c>
      <c r="BU104" s="16">
        <v>5.2631578947368418E-2</v>
      </c>
      <c r="BV104" s="16">
        <v>1.5151515151515152E-2</v>
      </c>
      <c r="BW104" s="16">
        <v>6</v>
      </c>
      <c r="BX104" s="16">
        <v>0.52631578947368418</v>
      </c>
      <c r="BY104" s="16">
        <v>0.5</v>
      </c>
      <c r="BZ104" s="12">
        <v>7</v>
      </c>
      <c r="CA104" s="12">
        <v>6</v>
      </c>
      <c r="CB104" s="12">
        <v>2</v>
      </c>
      <c r="CC104" s="12">
        <v>4</v>
      </c>
      <c r="CD104" s="12">
        <v>1</v>
      </c>
      <c r="CE104" s="12">
        <v>0</v>
      </c>
      <c r="CF104" s="12">
        <v>4</v>
      </c>
      <c r="CG104" s="12">
        <v>0</v>
      </c>
      <c r="CH104" s="12">
        <v>1</v>
      </c>
      <c r="CI104" s="12">
        <v>0</v>
      </c>
      <c r="CJ104" s="12">
        <v>0</v>
      </c>
      <c r="CK104" s="12">
        <v>0</v>
      </c>
      <c r="CL104" s="12">
        <v>1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10</v>
      </c>
      <c r="CS104" s="12">
        <v>0</v>
      </c>
      <c r="CT104" s="12">
        <v>4</v>
      </c>
      <c r="CU104" s="12">
        <v>0</v>
      </c>
      <c r="CV104" s="12">
        <v>0</v>
      </c>
      <c r="CW104" s="12">
        <v>0</v>
      </c>
      <c r="CX104" s="12">
        <v>7</v>
      </c>
      <c r="CY104" s="12">
        <v>1</v>
      </c>
      <c r="CZ104" s="12">
        <v>1</v>
      </c>
      <c r="DA104" s="12">
        <v>0</v>
      </c>
      <c r="DB104" s="12">
        <v>1</v>
      </c>
      <c r="DC104" s="12">
        <v>1</v>
      </c>
      <c r="DD104" s="12">
        <v>1</v>
      </c>
      <c r="DE104" s="12">
        <v>2</v>
      </c>
      <c r="DF104" s="12">
        <v>12</v>
      </c>
      <c r="DG104" s="12">
        <v>14</v>
      </c>
      <c r="DH104" s="12">
        <v>0</v>
      </c>
      <c r="DI104" s="12">
        <v>0</v>
      </c>
      <c r="DJ104" s="12">
        <v>0</v>
      </c>
      <c r="DK104" s="12">
        <v>0</v>
      </c>
      <c r="DL104" s="12">
        <v>4</v>
      </c>
      <c r="DM104" s="12">
        <v>6</v>
      </c>
      <c r="DN104" s="12">
        <v>12</v>
      </c>
      <c r="DO104" s="12">
        <v>27</v>
      </c>
      <c r="DP104" s="12">
        <v>1</v>
      </c>
      <c r="DQ104" s="12">
        <v>5</v>
      </c>
      <c r="DR104" s="12">
        <v>0</v>
      </c>
      <c r="DS104" s="12">
        <v>0</v>
      </c>
      <c r="DT104" s="12">
        <v>8</v>
      </c>
      <c r="DU104" s="12">
        <v>22</v>
      </c>
      <c r="DV104" s="12">
        <v>0</v>
      </c>
      <c r="DW104" s="12">
        <v>0</v>
      </c>
      <c r="DX104" s="12">
        <v>80</v>
      </c>
      <c r="DY104" s="12">
        <v>27</v>
      </c>
      <c r="DZ104" s="12">
        <v>48</v>
      </c>
      <c r="EA104" s="16">
        <v>0.5625</v>
      </c>
      <c r="EB104" s="12">
        <v>4</v>
      </c>
      <c r="EC104" s="12">
        <v>18</v>
      </c>
      <c r="ED104" s="16">
        <v>0.22222222222222221</v>
      </c>
      <c r="EE104" s="12">
        <v>31</v>
      </c>
      <c r="EF104" s="12">
        <v>66</v>
      </c>
      <c r="EG104" s="16">
        <v>0.46969696969696972</v>
      </c>
      <c r="EH104" s="12">
        <v>14</v>
      </c>
      <c r="EI104" s="12">
        <v>20</v>
      </c>
      <c r="EJ104" s="16">
        <v>0.7</v>
      </c>
      <c r="EK104" s="12">
        <v>13</v>
      </c>
      <c r="EL104" s="12">
        <v>29</v>
      </c>
      <c r="EM104" s="12">
        <v>42</v>
      </c>
      <c r="EN104" s="12">
        <v>10</v>
      </c>
      <c r="EO104" s="12">
        <v>19</v>
      </c>
      <c r="EP104" s="12">
        <v>19</v>
      </c>
      <c r="EQ104" s="12">
        <v>9</v>
      </c>
      <c r="ER104" s="12">
        <v>14</v>
      </c>
      <c r="ES104" s="12">
        <v>2</v>
      </c>
      <c r="ET104" s="12">
        <v>1</v>
      </c>
      <c r="EU104" s="12">
        <v>87</v>
      </c>
      <c r="EV104" s="12">
        <v>8</v>
      </c>
      <c r="EW104" s="12">
        <v>76</v>
      </c>
      <c r="EX104" s="12">
        <v>89</v>
      </c>
      <c r="EY104" s="12">
        <v>8</v>
      </c>
      <c r="EZ104" s="12">
        <v>4</v>
      </c>
      <c r="FA104" s="12">
        <v>3</v>
      </c>
      <c r="FB104" s="12">
        <v>3</v>
      </c>
      <c r="FC104" s="12">
        <v>4</v>
      </c>
      <c r="FD104" s="12">
        <v>0</v>
      </c>
      <c r="FE104" s="12">
        <v>0</v>
      </c>
      <c r="FF104" s="12">
        <v>5</v>
      </c>
      <c r="FG104" s="12">
        <v>1</v>
      </c>
      <c r="FH104" s="12">
        <v>0</v>
      </c>
      <c r="FI104" s="12">
        <v>0</v>
      </c>
      <c r="FJ104" s="12">
        <v>0</v>
      </c>
      <c r="FK104" s="12">
        <v>0</v>
      </c>
      <c r="FL104" s="12">
        <v>6</v>
      </c>
      <c r="FM104" s="12">
        <v>2</v>
      </c>
      <c r="FN104" s="12">
        <v>2</v>
      </c>
      <c r="FO104" s="12">
        <v>0</v>
      </c>
      <c r="FP104" s="12">
        <v>1</v>
      </c>
      <c r="FQ104" s="12">
        <v>1</v>
      </c>
      <c r="FR104" s="12">
        <v>11</v>
      </c>
      <c r="FS104" s="12">
        <v>2</v>
      </c>
      <c r="FT104" s="12">
        <v>3</v>
      </c>
      <c r="FU104" s="12">
        <v>0</v>
      </c>
      <c r="FV104" s="12">
        <v>0</v>
      </c>
      <c r="FW104" s="12">
        <v>0</v>
      </c>
      <c r="FX104" s="12">
        <v>13</v>
      </c>
      <c r="FY104" s="12">
        <v>3</v>
      </c>
      <c r="FZ104" s="12">
        <v>1</v>
      </c>
      <c r="GA104" s="12">
        <v>0</v>
      </c>
      <c r="GB104" s="12">
        <v>0</v>
      </c>
      <c r="GC104" s="12">
        <v>0</v>
      </c>
      <c r="GD104" s="12">
        <v>1</v>
      </c>
      <c r="GE104" s="12">
        <v>1</v>
      </c>
      <c r="GF104" s="12">
        <v>12</v>
      </c>
      <c r="GG104" s="12">
        <v>16</v>
      </c>
      <c r="GH104" s="12">
        <v>0</v>
      </c>
      <c r="GI104" s="12">
        <v>1</v>
      </c>
      <c r="GJ104" s="12">
        <v>3</v>
      </c>
      <c r="GK104" s="12">
        <v>0</v>
      </c>
      <c r="GL104" s="12">
        <v>5</v>
      </c>
      <c r="GM104" s="12">
        <v>5</v>
      </c>
      <c r="GN104" s="12">
        <v>19</v>
      </c>
      <c r="GO104" s="12">
        <v>36</v>
      </c>
      <c r="GP104" s="12">
        <v>3</v>
      </c>
      <c r="GQ104" s="12">
        <v>7</v>
      </c>
      <c r="GR104" s="12">
        <v>0</v>
      </c>
      <c r="GS104" s="12">
        <v>0</v>
      </c>
      <c r="GT104" s="12">
        <v>4</v>
      </c>
      <c r="GU104" s="12">
        <v>17</v>
      </c>
      <c r="GV104" s="12">
        <v>0</v>
      </c>
      <c r="GW104" s="12">
        <v>1</v>
      </c>
    </row>
    <row r="105" spans="2:205" ht="15" customHeight="1" x14ac:dyDescent="0.2">
      <c r="B105" s="12">
        <v>6</v>
      </c>
      <c r="C105" s="12" t="s">
        <v>294</v>
      </c>
      <c r="D105" s="12" t="s">
        <v>278</v>
      </c>
      <c r="E105" s="14" t="s">
        <v>296</v>
      </c>
      <c r="F105" s="14" t="s">
        <v>280</v>
      </c>
      <c r="G105" s="15">
        <v>45233</v>
      </c>
      <c r="H105" s="15" t="s">
        <v>271</v>
      </c>
      <c r="I105" s="12" t="s">
        <v>269</v>
      </c>
      <c r="J105" s="12" t="s">
        <v>272</v>
      </c>
      <c r="K105" s="12">
        <v>200</v>
      </c>
      <c r="L105" s="12">
        <v>80</v>
      </c>
      <c r="M105" s="12">
        <v>27</v>
      </c>
      <c r="N105" s="12">
        <v>48</v>
      </c>
      <c r="O105" s="16">
        <v>0.5625</v>
      </c>
      <c r="P105" s="12">
        <v>4</v>
      </c>
      <c r="Q105" s="12">
        <v>18</v>
      </c>
      <c r="R105" s="16">
        <v>0.22222222222222221</v>
      </c>
      <c r="S105" s="12">
        <v>31</v>
      </c>
      <c r="T105" s="12">
        <v>66</v>
      </c>
      <c r="U105" s="16">
        <v>0.46969696969696972</v>
      </c>
      <c r="V105" s="12">
        <v>14</v>
      </c>
      <c r="W105" s="12">
        <v>20</v>
      </c>
      <c r="X105" s="16">
        <v>0.7</v>
      </c>
      <c r="Y105" s="12">
        <v>13</v>
      </c>
      <c r="Z105" s="12">
        <v>29</v>
      </c>
      <c r="AA105" s="12">
        <v>42</v>
      </c>
      <c r="AB105" s="12">
        <v>10</v>
      </c>
      <c r="AC105" s="12">
        <v>14</v>
      </c>
      <c r="AD105" s="12">
        <v>9</v>
      </c>
      <c r="AE105" s="12">
        <v>2</v>
      </c>
      <c r="AF105" s="12">
        <v>1</v>
      </c>
      <c r="AG105" s="12">
        <v>18</v>
      </c>
      <c r="AH105" s="12">
        <v>19</v>
      </c>
      <c r="AI105" s="17">
        <v>88</v>
      </c>
      <c r="AJ105" s="12">
        <v>8</v>
      </c>
      <c r="AK105" s="12">
        <v>76</v>
      </c>
      <c r="AL105" s="12">
        <v>89</v>
      </c>
      <c r="AM105" s="19">
        <v>0.898876404494382</v>
      </c>
      <c r="AN105" s="19">
        <v>0.91139240506329111</v>
      </c>
      <c r="AO105" s="18">
        <v>105.26315789473684</v>
      </c>
      <c r="AP105" s="18">
        <v>100</v>
      </c>
      <c r="AQ105" s="18">
        <v>5.2631578947368354</v>
      </c>
      <c r="AR105" s="53">
        <v>0.5</v>
      </c>
      <c r="AS105" s="53">
        <v>0.53333333333333333</v>
      </c>
      <c r="AT105" s="16">
        <v>5.6179775280898875E-2</v>
      </c>
      <c r="AU105" s="19">
        <v>2</v>
      </c>
      <c r="AV105" s="16">
        <v>0.4044943820224719</v>
      </c>
      <c r="AW105" s="19">
        <v>1.0555555555555556</v>
      </c>
      <c r="AX105" s="16">
        <v>7.8651685393258425E-2</v>
      </c>
      <c r="AY105" s="19">
        <v>0.8571428571428571</v>
      </c>
      <c r="AZ105" s="16">
        <v>0</v>
      </c>
      <c r="BA105" s="19" t="s">
        <v>269</v>
      </c>
      <c r="BB105" s="16">
        <v>0.19101123595505617</v>
      </c>
      <c r="BC105" s="21">
        <v>0.70588235294117652</v>
      </c>
      <c r="BD105" s="16">
        <v>0.10112359550561797</v>
      </c>
      <c r="BE105" s="16">
        <v>0.15730337078651685</v>
      </c>
      <c r="BF105" s="16">
        <v>0.25</v>
      </c>
      <c r="BG105" s="16">
        <v>0.14814814814814814</v>
      </c>
      <c r="BH105" s="16">
        <v>0.75</v>
      </c>
      <c r="BI105" s="16">
        <v>0.33333333333333331</v>
      </c>
      <c r="BJ105" s="16">
        <v>0.11235955056179775</v>
      </c>
      <c r="BK105" s="21">
        <v>0.7142857142857143</v>
      </c>
      <c r="BL105" s="16">
        <v>0.37142857142857144</v>
      </c>
      <c r="BM105" s="16">
        <v>0.3</v>
      </c>
      <c r="BN105" s="16">
        <v>0.5</v>
      </c>
      <c r="BO105" s="16">
        <v>0.66666666666666663</v>
      </c>
      <c r="BP105" s="16">
        <v>0.80555555555555558</v>
      </c>
      <c r="BQ105" s="16">
        <v>0.75</v>
      </c>
      <c r="BR105" s="16">
        <v>0.94117647058823528</v>
      </c>
      <c r="BS105" s="16">
        <v>1</v>
      </c>
      <c r="BT105" s="16">
        <v>0.59154929577464788</v>
      </c>
      <c r="BU105" s="16">
        <v>0.125</v>
      </c>
      <c r="BV105" s="16">
        <v>3.3333333333333333E-2</v>
      </c>
      <c r="BW105" s="16">
        <v>8</v>
      </c>
      <c r="BX105" s="16">
        <v>0.5</v>
      </c>
      <c r="BY105" s="16">
        <v>0.52631578947368418</v>
      </c>
      <c r="BZ105" s="12">
        <v>4</v>
      </c>
      <c r="CA105" s="12">
        <v>3</v>
      </c>
      <c r="CB105" s="12">
        <v>3</v>
      </c>
      <c r="CC105" s="12">
        <v>4</v>
      </c>
      <c r="CD105" s="12">
        <v>0</v>
      </c>
      <c r="CE105" s="12">
        <v>0</v>
      </c>
      <c r="CF105" s="12">
        <v>5</v>
      </c>
      <c r="CG105" s="12">
        <v>1</v>
      </c>
      <c r="CH105" s="12">
        <v>0</v>
      </c>
      <c r="CI105" s="12">
        <v>0</v>
      </c>
      <c r="CJ105" s="12">
        <v>0</v>
      </c>
      <c r="CK105" s="12">
        <v>0</v>
      </c>
      <c r="CL105" s="12">
        <v>6</v>
      </c>
      <c r="CM105" s="12">
        <v>2</v>
      </c>
      <c r="CN105" s="12">
        <v>2</v>
      </c>
      <c r="CO105" s="12">
        <v>0</v>
      </c>
      <c r="CP105" s="12">
        <v>1</v>
      </c>
      <c r="CQ105" s="12">
        <v>1</v>
      </c>
      <c r="CR105" s="12">
        <v>11</v>
      </c>
      <c r="CS105" s="12">
        <v>2</v>
      </c>
      <c r="CT105" s="12">
        <v>3</v>
      </c>
      <c r="CU105" s="12">
        <v>0</v>
      </c>
      <c r="CV105" s="12">
        <v>0</v>
      </c>
      <c r="CW105" s="12">
        <v>0</v>
      </c>
      <c r="CX105" s="12">
        <v>13</v>
      </c>
      <c r="CY105" s="12">
        <v>3</v>
      </c>
      <c r="CZ105" s="12">
        <v>1</v>
      </c>
      <c r="DA105" s="12">
        <v>0</v>
      </c>
      <c r="DB105" s="12">
        <v>0</v>
      </c>
      <c r="DC105" s="12">
        <v>0</v>
      </c>
      <c r="DD105" s="12">
        <v>1</v>
      </c>
      <c r="DE105" s="12">
        <v>1</v>
      </c>
      <c r="DF105" s="12">
        <v>12</v>
      </c>
      <c r="DG105" s="12">
        <v>16</v>
      </c>
      <c r="DH105" s="12">
        <v>0</v>
      </c>
      <c r="DI105" s="12">
        <v>1</v>
      </c>
      <c r="DJ105" s="12">
        <v>3</v>
      </c>
      <c r="DK105" s="12">
        <v>0</v>
      </c>
      <c r="DL105" s="12">
        <v>5</v>
      </c>
      <c r="DM105" s="12">
        <v>5</v>
      </c>
      <c r="DN105" s="12">
        <v>19</v>
      </c>
      <c r="DO105" s="12">
        <v>36</v>
      </c>
      <c r="DP105" s="12">
        <v>3</v>
      </c>
      <c r="DQ105" s="12">
        <v>7</v>
      </c>
      <c r="DR105" s="12">
        <v>0</v>
      </c>
      <c r="DS105" s="12">
        <v>0</v>
      </c>
      <c r="DT105" s="12">
        <v>4</v>
      </c>
      <c r="DU105" s="12">
        <v>17</v>
      </c>
      <c r="DV105" s="12">
        <v>0</v>
      </c>
      <c r="DW105" s="12">
        <v>1</v>
      </c>
      <c r="DX105" s="12">
        <v>72</v>
      </c>
      <c r="DY105" s="12">
        <v>17</v>
      </c>
      <c r="DZ105" s="12">
        <v>38</v>
      </c>
      <c r="EA105" s="16">
        <v>0.44736842105263158</v>
      </c>
      <c r="EB105" s="12">
        <v>8</v>
      </c>
      <c r="EC105" s="12">
        <v>22</v>
      </c>
      <c r="ED105" s="16">
        <v>0.36363636363636365</v>
      </c>
      <c r="EE105" s="12">
        <v>25</v>
      </c>
      <c r="EF105" s="12">
        <v>60</v>
      </c>
      <c r="EG105" s="16">
        <v>0.41666666666666669</v>
      </c>
      <c r="EH105" s="12">
        <v>14</v>
      </c>
      <c r="EI105" s="12">
        <v>17</v>
      </c>
      <c r="EJ105" s="16">
        <v>0.82352941176470584</v>
      </c>
      <c r="EK105" s="12">
        <v>7</v>
      </c>
      <c r="EL105" s="12">
        <v>22</v>
      </c>
      <c r="EM105" s="12">
        <v>29</v>
      </c>
      <c r="EN105" s="12">
        <v>15</v>
      </c>
      <c r="EO105" s="12">
        <v>19</v>
      </c>
      <c r="EP105" s="12">
        <v>18</v>
      </c>
      <c r="EQ105" s="12">
        <v>4</v>
      </c>
      <c r="ER105" s="12">
        <v>12</v>
      </c>
      <c r="ES105" s="12">
        <v>1</v>
      </c>
      <c r="ET105" s="12">
        <v>2</v>
      </c>
      <c r="EU105" s="12">
        <v>68</v>
      </c>
      <c r="EV105" s="12">
        <v>-8</v>
      </c>
      <c r="EW105" s="12">
        <v>72</v>
      </c>
      <c r="EX105" s="12">
        <v>79</v>
      </c>
      <c r="EY105" s="12">
        <v>6</v>
      </c>
      <c r="EZ105" s="12">
        <v>7</v>
      </c>
      <c r="FA105" s="12">
        <v>6</v>
      </c>
      <c r="FB105" s="12">
        <v>2</v>
      </c>
      <c r="FC105" s="12">
        <v>4</v>
      </c>
      <c r="FD105" s="12">
        <v>1</v>
      </c>
      <c r="FE105" s="12">
        <v>0</v>
      </c>
      <c r="FF105" s="12">
        <v>4</v>
      </c>
      <c r="FG105" s="12">
        <v>0</v>
      </c>
      <c r="FH105" s="12">
        <v>1</v>
      </c>
      <c r="FI105" s="12">
        <v>0</v>
      </c>
      <c r="FJ105" s="12">
        <v>0</v>
      </c>
      <c r="FK105" s="12">
        <v>0</v>
      </c>
      <c r="FL105" s="12">
        <v>1</v>
      </c>
      <c r="FM105" s="12">
        <v>0</v>
      </c>
      <c r="FN105" s="12">
        <v>0</v>
      </c>
      <c r="FO105" s="12">
        <v>0</v>
      </c>
      <c r="FP105" s="12">
        <v>0</v>
      </c>
      <c r="FQ105" s="12">
        <v>0</v>
      </c>
      <c r="FR105" s="12">
        <v>10</v>
      </c>
      <c r="FS105" s="12">
        <v>0</v>
      </c>
      <c r="FT105" s="12">
        <v>4</v>
      </c>
      <c r="FU105" s="12">
        <v>0</v>
      </c>
      <c r="FV105" s="12">
        <v>0</v>
      </c>
      <c r="FW105" s="12">
        <v>0</v>
      </c>
      <c r="FX105" s="12">
        <v>7</v>
      </c>
      <c r="FY105" s="12">
        <v>1</v>
      </c>
      <c r="FZ105" s="12">
        <v>1</v>
      </c>
      <c r="GA105" s="12">
        <v>0</v>
      </c>
      <c r="GB105" s="12">
        <v>1</v>
      </c>
      <c r="GC105" s="12">
        <v>1</v>
      </c>
      <c r="GD105" s="12">
        <v>1</v>
      </c>
      <c r="GE105" s="12">
        <v>2</v>
      </c>
      <c r="GF105" s="12">
        <v>12</v>
      </c>
      <c r="GG105" s="12">
        <v>14</v>
      </c>
      <c r="GH105" s="12">
        <v>0</v>
      </c>
      <c r="GI105" s="12">
        <v>0</v>
      </c>
      <c r="GJ105" s="12">
        <v>0</v>
      </c>
      <c r="GK105" s="12">
        <v>0</v>
      </c>
      <c r="GL105" s="12">
        <v>4</v>
      </c>
      <c r="GM105" s="12">
        <v>6</v>
      </c>
      <c r="GN105" s="12">
        <v>12</v>
      </c>
      <c r="GO105" s="12">
        <v>27</v>
      </c>
      <c r="GP105" s="12">
        <v>1</v>
      </c>
      <c r="GQ105" s="12">
        <v>5</v>
      </c>
      <c r="GR105" s="12">
        <v>0</v>
      </c>
      <c r="GS105" s="12">
        <v>0</v>
      </c>
      <c r="GT105" s="12">
        <v>8</v>
      </c>
      <c r="GU105" s="12">
        <v>22</v>
      </c>
      <c r="GV105" s="12">
        <v>0</v>
      </c>
      <c r="GW105" s="12">
        <v>0</v>
      </c>
    </row>
    <row r="106" spans="2:205" ht="15" customHeight="1" x14ac:dyDescent="0.2">
      <c r="B106" s="12">
        <v>6</v>
      </c>
      <c r="C106" s="12" t="s">
        <v>297</v>
      </c>
      <c r="D106" s="12" t="s">
        <v>274</v>
      </c>
      <c r="E106" s="14" t="s">
        <v>299</v>
      </c>
      <c r="F106" s="14" t="s">
        <v>276</v>
      </c>
      <c r="G106" s="15">
        <v>45233</v>
      </c>
      <c r="H106" s="15" t="s">
        <v>268</v>
      </c>
      <c r="I106" s="12" t="s">
        <v>269</v>
      </c>
      <c r="J106" s="12" t="s">
        <v>270</v>
      </c>
      <c r="K106" s="12">
        <v>200</v>
      </c>
      <c r="L106" s="12">
        <v>83</v>
      </c>
      <c r="M106" s="12">
        <v>20</v>
      </c>
      <c r="N106" s="12">
        <v>30</v>
      </c>
      <c r="O106" s="16">
        <v>0.66666666666666663</v>
      </c>
      <c r="P106" s="12">
        <v>9</v>
      </c>
      <c r="Q106" s="12">
        <v>24</v>
      </c>
      <c r="R106" s="16">
        <v>0.375</v>
      </c>
      <c r="S106" s="12">
        <v>29</v>
      </c>
      <c r="T106" s="12">
        <v>54</v>
      </c>
      <c r="U106" s="16">
        <v>0.53703703703703709</v>
      </c>
      <c r="V106" s="12">
        <v>16</v>
      </c>
      <c r="W106" s="12">
        <v>17</v>
      </c>
      <c r="X106" s="16">
        <v>0.94117647058823528</v>
      </c>
      <c r="Y106" s="12">
        <v>2</v>
      </c>
      <c r="Z106" s="12">
        <v>24</v>
      </c>
      <c r="AA106" s="12">
        <v>26</v>
      </c>
      <c r="AB106" s="12">
        <v>17</v>
      </c>
      <c r="AC106" s="12">
        <v>13</v>
      </c>
      <c r="AD106" s="12">
        <v>6</v>
      </c>
      <c r="AE106" s="12">
        <v>7</v>
      </c>
      <c r="AF106" s="12">
        <v>2</v>
      </c>
      <c r="AG106" s="12">
        <v>24</v>
      </c>
      <c r="AH106" s="12">
        <v>20</v>
      </c>
      <c r="AI106" s="17">
        <v>94</v>
      </c>
      <c r="AJ106" s="12">
        <v>-1</v>
      </c>
      <c r="AK106" s="12">
        <v>71</v>
      </c>
      <c r="AL106" s="12">
        <v>73</v>
      </c>
      <c r="AM106" s="19">
        <v>1.1369863013698631</v>
      </c>
      <c r="AN106" s="19">
        <v>0.96551724137931039</v>
      </c>
      <c r="AO106" s="18">
        <v>116.90140845070422</v>
      </c>
      <c r="AP106" s="18">
        <v>118.30985915492957</v>
      </c>
      <c r="AQ106" s="18">
        <v>-1.4084507042253449</v>
      </c>
      <c r="AR106" s="53">
        <v>0.62037037037037035</v>
      </c>
      <c r="AS106" s="53">
        <v>0.69166666666666665</v>
      </c>
      <c r="AT106" s="16">
        <v>4.1095890410958902E-2</v>
      </c>
      <c r="AU106" s="19">
        <v>2</v>
      </c>
      <c r="AV106" s="16">
        <v>0.31506849315068491</v>
      </c>
      <c r="AW106" s="19">
        <v>1.2173913043478262</v>
      </c>
      <c r="AX106" s="16">
        <v>5.4794520547945202E-2</v>
      </c>
      <c r="AY106" s="19">
        <v>1.5</v>
      </c>
      <c r="AZ106" s="16">
        <v>0</v>
      </c>
      <c r="BA106" s="19" t="s">
        <v>269</v>
      </c>
      <c r="BB106" s="16">
        <v>0.31506849315068491</v>
      </c>
      <c r="BC106" s="21">
        <v>1.173913043478261</v>
      </c>
      <c r="BD106" s="16">
        <v>8.2191780821917804E-2</v>
      </c>
      <c r="BE106" s="16">
        <v>0.17808219178082191</v>
      </c>
      <c r="BF106" s="16">
        <v>0.48571428571428571</v>
      </c>
      <c r="BG106" s="16">
        <v>0.4</v>
      </c>
      <c r="BH106" s="16">
        <v>0.77777777777777779</v>
      </c>
      <c r="BI106" s="16">
        <v>0.33333333333333331</v>
      </c>
      <c r="BJ106" s="16">
        <v>0.23287671232876711</v>
      </c>
      <c r="BK106" s="21">
        <v>1.3076923076923077</v>
      </c>
      <c r="BL106" s="16">
        <v>8.3333333333333329E-2</v>
      </c>
      <c r="BM106" s="16">
        <v>0</v>
      </c>
      <c r="BN106" s="16">
        <v>0.21428571428571427</v>
      </c>
      <c r="BO106" s="16">
        <v>0</v>
      </c>
      <c r="BP106" s="16">
        <v>0.6</v>
      </c>
      <c r="BQ106" s="16">
        <v>0.52380952380952384</v>
      </c>
      <c r="BR106" s="16">
        <v>0.6</v>
      </c>
      <c r="BS106" s="16">
        <v>0.5</v>
      </c>
      <c r="BT106" s="16">
        <v>0.40625</v>
      </c>
      <c r="BU106" s="16">
        <v>8.4507042253521125E-2</v>
      </c>
      <c r="BV106" s="16">
        <v>0.10606060606060606</v>
      </c>
      <c r="BW106" s="16">
        <v>5</v>
      </c>
      <c r="BX106" s="16">
        <v>0.625</v>
      </c>
      <c r="BY106" s="16">
        <v>0.5</v>
      </c>
      <c r="BZ106" s="12">
        <v>8</v>
      </c>
      <c r="CA106" s="12">
        <v>7</v>
      </c>
      <c r="CB106" s="12">
        <v>2</v>
      </c>
      <c r="CC106" s="12">
        <v>5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2</v>
      </c>
      <c r="CM106" s="12">
        <v>1</v>
      </c>
      <c r="CN106" s="12">
        <v>0</v>
      </c>
      <c r="CO106" s="12">
        <v>0</v>
      </c>
      <c r="CP106" s="12">
        <v>1</v>
      </c>
      <c r="CQ106" s="12">
        <v>0</v>
      </c>
      <c r="CR106" s="12">
        <v>8</v>
      </c>
      <c r="CS106" s="12">
        <v>0</v>
      </c>
      <c r="CT106" s="12">
        <v>2</v>
      </c>
      <c r="CU106" s="12">
        <v>0</v>
      </c>
      <c r="CV106" s="12">
        <v>0</v>
      </c>
      <c r="CW106" s="12">
        <v>0</v>
      </c>
      <c r="CX106" s="12">
        <v>12</v>
      </c>
      <c r="CY106" s="12">
        <v>0</v>
      </c>
      <c r="CZ106" s="12">
        <v>1</v>
      </c>
      <c r="DA106" s="12">
        <v>0</v>
      </c>
      <c r="DB106" s="12">
        <v>0</v>
      </c>
      <c r="DC106" s="12">
        <v>0</v>
      </c>
      <c r="DD106" s="12">
        <v>4</v>
      </c>
      <c r="DE106" s="12">
        <v>4</v>
      </c>
      <c r="DF106" s="12">
        <v>9</v>
      </c>
      <c r="DG106" s="12">
        <v>10</v>
      </c>
      <c r="DH106" s="12">
        <v>0</v>
      </c>
      <c r="DI106" s="12">
        <v>3</v>
      </c>
      <c r="DJ106" s="12">
        <v>3</v>
      </c>
      <c r="DK106" s="12">
        <v>0</v>
      </c>
      <c r="DL106" s="12">
        <v>3</v>
      </c>
      <c r="DM106" s="12">
        <v>3</v>
      </c>
      <c r="DN106" s="12">
        <v>14</v>
      </c>
      <c r="DO106" s="12">
        <v>23</v>
      </c>
      <c r="DP106" s="12">
        <v>3</v>
      </c>
      <c r="DQ106" s="12">
        <v>4</v>
      </c>
      <c r="DR106" s="12">
        <v>0</v>
      </c>
      <c r="DS106" s="12">
        <v>0</v>
      </c>
      <c r="DT106" s="12">
        <v>9</v>
      </c>
      <c r="DU106" s="12">
        <v>23</v>
      </c>
      <c r="DV106" s="12">
        <v>0</v>
      </c>
      <c r="DW106" s="12">
        <v>1</v>
      </c>
      <c r="DX106" s="12">
        <v>84</v>
      </c>
      <c r="DY106" s="12">
        <v>19</v>
      </c>
      <c r="DZ106" s="12">
        <v>38</v>
      </c>
      <c r="EA106" s="16">
        <v>0.5</v>
      </c>
      <c r="EB106" s="12">
        <v>8</v>
      </c>
      <c r="EC106" s="12">
        <v>28</v>
      </c>
      <c r="ED106" s="16">
        <v>0.2857142857142857</v>
      </c>
      <c r="EE106" s="12">
        <v>27</v>
      </c>
      <c r="EF106" s="12">
        <v>66</v>
      </c>
      <c r="EG106" s="16">
        <v>0.40909090909090912</v>
      </c>
      <c r="EH106" s="12">
        <v>22</v>
      </c>
      <c r="EI106" s="12">
        <v>28</v>
      </c>
      <c r="EJ106" s="16">
        <v>0.7857142857142857</v>
      </c>
      <c r="EK106" s="12">
        <v>16</v>
      </c>
      <c r="EL106" s="12">
        <v>22</v>
      </c>
      <c r="EM106" s="12">
        <v>38</v>
      </c>
      <c r="EN106" s="12">
        <v>18</v>
      </c>
      <c r="EO106" s="12">
        <v>20</v>
      </c>
      <c r="EP106" s="12">
        <v>24</v>
      </c>
      <c r="EQ106" s="12">
        <v>7</v>
      </c>
      <c r="ER106" s="12">
        <v>10</v>
      </c>
      <c r="ES106" s="12">
        <v>2</v>
      </c>
      <c r="ET106" s="12">
        <v>7</v>
      </c>
      <c r="EU106" s="12">
        <v>91</v>
      </c>
      <c r="EV106" s="12">
        <v>1</v>
      </c>
      <c r="EW106" s="12">
        <v>71</v>
      </c>
      <c r="EX106" s="12">
        <v>87</v>
      </c>
      <c r="EY106" s="12">
        <v>4</v>
      </c>
      <c r="EZ106" s="12">
        <v>8</v>
      </c>
      <c r="FA106" s="12">
        <v>5</v>
      </c>
      <c r="FB106" s="12">
        <v>5</v>
      </c>
      <c r="FC106" s="12">
        <v>11</v>
      </c>
      <c r="FD106" s="12">
        <v>0</v>
      </c>
      <c r="FE106" s="12">
        <v>0</v>
      </c>
      <c r="FF106" s="12">
        <v>6</v>
      </c>
      <c r="FG106" s="12">
        <v>1</v>
      </c>
      <c r="FH106" s="12">
        <v>2</v>
      </c>
      <c r="FI106" s="12">
        <v>1</v>
      </c>
      <c r="FJ106" s="12">
        <v>0</v>
      </c>
      <c r="FK106" s="12">
        <v>0</v>
      </c>
      <c r="FL106" s="12">
        <v>7</v>
      </c>
      <c r="FM106" s="12">
        <v>1</v>
      </c>
      <c r="FN106" s="12">
        <v>1</v>
      </c>
      <c r="FO106" s="12">
        <v>0</v>
      </c>
      <c r="FP106" s="12">
        <v>0</v>
      </c>
      <c r="FQ106" s="12">
        <v>0</v>
      </c>
      <c r="FR106" s="12">
        <v>9</v>
      </c>
      <c r="FS106" s="12">
        <v>0</v>
      </c>
      <c r="FT106" s="12">
        <v>1</v>
      </c>
      <c r="FU106" s="12">
        <v>0</v>
      </c>
      <c r="FV106" s="12">
        <v>0</v>
      </c>
      <c r="FW106" s="12">
        <v>0</v>
      </c>
      <c r="FX106" s="12">
        <v>11</v>
      </c>
      <c r="FY106" s="12">
        <v>0</v>
      </c>
      <c r="FZ106" s="12">
        <v>1</v>
      </c>
      <c r="GA106" s="12">
        <v>0</v>
      </c>
      <c r="GB106" s="12">
        <v>0</v>
      </c>
      <c r="GC106" s="12">
        <v>0</v>
      </c>
      <c r="GD106" s="12">
        <v>4</v>
      </c>
      <c r="GE106" s="12">
        <v>4</v>
      </c>
      <c r="GF106" s="12">
        <v>14</v>
      </c>
      <c r="GG106" s="12">
        <v>18</v>
      </c>
      <c r="GH106" s="12">
        <v>2</v>
      </c>
      <c r="GI106" s="12">
        <v>4</v>
      </c>
      <c r="GJ106" s="12">
        <v>6</v>
      </c>
      <c r="GK106" s="12">
        <v>0</v>
      </c>
      <c r="GL106" s="12">
        <v>8</v>
      </c>
      <c r="GM106" s="12">
        <v>9</v>
      </c>
      <c r="GN106" s="12">
        <v>9</v>
      </c>
      <c r="GO106" s="12">
        <v>23</v>
      </c>
      <c r="GP106" s="12">
        <v>2</v>
      </c>
      <c r="GQ106" s="12">
        <v>6</v>
      </c>
      <c r="GR106" s="12">
        <v>0</v>
      </c>
      <c r="GS106" s="12">
        <v>0</v>
      </c>
      <c r="GT106" s="12">
        <v>8</v>
      </c>
      <c r="GU106" s="12">
        <v>27</v>
      </c>
      <c r="GV106" s="12">
        <v>0</v>
      </c>
      <c r="GW106" s="12">
        <v>1</v>
      </c>
    </row>
    <row r="107" spans="2:205" ht="15" customHeight="1" x14ac:dyDescent="0.2">
      <c r="B107" s="12">
        <v>6</v>
      </c>
      <c r="C107" s="12" t="s">
        <v>274</v>
      </c>
      <c r="D107" s="12" t="s">
        <v>297</v>
      </c>
      <c r="E107" s="14" t="s">
        <v>276</v>
      </c>
      <c r="F107" s="14" t="s">
        <v>299</v>
      </c>
      <c r="G107" s="15">
        <v>45233</v>
      </c>
      <c r="H107" s="15" t="s">
        <v>271</v>
      </c>
      <c r="I107" s="12" t="s">
        <v>269</v>
      </c>
      <c r="J107" s="12" t="s">
        <v>272</v>
      </c>
      <c r="K107" s="12">
        <v>200</v>
      </c>
      <c r="L107" s="12">
        <v>84</v>
      </c>
      <c r="M107" s="12">
        <v>19</v>
      </c>
      <c r="N107" s="12">
        <v>38</v>
      </c>
      <c r="O107" s="16">
        <v>0.5</v>
      </c>
      <c r="P107" s="12">
        <v>8</v>
      </c>
      <c r="Q107" s="12">
        <v>28</v>
      </c>
      <c r="R107" s="16">
        <v>0.2857142857142857</v>
      </c>
      <c r="S107" s="12">
        <v>27</v>
      </c>
      <c r="T107" s="12">
        <v>66</v>
      </c>
      <c r="U107" s="16">
        <v>0.40909090909090912</v>
      </c>
      <c r="V107" s="12">
        <v>22</v>
      </c>
      <c r="W107" s="12">
        <v>28</v>
      </c>
      <c r="X107" s="16">
        <v>0.7857142857142857</v>
      </c>
      <c r="Y107" s="12">
        <v>16</v>
      </c>
      <c r="Z107" s="12">
        <v>22</v>
      </c>
      <c r="AA107" s="12">
        <v>38</v>
      </c>
      <c r="AB107" s="12">
        <v>18</v>
      </c>
      <c r="AC107" s="12">
        <v>10</v>
      </c>
      <c r="AD107" s="12">
        <v>7</v>
      </c>
      <c r="AE107" s="12">
        <v>2</v>
      </c>
      <c r="AF107" s="12">
        <v>7</v>
      </c>
      <c r="AG107" s="12">
        <v>20</v>
      </c>
      <c r="AH107" s="12">
        <v>24</v>
      </c>
      <c r="AI107" s="17">
        <v>91</v>
      </c>
      <c r="AJ107" s="12">
        <v>1</v>
      </c>
      <c r="AK107" s="12">
        <v>71</v>
      </c>
      <c r="AL107" s="12">
        <v>87</v>
      </c>
      <c r="AM107" s="19">
        <v>0.96551724137931039</v>
      </c>
      <c r="AN107" s="19">
        <v>1.1369863013698631</v>
      </c>
      <c r="AO107" s="18">
        <v>118.30985915492957</v>
      </c>
      <c r="AP107" s="18">
        <v>116.90140845070422</v>
      </c>
      <c r="AQ107" s="18">
        <v>1.4084507042253449</v>
      </c>
      <c r="AR107" s="53">
        <v>0.46969696969696972</v>
      </c>
      <c r="AS107" s="53">
        <v>0.54545454545454541</v>
      </c>
      <c r="AT107" s="16">
        <v>0.10344827586206896</v>
      </c>
      <c r="AU107" s="19">
        <v>1.7777777777777777</v>
      </c>
      <c r="AV107" s="16">
        <v>0.26436781609195403</v>
      </c>
      <c r="AW107" s="19">
        <v>0.78260869565217395</v>
      </c>
      <c r="AX107" s="16">
        <v>6.8965517241379309E-2</v>
      </c>
      <c r="AY107" s="19">
        <v>0.66666666666666663</v>
      </c>
      <c r="AZ107" s="16">
        <v>0</v>
      </c>
      <c r="BA107" s="19" t="s">
        <v>269</v>
      </c>
      <c r="BB107" s="16">
        <v>0.31034482758620691</v>
      </c>
      <c r="BC107" s="21">
        <v>0.88888888888888884</v>
      </c>
      <c r="BD107" s="16">
        <v>0.12643678160919541</v>
      </c>
      <c r="BE107" s="16">
        <v>0.11494252873563218</v>
      </c>
      <c r="BF107" s="16">
        <v>0.5</v>
      </c>
      <c r="BG107" s="16">
        <v>0.42105263157894735</v>
      </c>
      <c r="BH107" s="16">
        <v>0.625</v>
      </c>
      <c r="BI107" s="16">
        <v>0.55555555555555558</v>
      </c>
      <c r="BJ107" s="16">
        <v>0.20689655172413793</v>
      </c>
      <c r="BK107" s="21">
        <v>1.8</v>
      </c>
      <c r="BL107" s="16">
        <v>0.4</v>
      </c>
      <c r="BM107" s="16">
        <v>0.47619047619047616</v>
      </c>
      <c r="BN107" s="16">
        <v>0.4</v>
      </c>
      <c r="BO107" s="16">
        <v>0.5</v>
      </c>
      <c r="BP107" s="16">
        <v>0.91666666666666663</v>
      </c>
      <c r="BQ107" s="16">
        <v>1</v>
      </c>
      <c r="BR107" s="16">
        <v>0.7857142857142857</v>
      </c>
      <c r="BS107" s="16">
        <v>1</v>
      </c>
      <c r="BT107" s="16">
        <v>0.59375</v>
      </c>
      <c r="BU107" s="16">
        <v>9.8591549295774641E-2</v>
      </c>
      <c r="BV107" s="16">
        <v>3.7037037037037035E-2</v>
      </c>
      <c r="BW107" s="16">
        <v>4</v>
      </c>
      <c r="BX107" s="16">
        <v>0.5</v>
      </c>
      <c r="BY107" s="16">
        <v>0.625</v>
      </c>
      <c r="BZ107" s="12">
        <v>8</v>
      </c>
      <c r="CA107" s="12">
        <v>5</v>
      </c>
      <c r="CB107" s="12">
        <v>5</v>
      </c>
      <c r="CC107" s="12">
        <v>11</v>
      </c>
      <c r="CD107" s="12">
        <v>0</v>
      </c>
      <c r="CE107" s="12">
        <v>0</v>
      </c>
      <c r="CF107" s="12">
        <v>6</v>
      </c>
      <c r="CG107" s="12">
        <v>1</v>
      </c>
      <c r="CH107" s="12">
        <v>2</v>
      </c>
      <c r="CI107" s="12">
        <v>1</v>
      </c>
      <c r="CJ107" s="12">
        <v>0</v>
      </c>
      <c r="CK107" s="12">
        <v>0</v>
      </c>
      <c r="CL107" s="12">
        <v>7</v>
      </c>
      <c r="CM107" s="12">
        <v>1</v>
      </c>
      <c r="CN107" s="12">
        <v>1</v>
      </c>
      <c r="CO107" s="12">
        <v>0</v>
      </c>
      <c r="CP107" s="12">
        <v>0</v>
      </c>
      <c r="CQ107" s="12">
        <v>0</v>
      </c>
      <c r="CR107" s="12">
        <v>9</v>
      </c>
      <c r="CS107" s="12">
        <v>0</v>
      </c>
      <c r="CT107" s="12">
        <v>1</v>
      </c>
      <c r="CU107" s="12">
        <v>0</v>
      </c>
      <c r="CV107" s="12">
        <v>0</v>
      </c>
      <c r="CW107" s="12">
        <v>0</v>
      </c>
      <c r="CX107" s="12">
        <v>11</v>
      </c>
      <c r="CY107" s="12">
        <v>0</v>
      </c>
      <c r="CZ107" s="12">
        <v>1</v>
      </c>
      <c r="DA107" s="12">
        <v>0</v>
      </c>
      <c r="DB107" s="12">
        <v>0</v>
      </c>
      <c r="DC107" s="12">
        <v>0</v>
      </c>
      <c r="DD107" s="12">
        <v>4</v>
      </c>
      <c r="DE107" s="12">
        <v>4</v>
      </c>
      <c r="DF107" s="12">
        <v>14</v>
      </c>
      <c r="DG107" s="12">
        <v>18</v>
      </c>
      <c r="DH107" s="12">
        <v>2</v>
      </c>
      <c r="DI107" s="12">
        <v>4</v>
      </c>
      <c r="DJ107" s="12">
        <v>6</v>
      </c>
      <c r="DK107" s="12">
        <v>0</v>
      </c>
      <c r="DL107" s="12">
        <v>8</v>
      </c>
      <c r="DM107" s="12">
        <v>9</v>
      </c>
      <c r="DN107" s="12">
        <v>9</v>
      </c>
      <c r="DO107" s="12">
        <v>23</v>
      </c>
      <c r="DP107" s="12">
        <v>2</v>
      </c>
      <c r="DQ107" s="12">
        <v>6</v>
      </c>
      <c r="DR107" s="12">
        <v>0</v>
      </c>
      <c r="DS107" s="12">
        <v>0</v>
      </c>
      <c r="DT107" s="12">
        <v>8</v>
      </c>
      <c r="DU107" s="12">
        <v>27</v>
      </c>
      <c r="DV107" s="12">
        <v>0</v>
      </c>
      <c r="DW107" s="12">
        <v>1</v>
      </c>
      <c r="DX107" s="12">
        <v>83</v>
      </c>
      <c r="DY107" s="12">
        <v>20</v>
      </c>
      <c r="DZ107" s="12">
        <v>30</v>
      </c>
      <c r="EA107" s="16">
        <v>0.66666666666666663</v>
      </c>
      <c r="EB107" s="12">
        <v>9</v>
      </c>
      <c r="EC107" s="12">
        <v>24</v>
      </c>
      <c r="ED107" s="16">
        <v>0.375</v>
      </c>
      <c r="EE107" s="12">
        <v>29</v>
      </c>
      <c r="EF107" s="12">
        <v>54</v>
      </c>
      <c r="EG107" s="16">
        <v>0.53703703703703709</v>
      </c>
      <c r="EH107" s="12">
        <v>16</v>
      </c>
      <c r="EI107" s="12">
        <v>17</v>
      </c>
      <c r="EJ107" s="16">
        <v>0.94117647058823528</v>
      </c>
      <c r="EK107" s="12">
        <v>2</v>
      </c>
      <c r="EL107" s="12">
        <v>24</v>
      </c>
      <c r="EM107" s="12">
        <v>26</v>
      </c>
      <c r="EN107" s="12">
        <v>17</v>
      </c>
      <c r="EO107" s="12">
        <v>24</v>
      </c>
      <c r="EP107" s="12">
        <v>20</v>
      </c>
      <c r="EQ107" s="12">
        <v>6</v>
      </c>
      <c r="ER107" s="12">
        <v>13</v>
      </c>
      <c r="ES107" s="12">
        <v>7</v>
      </c>
      <c r="ET107" s="12">
        <v>2</v>
      </c>
      <c r="EU107" s="12">
        <v>94</v>
      </c>
      <c r="EV107" s="12">
        <v>-1</v>
      </c>
      <c r="EW107" s="12">
        <v>71</v>
      </c>
      <c r="EX107" s="12">
        <v>73</v>
      </c>
      <c r="EY107" s="12">
        <v>5</v>
      </c>
      <c r="EZ107" s="12">
        <v>8</v>
      </c>
      <c r="FA107" s="12">
        <v>7</v>
      </c>
      <c r="FB107" s="12">
        <v>2</v>
      </c>
      <c r="FC107" s="12">
        <v>5</v>
      </c>
      <c r="FD107" s="12">
        <v>0</v>
      </c>
      <c r="FE107" s="12">
        <v>0</v>
      </c>
      <c r="FF107" s="12">
        <v>0</v>
      </c>
      <c r="FG107" s="12">
        <v>0</v>
      </c>
      <c r="FH107" s="12">
        <v>0</v>
      </c>
      <c r="FI107" s="12">
        <v>0</v>
      </c>
      <c r="FJ107" s="12">
        <v>0</v>
      </c>
      <c r="FK107" s="12">
        <v>0</v>
      </c>
      <c r="FL107" s="12">
        <v>2</v>
      </c>
      <c r="FM107" s="12">
        <v>1</v>
      </c>
      <c r="FN107" s="12">
        <v>0</v>
      </c>
      <c r="FO107" s="12">
        <v>0</v>
      </c>
      <c r="FP107" s="12">
        <v>1</v>
      </c>
      <c r="FQ107" s="12">
        <v>0</v>
      </c>
      <c r="FR107" s="12">
        <v>8</v>
      </c>
      <c r="FS107" s="12">
        <v>0</v>
      </c>
      <c r="FT107" s="12">
        <v>2</v>
      </c>
      <c r="FU107" s="12">
        <v>0</v>
      </c>
      <c r="FV107" s="12">
        <v>0</v>
      </c>
      <c r="FW107" s="12">
        <v>0</v>
      </c>
      <c r="FX107" s="12">
        <v>12</v>
      </c>
      <c r="FY107" s="12">
        <v>0</v>
      </c>
      <c r="FZ107" s="12">
        <v>1</v>
      </c>
      <c r="GA107" s="12">
        <v>0</v>
      </c>
      <c r="GB107" s="12">
        <v>0</v>
      </c>
      <c r="GC107" s="12">
        <v>0</v>
      </c>
      <c r="GD107" s="12">
        <v>4</v>
      </c>
      <c r="GE107" s="12">
        <v>4</v>
      </c>
      <c r="GF107" s="12">
        <v>9</v>
      </c>
      <c r="GG107" s="12">
        <v>10</v>
      </c>
      <c r="GH107" s="12">
        <v>0</v>
      </c>
      <c r="GI107" s="12">
        <v>3</v>
      </c>
      <c r="GJ107" s="12">
        <v>3</v>
      </c>
      <c r="GK107" s="12">
        <v>0</v>
      </c>
      <c r="GL107" s="12">
        <v>3</v>
      </c>
      <c r="GM107" s="12">
        <v>3</v>
      </c>
      <c r="GN107" s="12">
        <v>14</v>
      </c>
      <c r="GO107" s="12">
        <v>23</v>
      </c>
      <c r="GP107" s="12">
        <v>3</v>
      </c>
      <c r="GQ107" s="12">
        <v>4</v>
      </c>
      <c r="GR107" s="12">
        <v>0</v>
      </c>
      <c r="GS107" s="12">
        <v>0</v>
      </c>
      <c r="GT107" s="12">
        <v>9</v>
      </c>
      <c r="GU107" s="12">
        <v>23</v>
      </c>
      <c r="GV107" s="12">
        <v>0</v>
      </c>
      <c r="GW107" s="12">
        <v>1</v>
      </c>
    </row>
    <row r="108" spans="2:205" ht="15" customHeight="1" x14ac:dyDescent="0.2">
      <c r="B108" s="12">
        <v>6</v>
      </c>
      <c r="C108" s="12" t="s">
        <v>277</v>
      </c>
      <c r="D108" s="12" t="s">
        <v>285</v>
      </c>
      <c r="E108" s="14" t="s">
        <v>279</v>
      </c>
      <c r="F108" s="14" t="s">
        <v>287</v>
      </c>
      <c r="G108" s="15">
        <v>45233</v>
      </c>
      <c r="H108" s="15" t="s">
        <v>271</v>
      </c>
      <c r="I108" s="12" t="s">
        <v>269</v>
      </c>
      <c r="J108" s="12" t="s">
        <v>272</v>
      </c>
      <c r="K108" s="12">
        <v>200</v>
      </c>
      <c r="L108" s="12">
        <v>93</v>
      </c>
      <c r="M108" s="12">
        <v>26</v>
      </c>
      <c r="N108" s="12">
        <v>46</v>
      </c>
      <c r="O108" s="16">
        <v>0.56521739130434778</v>
      </c>
      <c r="P108" s="12">
        <v>7</v>
      </c>
      <c r="Q108" s="12">
        <v>20</v>
      </c>
      <c r="R108" s="16">
        <v>0.35</v>
      </c>
      <c r="S108" s="12">
        <v>33</v>
      </c>
      <c r="T108" s="12">
        <v>66</v>
      </c>
      <c r="U108" s="16">
        <v>0.5</v>
      </c>
      <c r="V108" s="12">
        <v>20</v>
      </c>
      <c r="W108" s="12">
        <v>26</v>
      </c>
      <c r="X108" s="16">
        <v>0.76923076923076927</v>
      </c>
      <c r="Y108" s="12">
        <v>17</v>
      </c>
      <c r="Z108" s="12">
        <v>15</v>
      </c>
      <c r="AA108" s="12">
        <v>32</v>
      </c>
      <c r="AB108" s="12">
        <v>22</v>
      </c>
      <c r="AC108" s="12">
        <v>8</v>
      </c>
      <c r="AD108" s="12">
        <v>10</v>
      </c>
      <c r="AE108" s="12">
        <v>2</v>
      </c>
      <c r="AF108" s="12">
        <v>2</v>
      </c>
      <c r="AG108" s="12">
        <v>23</v>
      </c>
      <c r="AH108" s="12">
        <v>23</v>
      </c>
      <c r="AI108" s="17">
        <v>110</v>
      </c>
      <c r="AJ108" s="12">
        <v>12</v>
      </c>
      <c r="AK108" s="12">
        <v>68</v>
      </c>
      <c r="AL108" s="12">
        <v>85</v>
      </c>
      <c r="AM108" s="19">
        <v>1.0941176470588236</v>
      </c>
      <c r="AN108" s="19">
        <v>1.1095890410958904</v>
      </c>
      <c r="AO108" s="18">
        <v>136.76470588235296</v>
      </c>
      <c r="AP108" s="18">
        <v>122.72727272727273</v>
      </c>
      <c r="AQ108" s="18">
        <v>14.037433155080222</v>
      </c>
      <c r="AR108" s="53">
        <v>0.55303030303030298</v>
      </c>
      <c r="AS108" s="53">
        <v>0.60389610389610393</v>
      </c>
      <c r="AT108" s="16">
        <v>0.12941176470588237</v>
      </c>
      <c r="AU108" s="19">
        <v>2</v>
      </c>
      <c r="AV108" s="16">
        <v>0.29411764705882354</v>
      </c>
      <c r="AW108" s="19">
        <v>1.04</v>
      </c>
      <c r="AX108" s="16">
        <v>0.11764705882352941</v>
      </c>
      <c r="AY108" s="19">
        <v>0.4</v>
      </c>
      <c r="AZ108" s="16">
        <v>0</v>
      </c>
      <c r="BA108" s="19" t="s">
        <v>269</v>
      </c>
      <c r="BB108" s="16">
        <v>0.23529411764705882</v>
      </c>
      <c r="BC108" s="21">
        <v>1.05</v>
      </c>
      <c r="BD108" s="16">
        <v>0.12941176470588237</v>
      </c>
      <c r="BE108" s="16">
        <v>9.4117647058823528E-2</v>
      </c>
      <c r="BF108" s="16">
        <v>0.5</v>
      </c>
      <c r="BG108" s="16">
        <v>0.53846153846153844</v>
      </c>
      <c r="BH108" s="16">
        <v>0.7142857142857143</v>
      </c>
      <c r="BI108" s="16">
        <v>0.27272727272727271</v>
      </c>
      <c r="BJ108" s="16">
        <v>0.25882352941176473</v>
      </c>
      <c r="BK108" s="21">
        <v>2.75</v>
      </c>
      <c r="BL108" s="16">
        <v>0.48571428571428571</v>
      </c>
      <c r="BM108" s="16">
        <v>0.4</v>
      </c>
      <c r="BN108" s="16">
        <v>0.75</v>
      </c>
      <c r="BO108" s="16">
        <v>0.25</v>
      </c>
      <c r="BP108" s="16">
        <v>0.68181818181818177</v>
      </c>
      <c r="BQ108" s="16">
        <v>0.69230769230769229</v>
      </c>
      <c r="BR108" s="16">
        <v>0.66666666666666663</v>
      </c>
      <c r="BS108" s="16">
        <v>0</v>
      </c>
      <c r="BT108" s="16">
        <v>0.56140350877192979</v>
      </c>
      <c r="BU108" s="16">
        <v>0.15151515151515152</v>
      </c>
      <c r="BV108" s="16">
        <v>4.0816326530612242E-2</v>
      </c>
      <c r="BW108" s="16">
        <v>2</v>
      </c>
      <c r="BX108" s="16">
        <v>0.52173913043478259</v>
      </c>
      <c r="BY108" s="16">
        <v>0.56521739130434778</v>
      </c>
      <c r="BZ108" s="12">
        <v>14</v>
      </c>
      <c r="CA108" s="12">
        <v>5</v>
      </c>
      <c r="CB108" s="12">
        <v>3</v>
      </c>
      <c r="CC108" s="12">
        <v>5</v>
      </c>
      <c r="CD108" s="12">
        <v>0</v>
      </c>
      <c r="CE108" s="12">
        <v>0</v>
      </c>
      <c r="CF108" s="12">
        <v>7</v>
      </c>
      <c r="CG108" s="12">
        <v>1</v>
      </c>
      <c r="CH108" s="12">
        <v>0</v>
      </c>
      <c r="CI108" s="12">
        <v>0</v>
      </c>
      <c r="CJ108" s="12">
        <v>0</v>
      </c>
      <c r="CK108" s="12">
        <v>0</v>
      </c>
      <c r="CL108" s="12">
        <v>9</v>
      </c>
      <c r="CM108" s="12">
        <v>0</v>
      </c>
      <c r="CN108" s="12">
        <v>1</v>
      </c>
      <c r="CO108" s="12">
        <v>0</v>
      </c>
      <c r="CP108" s="12">
        <v>0</v>
      </c>
      <c r="CQ108" s="12">
        <v>0</v>
      </c>
      <c r="CR108" s="12">
        <v>6</v>
      </c>
      <c r="CS108" s="12">
        <v>0</v>
      </c>
      <c r="CT108" s="12">
        <v>3</v>
      </c>
      <c r="CU108" s="12">
        <v>0</v>
      </c>
      <c r="CV108" s="12">
        <v>0</v>
      </c>
      <c r="CW108" s="12">
        <v>0</v>
      </c>
      <c r="CX108" s="12">
        <v>6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1</v>
      </c>
      <c r="DE108" s="12">
        <v>2</v>
      </c>
      <c r="DF108" s="12">
        <v>13</v>
      </c>
      <c r="DG108" s="12">
        <v>18</v>
      </c>
      <c r="DH108" s="12">
        <v>0</v>
      </c>
      <c r="DI108" s="12">
        <v>6</v>
      </c>
      <c r="DJ108" s="12">
        <v>6</v>
      </c>
      <c r="DK108" s="12">
        <v>0</v>
      </c>
      <c r="DL108" s="12">
        <v>11</v>
      </c>
      <c r="DM108" s="12">
        <v>11</v>
      </c>
      <c r="DN108" s="12">
        <v>13</v>
      </c>
      <c r="DO108" s="12">
        <v>25</v>
      </c>
      <c r="DP108" s="12">
        <v>2</v>
      </c>
      <c r="DQ108" s="12">
        <v>10</v>
      </c>
      <c r="DR108" s="12">
        <v>0</v>
      </c>
      <c r="DS108" s="12">
        <v>0</v>
      </c>
      <c r="DT108" s="12">
        <v>7</v>
      </c>
      <c r="DU108" s="12">
        <v>20</v>
      </c>
      <c r="DV108" s="12">
        <v>0</v>
      </c>
      <c r="DW108" s="12">
        <v>0</v>
      </c>
      <c r="DX108" s="12">
        <v>81</v>
      </c>
      <c r="DY108" s="12">
        <v>21</v>
      </c>
      <c r="DZ108" s="12">
        <v>33</v>
      </c>
      <c r="EA108" s="16">
        <v>0.63636363636363635</v>
      </c>
      <c r="EB108" s="12">
        <v>7</v>
      </c>
      <c r="EC108" s="12">
        <v>16</v>
      </c>
      <c r="ED108" s="16">
        <v>0.4375</v>
      </c>
      <c r="EE108" s="12">
        <v>28</v>
      </c>
      <c r="EF108" s="12">
        <v>49</v>
      </c>
      <c r="EG108" s="16">
        <v>0.5714285714285714</v>
      </c>
      <c r="EH108" s="12">
        <v>18</v>
      </c>
      <c r="EI108" s="12">
        <v>22</v>
      </c>
      <c r="EJ108" s="16">
        <v>0.81818181818181823</v>
      </c>
      <c r="EK108" s="12">
        <v>7</v>
      </c>
      <c r="EL108" s="12">
        <v>18</v>
      </c>
      <c r="EM108" s="12">
        <v>25</v>
      </c>
      <c r="EN108" s="12">
        <v>10</v>
      </c>
      <c r="EO108" s="12">
        <v>23</v>
      </c>
      <c r="EP108" s="12">
        <v>23</v>
      </c>
      <c r="EQ108" s="12">
        <v>4</v>
      </c>
      <c r="ER108" s="12">
        <v>14</v>
      </c>
      <c r="ES108" s="12">
        <v>2</v>
      </c>
      <c r="ET108" s="12">
        <v>2</v>
      </c>
      <c r="EU108" s="12">
        <v>81</v>
      </c>
      <c r="EV108" s="12">
        <v>-12</v>
      </c>
      <c r="EW108" s="12">
        <v>66</v>
      </c>
      <c r="EX108" s="12">
        <v>73</v>
      </c>
      <c r="EY108" s="12">
        <v>3</v>
      </c>
      <c r="EZ108" s="12">
        <v>5</v>
      </c>
      <c r="FA108" s="12">
        <v>5</v>
      </c>
      <c r="FB108" s="12">
        <v>0</v>
      </c>
      <c r="FC108" s="12">
        <v>0</v>
      </c>
      <c r="FD108" s="12">
        <v>1</v>
      </c>
      <c r="FE108" s="12">
        <v>1</v>
      </c>
      <c r="FF108" s="12">
        <v>2</v>
      </c>
      <c r="FG108" s="12">
        <v>0</v>
      </c>
      <c r="FH108" s="12">
        <v>0</v>
      </c>
      <c r="FI108" s="12">
        <v>0</v>
      </c>
      <c r="FJ108" s="12">
        <v>0</v>
      </c>
      <c r="FK108" s="12">
        <v>0</v>
      </c>
      <c r="FL108" s="12">
        <v>3</v>
      </c>
      <c r="FM108" s="12">
        <v>0</v>
      </c>
      <c r="FN108" s="12">
        <v>1</v>
      </c>
      <c r="FO108" s="12">
        <v>0</v>
      </c>
      <c r="FP108" s="12">
        <v>0</v>
      </c>
      <c r="FQ108" s="12">
        <v>0</v>
      </c>
      <c r="FR108" s="12">
        <v>4</v>
      </c>
      <c r="FS108" s="12">
        <v>0</v>
      </c>
      <c r="FT108" s="12">
        <v>8</v>
      </c>
      <c r="FU108" s="12">
        <v>0</v>
      </c>
      <c r="FV108" s="12">
        <v>0</v>
      </c>
      <c r="FW108" s="12">
        <v>0</v>
      </c>
      <c r="FX108" s="12">
        <v>3</v>
      </c>
      <c r="FY108" s="12">
        <v>0</v>
      </c>
      <c r="FZ108" s="12">
        <v>3</v>
      </c>
      <c r="GA108" s="12">
        <v>0</v>
      </c>
      <c r="GB108" s="12">
        <v>0</v>
      </c>
      <c r="GC108" s="12">
        <v>0</v>
      </c>
      <c r="GD108" s="12">
        <v>2</v>
      </c>
      <c r="GE108" s="12">
        <v>2</v>
      </c>
      <c r="GF108" s="12">
        <v>16</v>
      </c>
      <c r="GG108" s="12">
        <v>20</v>
      </c>
      <c r="GH108" s="12">
        <v>0</v>
      </c>
      <c r="GI108" s="12">
        <v>0</v>
      </c>
      <c r="GJ108" s="12">
        <v>0</v>
      </c>
      <c r="GK108" s="12">
        <v>0</v>
      </c>
      <c r="GL108" s="12">
        <v>9</v>
      </c>
      <c r="GM108" s="12">
        <v>10</v>
      </c>
      <c r="GN108" s="12">
        <v>9</v>
      </c>
      <c r="GO108" s="12">
        <v>17</v>
      </c>
      <c r="GP108" s="12">
        <v>3</v>
      </c>
      <c r="GQ108" s="12">
        <v>6</v>
      </c>
      <c r="GR108" s="12">
        <v>0</v>
      </c>
      <c r="GS108" s="12">
        <v>0</v>
      </c>
      <c r="GT108" s="12">
        <v>7</v>
      </c>
      <c r="GU108" s="12">
        <v>16</v>
      </c>
      <c r="GV108" s="12">
        <v>0</v>
      </c>
      <c r="GW108" s="12">
        <v>0</v>
      </c>
    </row>
    <row r="109" spans="2:205" ht="15" customHeight="1" x14ac:dyDescent="0.2">
      <c r="B109" s="12">
        <v>6</v>
      </c>
      <c r="C109" s="12" t="s">
        <v>285</v>
      </c>
      <c r="D109" s="12" t="s">
        <v>277</v>
      </c>
      <c r="E109" s="14" t="s">
        <v>287</v>
      </c>
      <c r="F109" s="14" t="s">
        <v>279</v>
      </c>
      <c r="G109" s="15">
        <v>45233</v>
      </c>
      <c r="H109" s="15" t="s">
        <v>268</v>
      </c>
      <c r="I109" s="12" t="s">
        <v>269</v>
      </c>
      <c r="J109" s="12" t="s">
        <v>270</v>
      </c>
      <c r="K109" s="12">
        <v>200</v>
      </c>
      <c r="L109" s="12">
        <v>81</v>
      </c>
      <c r="M109" s="12">
        <v>21</v>
      </c>
      <c r="N109" s="12">
        <v>33</v>
      </c>
      <c r="O109" s="16">
        <v>0.63636363636363635</v>
      </c>
      <c r="P109" s="12">
        <v>7</v>
      </c>
      <c r="Q109" s="12">
        <v>16</v>
      </c>
      <c r="R109" s="16">
        <v>0.4375</v>
      </c>
      <c r="S109" s="12">
        <v>28</v>
      </c>
      <c r="T109" s="12">
        <v>49</v>
      </c>
      <c r="U109" s="16">
        <v>0.5714285714285714</v>
      </c>
      <c r="V109" s="12">
        <v>18</v>
      </c>
      <c r="W109" s="12">
        <v>22</v>
      </c>
      <c r="X109" s="16">
        <v>0.81818181818181823</v>
      </c>
      <c r="Y109" s="12">
        <v>7</v>
      </c>
      <c r="Z109" s="12">
        <v>18</v>
      </c>
      <c r="AA109" s="12">
        <v>25</v>
      </c>
      <c r="AB109" s="12">
        <v>10</v>
      </c>
      <c r="AC109" s="12">
        <v>14</v>
      </c>
      <c r="AD109" s="12">
        <v>4</v>
      </c>
      <c r="AE109" s="12">
        <v>2</v>
      </c>
      <c r="AF109" s="12">
        <v>2</v>
      </c>
      <c r="AG109" s="12">
        <v>23</v>
      </c>
      <c r="AH109" s="12">
        <v>23</v>
      </c>
      <c r="AI109" s="17">
        <v>81</v>
      </c>
      <c r="AJ109" s="12">
        <v>-12</v>
      </c>
      <c r="AK109" s="12">
        <v>66</v>
      </c>
      <c r="AL109" s="12">
        <v>73</v>
      </c>
      <c r="AM109" s="19">
        <v>1.1095890410958904</v>
      </c>
      <c r="AN109" s="19">
        <v>1.0941176470588236</v>
      </c>
      <c r="AO109" s="18">
        <v>122.72727272727273</v>
      </c>
      <c r="AP109" s="18">
        <v>136.76470588235296</v>
      </c>
      <c r="AQ109" s="18">
        <v>-14.037433155080222</v>
      </c>
      <c r="AR109" s="53">
        <v>0.6428571428571429</v>
      </c>
      <c r="AS109" s="53">
        <v>0.68644067796610164</v>
      </c>
      <c r="AT109" s="16">
        <v>0.13698630136986301</v>
      </c>
      <c r="AU109" s="19">
        <v>1.8</v>
      </c>
      <c r="AV109" s="16">
        <v>0.23287671232876711</v>
      </c>
      <c r="AW109" s="19">
        <v>1.0588235294117647</v>
      </c>
      <c r="AX109" s="16">
        <v>8.2191780821917804E-2</v>
      </c>
      <c r="AY109" s="19">
        <v>1</v>
      </c>
      <c r="AZ109" s="16">
        <v>0</v>
      </c>
      <c r="BA109" s="19" t="s">
        <v>269</v>
      </c>
      <c r="BB109" s="16">
        <v>0.21917808219178081</v>
      </c>
      <c r="BC109" s="21">
        <v>1.3125</v>
      </c>
      <c r="BD109" s="16">
        <v>0.13698630136986301</v>
      </c>
      <c r="BE109" s="16">
        <v>0.19178082191780821</v>
      </c>
      <c r="BF109" s="16">
        <v>0.26315789473684209</v>
      </c>
      <c r="BG109" s="16">
        <v>0.23809523809523808</v>
      </c>
      <c r="BH109" s="16">
        <v>0.7142857142857143</v>
      </c>
      <c r="BI109" s="16">
        <v>0</v>
      </c>
      <c r="BJ109" s="16">
        <v>0.13698630136986301</v>
      </c>
      <c r="BK109" s="21">
        <v>0.7142857142857143</v>
      </c>
      <c r="BL109" s="16">
        <v>0.31818181818181818</v>
      </c>
      <c r="BM109" s="16">
        <v>0.30769230769230771</v>
      </c>
      <c r="BN109" s="16">
        <v>0.33333333333333331</v>
      </c>
      <c r="BO109" s="16">
        <v>1</v>
      </c>
      <c r="BP109" s="16">
        <v>0.51428571428571423</v>
      </c>
      <c r="BQ109" s="16">
        <v>0.6</v>
      </c>
      <c r="BR109" s="16">
        <v>0.25</v>
      </c>
      <c r="BS109" s="16">
        <v>0.75</v>
      </c>
      <c r="BT109" s="16">
        <v>0.43859649122807015</v>
      </c>
      <c r="BU109" s="16">
        <v>5.8823529411764705E-2</v>
      </c>
      <c r="BV109" s="16">
        <v>3.0303030303030304E-2</v>
      </c>
      <c r="BW109" s="16">
        <v>3</v>
      </c>
      <c r="BX109" s="16">
        <v>0.56521739130434778</v>
      </c>
      <c r="BY109" s="16">
        <v>0.52173913043478259</v>
      </c>
      <c r="BZ109" s="12">
        <v>5</v>
      </c>
      <c r="CA109" s="12">
        <v>5</v>
      </c>
      <c r="CB109" s="12">
        <v>0</v>
      </c>
      <c r="CC109" s="12">
        <v>0</v>
      </c>
      <c r="CD109" s="12">
        <v>1</v>
      </c>
      <c r="CE109" s="12">
        <v>1</v>
      </c>
      <c r="CF109" s="12">
        <v>2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3</v>
      </c>
      <c r="CM109" s="12">
        <v>0</v>
      </c>
      <c r="CN109" s="12">
        <v>1</v>
      </c>
      <c r="CO109" s="12">
        <v>0</v>
      </c>
      <c r="CP109" s="12">
        <v>0</v>
      </c>
      <c r="CQ109" s="12">
        <v>0</v>
      </c>
      <c r="CR109" s="12">
        <v>4</v>
      </c>
      <c r="CS109" s="12">
        <v>0</v>
      </c>
      <c r="CT109" s="12">
        <v>8</v>
      </c>
      <c r="CU109" s="12">
        <v>0</v>
      </c>
      <c r="CV109" s="12">
        <v>0</v>
      </c>
      <c r="CW109" s="12">
        <v>0</v>
      </c>
      <c r="CX109" s="12">
        <v>3</v>
      </c>
      <c r="CY109" s="12">
        <v>0</v>
      </c>
      <c r="CZ109" s="12">
        <v>3</v>
      </c>
      <c r="DA109" s="12">
        <v>0</v>
      </c>
      <c r="DB109" s="12">
        <v>0</v>
      </c>
      <c r="DC109" s="12">
        <v>0</v>
      </c>
      <c r="DD109" s="12">
        <v>2</v>
      </c>
      <c r="DE109" s="12">
        <v>2</v>
      </c>
      <c r="DF109" s="12">
        <v>16</v>
      </c>
      <c r="DG109" s="12">
        <v>20</v>
      </c>
      <c r="DH109" s="12">
        <v>0</v>
      </c>
      <c r="DI109" s="12">
        <v>0</v>
      </c>
      <c r="DJ109" s="12">
        <v>0</v>
      </c>
      <c r="DK109" s="12">
        <v>0</v>
      </c>
      <c r="DL109" s="12">
        <v>9</v>
      </c>
      <c r="DM109" s="12">
        <v>10</v>
      </c>
      <c r="DN109" s="12">
        <v>9</v>
      </c>
      <c r="DO109" s="12">
        <v>17</v>
      </c>
      <c r="DP109" s="12">
        <v>3</v>
      </c>
      <c r="DQ109" s="12">
        <v>6</v>
      </c>
      <c r="DR109" s="12">
        <v>0</v>
      </c>
      <c r="DS109" s="12">
        <v>0</v>
      </c>
      <c r="DT109" s="12">
        <v>7</v>
      </c>
      <c r="DU109" s="12">
        <v>16</v>
      </c>
      <c r="DV109" s="12">
        <v>0</v>
      </c>
      <c r="DW109" s="12">
        <v>0</v>
      </c>
      <c r="DX109" s="12">
        <v>93</v>
      </c>
      <c r="DY109" s="12">
        <v>26</v>
      </c>
      <c r="DZ109" s="12">
        <v>46</v>
      </c>
      <c r="EA109" s="16">
        <v>0.56521739130434778</v>
      </c>
      <c r="EB109" s="12">
        <v>7</v>
      </c>
      <c r="EC109" s="12">
        <v>20</v>
      </c>
      <c r="ED109" s="16">
        <v>0.35</v>
      </c>
      <c r="EE109" s="12">
        <v>33</v>
      </c>
      <c r="EF109" s="12">
        <v>66</v>
      </c>
      <c r="EG109" s="16">
        <v>0.5</v>
      </c>
      <c r="EH109" s="12">
        <v>20</v>
      </c>
      <c r="EI109" s="12">
        <v>26</v>
      </c>
      <c r="EJ109" s="16">
        <v>0.76923076923076927</v>
      </c>
      <c r="EK109" s="12">
        <v>17</v>
      </c>
      <c r="EL109" s="12">
        <v>15</v>
      </c>
      <c r="EM109" s="12">
        <v>32</v>
      </c>
      <c r="EN109" s="12">
        <v>22</v>
      </c>
      <c r="EO109" s="12">
        <v>23</v>
      </c>
      <c r="EP109" s="12">
        <v>23</v>
      </c>
      <c r="EQ109" s="12">
        <v>10</v>
      </c>
      <c r="ER109" s="12">
        <v>8</v>
      </c>
      <c r="ES109" s="12">
        <v>2</v>
      </c>
      <c r="ET109" s="12">
        <v>2</v>
      </c>
      <c r="EU109" s="12">
        <v>110</v>
      </c>
      <c r="EV109" s="12">
        <v>12</v>
      </c>
      <c r="EW109" s="12">
        <v>68</v>
      </c>
      <c r="EX109" s="12">
        <v>85</v>
      </c>
      <c r="EY109" s="12">
        <v>2</v>
      </c>
      <c r="EZ109" s="12">
        <v>14</v>
      </c>
      <c r="FA109" s="12">
        <v>5</v>
      </c>
      <c r="FB109" s="12">
        <v>3</v>
      </c>
      <c r="FC109" s="12">
        <v>5</v>
      </c>
      <c r="FD109" s="12">
        <v>0</v>
      </c>
      <c r="FE109" s="12">
        <v>0</v>
      </c>
      <c r="FF109" s="12">
        <v>7</v>
      </c>
      <c r="FG109" s="12">
        <v>1</v>
      </c>
      <c r="FH109" s="12">
        <v>0</v>
      </c>
      <c r="FI109" s="12">
        <v>0</v>
      </c>
      <c r="FJ109" s="12">
        <v>0</v>
      </c>
      <c r="FK109" s="12">
        <v>0</v>
      </c>
      <c r="FL109" s="12">
        <v>9</v>
      </c>
      <c r="FM109" s="12">
        <v>0</v>
      </c>
      <c r="FN109" s="12">
        <v>1</v>
      </c>
      <c r="FO109" s="12">
        <v>0</v>
      </c>
      <c r="FP109" s="12">
        <v>0</v>
      </c>
      <c r="FQ109" s="12">
        <v>0</v>
      </c>
      <c r="FR109" s="12">
        <v>6</v>
      </c>
      <c r="FS109" s="12">
        <v>0</v>
      </c>
      <c r="FT109" s="12">
        <v>3</v>
      </c>
      <c r="FU109" s="12">
        <v>0</v>
      </c>
      <c r="FV109" s="12">
        <v>0</v>
      </c>
      <c r="FW109" s="12">
        <v>0</v>
      </c>
      <c r="FX109" s="12">
        <v>6</v>
      </c>
      <c r="FY109" s="12">
        <v>0</v>
      </c>
      <c r="FZ109" s="12">
        <v>0</v>
      </c>
      <c r="GA109" s="12">
        <v>0</v>
      </c>
      <c r="GB109" s="12">
        <v>0</v>
      </c>
      <c r="GC109" s="12">
        <v>0</v>
      </c>
      <c r="GD109" s="12">
        <v>1</v>
      </c>
      <c r="GE109" s="12">
        <v>2</v>
      </c>
      <c r="GF109" s="12">
        <v>13</v>
      </c>
      <c r="GG109" s="12">
        <v>18</v>
      </c>
      <c r="GH109" s="12">
        <v>0</v>
      </c>
      <c r="GI109" s="12">
        <v>6</v>
      </c>
      <c r="GJ109" s="12">
        <v>6</v>
      </c>
      <c r="GK109" s="12">
        <v>0</v>
      </c>
      <c r="GL109" s="12">
        <v>11</v>
      </c>
      <c r="GM109" s="12">
        <v>11</v>
      </c>
      <c r="GN109" s="12">
        <v>13</v>
      </c>
      <c r="GO109" s="12">
        <v>25</v>
      </c>
      <c r="GP109" s="12">
        <v>2</v>
      </c>
      <c r="GQ109" s="12">
        <v>10</v>
      </c>
      <c r="GR109" s="12">
        <v>0</v>
      </c>
      <c r="GS109" s="12">
        <v>0</v>
      </c>
      <c r="GT109" s="12">
        <v>7</v>
      </c>
      <c r="GU109" s="12">
        <v>20</v>
      </c>
      <c r="GV109" s="12">
        <v>0</v>
      </c>
      <c r="GW109" s="12">
        <v>0</v>
      </c>
    </row>
    <row r="110" spans="2:205" ht="15" customHeight="1" x14ac:dyDescent="0.2">
      <c r="B110" s="12">
        <v>7</v>
      </c>
      <c r="C110" s="12" t="s">
        <v>297</v>
      </c>
      <c r="D110" s="12" t="s">
        <v>293</v>
      </c>
      <c r="E110" s="14" t="s">
        <v>299</v>
      </c>
      <c r="F110" s="14" t="s">
        <v>295</v>
      </c>
      <c r="G110" s="15">
        <v>45239</v>
      </c>
      <c r="H110" s="15" t="s">
        <v>271</v>
      </c>
      <c r="I110" s="12" t="s">
        <v>269</v>
      </c>
      <c r="J110" s="12" t="s">
        <v>270</v>
      </c>
      <c r="K110" s="12">
        <v>200</v>
      </c>
      <c r="L110" s="12">
        <v>74</v>
      </c>
      <c r="M110" s="12">
        <v>15</v>
      </c>
      <c r="N110" s="12">
        <v>27</v>
      </c>
      <c r="O110" s="16">
        <v>0.55555555555555558</v>
      </c>
      <c r="P110" s="12">
        <v>12</v>
      </c>
      <c r="Q110" s="12">
        <v>29</v>
      </c>
      <c r="R110" s="16">
        <v>0.41379310344827586</v>
      </c>
      <c r="S110" s="12">
        <v>27</v>
      </c>
      <c r="T110" s="12">
        <v>56</v>
      </c>
      <c r="U110" s="16">
        <v>0.48214285714285715</v>
      </c>
      <c r="V110" s="12">
        <v>8</v>
      </c>
      <c r="W110" s="12">
        <v>10</v>
      </c>
      <c r="X110" s="16">
        <v>0.8</v>
      </c>
      <c r="Y110" s="12">
        <v>5</v>
      </c>
      <c r="Z110" s="12">
        <v>21</v>
      </c>
      <c r="AA110" s="12">
        <v>26</v>
      </c>
      <c r="AB110" s="12">
        <v>20</v>
      </c>
      <c r="AC110" s="12">
        <v>13</v>
      </c>
      <c r="AD110" s="12">
        <v>5</v>
      </c>
      <c r="AE110" s="12">
        <v>4</v>
      </c>
      <c r="AF110" s="12">
        <v>2</v>
      </c>
      <c r="AG110" s="12">
        <v>17</v>
      </c>
      <c r="AH110" s="12">
        <v>12</v>
      </c>
      <c r="AI110" s="17">
        <v>78</v>
      </c>
      <c r="AJ110" s="12">
        <v>-1</v>
      </c>
      <c r="AK110" s="12">
        <v>68</v>
      </c>
      <c r="AL110" s="12">
        <v>73</v>
      </c>
      <c r="AM110" s="19">
        <v>1.0136986301369864</v>
      </c>
      <c r="AN110" s="19">
        <v>0.9375</v>
      </c>
      <c r="AO110" s="18">
        <v>108.8235294117647</v>
      </c>
      <c r="AP110" s="18">
        <v>108.69565217391303</v>
      </c>
      <c r="AQ110" s="18">
        <v>0.12787723785166349</v>
      </c>
      <c r="AR110" s="53">
        <v>0.5892857142857143</v>
      </c>
      <c r="AS110" s="53">
        <v>0.6166666666666667</v>
      </c>
      <c r="AT110" s="16">
        <v>0.20547945205479451</v>
      </c>
      <c r="AU110" s="19">
        <v>1.6</v>
      </c>
      <c r="AV110" s="16">
        <v>0.15068493150684931</v>
      </c>
      <c r="AW110" s="19">
        <v>0.54545454545454541</v>
      </c>
      <c r="AX110" s="16">
        <v>1.3698630136986301E-2</v>
      </c>
      <c r="AY110" s="19">
        <v>0</v>
      </c>
      <c r="AZ110" s="16">
        <v>9.5890410958904104E-2</v>
      </c>
      <c r="BA110" s="19">
        <v>1.2857142857142858</v>
      </c>
      <c r="BB110" s="16">
        <v>0.30136986301369861</v>
      </c>
      <c r="BC110" s="21">
        <v>1.2272727272727273</v>
      </c>
      <c r="BD110" s="16">
        <v>5.4794520547945202E-2</v>
      </c>
      <c r="BE110" s="16">
        <v>0.17808219178082191</v>
      </c>
      <c r="BF110" s="16">
        <v>0.66666666666666663</v>
      </c>
      <c r="BG110" s="16">
        <v>0.53333333333333333</v>
      </c>
      <c r="BH110" s="16">
        <v>0.83333333333333337</v>
      </c>
      <c r="BI110" s="16">
        <v>0.66666666666666663</v>
      </c>
      <c r="BJ110" s="16">
        <v>0.27397260273972601</v>
      </c>
      <c r="BK110" s="21">
        <v>1.5384615384615385</v>
      </c>
      <c r="BL110" s="16">
        <v>0.17241379310344829</v>
      </c>
      <c r="BM110" s="16">
        <v>0</v>
      </c>
      <c r="BN110" s="16">
        <v>0.27777777777777779</v>
      </c>
      <c r="BO110" s="16">
        <v>0</v>
      </c>
      <c r="BP110" s="16">
        <v>0.67741935483870963</v>
      </c>
      <c r="BQ110" s="16">
        <v>0.7142857142857143</v>
      </c>
      <c r="BR110" s="16">
        <v>0.6</v>
      </c>
      <c r="BS110" s="16" t="s">
        <v>269</v>
      </c>
      <c r="BT110" s="16">
        <v>0.43333333333333335</v>
      </c>
      <c r="BU110" s="16">
        <v>7.2463768115942032E-2</v>
      </c>
      <c r="BV110" s="16">
        <v>6.5573770491803282E-2</v>
      </c>
      <c r="BW110" s="16">
        <v>7</v>
      </c>
      <c r="BX110" s="16">
        <v>0.35294117647058826</v>
      </c>
      <c r="BY110" s="16">
        <v>0.41666666666666669</v>
      </c>
      <c r="BZ110" s="12">
        <v>8</v>
      </c>
      <c r="CA110" s="12">
        <v>10</v>
      </c>
      <c r="CB110" s="12">
        <v>2</v>
      </c>
      <c r="CC110" s="12">
        <v>5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2</v>
      </c>
      <c r="CK110" s="12">
        <v>0</v>
      </c>
      <c r="CL110" s="12">
        <v>3</v>
      </c>
      <c r="CM110" s="12">
        <v>0</v>
      </c>
      <c r="CN110" s="12">
        <v>0</v>
      </c>
      <c r="CO110" s="12">
        <v>0</v>
      </c>
      <c r="CP110" s="12">
        <v>5</v>
      </c>
      <c r="CQ110" s="12">
        <v>0</v>
      </c>
      <c r="CR110" s="12">
        <v>4</v>
      </c>
      <c r="CS110" s="12">
        <v>0</v>
      </c>
      <c r="CT110" s="12">
        <v>1</v>
      </c>
      <c r="CU110" s="12">
        <v>0</v>
      </c>
      <c r="CV110" s="12">
        <v>1</v>
      </c>
      <c r="CW110" s="12">
        <v>0</v>
      </c>
      <c r="CX110" s="12">
        <v>10</v>
      </c>
      <c r="CY110" s="12">
        <v>1</v>
      </c>
      <c r="CZ110" s="12">
        <v>0</v>
      </c>
      <c r="DA110" s="12">
        <v>0</v>
      </c>
      <c r="DB110" s="12">
        <v>0</v>
      </c>
      <c r="DC110" s="12">
        <v>0</v>
      </c>
      <c r="DD110" s="12">
        <v>1</v>
      </c>
      <c r="DE110" s="12">
        <v>1</v>
      </c>
      <c r="DF110" s="12">
        <v>4</v>
      </c>
      <c r="DG110" s="12">
        <v>6</v>
      </c>
      <c r="DH110" s="12">
        <v>1</v>
      </c>
      <c r="DI110" s="12">
        <v>3</v>
      </c>
      <c r="DJ110" s="12">
        <v>3</v>
      </c>
      <c r="DK110" s="12">
        <v>0</v>
      </c>
      <c r="DL110" s="12">
        <v>12</v>
      </c>
      <c r="DM110" s="12">
        <v>15</v>
      </c>
      <c r="DN110" s="12">
        <v>3</v>
      </c>
      <c r="DO110" s="12">
        <v>11</v>
      </c>
      <c r="DP110" s="12">
        <v>0</v>
      </c>
      <c r="DQ110" s="12">
        <v>1</v>
      </c>
      <c r="DR110" s="12">
        <v>3</v>
      </c>
      <c r="DS110" s="12">
        <v>7</v>
      </c>
      <c r="DT110" s="12">
        <v>9</v>
      </c>
      <c r="DU110" s="12">
        <v>22</v>
      </c>
      <c r="DV110" s="12">
        <v>0</v>
      </c>
      <c r="DW110" s="12">
        <v>0</v>
      </c>
      <c r="DX110" s="12">
        <v>75</v>
      </c>
      <c r="DY110" s="12">
        <v>19</v>
      </c>
      <c r="DZ110" s="12">
        <v>33</v>
      </c>
      <c r="EA110" s="16">
        <v>0.5757575757575758</v>
      </c>
      <c r="EB110" s="12">
        <v>9</v>
      </c>
      <c r="EC110" s="12">
        <v>28</v>
      </c>
      <c r="ED110" s="16">
        <v>0.32142857142857145</v>
      </c>
      <c r="EE110" s="12">
        <v>28</v>
      </c>
      <c r="EF110" s="12">
        <v>61</v>
      </c>
      <c r="EG110" s="16">
        <v>0.45901639344262296</v>
      </c>
      <c r="EH110" s="12">
        <v>10</v>
      </c>
      <c r="EI110" s="12">
        <v>12</v>
      </c>
      <c r="EJ110" s="16">
        <v>0.83333333333333337</v>
      </c>
      <c r="EK110" s="12">
        <v>10</v>
      </c>
      <c r="EL110" s="12">
        <v>24</v>
      </c>
      <c r="EM110" s="12">
        <v>34</v>
      </c>
      <c r="EN110" s="12">
        <v>18</v>
      </c>
      <c r="EO110" s="12">
        <v>12</v>
      </c>
      <c r="EP110" s="12">
        <v>17</v>
      </c>
      <c r="EQ110" s="12">
        <v>6</v>
      </c>
      <c r="ER110" s="12">
        <v>14</v>
      </c>
      <c r="ES110" s="12">
        <v>2</v>
      </c>
      <c r="ET110" s="12">
        <v>4</v>
      </c>
      <c r="EU110" s="12">
        <v>87</v>
      </c>
      <c r="EV110" s="12">
        <v>1</v>
      </c>
      <c r="EW110" s="12">
        <v>69</v>
      </c>
      <c r="EX110" s="12">
        <v>80</v>
      </c>
      <c r="EY110" s="12">
        <v>7</v>
      </c>
      <c r="EZ110" s="12">
        <v>9</v>
      </c>
      <c r="FA110" s="12">
        <v>8</v>
      </c>
      <c r="FB110" s="12">
        <v>1</v>
      </c>
      <c r="FC110" s="12">
        <v>2</v>
      </c>
      <c r="FD110" s="12">
        <v>1</v>
      </c>
      <c r="FE110" s="12">
        <v>0</v>
      </c>
      <c r="FF110" s="12">
        <v>1</v>
      </c>
      <c r="FG110" s="12">
        <v>1</v>
      </c>
      <c r="FH110" s="12">
        <v>1</v>
      </c>
      <c r="FI110" s="12">
        <v>0</v>
      </c>
      <c r="FJ110" s="12">
        <v>2</v>
      </c>
      <c r="FK110" s="12">
        <v>0</v>
      </c>
      <c r="FL110" s="12">
        <v>5</v>
      </c>
      <c r="FM110" s="12">
        <v>1</v>
      </c>
      <c r="FN110" s="12">
        <v>0</v>
      </c>
      <c r="FO110" s="12">
        <v>0</v>
      </c>
      <c r="FP110" s="12">
        <v>3</v>
      </c>
      <c r="FQ110" s="12">
        <v>0</v>
      </c>
      <c r="FR110" s="12">
        <v>7</v>
      </c>
      <c r="FS110" s="12">
        <v>1</v>
      </c>
      <c r="FT110" s="12">
        <v>1</v>
      </c>
      <c r="FU110" s="12">
        <v>0</v>
      </c>
      <c r="FV110" s="12">
        <v>2</v>
      </c>
      <c r="FW110" s="12">
        <v>0</v>
      </c>
      <c r="FX110" s="12">
        <v>10</v>
      </c>
      <c r="FY110" s="12">
        <v>1</v>
      </c>
      <c r="FZ110" s="12">
        <v>1</v>
      </c>
      <c r="GA110" s="12">
        <v>0</v>
      </c>
      <c r="GB110" s="12">
        <v>0</v>
      </c>
      <c r="GC110" s="12">
        <v>0</v>
      </c>
      <c r="GD110" s="12">
        <v>1</v>
      </c>
      <c r="GE110" s="12">
        <v>1</v>
      </c>
      <c r="GF110" s="12">
        <v>7</v>
      </c>
      <c r="GG110" s="12">
        <v>8</v>
      </c>
      <c r="GH110" s="12">
        <v>0</v>
      </c>
      <c r="GI110" s="12">
        <v>2</v>
      </c>
      <c r="GJ110" s="12">
        <v>3</v>
      </c>
      <c r="GK110" s="12">
        <v>0</v>
      </c>
      <c r="GL110" s="12">
        <v>14</v>
      </c>
      <c r="GM110" s="12">
        <v>20</v>
      </c>
      <c r="GN110" s="12">
        <v>2</v>
      </c>
      <c r="GO110" s="12">
        <v>7</v>
      </c>
      <c r="GP110" s="12">
        <v>3</v>
      </c>
      <c r="GQ110" s="12">
        <v>6</v>
      </c>
      <c r="GR110" s="12">
        <v>0</v>
      </c>
      <c r="GS110" s="12">
        <v>3</v>
      </c>
      <c r="GT110" s="12">
        <v>9</v>
      </c>
      <c r="GU110" s="12">
        <v>25</v>
      </c>
      <c r="GV110" s="12">
        <v>0</v>
      </c>
      <c r="GW110" s="12">
        <v>0</v>
      </c>
    </row>
    <row r="111" spans="2:205" ht="15" customHeight="1" x14ac:dyDescent="0.2">
      <c r="B111" s="12">
        <v>7</v>
      </c>
      <c r="C111" s="12" t="s">
        <v>293</v>
      </c>
      <c r="D111" s="12" t="s">
        <v>297</v>
      </c>
      <c r="E111" s="14" t="s">
        <v>295</v>
      </c>
      <c r="F111" s="14" t="s">
        <v>299</v>
      </c>
      <c r="G111" s="15">
        <v>45239</v>
      </c>
      <c r="H111" s="15" t="s">
        <v>268</v>
      </c>
      <c r="I111" s="12" t="s">
        <v>269</v>
      </c>
      <c r="J111" s="12" t="s">
        <v>272</v>
      </c>
      <c r="K111" s="12">
        <v>200</v>
      </c>
      <c r="L111" s="12">
        <v>75</v>
      </c>
      <c r="M111" s="12">
        <v>19</v>
      </c>
      <c r="N111" s="12">
        <v>33</v>
      </c>
      <c r="O111" s="16">
        <v>0.5757575757575758</v>
      </c>
      <c r="P111" s="12">
        <v>9</v>
      </c>
      <c r="Q111" s="12">
        <v>28</v>
      </c>
      <c r="R111" s="16">
        <v>0.32142857142857145</v>
      </c>
      <c r="S111" s="12">
        <v>28</v>
      </c>
      <c r="T111" s="12">
        <v>61</v>
      </c>
      <c r="U111" s="16">
        <v>0.45901639344262296</v>
      </c>
      <c r="V111" s="12">
        <v>10</v>
      </c>
      <c r="W111" s="12">
        <v>12</v>
      </c>
      <c r="X111" s="16">
        <v>0.83333333333333337</v>
      </c>
      <c r="Y111" s="12">
        <v>10</v>
      </c>
      <c r="Z111" s="12">
        <v>24</v>
      </c>
      <c r="AA111" s="12">
        <v>34</v>
      </c>
      <c r="AB111" s="12">
        <v>18</v>
      </c>
      <c r="AC111" s="12">
        <v>14</v>
      </c>
      <c r="AD111" s="12">
        <v>6</v>
      </c>
      <c r="AE111" s="12">
        <v>2</v>
      </c>
      <c r="AF111" s="12">
        <v>4</v>
      </c>
      <c r="AG111" s="12">
        <v>12</v>
      </c>
      <c r="AH111" s="12">
        <v>17</v>
      </c>
      <c r="AI111" s="17">
        <v>87</v>
      </c>
      <c r="AJ111" s="12">
        <v>1</v>
      </c>
      <c r="AK111" s="12">
        <v>69</v>
      </c>
      <c r="AL111" s="12">
        <v>80</v>
      </c>
      <c r="AM111" s="19">
        <v>0.9375</v>
      </c>
      <c r="AN111" s="19">
        <v>1.0136986301369864</v>
      </c>
      <c r="AO111" s="18">
        <v>108.69565217391303</v>
      </c>
      <c r="AP111" s="18">
        <v>108.8235294117647</v>
      </c>
      <c r="AQ111" s="18">
        <v>-0.12787723785166349</v>
      </c>
      <c r="AR111" s="53">
        <v>0.53278688524590168</v>
      </c>
      <c r="AS111" s="53">
        <v>0.56818181818181823</v>
      </c>
      <c r="AT111" s="16">
        <v>0.25</v>
      </c>
      <c r="AU111" s="19">
        <v>1.4</v>
      </c>
      <c r="AV111" s="16">
        <v>8.7499999999999994E-2</v>
      </c>
      <c r="AW111" s="19">
        <v>0.5714285714285714</v>
      </c>
      <c r="AX111" s="16">
        <v>7.4999999999999997E-2</v>
      </c>
      <c r="AY111" s="19">
        <v>1</v>
      </c>
      <c r="AZ111" s="16">
        <v>3.7499999999999999E-2</v>
      </c>
      <c r="BA111" s="19">
        <v>0</v>
      </c>
      <c r="BB111" s="16">
        <v>0.3125</v>
      </c>
      <c r="BC111" s="21">
        <v>1.08</v>
      </c>
      <c r="BD111" s="16">
        <v>6.25E-2</v>
      </c>
      <c r="BE111" s="16">
        <v>0.17721518987341772</v>
      </c>
      <c r="BF111" s="16">
        <v>0.54545454545454541</v>
      </c>
      <c r="BG111" s="16">
        <v>0.47368421052631576</v>
      </c>
      <c r="BH111" s="16">
        <v>0.88888888888888884</v>
      </c>
      <c r="BI111" s="16">
        <v>0.2</v>
      </c>
      <c r="BJ111" s="16">
        <v>0.22784810126582278</v>
      </c>
      <c r="BK111" s="21">
        <v>1.2857142857142858</v>
      </c>
      <c r="BL111" s="16">
        <v>0.32258064516129031</v>
      </c>
      <c r="BM111" s="16">
        <v>0.2857142857142857</v>
      </c>
      <c r="BN111" s="16">
        <v>0.4</v>
      </c>
      <c r="BO111" s="16" t="s">
        <v>269</v>
      </c>
      <c r="BP111" s="16">
        <v>0.82758620689655171</v>
      </c>
      <c r="BQ111" s="16">
        <v>1</v>
      </c>
      <c r="BR111" s="16">
        <v>0.72222222222222221</v>
      </c>
      <c r="BS111" s="16">
        <v>1</v>
      </c>
      <c r="BT111" s="16">
        <v>0.56666666666666665</v>
      </c>
      <c r="BU111" s="16">
        <v>8.8235294117647065E-2</v>
      </c>
      <c r="BV111" s="16">
        <v>3.5714285714285712E-2</v>
      </c>
      <c r="BW111" s="16">
        <v>7</v>
      </c>
      <c r="BX111" s="16">
        <v>0.41666666666666669</v>
      </c>
      <c r="BY111" s="16">
        <v>0.35294117647058826</v>
      </c>
      <c r="BZ111" s="12">
        <v>9</v>
      </c>
      <c r="CA111" s="12">
        <v>8</v>
      </c>
      <c r="CB111" s="12">
        <v>1</v>
      </c>
      <c r="CC111" s="12">
        <v>2</v>
      </c>
      <c r="CD111" s="12">
        <v>1</v>
      </c>
      <c r="CE111" s="12">
        <v>0</v>
      </c>
      <c r="CF111" s="12">
        <v>1</v>
      </c>
      <c r="CG111" s="12">
        <v>1</v>
      </c>
      <c r="CH111" s="12">
        <v>1</v>
      </c>
      <c r="CI111" s="12">
        <v>0</v>
      </c>
      <c r="CJ111" s="12">
        <v>2</v>
      </c>
      <c r="CK111" s="12">
        <v>0</v>
      </c>
      <c r="CL111" s="12">
        <v>5</v>
      </c>
      <c r="CM111" s="12">
        <v>1</v>
      </c>
      <c r="CN111" s="12">
        <v>0</v>
      </c>
      <c r="CO111" s="12">
        <v>0</v>
      </c>
      <c r="CP111" s="12">
        <v>3</v>
      </c>
      <c r="CQ111" s="12">
        <v>0</v>
      </c>
      <c r="CR111" s="12">
        <v>7</v>
      </c>
      <c r="CS111" s="12">
        <v>1</v>
      </c>
      <c r="CT111" s="12">
        <v>1</v>
      </c>
      <c r="CU111" s="12">
        <v>0</v>
      </c>
      <c r="CV111" s="12">
        <v>2</v>
      </c>
      <c r="CW111" s="12">
        <v>0</v>
      </c>
      <c r="CX111" s="12">
        <v>10</v>
      </c>
      <c r="CY111" s="12">
        <v>1</v>
      </c>
      <c r="CZ111" s="12">
        <v>1</v>
      </c>
      <c r="DA111" s="12">
        <v>0</v>
      </c>
      <c r="DB111" s="12">
        <v>0</v>
      </c>
      <c r="DC111" s="12">
        <v>0</v>
      </c>
      <c r="DD111" s="12">
        <v>1</v>
      </c>
      <c r="DE111" s="12">
        <v>1</v>
      </c>
      <c r="DF111" s="12">
        <v>7</v>
      </c>
      <c r="DG111" s="12">
        <v>8</v>
      </c>
      <c r="DH111" s="12">
        <v>0</v>
      </c>
      <c r="DI111" s="12">
        <v>2</v>
      </c>
      <c r="DJ111" s="12">
        <v>3</v>
      </c>
      <c r="DK111" s="12">
        <v>0</v>
      </c>
      <c r="DL111" s="12">
        <v>14</v>
      </c>
      <c r="DM111" s="12">
        <v>20</v>
      </c>
      <c r="DN111" s="12">
        <v>2</v>
      </c>
      <c r="DO111" s="12">
        <v>7</v>
      </c>
      <c r="DP111" s="12">
        <v>3</v>
      </c>
      <c r="DQ111" s="12">
        <v>6</v>
      </c>
      <c r="DR111" s="12">
        <v>0</v>
      </c>
      <c r="DS111" s="12">
        <v>3</v>
      </c>
      <c r="DT111" s="12">
        <v>9</v>
      </c>
      <c r="DU111" s="12">
        <v>25</v>
      </c>
      <c r="DV111" s="12">
        <v>0</v>
      </c>
      <c r="DW111" s="12">
        <v>0</v>
      </c>
      <c r="DX111" s="12">
        <v>74</v>
      </c>
      <c r="DY111" s="12">
        <v>15</v>
      </c>
      <c r="DZ111" s="12">
        <v>27</v>
      </c>
      <c r="EA111" s="16">
        <v>0.55555555555555558</v>
      </c>
      <c r="EB111" s="12">
        <v>12</v>
      </c>
      <c r="EC111" s="12">
        <v>29</v>
      </c>
      <c r="ED111" s="16">
        <v>0.41379310344827586</v>
      </c>
      <c r="EE111" s="12">
        <v>27</v>
      </c>
      <c r="EF111" s="12">
        <v>56</v>
      </c>
      <c r="EG111" s="16">
        <v>0.48214285714285715</v>
      </c>
      <c r="EH111" s="12">
        <v>8</v>
      </c>
      <c r="EI111" s="12">
        <v>10</v>
      </c>
      <c r="EJ111" s="16">
        <v>0.8</v>
      </c>
      <c r="EK111" s="12">
        <v>5</v>
      </c>
      <c r="EL111" s="12">
        <v>21</v>
      </c>
      <c r="EM111" s="12">
        <v>26</v>
      </c>
      <c r="EN111" s="12">
        <v>20</v>
      </c>
      <c r="EO111" s="12">
        <v>17</v>
      </c>
      <c r="EP111" s="12">
        <v>12</v>
      </c>
      <c r="EQ111" s="12">
        <v>5</v>
      </c>
      <c r="ER111" s="12">
        <v>13</v>
      </c>
      <c r="ES111" s="12">
        <v>4</v>
      </c>
      <c r="ET111" s="12">
        <v>2</v>
      </c>
      <c r="EU111" s="12">
        <v>78</v>
      </c>
      <c r="EV111" s="12">
        <v>-1</v>
      </c>
      <c r="EW111" s="12">
        <v>68</v>
      </c>
      <c r="EX111" s="12">
        <v>73</v>
      </c>
      <c r="EY111" s="12">
        <v>7</v>
      </c>
      <c r="EZ111" s="12">
        <v>8</v>
      </c>
      <c r="FA111" s="12">
        <v>10</v>
      </c>
      <c r="FB111" s="12">
        <v>2</v>
      </c>
      <c r="FC111" s="12">
        <v>5</v>
      </c>
      <c r="FD111" s="12">
        <v>0</v>
      </c>
      <c r="FE111" s="12">
        <v>0</v>
      </c>
      <c r="FF111" s="12">
        <v>0</v>
      </c>
      <c r="FG111" s="12">
        <v>0</v>
      </c>
      <c r="FH111" s="12">
        <v>0</v>
      </c>
      <c r="FI111" s="12">
        <v>0</v>
      </c>
      <c r="FJ111" s="12">
        <v>2</v>
      </c>
      <c r="FK111" s="12">
        <v>0</v>
      </c>
      <c r="FL111" s="12">
        <v>3</v>
      </c>
      <c r="FM111" s="12">
        <v>0</v>
      </c>
      <c r="FN111" s="12">
        <v>0</v>
      </c>
      <c r="FO111" s="12">
        <v>0</v>
      </c>
      <c r="FP111" s="12">
        <v>5</v>
      </c>
      <c r="FQ111" s="12">
        <v>0</v>
      </c>
      <c r="FR111" s="12">
        <v>4</v>
      </c>
      <c r="FS111" s="12">
        <v>0</v>
      </c>
      <c r="FT111" s="12">
        <v>1</v>
      </c>
      <c r="FU111" s="12">
        <v>0</v>
      </c>
      <c r="FV111" s="12">
        <v>1</v>
      </c>
      <c r="FW111" s="12">
        <v>0</v>
      </c>
      <c r="FX111" s="12">
        <v>10</v>
      </c>
      <c r="FY111" s="12">
        <v>1</v>
      </c>
      <c r="FZ111" s="12">
        <v>0</v>
      </c>
      <c r="GA111" s="12">
        <v>0</v>
      </c>
      <c r="GB111" s="12">
        <v>0</v>
      </c>
      <c r="GC111" s="12">
        <v>0</v>
      </c>
      <c r="GD111" s="12">
        <v>1</v>
      </c>
      <c r="GE111" s="12">
        <v>1</v>
      </c>
      <c r="GF111" s="12">
        <v>4</v>
      </c>
      <c r="GG111" s="12">
        <v>6</v>
      </c>
      <c r="GH111" s="12">
        <v>1</v>
      </c>
      <c r="GI111" s="12">
        <v>3</v>
      </c>
      <c r="GJ111" s="12">
        <v>3</v>
      </c>
      <c r="GK111" s="12">
        <v>0</v>
      </c>
      <c r="GL111" s="12">
        <v>12</v>
      </c>
      <c r="GM111" s="12">
        <v>15</v>
      </c>
      <c r="GN111" s="12">
        <v>3</v>
      </c>
      <c r="GO111" s="12">
        <v>11</v>
      </c>
      <c r="GP111" s="12">
        <v>0</v>
      </c>
      <c r="GQ111" s="12">
        <v>1</v>
      </c>
      <c r="GR111" s="12">
        <v>3</v>
      </c>
      <c r="GS111" s="12">
        <v>7</v>
      </c>
      <c r="GT111" s="12">
        <v>9</v>
      </c>
      <c r="GU111" s="12">
        <v>22</v>
      </c>
      <c r="GV111" s="12">
        <v>0</v>
      </c>
      <c r="GW111" s="12">
        <v>0</v>
      </c>
    </row>
    <row r="112" spans="2:205" ht="15" customHeight="1" x14ac:dyDescent="0.2">
      <c r="B112" s="12">
        <v>7</v>
      </c>
      <c r="C112" s="12" t="s">
        <v>277</v>
      </c>
      <c r="D112" s="12" t="s">
        <v>286</v>
      </c>
      <c r="E112" s="14" t="s">
        <v>279</v>
      </c>
      <c r="F112" s="14" t="s">
        <v>288</v>
      </c>
      <c r="G112" s="15">
        <v>45239</v>
      </c>
      <c r="H112" s="15" t="s">
        <v>268</v>
      </c>
      <c r="I112" s="12" t="s">
        <v>269</v>
      </c>
      <c r="J112" s="12" t="s">
        <v>270</v>
      </c>
      <c r="K112" s="12">
        <v>225</v>
      </c>
      <c r="L112" s="12">
        <v>82</v>
      </c>
      <c r="M112" s="12">
        <v>21</v>
      </c>
      <c r="N112" s="12">
        <v>41</v>
      </c>
      <c r="O112" s="16">
        <v>0.51219512195121952</v>
      </c>
      <c r="P112" s="12">
        <v>12</v>
      </c>
      <c r="Q112" s="12">
        <v>31</v>
      </c>
      <c r="R112" s="16">
        <v>0.38709677419354838</v>
      </c>
      <c r="S112" s="12">
        <v>33</v>
      </c>
      <c r="T112" s="12">
        <v>72</v>
      </c>
      <c r="U112" s="16">
        <v>0.45833333333333331</v>
      </c>
      <c r="V112" s="12">
        <v>4</v>
      </c>
      <c r="W112" s="12">
        <v>5</v>
      </c>
      <c r="X112" s="16">
        <v>0.8</v>
      </c>
      <c r="Y112" s="12">
        <v>9</v>
      </c>
      <c r="Z112" s="12">
        <v>25</v>
      </c>
      <c r="AA112" s="12">
        <v>34</v>
      </c>
      <c r="AB112" s="12">
        <v>18</v>
      </c>
      <c r="AC112" s="12">
        <v>11</v>
      </c>
      <c r="AD112" s="12">
        <v>7</v>
      </c>
      <c r="AE112" s="12">
        <v>2</v>
      </c>
      <c r="AF112" s="12">
        <v>4</v>
      </c>
      <c r="AG112" s="12">
        <v>22</v>
      </c>
      <c r="AH112" s="12">
        <v>17</v>
      </c>
      <c r="AI112" s="17">
        <v>83</v>
      </c>
      <c r="AJ112" s="12">
        <v>-4</v>
      </c>
      <c r="AK112" s="12">
        <v>76</v>
      </c>
      <c r="AL112" s="12">
        <v>85</v>
      </c>
      <c r="AM112" s="19">
        <v>0.96470588235294119</v>
      </c>
      <c r="AN112" s="19">
        <v>1.0117647058823529</v>
      </c>
      <c r="AO112" s="18">
        <v>107.89473684210526</v>
      </c>
      <c r="AP112" s="18">
        <v>113.1578947368421</v>
      </c>
      <c r="AQ112" s="18">
        <v>-5.2631578947368354</v>
      </c>
      <c r="AR112" s="53">
        <v>0.54166666666666663</v>
      </c>
      <c r="AS112" s="53">
        <v>0.55405405405405406</v>
      </c>
      <c r="AT112" s="16">
        <v>8.2352941176470587E-2</v>
      </c>
      <c r="AU112" s="19">
        <v>1.7142857142857142</v>
      </c>
      <c r="AV112" s="16">
        <v>0.37647058823529411</v>
      </c>
      <c r="AW112" s="19">
        <v>0.875</v>
      </c>
      <c r="AX112" s="16">
        <v>2.3529411764705882E-2</v>
      </c>
      <c r="AY112" s="19">
        <v>1</v>
      </c>
      <c r="AZ112" s="16">
        <v>3.5294117647058823E-2</v>
      </c>
      <c r="BA112" s="19">
        <v>1</v>
      </c>
      <c r="BB112" s="16">
        <v>0.31764705882352939</v>
      </c>
      <c r="BC112" s="21">
        <v>1.2222222222222223</v>
      </c>
      <c r="BD112" s="16">
        <v>2.3529411764705882E-2</v>
      </c>
      <c r="BE112" s="16">
        <v>0.12941176470588237</v>
      </c>
      <c r="BF112" s="16">
        <v>0.51428571428571423</v>
      </c>
      <c r="BG112" s="16">
        <v>0.42857142857142855</v>
      </c>
      <c r="BH112" s="16">
        <v>0.75</v>
      </c>
      <c r="BI112" s="16">
        <v>0</v>
      </c>
      <c r="BJ112" s="16">
        <v>0.21176470588235294</v>
      </c>
      <c r="BK112" s="21">
        <v>1.6363636363636365</v>
      </c>
      <c r="BL112" s="16">
        <v>0.23684210526315788</v>
      </c>
      <c r="BM112" s="16">
        <v>0.21052631578947367</v>
      </c>
      <c r="BN112" s="16">
        <v>0.17647058823529413</v>
      </c>
      <c r="BO112" s="16">
        <v>1</v>
      </c>
      <c r="BP112" s="16">
        <v>0.73529411764705888</v>
      </c>
      <c r="BQ112" s="16">
        <v>0.7</v>
      </c>
      <c r="BR112" s="16">
        <v>0.7142857142857143</v>
      </c>
      <c r="BS112" s="16">
        <v>1</v>
      </c>
      <c r="BT112" s="16">
        <v>0.47222222222222221</v>
      </c>
      <c r="BU112" s="16">
        <v>9.2105263157894732E-2</v>
      </c>
      <c r="BV112" s="16">
        <v>3.0303030303030304E-2</v>
      </c>
      <c r="BW112" s="16">
        <v>4</v>
      </c>
      <c r="BX112" s="16">
        <v>0.40909090909090912</v>
      </c>
      <c r="BY112" s="16">
        <v>0.17647058823529413</v>
      </c>
      <c r="BZ112" s="12">
        <v>9</v>
      </c>
      <c r="CA112" s="12">
        <v>9</v>
      </c>
      <c r="CB112" s="12">
        <v>0</v>
      </c>
      <c r="CC112" s="12">
        <v>0</v>
      </c>
      <c r="CD112" s="12">
        <v>0</v>
      </c>
      <c r="CE112" s="12">
        <v>0</v>
      </c>
      <c r="CF112" s="12">
        <v>4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3</v>
      </c>
      <c r="CM112" s="12">
        <v>0</v>
      </c>
      <c r="CN112" s="12">
        <v>1</v>
      </c>
      <c r="CO112" s="12">
        <v>0</v>
      </c>
      <c r="CP112" s="12">
        <v>2</v>
      </c>
      <c r="CQ112" s="12">
        <v>0</v>
      </c>
      <c r="CR112" s="12">
        <v>8</v>
      </c>
      <c r="CS112" s="12">
        <v>0</v>
      </c>
      <c r="CT112" s="12">
        <v>4</v>
      </c>
      <c r="CU112" s="12">
        <v>0</v>
      </c>
      <c r="CV112" s="12">
        <v>2</v>
      </c>
      <c r="CW112" s="12">
        <v>0</v>
      </c>
      <c r="CX112" s="12">
        <v>8</v>
      </c>
      <c r="CY112" s="12">
        <v>0</v>
      </c>
      <c r="CZ112" s="12">
        <v>1</v>
      </c>
      <c r="DA112" s="12">
        <v>0</v>
      </c>
      <c r="DB112" s="12">
        <v>0</v>
      </c>
      <c r="DC112" s="12">
        <v>0</v>
      </c>
      <c r="DD112" s="12">
        <v>1</v>
      </c>
      <c r="DE112" s="12">
        <v>1</v>
      </c>
      <c r="DF112" s="12">
        <v>3</v>
      </c>
      <c r="DG112" s="12">
        <v>4</v>
      </c>
      <c r="DH112" s="12">
        <v>0</v>
      </c>
      <c r="DI112" s="12">
        <v>0</v>
      </c>
      <c r="DJ112" s="12">
        <v>0</v>
      </c>
      <c r="DK112" s="12">
        <v>0</v>
      </c>
      <c r="DL112" s="12">
        <v>6</v>
      </c>
      <c r="DM112" s="12">
        <v>7</v>
      </c>
      <c r="DN112" s="12">
        <v>14</v>
      </c>
      <c r="DO112" s="12">
        <v>32</v>
      </c>
      <c r="DP112" s="12">
        <v>1</v>
      </c>
      <c r="DQ112" s="12">
        <v>2</v>
      </c>
      <c r="DR112" s="12">
        <v>1</v>
      </c>
      <c r="DS112" s="12">
        <v>3</v>
      </c>
      <c r="DT112" s="12">
        <v>11</v>
      </c>
      <c r="DU112" s="12">
        <v>27</v>
      </c>
      <c r="DV112" s="12">
        <v>0</v>
      </c>
      <c r="DW112" s="12">
        <v>1</v>
      </c>
      <c r="DX112" s="12">
        <v>86</v>
      </c>
      <c r="DY112" s="12">
        <v>21</v>
      </c>
      <c r="DZ112" s="12">
        <v>41</v>
      </c>
      <c r="EA112" s="16">
        <v>0.51219512195121952</v>
      </c>
      <c r="EB112" s="12">
        <v>10</v>
      </c>
      <c r="EC112" s="12">
        <v>25</v>
      </c>
      <c r="ED112" s="16">
        <v>0.4</v>
      </c>
      <c r="EE112" s="12">
        <v>31</v>
      </c>
      <c r="EF112" s="12">
        <v>66</v>
      </c>
      <c r="EG112" s="16">
        <v>0.46969696969696972</v>
      </c>
      <c r="EH112" s="12">
        <v>14</v>
      </c>
      <c r="EI112" s="12">
        <v>17</v>
      </c>
      <c r="EJ112" s="16">
        <v>0.82352941176470584</v>
      </c>
      <c r="EK112" s="12">
        <v>9</v>
      </c>
      <c r="EL112" s="12">
        <v>29</v>
      </c>
      <c r="EM112" s="12">
        <v>38</v>
      </c>
      <c r="EN112" s="12">
        <v>13</v>
      </c>
      <c r="EO112" s="12">
        <v>17</v>
      </c>
      <c r="EP112" s="12">
        <v>22</v>
      </c>
      <c r="EQ112" s="12">
        <v>7</v>
      </c>
      <c r="ER112" s="12">
        <v>11</v>
      </c>
      <c r="ES112" s="12">
        <v>4</v>
      </c>
      <c r="ET112" s="12">
        <v>2</v>
      </c>
      <c r="EU112" s="12">
        <v>102</v>
      </c>
      <c r="EV112" s="12">
        <v>4</v>
      </c>
      <c r="EW112" s="12">
        <v>76</v>
      </c>
      <c r="EX112" s="12">
        <v>85</v>
      </c>
      <c r="EY112" s="12">
        <v>7</v>
      </c>
      <c r="EZ112" s="12">
        <v>5</v>
      </c>
      <c r="FA112" s="12">
        <v>7</v>
      </c>
      <c r="FB112" s="12">
        <v>1</v>
      </c>
      <c r="FC112" s="12">
        <v>2</v>
      </c>
      <c r="FD112" s="12">
        <v>1</v>
      </c>
      <c r="FE112" s="12">
        <v>0</v>
      </c>
      <c r="FF112" s="12">
        <v>4</v>
      </c>
      <c r="FG112" s="12">
        <v>0</v>
      </c>
      <c r="FH112" s="12">
        <v>1</v>
      </c>
      <c r="FI112" s="12">
        <v>0</v>
      </c>
      <c r="FJ112" s="12">
        <v>0</v>
      </c>
      <c r="FK112" s="12">
        <v>0</v>
      </c>
      <c r="FL112" s="12">
        <v>3</v>
      </c>
      <c r="FM112" s="12">
        <v>1</v>
      </c>
      <c r="FN112" s="12">
        <v>0</v>
      </c>
      <c r="FO112" s="12">
        <v>0</v>
      </c>
      <c r="FP112" s="12">
        <v>0</v>
      </c>
      <c r="FQ112" s="12">
        <v>0</v>
      </c>
      <c r="FR112" s="12">
        <v>14</v>
      </c>
      <c r="FS112" s="12">
        <v>0</v>
      </c>
      <c r="FT112" s="12">
        <v>1</v>
      </c>
      <c r="FU112" s="12">
        <v>0</v>
      </c>
      <c r="FV112" s="12">
        <v>2</v>
      </c>
      <c r="FW112" s="12">
        <v>0</v>
      </c>
      <c r="FX112" s="12">
        <v>11</v>
      </c>
      <c r="FY112" s="12">
        <v>1</v>
      </c>
      <c r="FZ112" s="12">
        <v>0</v>
      </c>
      <c r="GA112" s="12">
        <v>0</v>
      </c>
      <c r="GB112" s="12">
        <v>0</v>
      </c>
      <c r="GC112" s="12">
        <v>0</v>
      </c>
      <c r="GD112" s="12">
        <v>1</v>
      </c>
      <c r="GE112" s="12">
        <v>1</v>
      </c>
      <c r="GF112" s="12">
        <v>13</v>
      </c>
      <c r="GG112" s="12">
        <v>16</v>
      </c>
      <c r="GH112" s="12">
        <v>1</v>
      </c>
      <c r="GI112" s="12">
        <v>0</v>
      </c>
      <c r="GJ112" s="12">
        <v>0</v>
      </c>
      <c r="GK112" s="12">
        <v>0</v>
      </c>
      <c r="GL112" s="12">
        <v>13</v>
      </c>
      <c r="GM112" s="12">
        <v>16</v>
      </c>
      <c r="GN112" s="12">
        <v>4</v>
      </c>
      <c r="GO112" s="12">
        <v>16</v>
      </c>
      <c r="GP112" s="12">
        <v>4</v>
      </c>
      <c r="GQ112" s="12">
        <v>9</v>
      </c>
      <c r="GR112" s="12">
        <v>2</v>
      </c>
      <c r="GS112" s="12">
        <v>4</v>
      </c>
      <c r="GT112" s="12">
        <v>8</v>
      </c>
      <c r="GU112" s="12">
        <v>21</v>
      </c>
      <c r="GV112" s="12">
        <v>0</v>
      </c>
      <c r="GW112" s="12">
        <v>0</v>
      </c>
    </row>
    <row r="113" spans="2:205" ht="15" customHeight="1" x14ac:dyDescent="0.2">
      <c r="B113" s="12">
        <v>7</v>
      </c>
      <c r="C113" s="12" t="s">
        <v>286</v>
      </c>
      <c r="D113" s="12" t="s">
        <v>277</v>
      </c>
      <c r="E113" s="14" t="s">
        <v>288</v>
      </c>
      <c r="F113" s="14" t="s">
        <v>279</v>
      </c>
      <c r="G113" s="15">
        <v>45239</v>
      </c>
      <c r="H113" s="15" t="s">
        <v>271</v>
      </c>
      <c r="I113" s="12" t="s">
        <v>269</v>
      </c>
      <c r="J113" s="12" t="s">
        <v>272</v>
      </c>
      <c r="K113" s="12">
        <v>225</v>
      </c>
      <c r="L113" s="12">
        <v>86</v>
      </c>
      <c r="M113" s="12">
        <v>21</v>
      </c>
      <c r="N113" s="12">
        <v>41</v>
      </c>
      <c r="O113" s="16">
        <v>0.51219512195121952</v>
      </c>
      <c r="P113" s="12">
        <v>10</v>
      </c>
      <c r="Q113" s="12">
        <v>25</v>
      </c>
      <c r="R113" s="16">
        <v>0.4</v>
      </c>
      <c r="S113" s="12">
        <v>31</v>
      </c>
      <c r="T113" s="12">
        <v>66</v>
      </c>
      <c r="U113" s="16">
        <v>0.46969696969696972</v>
      </c>
      <c r="V113" s="12">
        <v>14</v>
      </c>
      <c r="W113" s="12">
        <v>17</v>
      </c>
      <c r="X113" s="16">
        <v>0.82352941176470584</v>
      </c>
      <c r="Y113" s="12">
        <v>9</v>
      </c>
      <c r="Z113" s="12">
        <v>29</v>
      </c>
      <c r="AA113" s="12">
        <v>38</v>
      </c>
      <c r="AB113" s="12">
        <v>13</v>
      </c>
      <c r="AC113" s="12">
        <v>11</v>
      </c>
      <c r="AD113" s="12">
        <v>7</v>
      </c>
      <c r="AE113" s="12">
        <v>4</v>
      </c>
      <c r="AF113" s="12">
        <v>2</v>
      </c>
      <c r="AG113" s="12">
        <v>17</v>
      </c>
      <c r="AH113" s="12">
        <v>22</v>
      </c>
      <c r="AI113" s="17">
        <v>102</v>
      </c>
      <c r="AJ113" s="12">
        <v>4</v>
      </c>
      <c r="AK113" s="12">
        <v>76</v>
      </c>
      <c r="AL113" s="12">
        <v>85</v>
      </c>
      <c r="AM113" s="19">
        <v>1.0117647058823529</v>
      </c>
      <c r="AN113" s="19">
        <v>0.96470588235294119</v>
      </c>
      <c r="AO113" s="18">
        <v>113.1578947368421</v>
      </c>
      <c r="AP113" s="18">
        <v>107.89473684210526</v>
      </c>
      <c r="AQ113" s="18">
        <v>5.2631578947368354</v>
      </c>
      <c r="AR113" s="53">
        <v>0.54545454545454541</v>
      </c>
      <c r="AS113" s="53">
        <v>0.58108108108108103</v>
      </c>
      <c r="AT113" s="16">
        <v>0.18823529411764706</v>
      </c>
      <c r="AU113" s="19">
        <v>1.625</v>
      </c>
      <c r="AV113" s="16">
        <v>0.18823529411764706</v>
      </c>
      <c r="AW113" s="19">
        <v>0.5</v>
      </c>
      <c r="AX113" s="16">
        <v>0.10588235294117647</v>
      </c>
      <c r="AY113" s="19">
        <v>0.88888888888888884</v>
      </c>
      <c r="AZ113" s="16">
        <v>4.7058823529411764E-2</v>
      </c>
      <c r="BA113" s="19">
        <v>1.5</v>
      </c>
      <c r="BB113" s="16">
        <v>0.24705882352941178</v>
      </c>
      <c r="BC113" s="21">
        <v>1.1428571428571428</v>
      </c>
      <c r="BD113" s="16">
        <v>9.4117647058823528E-2</v>
      </c>
      <c r="BE113" s="16">
        <v>0.12941176470588237</v>
      </c>
      <c r="BF113" s="16">
        <v>0.34210526315789475</v>
      </c>
      <c r="BG113" s="16">
        <v>0.23809523809523808</v>
      </c>
      <c r="BH113" s="16">
        <v>0.7</v>
      </c>
      <c r="BI113" s="16">
        <v>0.14285714285714285</v>
      </c>
      <c r="BJ113" s="16">
        <v>0.15294117647058825</v>
      </c>
      <c r="BK113" s="21">
        <v>1.1818181818181819</v>
      </c>
      <c r="BL113" s="16">
        <v>0.26470588235294118</v>
      </c>
      <c r="BM113" s="16">
        <v>0.3</v>
      </c>
      <c r="BN113" s="16">
        <v>0.2857142857142857</v>
      </c>
      <c r="BO113" s="16">
        <v>0</v>
      </c>
      <c r="BP113" s="16">
        <v>0.76315789473684215</v>
      </c>
      <c r="BQ113" s="16">
        <v>0.78947368421052633</v>
      </c>
      <c r="BR113" s="16">
        <v>0.82352941176470584</v>
      </c>
      <c r="BS113" s="16">
        <v>0</v>
      </c>
      <c r="BT113" s="16">
        <v>0.52777777777777779</v>
      </c>
      <c r="BU113" s="16">
        <v>9.2105263157894732E-2</v>
      </c>
      <c r="BV113" s="16">
        <v>5.5555555555555552E-2</v>
      </c>
      <c r="BW113" s="16">
        <v>7</v>
      </c>
      <c r="BX113" s="16">
        <v>0.17647058823529413</v>
      </c>
      <c r="BY113" s="16">
        <v>0.40909090909090912</v>
      </c>
      <c r="BZ113" s="12">
        <v>5</v>
      </c>
      <c r="CA113" s="12">
        <v>7</v>
      </c>
      <c r="CB113" s="12">
        <v>1</v>
      </c>
      <c r="CC113" s="12">
        <v>2</v>
      </c>
      <c r="CD113" s="12">
        <v>1</v>
      </c>
      <c r="CE113" s="12">
        <v>0</v>
      </c>
      <c r="CF113" s="12">
        <v>4</v>
      </c>
      <c r="CG113" s="12">
        <v>0</v>
      </c>
      <c r="CH113" s="12">
        <v>1</v>
      </c>
      <c r="CI113" s="12">
        <v>0</v>
      </c>
      <c r="CJ113" s="12">
        <v>0</v>
      </c>
      <c r="CK113" s="12">
        <v>0</v>
      </c>
      <c r="CL113" s="12">
        <v>3</v>
      </c>
      <c r="CM113" s="12">
        <v>1</v>
      </c>
      <c r="CN113" s="12">
        <v>0</v>
      </c>
      <c r="CO113" s="12">
        <v>0</v>
      </c>
      <c r="CP113" s="12">
        <v>0</v>
      </c>
      <c r="CQ113" s="12">
        <v>0</v>
      </c>
      <c r="CR113" s="12">
        <v>14</v>
      </c>
      <c r="CS113" s="12">
        <v>0</v>
      </c>
      <c r="CT113" s="12">
        <v>1</v>
      </c>
      <c r="CU113" s="12">
        <v>0</v>
      </c>
      <c r="CV113" s="12">
        <v>2</v>
      </c>
      <c r="CW113" s="12">
        <v>0</v>
      </c>
      <c r="CX113" s="12">
        <v>11</v>
      </c>
      <c r="CY113" s="12">
        <v>1</v>
      </c>
      <c r="CZ113" s="12">
        <v>0</v>
      </c>
      <c r="DA113" s="12">
        <v>0</v>
      </c>
      <c r="DB113" s="12">
        <v>0</v>
      </c>
      <c r="DC113" s="12">
        <v>0</v>
      </c>
      <c r="DD113" s="12">
        <v>1</v>
      </c>
      <c r="DE113" s="12">
        <v>1</v>
      </c>
      <c r="DF113" s="12">
        <v>13</v>
      </c>
      <c r="DG113" s="12">
        <v>16</v>
      </c>
      <c r="DH113" s="12">
        <v>1</v>
      </c>
      <c r="DI113" s="12">
        <v>0</v>
      </c>
      <c r="DJ113" s="12">
        <v>0</v>
      </c>
      <c r="DK113" s="12">
        <v>0</v>
      </c>
      <c r="DL113" s="12">
        <v>13</v>
      </c>
      <c r="DM113" s="12">
        <v>16</v>
      </c>
      <c r="DN113" s="12">
        <v>4</v>
      </c>
      <c r="DO113" s="12">
        <v>16</v>
      </c>
      <c r="DP113" s="12">
        <v>4</v>
      </c>
      <c r="DQ113" s="12">
        <v>9</v>
      </c>
      <c r="DR113" s="12">
        <v>2</v>
      </c>
      <c r="DS113" s="12">
        <v>4</v>
      </c>
      <c r="DT113" s="12">
        <v>8</v>
      </c>
      <c r="DU113" s="12">
        <v>21</v>
      </c>
      <c r="DV113" s="12">
        <v>0</v>
      </c>
      <c r="DW113" s="12">
        <v>0</v>
      </c>
      <c r="DX113" s="12">
        <v>82</v>
      </c>
      <c r="DY113" s="12">
        <v>21</v>
      </c>
      <c r="DZ113" s="12">
        <v>41</v>
      </c>
      <c r="EA113" s="16">
        <v>0.51219512195121952</v>
      </c>
      <c r="EB113" s="12">
        <v>12</v>
      </c>
      <c r="EC113" s="12">
        <v>31</v>
      </c>
      <c r="ED113" s="16">
        <v>0.38709677419354838</v>
      </c>
      <c r="EE113" s="12">
        <v>33</v>
      </c>
      <c r="EF113" s="12">
        <v>72</v>
      </c>
      <c r="EG113" s="16">
        <v>0.45833333333333331</v>
      </c>
      <c r="EH113" s="12">
        <v>4</v>
      </c>
      <c r="EI113" s="12">
        <v>5</v>
      </c>
      <c r="EJ113" s="16">
        <v>0.8</v>
      </c>
      <c r="EK113" s="12">
        <v>9</v>
      </c>
      <c r="EL113" s="12">
        <v>25</v>
      </c>
      <c r="EM113" s="12">
        <v>34</v>
      </c>
      <c r="EN113" s="12">
        <v>18</v>
      </c>
      <c r="EO113" s="12">
        <v>22</v>
      </c>
      <c r="EP113" s="12">
        <v>17</v>
      </c>
      <c r="EQ113" s="12">
        <v>7</v>
      </c>
      <c r="ER113" s="12">
        <v>11</v>
      </c>
      <c r="ES113" s="12">
        <v>2</v>
      </c>
      <c r="ET113" s="12">
        <v>4</v>
      </c>
      <c r="EU113" s="12">
        <v>83</v>
      </c>
      <c r="EV113" s="12">
        <v>-4</v>
      </c>
      <c r="EW113" s="12">
        <v>76</v>
      </c>
      <c r="EX113" s="12">
        <v>85</v>
      </c>
      <c r="EY113" s="12">
        <v>4</v>
      </c>
      <c r="EZ113" s="12">
        <v>9</v>
      </c>
      <c r="FA113" s="12">
        <v>9</v>
      </c>
      <c r="FB113" s="12">
        <v>0</v>
      </c>
      <c r="FC113" s="12">
        <v>0</v>
      </c>
      <c r="FD113" s="12">
        <v>0</v>
      </c>
      <c r="FE113" s="12">
        <v>0</v>
      </c>
      <c r="FF113" s="12">
        <v>4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3</v>
      </c>
      <c r="FM113" s="12">
        <v>0</v>
      </c>
      <c r="FN113" s="12">
        <v>1</v>
      </c>
      <c r="FO113" s="12">
        <v>0</v>
      </c>
      <c r="FP113" s="12">
        <v>2</v>
      </c>
      <c r="FQ113" s="12">
        <v>0</v>
      </c>
      <c r="FR113" s="12">
        <v>8</v>
      </c>
      <c r="FS113" s="12">
        <v>0</v>
      </c>
      <c r="FT113" s="12">
        <v>4</v>
      </c>
      <c r="FU113" s="12">
        <v>0</v>
      </c>
      <c r="FV113" s="12">
        <v>2</v>
      </c>
      <c r="FW113" s="12">
        <v>0</v>
      </c>
      <c r="FX113" s="12">
        <v>8</v>
      </c>
      <c r="FY113" s="12">
        <v>0</v>
      </c>
      <c r="FZ113" s="12">
        <v>1</v>
      </c>
      <c r="GA113" s="12">
        <v>0</v>
      </c>
      <c r="GB113" s="12">
        <v>0</v>
      </c>
      <c r="GC113" s="12">
        <v>0</v>
      </c>
      <c r="GD113" s="12">
        <v>1</v>
      </c>
      <c r="GE113" s="12">
        <v>1</v>
      </c>
      <c r="GF113" s="12">
        <v>3</v>
      </c>
      <c r="GG113" s="12">
        <v>4</v>
      </c>
      <c r="GH113" s="12">
        <v>0</v>
      </c>
      <c r="GI113" s="12">
        <v>0</v>
      </c>
      <c r="GJ113" s="12">
        <v>0</v>
      </c>
      <c r="GK113" s="12">
        <v>0</v>
      </c>
      <c r="GL113" s="12">
        <v>6</v>
      </c>
      <c r="GM113" s="12">
        <v>7</v>
      </c>
      <c r="GN113" s="12">
        <v>14</v>
      </c>
      <c r="GO113" s="12">
        <v>32</v>
      </c>
      <c r="GP113" s="12">
        <v>1</v>
      </c>
      <c r="GQ113" s="12">
        <v>2</v>
      </c>
      <c r="GR113" s="12">
        <v>1</v>
      </c>
      <c r="GS113" s="12">
        <v>3</v>
      </c>
      <c r="GT113" s="12">
        <v>11</v>
      </c>
      <c r="GU113" s="12">
        <v>27</v>
      </c>
      <c r="GV113" s="12">
        <v>0</v>
      </c>
      <c r="GW113" s="12">
        <v>1</v>
      </c>
    </row>
    <row r="114" spans="2:205" ht="15" customHeight="1" x14ac:dyDescent="0.2">
      <c r="B114" s="12">
        <v>7</v>
      </c>
      <c r="C114" s="12" t="s">
        <v>282</v>
      </c>
      <c r="D114" s="12" t="s">
        <v>273</v>
      </c>
      <c r="E114" s="14" t="s">
        <v>284</v>
      </c>
      <c r="F114" s="14" t="s">
        <v>275</v>
      </c>
      <c r="G114" s="15">
        <v>45239</v>
      </c>
      <c r="H114" s="15" t="s">
        <v>271</v>
      </c>
      <c r="I114" s="12" t="s">
        <v>269</v>
      </c>
      <c r="J114" s="12" t="s">
        <v>272</v>
      </c>
      <c r="K114" s="12">
        <v>200</v>
      </c>
      <c r="L114" s="12">
        <v>93</v>
      </c>
      <c r="M114" s="12">
        <v>20</v>
      </c>
      <c r="N114" s="12">
        <v>34</v>
      </c>
      <c r="O114" s="16">
        <v>0.58823529411764708</v>
      </c>
      <c r="P114" s="12">
        <v>10</v>
      </c>
      <c r="Q114" s="12">
        <v>26</v>
      </c>
      <c r="R114" s="16">
        <v>0.38461538461538464</v>
      </c>
      <c r="S114" s="12">
        <v>30</v>
      </c>
      <c r="T114" s="12">
        <v>60</v>
      </c>
      <c r="U114" s="16">
        <v>0.5</v>
      </c>
      <c r="V114" s="12">
        <v>23</v>
      </c>
      <c r="W114" s="12">
        <v>25</v>
      </c>
      <c r="X114" s="16">
        <v>0.92</v>
      </c>
      <c r="Y114" s="12">
        <v>9</v>
      </c>
      <c r="Z114" s="12">
        <v>15</v>
      </c>
      <c r="AA114" s="12">
        <v>24</v>
      </c>
      <c r="AB114" s="12">
        <v>20</v>
      </c>
      <c r="AC114" s="12">
        <v>17</v>
      </c>
      <c r="AD114" s="12">
        <v>12</v>
      </c>
      <c r="AE114" s="12">
        <v>2</v>
      </c>
      <c r="AF114" s="12">
        <v>1</v>
      </c>
      <c r="AG114" s="12">
        <v>21</v>
      </c>
      <c r="AH114" s="12">
        <v>23</v>
      </c>
      <c r="AI114" s="17">
        <v>103</v>
      </c>
      <c r="AJ114" s="12">
        <v>3</v>
      </c>
      <c r="AK114" s="12">
        <v>80</v>
      </c>
      <c r="AL114" s="12">
        <v>89</v>
      </c>
      <c r="AM114" s="19">
        <v>1.0449438202247192</v>
      </c>
      <c r="AN114" s="19">
        <v>1.0112359550561798</v>
      </c>
      <c r="AO114" s="18">
        <v>116.25000000000001</v>
      </c>
      <c r="AP114" s="18">
        <v>111.11111111111111</v>
      </c>
      <c r="AQ114" s="18">
        <v>5.1388888888888999</v>
      </c>
      <c r="AR114" s="53">
        <v>0.58333333333333337</v>
      </c>
      <c r="AS114" s="53">
        <v>0.64583333333333337</v>
      </c>
      <c r="AT114" s="16">
        <v>0.12359550561797752</v>
      </c>
      <c r="AU114" s="19">
        <v>1.8181818181818181</v>
      </c>
      <c r="AV114" s="16">
        <v>0.19101123595505617</v>
      </c>
      <c r="AW114" s="19">
        <v>0.82352941176470584</v>
      </c>
      <c r="AX114" s="16">
        <v>6.741573033707865E-2</v>
      </c>
      <c r="AY114" s="19">
        <v>1</v>
      </c>
      <c r="AZ114" s="16">
        <v>0.10112359550561797</v>
      </c>
      <c r="BA114" s="19">
        <v>1</v>
      </c>
      <c r="BB114" s="16">
        <v>0.19101123595505617</v>
      </c>
      <c r="BC114" s="21">
        <v>1.2352941176470589</v>
      </c>
      <c r="BD114" s="16">
        <v>0.1348314606741573</v>
      </c>
      <c r="BE114" s="16">
        <v>0.19101123595505617</v>
      </c>
      <c r="BF114" s="16">
        <v>0.45238095238095238</v>
      </c>
      <c r="BG114" s="16">
        <v>0.3</v>
      </c>
      <c r="BH114" s="16">
        <v>0.9</v>
      </c>
      <c r="BI114" s="16">
        <v>0.33333333333333331</v>
      </c>
      <c r="BJ114" s="16">
        <v>0.2247191011235955</v>
      </c>
      <c r="BK114" s="21">
        <v>1.1764705882352942</v>
      </c>
      <c r="BL114" s="16">
        <v>0.3</v>
      </c>
      <c r="BM114" s="16">
        <v>0.3888888888888889</v>
      </c>
      <c r="BN114" s="16">
        <v>0.29411764705882354</v>
      </c>
      <c r="BO114" s="16" t="s">
        <v>269</v>
      </c>
      <c r="BP114" s="16">
        <v>0.65217391304347827</v>
      </c>
      <c r="BQ114" s="16">
        <v>0.46666666666666667</v>
      </c>
      <c r="BR114" s="16">
        <v>0.75</v>
      </c>
      <c r="BS114" s="16">
        <v>1</v>
      </c>
      <c r="BT114" s="16">
        <v>0.45283018867924529</v>
      </c>
      <c r="BU114" s="16">
        <v>0.14814814814814814</v>
      </c>
      <c r="BV114" s="16">
        <v>3.3898305084745763E-2</v>
      </c>
      <c r="BW114" s="16">
        <v>4</v>
      </c>
      <c r="BX114" s="16">
        <v>0.33333333333333331</v>
      </c>
      <c r="BY114" s="16">
        <v>0.52173913043478259</v>
      </c>
      <c r="BZ114" s="12">
        <v>6</v>
      </c>
      <c r="CA114" s="12">
        <v>9</v>
      </c>
      <c r="CB114" s="12">
        <v>4</v>
      </c>
      <c r="CC114" s="12">
        <v>8</v>
      </c>
      <c r="CD114" s="12">
        <v>0</v>
      </c>
      <c r="CE114" s="12">
        <v>0</v>
      </c>
      <c r="CF114" s="12">
        <v>3</v>
      </c>
      <c r="CG114" s="12">
        <v>2</v>
      </c>
      <c r="CH114" s="12">
        <v>1</v>
      </c>
      <c r="CI114" s="12">
        <v>1</v>
      </c>
      <c r="CJ114" s="12">
        <v>3</v>
      </c>
      <c r="CK114" s="12">
        <v>0</v>
      </c>
      <c r="CL114" s="12">
        <v>2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3</v>
      </c>
      <c r="CS114" s="12">
        <v>2</v>
      </c>
      <c r="CT114" s="12">
        <v>2</v>
      </c>
      <c r="CU114" s="12">
        <v>0</v>
      </c>
      <c r="CV114" s="12">
        <v>0</v>
      </c>
      <c r="CW114" s="12">
        <v>0</v>
      </c>
      <c r="CX114" s="12">
        <v>8</v>
      </c>
      <c r="CY114" s="12">
        <v>1</v>
      </c>
      <c r="CZ114" s="12">
        <v>2</v>
      </c>
      <c r="DA114" s="12">
        <v>0</v>
      </c>
      <c r="DB114" s="12">
        <v>1</v>
      </c>
      <c r="DC114" s="12">
        <v>1</v>
      </c>
      <c r="DD114" s="12">
        <v>0</v>
      </c>
      <c r="DE114" s="12">
        <v>0</v>
      </c>
      <c r="DF114" s="12">
        <v>22</v>
      </c>
      <c r="DG114" s="12">
        <v>24</v>
      </c>
      <c r="DH114" s="12">
        <v>0</v>
      </c>
      <c r="DI114" s="12">
        <v>0</v>
      </c>
      <c r="DJ114" s="12">
        <v>0</v>
      </c>
      <c r="DK114" s="12">
        <v>0</v>
      </c>
      <c r="DL114" s="12">
        <v>10</v>
      </c>
      <c r="DM114" s="12">
        <v>11</v>
      </c>
      <c r="DN114" s="12">
        <v>7</v>
      </c>
      <c r="DO114" s="12">
        <v>17</v>
      </c>
      <c r="DP114" s="12">
        <v>3</v>
      </c>
      <c r="DQ114" s="12">
        <v>6</v>
      </c>
      <c r="DR114" s="12">
        <v>3</v>
      </c>
      <c r="DS114" s="12">
        <v>9</v>
      </c>
      <c r="DT114" s="12">
        <v>7</v>
      </c>
      <c r="DU114" s="12">
        <v>17</v>
      </c>
      <c r="DV114" s="12">
        <v>0</v>
      </c>
      <c r="DW114" s="12">
        <v>0</v>
      </c>
      <c r="DX114" s="12">
        <v>90</v>
      </c>
      <c r="DY114" s="12">
        <v>27</v>
      </c>
      <c r="DZ114" s="12">
        <v>37</v>
      </c>
      <c r="EA114" s="16">
        <v>0.72972972972972971</v>
      </c>
      <c r="EB114" s="12">
        <v>9</v>
      </c>
      <c r="EC114" s="12">
        <v>22</v>
      </c>
      <c r="ED114" s="16">
        <v>0.40909090909090912</v>
      </c>
      <c r="EE114" s="12">
        <v>36</v>
      </c>
      <c r="EF114" s="12">
        <v>59</v>
      </c>
      <c r="EG114" s="16">
        <v>0.61016949152542377</v>
      </c>
      <c r="EH114" s="12">
        <v>9</v>
      </c>
      <c r="EI114" s="12">
        <v>14</v>
      </c>
      <c r="EJ114" s="16">
        <v>0.6428571428571429</v>
      </c>
      <c r="EK114" s="12">
        <v>8</v>
      </c>
      <c r="EL114" s="12">
        <v>21</v>
      </c>
      <c r="EM114" s="12">
        <v>29</v>
      </c>
      <c r="EN114" s="12">
        <v>14</v>
      </c>
      <c r="EO114" s="12">
        <v>24</v>
      </c>
      <c r="EP114" s="12">
        <v>21</v>
      </c>
      <c r="EQ114" s="12">
        <v>5</v>
      </c>
      <c r="ER114" s="12">
        <v>23</v>
      </c>
      <c r="ES114" s="12">
        <v>1</v>
      </c>
      <c r="ET114" s="12">
        <v>2</v>
      </c>
      <c r="EU114" s="12">
        <v>83</v>
      </c>
      <c r="EV114" s="12">
        <v>-3</v>
      </c>
      <c r="EW114" s="12">
        <v>81</v>
      </c>
      <c r="EX114" s="12">
        <v>89</v>
      </c>
      <c r="EY114" s="12">
        <v>3</v>
      </c>
      <c r="EZ114" s="12">
        <v>7</v>
      </c>
      <c r="FA114" s="12">
        <v>5</v>
      </c>
      <c r="FB114" s="12">
        <v>2</v>
      </c>
      <c r="FC114" s="12">
        <v>4</v>
      </c>
      <c r="FD114" s="12">
        <v>1</v>
      </c>
      <c r="FE114" s="12">
        <v>0</v>
      </c>
      <c r="FF114" s="12">
        <v>3</v>
      </c>
      <c r="FG114" s="12">
        <v>3</v>
      </c>
      <c r="FH114" s="12">
        <v>1</v>
      </c>
      <c r="FI114" s="12">
        <v>0</v>
      </c>
      <c r="FJ114" s="12">
        <v>0</v>
      </c>
      <c r="FK114" s="12">
        <v>0</v>
      </c>
      <c r="FL114" s="12">
        <v>3</v>
      </c>
      <c r="FM114" s="12">
        <v>0</v>
      </c>
      <c r="FN114" s="12">
        <v>0</v>
      </c>
      <c r="FO114" s="12">
        <v>0</v>
      </c>
      <c r="FP114" s="12">
        <v>1</v>
      </c>
      <c r="FQ114" s="12">
        <v>1</v>
      </c>
      <c r="FR114" s="12">
        <v>7</v>
      </c>
      <c r="FS114" s="12">
        <v>0</v>
      </c>
      <c r="FT114" s="12">
        <v>2</v>
      </c>
      <c r="FU114" s="12">
        <v>0</v>
      </c>
      <c r="FV114" s="12">
        <v>3</v>
      </c>
      <c r="FW114" s="12">
        <v>0</v>
      </c>
      <c r="FX114" s="12">
        <v>8</v>
      </c>
      <c r="FY114" s="12">
        <v>1</v>
      </c>
      <c r="FZ114" s="12">
        <v>0</v>
      </c>
      <c r="GA114" s="12">
        <v>0</v>
      </c>
      <c r="GB114" s="12">
        <v>0</v>
      </c>
      <c r="GC114" s="12">
        <v>0</v>
      </c>
      <c r="GD114" s="12">
        <v>0</v>
      </c>
      <c r="GE114" s="12">
        <v>0</v>
      </c>
      <c r="GF114" s="12">
        <v>9</v>
      </c>
      <c r="GG114" s="12">
        <v>14</v>
      </c>
      <c r="GH114" s="12">
        <v>0</v>
      </c>
      <c r="GI114" s="12">
        <v>0</v>
      </c>
      <c r="GJ114" s="12">
        <v>0</v>
      </c>
      <c r="GK114" s="12">
        <v>0</v>
      </c>
      <c r="GL114" s="12">
        <v>12</v>
      </c>
      <c r="GM114" s="12">
        <v>13</v>
      </c>
      <c r="GN114" s="12">
        <v>8</v>
      </c>
      <c r="GO114" s="12">
        <v>14</v>
      </c>
      <c r="GP114" s="12">
        <v>7</v>
      </c>
      <c r="GQ114" s="12">
        <v>10</v>
      </c>
      <c r="GR114" s="12">
        <v>1</v>
      </c>
      <c r="GS114" s="12">
        <v>1</v>
      </c>
      <c r="GT114" s="12">
        <v>8</v>
      </c>
      <c r="GU114" s="12">
        <v>20</v>
      </c>
      <c r="GV114" s="12">
        <v>0</v>
      </c>
      <c r="GW114" s="12">
        <v>1</v>
      </c>
    </row>
    <row r="115" spans="2:205" ht="15" customHeight="1" x14ac:dyDescent="0.2">
      <c r="B115" s="12">
        <v>7</v>
      </c>
      <c r="C115" s="12" t="s">
        <v>273</v>
      </c>
      <c r="D115" s="12" t="s">
        <v>282</v>
      </c>
      <c r="E115" s="14" t="s">
        <v>275</v>
      </c>
      <c r="F115" s="14" t="s">
        <v>284</v>
      </c>
      <c r="G115" s="15">
        <v>45239</v>
      </c>
      <c r="H115" s="15" t="s">
        <v>268</v>
      </c>
      <c r="I115" s="12" t="s">
        <v>269</v>
      </c>
      <c r="J115" s="12" t="s">
        <v>270</v>
      </c>
      <c r="K115" s="12">
        <v>200</v>
      </c>
      <c r="L115" s="12">
        <v>90</v>
      </c>
      <c r="M115" s="12">
        <v>27</v>
      </c>
      <c r="N115" s="12">
        <v>37</v>
      </c>
      <c r="O115" s="16">
        <v>0.72972972972972971</v>
      </c>
      <c r="P115" s="12">
        <v>9</v>
      </c>
      <c r="Q115" s="12">
        <v>22</v>
      </c>
      <c r="R115" s="16">
        <v>0.40909090909090912</v>
      </c>
      <c r="S115" s="12">
        <v>36</v>
      </c>
      <c r="T115" s="12">
        <v>59</v>
      </c>
      <c r="U115" s="16">
        <v>0.61016949152542377</v>
      </c>
      <c r="V115" s="12">
        <v>9</v>
      </c>
      <c r="W115" s="12">
        <v>14</v>
      </c>
      <c r="X115" s="16">
        <v>0.6428571428571429</v>
      </c>
      <c r="Y115" s="12">
        <v>8</v>
      </c>
      <c r="Z115" s="12">
        <v>21</v>
      </c>
      <c r="AA115" s="12">
        <v>29</v>
      </c>
      <c r="AB115" s="12">
        <v>14</v>
      </c>
      <c r="AC115" s="12">
        <v>23</v>
      </c>
      <c r="AD115" s="12">
        <v>5</v>
      </c>
      <c r="AE115" s="12">
        <v>1</v>
      </c>
      <c r="AF115" s="12">
        <v>2</v>
      </c>
      <c r="AG115" s="12">
        <v>23</v>
      </c>
      <c r="AH115" s="12">
        <v>21</v>
      </c>
      <c r="AI115" s="17">
        <v>84</v>
      </c>
      <c r="AJ115" s="12">
        <v>-3</v>
      </c>
      <c r="AK115" s="12">
        <v>81</v>
      </c>
      <c r="AL115" s="12">
        <v>89</v>
      </c>
      <c r="AM115" s="19">
        <v>1.0112359550561798</v>
      </c>
      <c r="AN115" s="19">
        <v>1.0449438202247192</v>
      </c>
      <c r="AO115" s="18">
        <v>111.11111111111111</v>
      </c>
      <c r="AP115" s="18">
        <v>116.25000000000001</v>
      </c>
      <c r="AQ115" s="18">
        <v>-5.1388888888888999</v>
      </c>
      <c r="AR115" s="53">
        <v>0.68644067796610164</v>
      </c>
      <c r="AS115" s="53">
        <v>0.68181818181818177</v>
      </c>
      <c r="AT115" s="16">
        <v>0.14606741573033707</v>
      </c>
      <c r="AU115" s="19">
        <v>1.8461538461538463</v>
      </c>
      <c r="AV115" s="16">
        <v>0.15730337078651685</v>
      </c>
      <c r="AW115" s="19">
        <v>1.1428571428571428</v>
      </c>
      <c r="AX115" s="16">
        <v>0.11235955056179775</v>
      </c>
      <c r="AY115" s="19">
        <v>1.4</v>
      </c>
      <c r="AZ115" s="16">
        <v>1.1235955056179775E-2</v>
      </c>
      <c r="BA115" s="19">
        <v>3</v>
      </c>
      <c r="BB115" s="16">
        <v>0.2247191011235955</v>
      </c>
      <c r="BC115" s="21">
        <v>1.2</v>
      </c>
      <c r="BD115" s="16">
        <v>7.8651685393258425E-2</v>
      </c>
      <c r="BE115" s="16">
        <v>0.25842696629213485</v>
      </c>
      <c r="BF115" s="16">
        <v>0.32558139534883723</v>
      </c>
      <c r="BG115" s="16">
        <v>0.25925925925925924</v>
      </c>
      <c r="BH115" s="16">
        <v>0.55555555555555558</v>
      </c>
      <c r="BI115" s="16">
        <v>0.2857142857142857</v>
      </c>
      <c r="BJ115" s="16">
        <v>0.15730337078651685</v>
      </c>
      <c r="BK115" s="21">
        <v>0.60869565217391308</v>
      </c>
      <c r="BL115" s="16">
        <v>0.34782608695652173</v>
      </c>
      <c r="BM115" s="16">
        <v>0.53333333333333333</v>
      </c>
      <c r="BN115" s="16">
        <v>0.25</v>
      </c>
      <c r="BO115" s="16">
        <v>0</v>
      </c>
      <c r="BP115" s="16">
        <v>0.7</v>
      </c>
      <c r="BQ115" s="16">
        <v>0.61111111111111116</v>
      </c>
      <c r="BR115" s="16">
        <v>0.70588235294117652</v>
      </c>
      <c r="BS115" s="16" t="s">
        <v>269</v>
      </c>
      <c r="BT115" s="16">
        <v>0.54716981132075471</v>
      </c>
      <c r="BU115" s="16">
        <v>6.25E-2</v>
      </c>
      <c r="BV115" s="16">
        <v>1.6666666666666666E-2</v>
      </c>
      <c r="BW115" s="16">
        <v>3</v>
      </c>
      <c r="BX115" s="16">
        <v>0.52173913043478259</v>
      </c>
      <c r="BY115" s="16">
        <v>0.33333333333333331</v>
      </c>
      <c r="BZ115" s="12">
        <v>7</v>
      </c>
      <c r="CA115" s="12">
        <v>5</v>
      </c>
      <c r="CB115" s="12">
        <v>2</v>
      </c>
      <c r="CC115" s="12">
        <v>4</v>
      </c>
      <c r="CD115" s="12">
        <v>1</v>
      </c>
      <c r="CE115" s="12">
        <v>0</v>
      </c>
      <c r="CF115" s="12">
        <v>3</v>
      </c>
      <c r="CG115" s="12">
        <v>3</v>
      </c>
      <c r="CH115" s="12">
        <v>1</v>
      </c>
      <c r="CI115" s="12">
        <v>0</v>
      </c>
      <c r="CJ115" s="12">
        <v>0</v>
      </c>
      <c r="CK115" s="12">
        <v>0</v>
      </c>
      <c r="CL115" s="12">
        <v>3</v>
      </c>
      <c r="CM115" s="12">
        <v>0</v>
      </c>
      <c r="CN115" s="12">
        <v>0</v>
      </c>
      <c r="CO115" s="12">
        <v>0</v>
      </c>
      <c r="CP115" s="12">
        <v>1</v>
      </c>
      <c r="CQ115" s="12">
        <v>1</v>
      </c>
      <c r="CR115" s="12">
        <v>7</v>
      </c>
      <c r="CS115" s="12">
        <v>0</v>
      </c>
      <c r="CT115" s="12">
        <v>2</v>
      </c>
      <c r="CU115" s="12">
        <v>0</v>
      </c>
      <c r="CV115" s="12">
        <v>3</v>
      </c>
      <c r="CW115" s="12">
        <v>0</v>
      </c>
      <c r="CX115" s="12">
        <v>8</v>
      </c>
      <c r="CY115" s="12">
        <v>1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9</v>
      </c>
      <c r="DG115" s="12">
        <v>14</v>
      </c>
      <c r="DH115" s="12">
        <v>0</v>
      </c>
      <c r="DI115" s="12">
        <v>0</v>
      </c>
      <c r="DJ115" s="12">
        <v>0</v>
      </c>
      <c r="DK115" s="12">
        <v>0</v>
      </c>
      <c r="DL115" s="12">
        <v>12</v>
      </c>
      <c r="DM115" s="12">
        <v>13</v>
      </c>
      <c r="DN115" s="12">
        <v>8</v>
      </c>
      <c r="DO115" s="12">
        <v>14</v>
      </c>
      <c r="DP115" s="12">
        <v>7</v>
      </c>
      <c r="DQ115" s="12">
        <v>10</v>
      </c>
      <c r="DR115" s="12">
        <v>1</v>
      </c>
      <c r="DS115" s="12">
        <v>1</v>
      </c>
      <c r="DT115" s="12">
        <v>8</v>
      </c>
      <c r="DU115" s="12">
        <v>20</v>
      </c>
      <c r="DV115" s="12">
        <v>0</v>
      </c>
      <c r="DW115" s="12">
        <v>1</v>
      </c>
      <c r="DX115" s="12">
        <v>93</v>
      </c>
      <c r="DY115" s="12">
        <v>20</v>
      </c>
      <c r="DZ115" s="12">
        <v>34</v>
      </c>
      <c r="EA115" s="16">
        <v>0.58823529411764708</v>
      </c>
      <c r="EB115" s="12">
        <v>10</v>
      </c>
      <c r="EC115" s="12">
        <v>26</v>
      </c>
      <c r="ED115" s="16">
        <v>0.38461538461538464</v>
      </c>
      <c r="EE115" s="12">
        <v>30</v>
      </c>
      <c r="EF115" s="12">
        <v>60</v>
      </c>
      <c r="EG115" s="16">
        <v>0.5</v>
      </c>
      <c r="EH115" s="12">
        <v>23</v>
      </c>
      <c r="EI115" s="12">
        <v>25</v>
      </c>
      <c r="EJ115" s="16">
        <v>0.92</v>
      </c>
      <c r="EK115" s="12">
        <v>9</v>
      </c>
      <c r="EL115" s="12">
        <v>15</v>
      </c>
      <c r="EM115" s="12">
        <v>24</v>
      </c>
      <c r="EN115" s="12">
        <v>20</v>
      </c>
      <c r="EO115" s="12">
        <v>21</v>
      </c>
      <c r="EP115" s="12">
        <v>23</v>
      </c>
      <c r="EQ115" s="12">
        <v>12</v>
      </c>
      <c r="ER115" s="12">
        <v>17</v>
      </c>
      <c r="ES115" s="12">
        <v>2</v>
      </c>
      <c r="ET115" s="12">
        <v>1</v>
      </c>
      <c r="EU115" s="12">
        <v>103</v>
      </c>
      <c r="EV115" s="12">
        <v>3</v>
      </c>
      <c r="EW115" s="12">
        <v>80</v>
      </c>
      <c r="EX115" s="12">
        <v>89</v>
      </c>
      <c r="EY115" s="12">
        <v>4</v>
      </c>
      <c r="EZ115" s="12">
        <v>6</v>
      </c>
      <c r="FA115" s="12">
        <v>9</v>
      </c>
      <c r="FB115" s="12">
        <v>4</v>
      </c>
      <c r="FC115" s="12">
        <v>8</v>
      </c>
      <c r="FD115" s="12">
        <v>0</v>
      </c>
      <c r="FE115" s="12">
        <v>0</v>
      </c>
      <c r="FF115" s="12">
        <v>3</v>
      </c>
      <c r="FG115" s="12">
        <v>2</v>
      </c>
      <c r="FH115" s="12">
        <v>1</v>
      </c>
      <c r="FI115" s="12">
        <v>1</v>
      </c>
      <c r="FJ115" s="12">
        <v>3</v>
      </c>
      <c r="FK115" s="12">
        <v>0</v>
      </c>
      <c r="FL115" s="12">
        <v>2</v>
      </c>
      <c r="FM115" s="12">
        <v>0</v>
      </c>
      <c r="FN115" s="12">
        <v>0</v>
      </c>
      <c r="FO115" s="12">
        <v>0</v>
      </c>
      <c r="FP115" s="12">
        <v>0</v>
      </c>
      <c r="FQ115" s="12">
        <v>0</v>
      </c>
      <c r="FR115" s="12">
        <v>3</v>
      </c>
      <c r="FS115" s="12">
        <v>2</v>
      </c>
      <c r="FT115" s="12">
        <v>2</v>
      </c>
      <c r="FU115" s="12">
        <v>0</v>
      </c>
      <c r="FV115" s="12">
        <v>0</v>
      </c>
      <c r="FW115" s="12">
        <v>0</v>
      </c>
      <c r="FX115" s="12">
        <v>8</v>
      </c>
      <c r="FY115" s="12">
        <v>1</v>
      </c>
      <c r="FZ115" s="12">
        <v>2</v>
      </c>
      <c r="GA115" s="12">
        <v>0</v>
      </c>
      <c r="GB115" s="12">
        <v>1</v>
      </c>
      <c r="GC115" s="12">
        <v>1</v>
      </c>
      <c r="GD115" s="12">
        <v>0</v>
      </c>
      <c r="GE115" s="12">
        <v>0</v>
      </c>
      <c r="GF115" s="12">
        <v>22</v>
      </c>
      <c r="GG115" s="12">
        <v>24</v>
      </c>
      <c r="GH115" s="12">
        <v>0</v>
      </c>
      <c r="GI115" s="12">
        <v>0</v>
      </c>
      <c r="GJ115" s="12">
        <v>0</v>
      </c>
      <c r="GK115" s="12">
        <v>0</v>
      </c>
      <c r="GL115" s="12">
        <v>10</v>
      </c>
      <c r="GM115" s="12">
        <v>11</v>
      </c>
      <c r="GN115" s="12">
        <v>7</v>
      </c>
      <c r="GO115" s="12">
        <v>17</v>
      </c>
      <c r="GP115" s="12">
        <v>3</v>
      </c>
      <c r="GQ115" s="12">
        <v>6</v>
      </c>
      <c r="GR115" s="12">
        <v>3</v>
      </c>
      <c r="GS115" s="12">
        <v>9</v>
      </c>
      <c r="GT115" s="12">
        <v>7</v>
      </c>
      <c r="GU115" s="12">
        <v>17</v>
      </c>
      <c r="GV115" s="12">
        <v>0</v>
      </c>
      <c r="GW115" s="12">
        <v>0</v>
      </c>
    </row>
    <row r="116" spans="2:205" ht="15" customHeight="1" x14ac:dyDescent="0.2">
      <c r="B116" s="12">
        <v>7</v>
      </c>
      <c r="C116" s="12" t="s">
        <v>289</v>
      </c>
      <c r="D116" s="12" t="s">
        <v>93</v>
      </c>
      <c r="E116" s="14" t="s">
        <v>291</v>
      </c>
      <c r="F116" s="14" t="s">
        <v>303</v>
      </c>
      <c r="G116" s="15">
        <v>45239</v>
      </c>
      <c r="H116" s="15" t="s">
        <v>268</v>
      </c>
      <c r="I116" s="12" t="s">
        <v>269</v>
      </c>
      <c r="J116" s="12" t="s">
        <v>270</v>
      </c>
      <c r="K116" s="12">
        <v>200</v>
      </c>
      <c r="L116" s="12">
        <v>52</v>
      </c>
      <c r="M116" s="12">
        <v>9</v>
      </c>
      <c r="N116" s="12">
        <v>32</v>
      </c>
      <c r="O116" s="16">
        <v>0.28125</v>
      </c>
      <c r="P116" s="12">
        <v>7</v>
      </c>
      <c r="Q116" s="12">
        <v>24</v>
      </c>
      <c r="R116" s="16">
        <v>0.29166666666666669</v>
      </c>
      <c r="S116" s="12">
        <v>16</v>
      </c>
      <c r="T116" s="12">
        <v>56</v>
      </c>
      <c r="U116" s="16">
        <v>0.2857142857142857</v>
      </c>
      <c r="V116" s="12">
        <v>13</v>
      </c>
      <c r="W116" s="12">
        <v>16</v>
      </c>
      <c r="X116" s="16">
        <v>0.8125</v>
      </c>
      <c r="Y116" s="12">
        <v>11</v>
      </c>
      <c r="Z116" s="12">
        <v>26</v>
      </c>
      <c r="AA116" s="12">
        <v>37</v>
      </c>
      <c r="AB116" s="12">
        <v>14</v>
      </c>
      <c r="AC116" s="12">
        <v>19</v>
      </c>
      <c r="AD116" s="12">
        <v>7</v>
      </c>
      <c r="AE116" s="12">
        <v>1</v>
      </c>
      <c r="AF116" s="12">
        <v>5</v>
      </c>
      <c r="AG116" s="12">
        <v>19</v>
      </c>
      <c r="AH116" s="12">
        <v>16</v>
      </c>
      <c r="AI116" s="17">
        <v>41</v>
      </c>
      <c r="AJ116" s="12">
        <v>-31</v>
      </c>
      <c r="AK116" s="12">
        <v>71</v>
      </c>
      <c r="AL116" s="12">
        <v>82</v>
      </c>
      <c r="AM116" s="19">
        <v>0.63414634146341464</v>
      </c>
      <c r="AN116" s="19">
        <v>1.0121951219512195</v>
      </c>
      <c r="AO116" s="18">
        <v>73.239436619718319</v>
      </c>
      <c r="AP116" s="18">
        <v>116.90140845070422</v>
      </c>
      <c r="AQ116" s="18">
        <v>-43.661971830985905</v>
      </c>
      <c r="AR116" s="53">
        <v>0.3482142857142857</v>
      </c>
      <c r="AS116" s="53">
        <v>0.41269841269841268</v>
      </c>
      <c r="AT116" s="16">
        <v>0.10975609756097561</v>
      </c>
      <c r="AU116" s="19">
        <v>1.3333333333333333</v>
      </c>
      <c r="AV116" s="16">
        <v>0.24390243902439024</v>
      </c>
      <c r="AW116" s="19">
        <v>0.3</v>
      </c>
      <c r="AX116" s="16">
        <v>3.6585365853658534E-2</v>
      </c>
      <c r="AY116" s="19">
        <v>0</v>
      </c>
      <c r="AZ116" s="16">
        <v>2.4390243902439025E-2</v>
      </c>
      <c r="BA116" s="19">
        <v>0</v>
      </c>
      <c r="BB116" s="16">
        <v>0.26829268292682928</v>
      </c>
      <c r="BC116" s="21">
        <v>0.95454545454545459</v>
      </c>
      <c r="BD116" s="16">
        <v>8.5365853658536592E-2</v>
      </c>
      <c r="BE116" s="16">
        <v>0.23170731707317074</v>
      </c>
      <c r="BF116" s="16">
        <v>0.60869565217391308</v>
      </c>
      <c r="BG116" s="16">
        <v>0.66666666666666663</v>
      </c>
      <c r="BH116" s="16">
        <v>0.8571428571428571</v>
      </c>
      <c r="BI116" s="16">
        <v>0.2857142857142857</v>
      </c>
      <c r="BJ116" s="16">
        <v>0.17073170731707318</v>
      </c>
      <c r="BK116" s="21">
        <v>0.73684210526315785</v>
      </c>
      <c r="BL116" s="16">
        <v>0.27500000000000002</v>
      </c>
      <c r="BM116" s="16">
        <v>0.17391304347826086</v>
      </c>
      <c r="BN116" s="16">
        <v>0.47619047619047616</v>
      </c>
      <c r="BO116" s="16" t="s">
        <v>269</v>
      </c>
      <c r="BP116" s="16">
        <v>0.70270270270270274</v>
      </c>
      <c r="BQ116" s="16">
        <v>0.8</v>
      </c>
      <c r="BR116" s="16">
        <v>0.65</v>
      </c>
      <c r="BS116" s="16">
        <v>0.4</v>
      </c>
      <c r="BT116" s="16">
        <v>0.48051948051948051</v>
      </c>
      <c r="BU116" s="16">
        <v>9.8591549295774641E-2</v>
      </c>
      <c r="BV116" s="16">
        <v>1.5384615384615385E-2</v>
      </c>
      <c r="BW116" s="16">
        <v>4</v>
      </c>
      <c r="BX116" s="16">
        <v>0.42105263157894735</v>
      </c>
      <c r="BY116" s="16">
        <v>0.5</v>
      </c>
      <c r="BZ116" s="12">
        <v>6</v>
      </c>
      <c r="CA116" s="12">
        <v>6</v>
      </c>
      <c r="CB116" s="12">
        <v>2</v>
      </c>
      <c r="CC116" s="12">
        <v>4</v>
      </c>
      <c r="CD116" s="12">
        <v>2</v>
      </c>
      <c r="CE116" s="12">
        <v>0</v>
      </c>
      <c r="CF116" s="12">
        <v>2</v>
      </c>
      <c r="CG116" s="12">
        <v>0</v>
      </c>
      <c r="CH116" s="12">
        <v>0</v>
      </c>
      <c r="CI116" s="12">
        <v>0</v>
      </c>
      <c r="CJ116" s="12">
        <v>2</v>
      </c>
      <c r="CK116" s="12">
        <v>1</v>
      </c>
      <c r="CL116" s="12">
        <v>5</v>
      </c>
      <c r="CM116" s="12">
        <v>2</v>
      </c>
      <c r="CN116" s="12">
        <v>0</v>
      </c>
      <c r="CO116" s="12">
        <v>0</v>
      </c>
      <c r="CP116" s="12">
        <v>4</v>
      </c>
      <c r="CQ116" s="12">
        <v>0</v>
      </c>
      <c r="CR116" s="12">
        <v>5</v>
      </c>
      <c r="CS116" s="12">
        <v>0</v>
      </c>
      <c r="CT116" s="12">
        <v>3</v>
      </c>
      <c r="CU116" s="12">
        <v>0</v>
      </c>
      <c r="CV116" s="12">
        <v>1</v>
      </c>
      <c r="CW116" s="12">
        <v>0</v>
      </c>
      <c r="CX116" s="12">
        <v>11</v>
      </c>
      <c r="CY116" s="12">
        <v>1</v>
      </c>
      <c r="CZ116" s="12">
        <v>2</v>
      </c>
      <c r="DA116" s="12">
        <v>0</v>
      </c>
      <c r="DB116" s="12">
        <v>0</v>
      </c>
      <c r="DC116" s="12">
        <v>0</v>
      </c>
      <c r="DD116" s="12">
        <v>1</v>
      </c>
      <c r="DE116" s="12">
        <v>1</v>
      </c>
      <c r="DF116" s="12">
        <v>9</v>
      </c>
      <c r="DG116" s="12">
        <v>12</v>
      </c>
      <c r="DH116" s="12">
        <v>0</v>
      </c>
      <c r="DI116" s="12">
        <v>3</v>
      </c>
      <c r="DJ116" s="12">
        <v>3</v>
      </c>
      <c r="DK116" s="12">
        <v>0</v>
      </c>
      <c r="DL116" s="12">
        <v>6</v>
      </c>
      <c r="DM116" s="12">
        <v>9</v>
      </c>
      <c r="DN116" s="12">
        <v>3</v>
      </c>
      <c r="DO116" s="12">
        <v>20</v>
      </c>
      <c r="DP116" s="12">
        <v>0</v>
      </c>
      <c r="DQ116" s="12">
        <v>3</v>
      </c>
      <c r="DR116" s="12">
        <v>0</v>
      </c>
      <c r="DS116" s="12">
        <v>2</v>
      </c>
      <c r="DT116" s="12">
        <v>7</v>
      </c>
      <c r="DU116" s="12">
        <v>22</v>
      </c>
      <c r="DV116" s="12">
        <v>0</v>
      </c>
      <c r="DW116" s="12">
        <v>0</v>
      </c>
      <c r="DX116" s="12">
        <v>83</v>
      </c>
      <c r="DY116" s="12">
        <v>19</v>
      </c>
      <c r="DZ116" s="12">
        <v>34</v>
      </c>
      <c r="EA116" s="16">
        <v>0.55882352941176472</v>
      </c>
      <c r="EB116" s="12">
        <v>12</v>
      </c>
      <c r="EC116" s="12">
        <v>31</v>
      </c>
      <c r="ED116" s="16">
        <v>0.38709677419354838</v>
      </c>
      <c r="EE116" s="12">
        <v>31</v>
      </c>
      <c r="EF116" s="12">
        <v>65</v>
      </c>
      <c r="EG116" s="16">
        <v>0.47692307692307695</v>
      </c>
      <c r="EH116" s="12">
        <v>9</v>
      </c>
      <c r="EI116" s="12">
        <v>13</v>
      </c>
      <c r="EJ116" s="16">
        <v>0.69230769230769229</v>
      </c>
      <c r="EK116" s="12">
        <v>11</v>
      </c>
      <c r="EL116" s="12">
        <v>29</v>
      </c>
      <c r="EM116" s="12">
        <v>40</v>
      </c>
      <c r="EN116" s="12">
        <v>17</v>
      </c>
      <c r="EO116" s="12">
        <v>16</v>
      </c>
      <c r="EP116" s="12">
        <v>19</v>
      </c>
      <c r="EQ116" s="12">
        <v>12</v>
      </c>
      <c r="ER116" s="12">
        <v>12</v>
      </c>
      <c r="ES116" s="12">
        <v>5</v>
      </c>
      <c r="ET116" s="12">
        <v>1</v>
      </c>
      <c r="EU116" s="12">
        <v>109</v>
      </c>
      <c r="EV116" s="12">
        <v>31</v>
      </c>
      <c r="EW116" s="12">
        <v>71</v>
      </c>
      <c r="EX116" s="12">
        <v>82</v>
      </c>
      <c r="EY116" s="12">
        <v>9</v>
      </c>
      <c r="EZ116" s="12">
        <v>7</v>
      </c>
      <c r="FA116" s="12">
        <v>9</v>
      </c>
      <c r="FB116" s="12">
        <v>1</v>
      </c>
      <c r="FC116" s="12">
        <v>2</v>
      </c>
      <c r="FD116" s="12">
        <v>0</v>
      </c>
      <c r="FE116" s="12">
        <v>0</v>
      </c>
      <c r="FF116" s="12">
        <v>3</v>
      </c>
      <c r="FG116" s="12">
        <v>0</v>
      </c>
      <c r="FH116" s="12">
        <v>0</v>
      </c>
      <c r="FI116" s="12">
        <v>0</v>
      </c>
      <c r="FJ116" s="12">
        <v>0</v>
      </c>
      <c r="FK116" s="12">
        <v>0</v>
      </c>
      <c r="FL116" s="12">
        <v>6</v>
      </c>
      <c r="FM116" s="12">
        <v>1</v>
      </c>
      <c r="FN116" s="12">
        <v>2</v>
      </c>
      <c r="FO116" s="12">
        <v>1</v>
      </c>
      <c r="FP116" s="12">
        <v>1</v>
      </c>
      <c r="FQ116" s="12">
        <v>0</v>
      </c>
      <c r="FR116" s="12">
        <v>15</v>
      </c>
      <c r="FS116" s="12">
        <v>0</v>
      </c>
      <c r="FT116" s="12">
        <v>3</v>
      </c>
      <c r="FU116" s="12">
        <v>0</v>
      </c>
      <c r="FV116" s="12">
        <v>0</v>
      </c>
      <c r="FW116" s="12">
        <v>0</v>
      </c>
      <c r="FX116" s="12">
        <v>10</v>
      </c>
      <c r="FY116" s="12">
        <v>1</v>
      </c>
      <c r="FZ116" s="12">
        <v>0</v>
      </c>
      <c r="GA116" s="12">
        <v>0</v>
      </c>
      <c r="GB116" s="12">
        <v>0</v>
      </c>
      <c r="GC116" s="12">
        <v>0</v>
      </c>
      <c r="GD116" s="12">
        <v>0</v>
      </c>
      <c r="GE116" s="12">
        <v>3</v>
      </c>
      <c r="GF116" s="12">
        <v>9</v>
      </c>
      <c r="GG116" s="12">
        <v>10</v>
      </c>
      <c r="GH116" s="12">
        <v>0</v>
      </c>
      <c r="GI116" s="12">
        <v>0</v>
      </c>
      <c r="GJ116" s="12">
        <v>0</v>
      </c>
      <c r="GK116" s="12">
        <v>0</v>
      </c>
      <c r="GL116" s="12">
        <v>13</v>
      </c>
      <c r="GM116" s="12">
        <v>17</v>
      </c>
      <c r="GN116" s="12">
        <v>6</v>
      </c>
      <c r="GO116" s="12">
        <v>14</v>
      </c>
      <c r="GP116" s="12">
        <v>0</v>
      </c>
      <c r="GQ116" s="12">
        <v>3</v>
      </c>
      <c r="GR116" s="12">
        <v>2</v>
      </c>
      <c r="GS116" s="12">
        <v>3</v>
      </c>
      <c r="GT116" s="12">
        <v>10</v>
      </c>
      <c r="GU116" s="12">
        <v>27</v>
      </c>
      <c r="GV116" s="12">
        <v>0</v>
      </c>
      <c r="GW116" s="12">
        <v>1</v>
      </c>
    </row>
    <row r="117" spans="2:205" ht="15" customHeight="1" x14ac:dyDescent="0.2">
      <c r="B117" s="12">
        <v>7</v>
      </c>
      <c r="C117" s="12" t="s">
        <v>93</v>
      </c>
      <c r="D117" s="12" t="s">
        <v>289</v>
      </c>
      <c r="E117" s="14" t="s">
        <v>303</v>
      </c>
      <c r="F117" s="14" t="s">
        <v>291</v>
      </c>
      <c r="G117" s="15">
        <v>45239</v>
      </c>
      <c r="H117" s="15" t="s">
        <v>271</v>
      </c>
      <c r="I117" s="12" t="s">
        <v>269</v>
      </c>
      <c r="J117" s="12" t="s">
        <v>272</v>
      </c>
      <c r="K117" s="12">
        <v>200</v>
      </c>
      <c r="L117" s="12">
        <v>83</v>
      </c>
      <c r="M117" s="12">
        <v>19</v>
      </c>
      <c r="N117" s="12">
        <v>34</v>
      </c>
      <c r="O117" s="16">
        <v>0.55882352941176472</v>
      </c>
      <c r="P117" s="12">
        <v>12</v>
      </c>
      <c r="Q117" s="12">
        <v>31</v>
      </c>
      <c r="R117" s="16">
        <v>0.38709677419354838</v>
      </c>
      <c r="S117" s="12">
        <v>31</v>
      </c>
      <c r="T117" s="12">
        <v>65</v>
      </c>
      <c r="U117" s="16">
        <v>0.47692307692307695</v>
      </c>
      <c r="V117" s="12">
        <v>9</v>
      </c>
      <c r="W117" s="12">
        <v>13</v>
      </c>
      <c r="X117" s="16">
        <v>0.69230769230769229</v>
      </c>
      <c r="Y117" s="12">
        <v>11</v>
      </c>
      <c r="Z117" s="12">
        <v>29</v>
      </c>
      <c r="AA117" s="12">
        <v>40</v>
      </c>
      <c r="AB117" s="12">
        <v>17</v>
      </c>
      <c r="AC117" s="12">
        <v>12</v>
      </c>
      <c r="AD117" s="12">
        <v>12</v>
      </c>
      <c r="AE117" s="12">
        <v>5</v>
      </c>
      <c r="AF117" s="12">
        <v>1</v>
      </c>
      <c r="AG117" s="12">
        <v>16</v>
      </c>
      <c r="AH117" s="12">
        <v>19</v>
      </c>
      <c r="AI117" s="17">
        <v>109</v>
      </c>
      <c r="AJ117" s="12">
        <v>31</v>
      </c>
      <c r="AK117" s="12">
        <v>71</v>
      </c>
      <c r="AL117" s="12">
        <v>82</v>
      </c>
      <c r="AM117" s="19">
        <v>1.0121951219512195</v>
      </c>
      <c r="AN117" s="19">
        <v>0.63414634146341464</v>
      </c>
      <c r="AO117" s="18">
        <v>116.90140845070422</v>
      </c>
      <c r="AP117" s="18">
        <v>73.239436619718319</v>
      </c>
      <c r="AQ117" s="18">
        <v>43.661971830985905</v>
      </c>
      <c r="AR117" s="53">
        <v>0.56923076923076921</v>
      </c>
      <c r="AS117" s="53">
        <v>0.59285714285714286</v>
      </c>
      <c r="AT117" s="16">
        <v>0.2073170731707317</v>
      </c>
      <c r="AU117" s="19">
        <v>1.5294117647058822</v>
      </c>
      <c r="AV117" s="16">
        <v>0.17073170731707318</v>
      </c>
      <c r="AW117" s="19">
        <v>0.8571428571428571</v>
      </c>
      <c r="AX117" s="16">
        <v>3.6585365853658534E-2</v>
      </c>
      <c r="AY117" s="19">
        <v>0</v>
      </c>
      <c r="AZ117" s="16">
        <v>3.6585365853658534E-2</v>
      </c>
      <c r="BA117" s="19">
        <v>2</v>
      </c>
      <c r="BB117" s="16">
        <v>0.32926829268292684</v>
      </c>
      <c r="BC117" s="21">
        <v>1.1111111111111112</v>
      </c>
      <c r="BD117" s="16">
        <v>6.097560975609756E-2</v>
      </c>
      <c r="BE117" s="16">
        <v>0.14634146341463414</v>
      </c>
      <c r="BF117" s="16">
        <v>0.47222222222222221</v>
      </c>
      <c r="BG117" s="16">
        <v>0.36842105263157893</v>
      </c>
      <c r="BH117" s="16">
        <v>0.75</v>
      </c>
      <c r="BI117" s="16">
        <v>0.2</v>
      </c>
      <c r="BJ117" s="16">
        <v>0.2073170731707317</v>
      </c>
      <c r="BK117" s="21">
        <v>1.4166666666666667</v>
      </c>
      <c r="BL117" s="16">
        <v>0.29729729729729731</v>
      </c>
      <c r="BM117" s="16">
        <v>0.2</v>
      </c>
      <c r="BN117" s="16">
        <v>0.35</v>
      </c>
      <c r="BO117" s="16">
        <v>0.6</v>
      </c>
      <c r="BP117" s="16">
        <v>0.72499999999999998</v>
      </c>
      <c r="BQ117" s="16">
        <v>0.82608695652173914</v>
      </c>
      <c r="BR117" s="16">
        <v>0.52380952380952384</v>
      </c>
      <c r="BS117" s="16" t="s">
        <v>269</v>
      </c>
      <c r="BT117" s="16">
        <v>0.51948051948051943</v>
      </c>
      <c r="BU117" s="16">
        <v>0.16901408450704225</v>
      </c>
      <c r="BV117" s="16">
        <v>8.9285714285714288E-2</v>
      </c>
      <c r="BW117" s="16">
        <v>9</v>
      </c>
      <c r="BX117" s="16">
        <v>0.5</v>
      </c>
      <c r="BY117" s="16">
        <v>0.42105263157894735</v>
      </c>
      <c r="BZ117" s="12">
        <v>7</v>
      </c>
      <c r="CA117" s="12">
        <v>9</v>
      </c>
      <c r="CB117" s="12">
        <v>1</v>
      </c>
      <c r="CC117" s="12">
        <v>2</v>
      </c>
      <c r="CD117" s="12">
        <v>0</v>
      </c>
      <c r="CE117" s="12">
        <v>0</v>
      </c>
      <c r="CF117" s="12">
        <v>3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6</v>
      </c>
      <c r="CM117" s="12">
        <v>1</v>
      </c>
      <c r="CN117" s="12">
        <v>2</v>
      </c>
      <c r="CO117" s="12">
        <v>1</v>
      </c>
      <c r="CP117" s="12">
        <v>1</v>
      </c>
      <c r="CQ117" s="12">
        <v>0</v>
      </c>
      <c r="CR117" s="12">
        <v>15</v>
      </c>
      <c r="CS117" s="12">
        <v>0</v>
      </c>
      <c r="CT117" s="12">
        <v>3</v>
      </c>
      <c r="CU117" s="12">
        <v>0</v>
      </c>
      <c r="CV117" s="12">
        <v>0</v>
      </c>
      <c r="CW117" s="12">
        <v>0</v>
      </c>
      <c r="CX117" s="12">
        <v>10</v>
      </c>
      <c r="CY117" s="12">
        <v>1</v>
      </c>
      <c r="CZ117" s="12">
        <v>0</v>
      </c>
      <c r="DA117" s="12">
        <v>0</v>
      </c>
      <c r="DB117" s="12">
        <v>0</v>
      </c>
      <c r="DC117" s="12">
        <v>0</v>
      </c>
      <c r="DD117" s="12">
        <v>0</v>
      </c>
      <c r="DE117" s="12">
        <v>3</v>
      </c>
      <c r="DF117" s="12">
        <v>9</v>
      </c>
      <c r="DG117" s="12">
        <v>10</v>
      </c>
      <c r="DH117" s="12">
        <v>0</v>
      </c>
      <c r="DI117" s="12">
        <v>0</v>
      </c>
      <c r="DJ117" s="12">
        <v>0</v>
      </c>
      <c r="DK117" s="12">
        <v>0</v>
      </c>
      <c r="DL117" s="12">
        <v>13</v>
      </c>
      <c r="DM117" s="12">
        <v>17</v>
      </c>
      <c r="DN117" s="12">
        <v>6</v>
      </c>
      <c r="DO117" s="12">
        <v>14</v>
      </c>
      <c r="DP117" s="12">
        <v>0</v>
      </c>
      <c r="DQ117" s="12">
        <v>3</v>
      </c>
      <c r="DR117" s="12">
        <v>2</v>
      </c>
      <c r="DS117" s="12">
        <v>3</v>
      </c>
      <c r="DT117" s="12">
        <v>10</v>
      </c>
      <c r="DU117" s="12">
        <v>27</v>
      </c>
      <c r="DV117" s="12">
        <v>0</v>
      </c>
      <c r="DW117" s="12">
        <v>1</v>
      </c>
      <c r="DX117" s="12">
        <v>52</v>
      </c>
      <c r="DY117" s="12">
        <v>9</v>
      </c>
      <c r="DZ117" s="12">
        <v>32</v>
      </c>
      <c r="EA117" s="16">
        <v>0.28125</v>
      </c>
      <c r="EB117" s="12">
        <v>7</v>
      </c>
      <c r="EC117" s="12">
        <v>24</v>
      </c>
      <c r="ED117" s="16">
        <v>0.29166666666666669</v>
      </c>
      <c r="EE117" s="12">
        <v>16</v>
      </c>
      <c r="EF117" s="12">
        <v>56</v>
      </c>
      <c r="EG117" s="16">
        <v>0.2857142857142857</v>
      </c>
      <c r="EH117" s="12">
        <v>13</v>
      </c>
      <c r="EI117" s="12">
        <v>16</v>
      </c>
      <c r="EJ117" s="16">
        <v>0.8125</v>
      </c>
      <c r="EK117" s="12">
        <v>11</v>
      </c>
      <c r="EL117" s="12">
        <v>26</v>
      </c>
      <c r="EM117" s="12">
        <v>37</v>
      </c>
      <c r="EN117" s="12">
        <v>14</v>
      </c>
      <c r="EO117" s="12">
        <v>19</v>
      </c>
      <c r="EP117" s="12">
        <v>16</v>
      </c>
      <c r="EQ117" s="12">
        <v>7</v>
      </c>
      <c r="ER117" s="12">
        <v>19</v>
      </c>
      <c r="ES117" s="12">
        <v>1</v>
      </c>
      <c r="ET117" s="12">
        <v>5</v>
      </c>
      <c r="EU117" s="12">
        <v>41</v>
      </c>
      <c r="EV117" s="12">
        <v>-31</v>
      </c>
      <c r="EW117" s="12">
        <v>71</v>
      </c>
      <c r="EX117" s="12">
        <v>82</v>
      </c>
      <c r="EY117" s="12">
        <v>4</v>
      </c>
      <c r="EZ117" s="12">
        <v>6</v>
      </c>
      <c r="FA117" s="12">
        <v>6</v>
      </c>
      <c r="FB117" s="12">
        <v>2</v>
      </c>
      <c r="FC117" s="12">
        <v>4</v>
      </c>
      <c r="FD117" s="12">
        <v>2</v>
      </c>
      <c r="FE117" s="12">
        <v>0</v>
      </c>
      <c r="FF117" s="12">
        <v>2</v>
      </c>
      <c r="FG117" s="12">
        <v>0</v>
      </c>
      <c r="FH117" s="12">
        <v>0</v>
      </c>
      <c r="FI117" s="12">
        <v>0</v>
      </c>
      <c r="FJ117" s="12">
        <v>2</v>
      </c>
      <c r="FK117" s="12">
        <v>1</v>
      </c>
      <c r="FL117" s="12">
        <v>5</v>
      </c>
      <c r="FM117" s="12">
        <v>2</v>
      </c>
      <c r="FN117" s="12">
        <v>0</v>
      </c>
      <c r="FO117" s="12">
        <v>0</v>
      </c>
      <c r="FP117" s="12">
        <v>4</v>
      </c>
      <c r="FQ117" s="12">
        <v>0</v>
      </c>
      <c r="FR117" s="12">
        <v>5</v>
      </c>
      <c r="FS117" s="12">
        <v>0</v>
      </c>
      <c r="FT117" s="12">
        <v>3</v>
      </c>
      <c r="FU117" s="12">
        <v>0</v>
      </c>
      <c r="FV117" s="12">
        <v>1</v>
      </c>
      <c r="FW117" s="12">
        <v>0</v>
      </c>
      <c r="FX117" s="12">
        <v>11</v>
      </c>
      <c r="FY117" s="12">
        <v>1</v>
      </c>
      <c r="FZ117" s="12">
        <v>2</v>
      </c>
      <c r="GA117" s="12">
        <v>0</v>
      </c>
      <c r="GB117" s="12">
        <v>0</v>
      </c>
      <c r="GC117" s="12">
        <v>0</v>
      </c>
      <c r="GD117" s="12">
        <v>1</v>
      </c>
      <c r="GE117" s="12">
        <v>1</v>
      </c>
      <c r="GF117" s="12">
        <v>9</v>
      </c>
      <c r="GG117" s="12">
        <v>12</v>
      </c>
      <c r="GH117" s="12">
        <v>0</v>
      </c>
      <c r="GI117" s="12">
        <v>3</v>
      </c>
      <c r="GJ117" s="12">
        <v>3</v>
      </c>
      <c r="GK117" s="12">
        <v>0</v>
      </c>
      <c r="GL117" s="12">
        <v>6</v>
      </c>
      <c r="GM117" s="12">
        <v>9</v>
      </c>
      <c r="GN117" s="12">
        <v>3</v>
      </c>
      <c r="GO117" s="12">
        <v>20</v>
      </c>
      <c r="GP117" s="12">
        <v>0</v>
      </c>
      <c r="GQ117" s="12">
        <v>3</v>
      </c>
      <c r="GR117" s="12">
        <v>0</v>
      </c>
      <c r="GS117" s="12">
        <v>2</v>
      </c>
      <c r="GT117" s="12">
        <v>7</v>
      </c>
      <c r="GU117" s="12">
        <v>22</v>
      </c>
      <c r="GV117" s="12">
        <v>0</v>
      </c>
      <c r="GW117" s="12">
        <v>0</v>
      </c>
    </row>
    <row r="118" spans="2:205" ht="15" customHeight="1" x14ac:dyDescent="0.2">
      <c r="B118" s="12">
        <v>7</v>
      </c>
      <c r="C118" s="12" t="s">
        <v>290</v>
      </c>
      <c r="D118" s="12" t="s">
        <v>274</v>
      </c>
      <c r="E118" s="14" t="s">
        <v>292</v>
      </c>
      <c r="F118" s="14" t="s">
        <v>276</v>
      </c>
      <c r="G118" s="15">
        <v>45239</v>
      </c>
      <c r="H118" s="15" t="s">
        <v>271</v>
      </c>
      <c r="I118" s="12" t="s">
        <v>269</v>
      </c>
      <c r="J118" s="12" t="s">
        <v>272</v>
      </c>
      <c r="K118" s="12">
        <v>200</v>
      </c>
      <c r="L118" s="12">
        <v>85</v>
      </c>
      <c r="M118" s="12">
        <v>22</v>
      </c>
      <c r="N118" s="12">
        <v>42</v>
      </c>
      <c r="O118" s="16">
        <v>0.52380952380952384</v>
      </c>
      <c r="P118" s="12">
        <v>8</v>
      </c>
      <c r="Q118" s="12">
        <v>20</v>
      </c>
      <c r="R118" s="16">
        <v>0.4</v>
      </c>
      <c r="S118" s="12">
        <v>30</v>
      </c>
      <c r="T118" s="12">
        <v>62</v>
      </c>
      <c r="U118" s="16">
        <v>0.4838709677419355</v>
      </c>
      <c r="V118" s="12">
        <v>17</v>
      </c>
      <c r="W118" s="12">
        <v>18</v>
      </c>
      <c r="X118" s="16">
        <v>0.94444444444444442</v>
      </c>
      <c r="Y118" s="12">
        <v>10</v>
      </c>
      <c r="Z118" s="12">
        <v>20</v>
      </c>
      <c r="AA118" s="12">
        <v>30</v>
      </c>
      <c r="AB118" s="12">
        <v>20</v>
      </c>
      <c r="AC118" s="12">
        <v>8</v>
      </c>
      <c r="AD118" s="12">
        <v>7</v>
      </c>
      <c r="AE118" s="12">
        <v>1</v>
      </c>
      <c r="AF118" s="12">
        <v>2</v>
      </c>
      <c r="AG118" s="12">
        <v>21</v>
      </c>
      <c r="AH118" s="12">
        <v>18</v>
      </c>
      <c r="AI118" s="17">
        <v>97</v>
      </c>
      <c r="AJ118" s="12">
        <v>1</v>
      </c>
      <c r="AK118" s="12">
        <v>67</v>
      </c>
      <c r="AL118" s="12">
        <v>77</v>
      </c>
      <c r="AM118" s="19">
        <v>1.1038961038961039</v>
      </c>
      <c r="AN118" s="19">
        <v>1.05</v>
      </c>
      <c r="AO118" s="18">
        <v>126.86567164179105</v>
      </c>
      <c r="AP118" s="18">
        <v>123.52941176470588</v>
      </c>
      <c r="AQ118" s="18">
        <v>3.336259877085169</v>
      </c>
      <c r="AR118" s="53">
        <v>0.54838709677419351</v>
      </c>
      <c r="AS118" s="53">
        <v>0.61594202898550721</v>
      </c>
      <c r="AT118" s="16">
        <v>0.16883116883116883</v>
      </c>
      <c r="AU118" s="19">
        <v>1.5384615384615385</v>
      </c>
      <c r="AV118" s="16">
        <v>0.22077922077922077</v>
      </c>
      <c r="AW118" s="19">
        <v>0.94117647058823528</v>
      </c>
      <c r="AX118" s="16">
        <v>0.15584415584415584</v>
      </c>
      <c r="AY118" s="19">
        <v>0.66666666666666663</v>
      </c>
      <c r="AZ118" s="16">
        <v>2.5974025974025976E-2</v>
      </c>
      <c r="BA118" s="19">
        <v>3</v>
      </c>
      <c r="BB118" s="16">
        <v>0.23376623376623376</v>
      </c>
      <c r="BC118" s="21">
        <v>1</v>
      </c>
      <c r="BD118" s="16">
        <v>9.0909090909090912E-2</v>
      </c>
      <c r="BE118" s="16">
        <v>0.1038961038961039</v>
      </c>
      <c r="BF118" s="16">
        <v>0.54054054054054057</v>
      </c>
      <c r="BG118" s="16">
        <v>0.40909090909090912</v>
      </c>
      <c r="BH118" s="16">
        <v>1</v>
      </c>
      <c r="BI118" s="16">
        <v>0.42857142857142855</v>
      </c>
      <c r="BJ118" s="16">
        <v>0.25974025974025972</v>
      </c>
      <c r="BK118" s="21">
        <v>2.5</v>
      </c>
      <c r="BL118" s="16">
        <v>0.3125</v>
      </c>
      <c r="BM118" s="16">
        <v>0.3</v>
      </c>
      <c r="BN118" s="16">
        <v>0.33333333333333331</v>
      </c>
      <c r="BO118" s="16" t="s">
        <v>269</v>
      </c>
      <c r="BP118" s="16">
        <v>0.625</v>
      </c>
      <c r="BQ118" s="16">
        <v>0.53846153846153844</v>
      </c>
      <c r="BR118" s="16">
        <v>0.66666666666666663</v>
      </c>
      <c r="BS118" s="16">
        <v>1</v>
      </c>
      <c r="BT118" s="16">
        <v>0.46875</v>
      </c>
      <c r="BU118" s="16">
        <v>0.10294117647058823</v>
      </c>
      <c r="BV118" s="16">
        <v>1.6393442622950821E-2</v>
      </c>
      <c r="BW118" s="16">
        <v>3</v>
      </c>
      <c r="BX118" s="16">
        <v>0.42857142857142855</v>
      </c>
      <c r="BY118" s="16">
        <v>0.44444444444444442</v>
      </c>
      <c r="BZ118" s="12">
        <v>9</v>
      </c>
      <c r="CA118" s="12">
        <v>8</v>
      </c>
      <c r="CB118" s="12">
        <v>3</v>
      </c>
      <c r="CC118" s="12">
        <v>7</v>
      </c>
      <c r="CD118" s="12">
        <v>1</v>
      </c>
      <c r="CE118" s="12">
        <v>0</v>
      </c>
      <c r="CF118" s="12">
        <v>3</v>
      </c>
      <c r="CG118" s="12">
        <v>0</v>
      </c>
      <c r="CH118" s="12">
        <v>2</v>
      </c>
      <c r="CI118" s="12">
        <v>0</v>
      </c>
      <c r="CJ118" s="12">
        <v>0</v>
      </c>
      <c r="CK118" s="12">
        <v>0</v>
      </c>
      <c r="CL118" s="12">
        <v>4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5</v>
      </c>
      <c r="CS118" s="12">
        <v>0</v>
      </c>
      <c r="CT118" s="12">
        <v>2</v>
      </c>
      <c r="CU118" s="12">
        <v>0</v>
      </c>
      <c r="CV118" s="12">
        <v>1</v>
      </c>
      <c r="CW118" s="12">
        <v>0</v>
      </c>
      <c r="CX118" s="12">
        <v>11</v>
      </c>
      <c r="CY118" s="12">
        <v>4</v>
      </c>
      <c r="CZ118" s="12">
        <v>1</v>
      </c>
      <c r="DA118" s="12">
        <v>0</v>
      </c>
      <c r="DB118" s="12">
        <v>1</v>
      </c>
      <c r="DC118" s="12">
        <v>1</v>
      </c>
      <c r="DD118" s="12">
        <v>1</v>
      </c>
      <c r="DE118" s="12">
        <v>1</v>
      </c>
      <c r="DF118" s="12">
        <v>9</v>
      </c>
      <c r="DG118" s="12">
        <v>10</v>
      </c>
      <c r="DH118" s="12">
        <v>0</v>
      </c>
      <c r="DI118" s="12">
        <v>6</v>
      </c>
      <c r="DJ118" s="12">
        <v>6</v>
      </c>
      <c r="DK118" s="12">
        <v>0</v>
      </c>
      <c r="DL118" s="12">
        <v>10</v>
      </c>
      <c r="DM118" s="12">
        <v>13</v>
      </c>
      <c r="DN118" s="12">
        <v>8</v>
      </c>
      <c r="DO118" s="12">
        <v>17</v>
      </c>
      <c r="DP118" s="12">
        <v>4</v>
      </c>
      <c r="DQ118" s="12">
        <v>12</v>
      </c>
      <c r="DR118" s="12">
        <v>2</v>
      </c>
      <c r="DS118" s="12">
        <v>2</v>
      </c>
      <c r="DT118" s="12">
        <v>6</v>
      </c>
      <c r="DU118" s="12">
        <v>18</v>
      </c>
      <c r="DV118" s="12">
        <v>0</v>
      </c>
      <c r="DW118" s="12">
        <v>0</v>
      </c>
      <c r="DX118" s="12">
        <v>84</v>
      </c>
      <c r="DY118" s="12">
        <v>18</v>
      </c>
      <c r="DZ118" s="12">
        <v>30</v>
      </c>
      <c r="EA118" s="16">
        <v>0.6</v>
      </c>
      <c r="EB118" s="12">
        <v>11</v>
      </c>
      <c r="EC118" s="12">
        <v>31</v>
      </c>
      <c r="ED118" s="16">
        <v>0.35483870967741937</v>
      </c>
      <c r="EE118" s="12">
        <v>29</v>
      </c>
      <c r="EF118" s="12">
        <v>61</v>
      </c>
      <c r="EG118" s="16">
        <v>0.47540983606557374</v>
      </c>
      <c r="EH118" s="12">
        <v>15</v>
      </c>
      <c r="EI118" s="12">
        <v>16</v>
      </c>
      <c r="EJ118" s="16">
        <v>0.9375</v>
      </c>
      <c r="EK118" s="12">
        <v>12</v>
      </c>
      <c r="EL118" s="12">
        <v>22</v>
      </c>
      <c r="EM118" s="12">
        <v>34</v>
      </c>
      <c r="EN118" s="12">
        <v>18</v>
      </c>
      <c r="EO118" s="12">
        <v>19</v>
      </c>
      <c r="EP118" s="12">
        <v>21</v>
      </c>
      <c r="EQ118" s="12">
        <v>3</v>
      </c>
      <c r="ER118" s="12">
        <v>12</v>
      </c>
      <c r="ES118" s="12">
        <v>2</v>
      </c>
      <c r="ET118" s="12">
        <v>1</v>
      </c>
      <c r="EU118" s="12">
        <v>97</v>
      </c>
      <c r="EV118" s="12">
        <v>-1</v>
      </c>
      <c r="EW118" s="12">
        <v>68</v>
      </c>
      <c r="EX118" s="12">
        <v>80</v>
      </c>
      <c r="EY118" s="12">
        <v>5</v>
      </c>
      <c r="EZ118" s="12">
        <v>9</v>
      </c>
      <c r="FA118" s="12">
        <v>7</v>
      </c>
      <c r="FB118" s="12">
        <v>2</v>
      </c>
      <c r="FC118" s="12">
        <v>2</v>
      </c>
      <c r="FD118" s="12">
        <v>2</v>
      </c>
      <c r="FE118" s="12">
        <v>1</v>
      </c>
      <c r="FF118" s="12">
        <v>3</v>
      </c>
      <c r="FG118" s="12">
        <v>0</v>
      </c>
      <c r="FH118" s="12">
        <v>0</v>
      </c>
      <c r="FI118" s="12">
        <v>0</v>
      </c>
      <c r="FJ118" s="12">
        <v>1</v>
      </c>
      <c r="FK118" s="12">
        <v>0</v>
      </c>
      <c r="FL118" s="12">
        <v>6</v>
      </c>
      <c r="FM118" s="12">
        <v>1</v>
      </c>
      <c r="FN118" s="12">
        <v>0</v>
      </c>
      <c r="FO118" s="12">
        <v>0</v>
      </c>
      <c r="FP118" s="12">
        <v>2</v>
      </c>
      <c r="FQ118" s="12">
        <v>0</v>
      </c>
      <c r="FR118" s="12">
        <v>6</v>
      </c>
      <c r="FS118" s="12">
        <v>0</v>
      </c>
      <c r="FT118" s="12">
        <v>6</v>
      </c>
      <c r="FU118" s="12">
        <v>0</v>
      </c>
      <c r="FV118" s="12">
        <v>0</v>
      </c>
      <c r="FW118" s="12">
        <v>0</v>
      </c>
      <c r="FX118" s="12">
        <v>8</v>
      </c>
      <c r="FY118" s="12">
        <v>0</v>
      </c>
      <c r="FZ118" s="12">
        <v>0</v>
      </c>
      <c r="GA118" s="12">
        <v>0</v>
      </c>
      <c r="GB118" s="12">
        <v>0</v>
      </c>
      <c r="GC118" s="12">
        <v>0</v>
      </c>
      <c r="GD118" s="12">
        <v>2</v>
      </c>
      <c r="GE118" s="12">
        <v>2</v>
      </c>
      <c r="GF118" s="12">
        <v>13</v>
      </c>
      <c r="GG118" s="12">
        <v>14</v>
      </c>
      <c r="GH118" s="12">
        <v>0</v>
      </c>
      <c r="GI118" s="12">
        <v>0</v>
      </c>
      <c r="GJ118" s="12">
        <v>0</v>
      </c>
      <c r="GK118" s="12">
        <v>0</v>
      </c>
      <c r="GL118" s="12">
        <v>12</v>
      </c>
      <c r="GM118" s="12">
        <v>14</v>
      </c>
      <c r="GN118" s="12">
        <v>5</v>
      </c>
      <c r="GO118" s="12">
        <v>13</v>
      </c>
      <c r="GP118" s="12">
        <v>1</v>
      </c>
      <c r="GQ118" s="12">
        <v>3</v>
      </c>
      <c r="GR118" s="12">
        <v>2</v>
      </c>
      <c r="GS118" s="12">
        <v>4</v>
      </c>
      <c r="GT118" s="12">
        <v>9</v>
      </c>
      <c r="GU118" s="12">
        <v>27</v>
      </c>
      <c r="GV118" s="12">
        <v>0</v>
      </c>
      <c r="GW118" s="12">
        <v>0</v>
      </c>
    </row>
    <row r="119" spans="2:205" ht="15" customHeight="1" x14ac:dyDescent="0.2">
      <c r="B119" s="12">
        <v>7</v>
      </c>
      <c r="C119" s="12" t="s">
        <v>274</v>
      </c>
      <c r="D119" s="12" t="s">
        <v>290</v>
      </c>
      <c r="E119" s="14" t="s">
        <v>276</v>
      </c>
      <c r="F119" s="14" t="s">
        <v>292</v>
      </c>
      <c r="G119" s="15">
        <v>45239</v>
      </c>
      <c r="H119" s="15" t="s">
        <v>268</v>
      </c>
      <c r="I119" s="12" t="s">
        <v>269</v>
      </c>
      <c r="J119" s="12" t="s">
        <v>270</v>
      </c>
      <c r="K119" s="12">
        <v>200</v>
      </c>
      <c r="L119" s="12">
        <v>84</v>
      </c>
      <c r="M119" s="12">
        <v>18</v>
      </c>
      <c r="N119" s="12">
        <v>30</v>
      </c>
      <c r="O119" s="16">
        <v>0.6</v>
      </c>
      <c r="P119" s="12">
        <v>11</v>
      </c>
      <c r="Q119" s="12">
        <v>31</v>
      </c>
      <c r="R119" s="16">
        <v>0.35483870967741937</v>
      </c>
      <c r="S119" s="12">
        <v>29</v>
      </c>
      <c r="T119" s="12">
        <v>61</v>
      </c>
      <c r="U119" s="16">
        <v>0.47540983606557374</v>
      </c>
      <c r="V119" s="12">
        <v>15</v>
      </c>
      <c r="W119" s="12">
        <v>16</v>
      </c>
      <c r="X119" s="16">
        <v>0.9375</v>
      </c>
      <c r="Y119" s="12">
        <v>12</v>
      </c>
      <c r="Z119" s="12">
        <v>22</v>
      </c>
      <c r="AA119" s="12">
        <v>34</v>
      </c>
      <c r="AB119" s="12">
        <v>18</v>
      </c>
      <c r="AC119" s="12">
        <v>12</v>
      </c>
      <c r="AD119" s="12">
        <v>3</v>
      </c>
      <c r="AE119" s="12">
        <v>2</v>
      </c>
      <c r="AF119" s="12">
        <v>1</v>
      </c>
      <c r="AG119" s="12">
        <v>18</v>
      </c>
      <c r="AH119" s="12">
        <v>21</v>
      </c>
      <c r="AI119" s="17">
        <v>98</v>
      </c>
      <c r="AJ119" s="12">
        <v>-1</v>
      </c>
      <c r="AK119" s="12">
        <v>68</v>
      </c>
      <c r="AL119" s="12">
        <v>80</v>
      </c>
      <c r="AM119" s="19">
        <v>1.05</v>
      </c>
      <c r="AN119" s="19">
        <v>1.1038961038961039</v>
      </c>
      <c r="AO119" s="18">
        <v>123.52941176470588</v>
      </c>
      <c r="AP119" s="18">
        <v>126.86567164179105</v>
      </c>
      <c r="AQ119" s="18">
        <v>-3.336259877085169</v>
      </c>
      <c r="AR119" s="53">
        <v>0.56557377049180324</v>
      </c>
      <c r="AS119" s="53">
        <v>0.61764705882352944</v>
      </c>
      <c r="AT119" s="16">
        <v>0.17499999999999999</v>
      </c>
      <c r="AU119" s="19">
        <v>1.7142857142857142</v>
      </c>
      <c r="AV119" s="16">
        <v>0.16250000000000001</v>
      </c>
      <c r="AW119" s="19">
        <v>0.76923076923076927</v>
      </c>
      <c r="AX119" s="16">
        <v>3.7499999999999999E-2</v>
      </c>
      <c r="AY119" s="19">
        <v>0.66666666666666663</v>
      </c>
      <c r="AZ119" s="16">
        <v>0.05</v>
      </c>
      <c r="BA119" s="19">
        <v>1.5</v>
      </c>
      <c r="BB119" s="16">
        <v>0.33750000000000002</v>
      </c>
      <c r="BC119" s="21">
        <v>1</v>
      </c>
      <c r="BD119" s="16">
        <v>8.7499999999999994E-2</v>
      </c>
      <c r="BE119" s="16">
        <v>0.15</v>
      </c>
      <c r="BF119" s="16">
        <v>0.5</v>
      </c>
      <c r="BG119" s="16">
        <v>0.5</v>
      </c>
      <c r="BH119" s="16">
        <v>0.63636363636363635</v>
      </c>
      <c r="BI119" s="16">
        <v>0.2857142857142857</v>
      </c>
      <c r="BJ119" s="16">
        <v>0.22500000000000001</v>
      </c>
      <c r="BK119" s="21">
        <v>1.5</v>
      </c>
      <c r="BL119" s="16">
        <v>0.375</v>
      </c>
      <c r="BM119" s="16">
        <v>0.46153846153846156</v>
      </c>
      <c r="BN119" s="16">
        <v>0.33333333333333331</v>
      </c>
      <c r="BO119" s="16">
        <v>0</v>
      </c>
      <c r="BP119" s="16">
        <v>0.6875</v>
      </c>
      <c r="BQ119" s="16">
        <v>0.7</v>
      </c>
      <c r="BR119" s="16">
        <v>0.66666666666666663</v>
      </c>
      <c r="BS119" s="16" t="s">
        <v>269</v>
      </c>
      <c r="BT119" s="16">
        <v>0.53125</v>
      </c>
      <c r="BU119" s="16">
        <v>4.4776119402985072E-2</v>
      </c>
      <c r="BV119" s="16">
        <v>3.2258064516129031E-2</v>
      </c>
      <c r="BW119" s="16">
        <v>5</v>
      </c>
      <c r="BX119" s="16">
        <v>0.44444444444444442</v>
      </c>
      <c r="BY119" s="16">
        <v>0.42857142857142855</v>
      </c>
      <c r="BZ119" s="12">
        <v>9</v>
      </c>
      <c r="CA119" s="12">
        <v>7</v>
      </c>
      <c r="CB119" s="12">
        <v>2</v>
      </c>
      <c r="CC119" s="12">
        <v>2</v>
      </c>
      <c r="CD119" s="12">
        <v>2</v>
      </c>
      <c r="CE119" s="12">
        <v>1</v>
      </c>
      <c r="CF119" s="12">
        <v>3</v>
      </c>
      <c r="CG119" s="12">
        <v>0</v>
      </c>
      <c r="CH119" s="12">
        <v>0</v>
      </c>
      <c r="CI119" s="12">
        <v>0</v>
      </c>
      <c r="CJ119" s="12">
        <v>1</v>
      </c>
      <c r="CK119" s="12">
        <v>0</v>
      </c>
      <c r="CL119" s="12">
        <v>6</v>
      </c>
      <c r="CM119" s="12">
        <v>1</v>
      </c>
      <c r="CN119" s="12">
        <v>0</v>
      </c>
      <c r="CO119" s="12">
        <v>0</v>
      </c>
      <c r="CP119" s="12">
        <v>2</v>
      </c>
      <c r="CQ119" s="12">
        <v>0</v>
      </c>
      <c r="CR119" s="12">
        <v>6</v>
      </c>
      <c r="CS119" s="12">
        <v>0</v>
      </c>
      <c r="CT119" s="12">
        <v>6</v>
      </c>
      <c r="CU119" s="12">
        <v>0</v>
      </c>
      <c r="CV119" s="12">
        <v>0</v>
      </c>
      <c r="CW119" s="12">
        <v>0</v>
      </c>
      <c r="CX119" s="12">
        <v>8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2</v>
      </c>
      <c r="DE119" s="12">
        <v>2</v>
      </c>
      <c r="DF119" s="12">
        <v>13</v>
      </c>
      <c r="DG119" s="12">
        <v>14</v>
      </c>
      <c r="DH119" s="12">
        <v>0</v>
      </c>
      <c r="DI119" s="12">
        <v>0</v>
      </c>
      <c r="DJ119" s="12">
        <v>0</v>
      </c>
      <c r="DK119" s="12">
        <v>0</v>
      </c>
      <c r="DL119" s="12">
        <v>12</v>
      </c>
      <c r="DM119" s="12">
        <v>14</v>
      </c>
      <c r="DN119" s="12">
        <v>5</v>
      </c>
      <c r="DO119" s="12">
        <v>13</v>
      </c>
      <c r="DP119" s="12">
        <v>1</v>
      </c>
      <c r="DQ119" s="12">
        <v>3</v>
      </c>
      <c r="DR119" s="12">
        <v>2</v>
      </c>
      <c r="DS119" s="12">
        <v>4</v>
      </c>
      <c r="DT119" s="12">
        <v>9</v>
      </c>
      <c r="DU119" s="12">
        <v>27</v>
      </c>
      <c r="DV119" s="12">
        <v>0</v>
      </c>
      <c r="DW119" s="12">
        <v>0</v>
      </c>
      <c r="DX119" s="12">
        <v>85</v>
      </c>
      <c r="DY119" s="12">
        <v>22</v>
      </c>
      <c r="DZ119" s="12">
        <v>42</v>
      </c>
      <c r="EA119" s="16">
        <v>0.52380952380952384</v>
      </c>
      <c r="EB119" s="12">
        <v>8</v>
      </c>
      <c r="EC119" s="12">
        <v>20</v>
      </c>
      <c r="ED119" s="16">
        <v>0.4</v>
      </c>
      <c r="EE119" s="12">
        <v>30</v>
      </c>
      <c r="EF119" s="12">
        <v>62</v>
      </c>
      <c r="EG119" s="16">
        <v>0.4838709677419355</v>
      </c>
      <c r="EH119" s="12">
        <v>17</v>
      </c>
      <c r="EI119" s="12">
        <v>18</v>
      </c>
      <c r="EJ119" s="16">
        <v>0.94444444444444442</v>
      </c>
      <c r="EK119" s="12">
        <v>10</v>
      </c>
      <c r="EL119" s="12">
        <v>20</v>
      </c>
      <c r="EM119" s="12">
        <v>30</v>
      </c>
      <c r="EN119" s="12">
        <v>20</v>
      </c>
      <c r="EO119" s="12">
        <v>21</v>
      </c>
      <c r="EP119" s="12">
        <v>18</v>
      </c>
      <c r="EQ119" s="12">
        <v>7</v>
      </c>
      <c r="ER119" s="12">
        <v>8</v>
      </c>
      <c r="ES119" s="12">
        <v>1</v>
      </c>
      <c r="ET119" s="12">
        <v>2</v>
      </c>
      <c r="EU119" s="12">
        <v>97</v>
      </c>
      <c r="EV119" s="12">
        <v>1</v>
      </c>
      <c r="EW119" s="12">
        <v>67</v>
      </c>
      <c r="EX119" s="12">
        <v>77</v>
      </c>
      <c r="EY119" s="12">
        <v>3</v>
      </c>
      <c r="EZ119" s="12">
        <v>9</v>
      </c>
      <c r="FA119" s="12">
        <v>8</v>
      </c>
      <c r="FB119" s="12">
        <v>3</v>
      </c>
      <c r="FC119" s="12">
        <v>7</v>
      </c>
      <c r="FD119" s="12">
        <v>1</v>
      </c>
      <c r="FE119" s="12">
        <v>0</v>
      </c>
      <c r="FF119" s="12">
        <v>3</v>
      </c>
      <c r="FG119" s="12">
        <v>0</v>
      </c>
      <c r="FH119" s="12">
        <v>2</v>
      </c>
      <c r="FI119" s="12">
        <v>0</v>
      </c>
      <c r="FJ119" s="12">
        <v>0</v>
      </c>
      <c r="FK119" s="12">
        <v>0</v>
      </c>
      <c r="FL119" s="12">
        <v>4</v>
      </c>
      <c r="FM119" s="12">
        <v>0</v>
      </c>
      <c r="FN119" s="12">
        <v>0</v>
      </c>
      <c r="FO119" s="12">
        <v>0</v>
      </c>
      <c r="FP119" s="12">
        <v>0</v>
      </c>
      <c r="FQ119" s="12">
        <v>0</v>
      </c>
      <c r="FR119" s="12">
        <v>5</v>
      </c>
      <c r="FS119" s="12">
        <v>0</v>
      </c>
      <c r="FT119" s="12">
        <v>2</v>
      </c>
      <c r="FU119" s="12">
        <v>0</v>
      </c>
      <c r="FV119" s="12">
        <v>1</v>
      </c>
      <c r="FW119" s="12">
        <v>0</v>
      </c>
      <c r="FX119" s="12">
        <v>11</v>
      </c>
      <c r="FY119" s="12">
        <v>4</v>
      </c>
      <c r="FZ119" s="12">
        <v>1</v>
      </c>
      <c r="GA119" s="12">
        <v>0</v>
      </c>
      <c r="GB119" s="12">
        <v>1</v>
      </c>
      <c r="GC119" s="12">
        <v>1</v>
      </c>
      <c r="GD119" s="12">
        <v>1</v>
      </c>
      <c r="GE119" s="12">
        <v>1</v>
      </c>
      <c r="GF119" s="12">
        <v>9</v>
      </c>
      <c r="GG119" s="12">
        <v>10</v>
      </c>
      <c r="GH119" s="12">
        <v>0</v>
      </c>
      <c r="GI119" s="12">
        <v>6</v>
      </c>
      <c r="GJ119" s="12">
        <v>6</v>
      </c>
      <c r="GK119" s="12">
        <v>0</v>
      </c>
      <c r="GL119" s="12">
        <v>10</v>
      </c>
      <c r="GM119" s="12">
        <v>13</v>
      </c>
      <c r="GN119" s="12">
        <v>8</v>
      </c>
      <c r="GO119" s="12">
        <v>17</v>
      </c>
      <c r="GP119" s="12">
        <v>4</v>
      </c>
      <c r="GQ119" s="12">
        <v>12</v>
      </c>
      <c r="GR119" s="12">
        <v>2</v>
      </c>
      <c r="GS119" s="12">
        <v>2</v>
      </c>
      <c r="GT119" s="12">
        <v>6</v>
      </c>
      <c r="GU119" s="12">
        <v>18</v>
      </c>
      <c r="GV119" s="12">
        <v>0</v>
      </c>
      <c r="GW119" s="12">
        <v>0</v>
      </c>
    </row>
    <row r="120" spans="2:205" ht="15" customHeight="1" x14ac:dyDescent="0.2">
      <c r="B120" s="12">
        <v>7</v>
      </c>
      <c r="C120" s="12" t="s">
        <v>298</v>
      </c>
      <c r="D120" s="12" t="s">
        <v>285</v>
      </c>
      <c r="E120" s="14" t="s">
        <v>300</v>
      </c>
      <c r="F120" s="14" t="s">
        <v>287</v>
      </c>
      <c r="G120" s="15">
        <v>45239</v>
      </c>
      <c r="H120" s="15" t="s">
        <v>268</v>
      </c>
      <c r="I120" s="12" t="s">
        <v>269</v>
      </c>
      <c r="J120" s="12" t="s">
        <v>270</v>
      </c>
      <c r="K120" s="12">
        <v>200</v>
      </c>
      <c r="L120" s="12">
        <v>74</v>
      </c>
      <c r="M120" s="12">
        <v>20</v>
      </c>
      <c r="N120" s="12">
        <v>32</v>
      </c>
      <c r="O120" s="16">
        <v>0.625</v>
      </c>
      <c r="P120" s="12">
        <v>6</v>
      </c>
      <c r="Q120" s="12">
        <v>25</v>
      </c>
      <c r="R120" s="16">
        <v>0.24</v>
      </c>
      <c r="S120" s="12">
        <v>26</v>
      </c>
      <c r="T120" s="12">
        <v>57</v>
      </c>
      <c r="U120" s="16">
        <v>0.45614035087719296</v>
      </c>
      <c r="V120" s="12">
        <v>16</v>
      </c>
      <c r="W120" s="12">
        <v>21</v>
      </c>
      <c r="X120" s="16">
        <v>0.76190476190476186</v>
      </c>
      <c r="Y120" s="12">
        <v>5</v>
      </c>
      <c r="Z120" s="12">
        <v>24</v>
      </c>
      <c r="AA120" s="12">
        <v>29</v>
      </c>
      <c r="AB120" s="12">
        <v>17</v>
      </c>
      <c r="AC120" s="12">
        <v>19</v>
      </c>
      <c r="AD120" s="12">
        <v>4</v>
      </c>
      <c r="AE120" s="12">
        <v>1</v>
      </c>
      <c r="AF120" s="12">
        <v>3</v>
      </c>
      <c r="AG120" s="12">
        <v>28</v>
      </c>
      <c r="AH120" s="12">
        <v>20</v>
      </c>
      <c r="AI120" s="17">
        <v>59</v>
      </c>
      <c r="AJ120" s="12">
        <v>-26</v>
      </c>
      <c r="AK120" s="12">
        <v>78</v>
      </c>
      <c r="AL120" s="12">
        <v>83</v>
      </c>
      <c r="AM120" s="19">
        <v>0.89156626506024095</v>
      </c>
      <c r="AN120" s="19">
        <v>1.1494252873563218</v>
      </c>
      <c r="AO120" s="18">
        <v>94.871794871794862</v>
      </c>
      <c r="AP120" s="18">
        <v>126.58227848101266</v>
      </c>
      <c r="AQ120" s="18">
        <v>-31.710483609217803</v>
      </c>
      <c r="AR120" s="53">
        <v>0.50877192982456143</v>
      </c>
      <c r="AS120" s="53">
        <v>0.578125</v>
      </c>
      <c r="AT120" s="16">
        <v>6.0240963855421686E-2</v>
      </c>
      <c r="AU120" s="19">
        <v>1.6</v>
      </c>
      <c r="AV120" s="16">
        <v>0.30120481927710846</v>
      </c>
      <c r="AW120" s="19">
        <v>1.28</v>
      </c>
      <c r="AX120" s="16">
        <v>2.4096385542168676E-2</v>
      </c>
      <c r="AY120" s="19">
        <v>0</v>
      </c>
      <c r="AZ120" s="16">
        <v>0</v>
      </c>
      <c r="BA120" s="19" t="s">
        <v>269</v>
      </c>
      <c r="BB120" s="16">
        <v>0.30120481927710846</v>
      </c>
      <c r="BC120" s="21">
        <v>0.72</v>
      </c>
      <c r="BD120" s="16">
        <v>8.4337349397590355E-2</v>
      </c>
      <c r="BE120" s="16">
        <v>0.2289156626506024</v>
      </c>
      <c r="BF120" s="16">
        <v>0.51515151515151514</v>
      </c>
      <c r="BG120" s="16">
        <v>0.55000000000000004</v>
      </c>
      <c r="BH120" s="16">
        <v>0.83333333333333337</v>
      </c>
      <c r="BI120" s="16">
        <v>0.14285714285714285</v>
      </c>
      <c r="BJ120" s="16">
        <v>0.20481927710843373</v>
      </c>
      <c r="BK120" s="21">
        <v>0.89473684210526316</v>
      </c>
      <c r="BL120" s="16">
        <v>0.14705882352941177</v>
      </c>
      <c r="BM120" s="16">
        <v>0.16666666666666666</v>
      </c>
      <c r="BN120" s="16">
        <v>0.15</v>
      </c>
      <c r="BO120" s="16">
        <v>0</v>
      </c>
      <c r="BP120" s="16">
        <v>0.75</v>
      </c>
      <c r="BQ120" s="16">
        <v>0.625</v>
      </c>
      <c r="BR120" s="16">
        <v>0.875</v>
      </c>
      <c r="BS120" s="16">
        <v>1</v>
      </c>
      <c r="BT120" s="16">
        <v>0.43939393939393939</v>
      </c>
      <c r="BU120" s="16">
        <v>5.0632911392405063E-2</v>
      </c>
      <c r="BV120" s="16">
        <v>1.5873015873015872E-2</v>
      </c>
      <c r="BW120" s="16">
        <v>5</v>
      </c>
      <c r="BX120" s="16">
        <v>0.6071428571428571</v>
      </c>
      <c r="BY120" s="16">
        <v>0.55000000000000004</v>
      </c>
      <c r="BZ120" s="12">
        <v>11</v>
      </c>
      <c r="CA120" s="12">
        <v>5</v>
      </c>
      <c r="CB120" s="12">
        <v>1</v>
      </c>
      <c r="CC120" s="12">
        <v>0</v>
      </c>
      <c r="CD120" s="12">
        <v>1</v>
      </c>
      <c r="CE120" s="12">
        <v>0</v>
      </c>
      <c r="CF120" s="12">
        <v>1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3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10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12</v>
      </c>
      <c r="CY120" s="12">
        <v>2</v>
      </c>
      <c r="CZ120" s="12">
        <v>2</v>
      </c>
      <c r="DA120" s="12">
        <v>0</v>
      </c>
      <c r="DB120" s="12">
        <v>1</v>
      </c>
      <c r="DC120" s="12">
        <v>1</v>
      </c>
      <c r="DD120" s="12">
        <v>3</v>
      </c>
      <c r="DE120" s="12">
        <v>4</v>
      </c>
      <c r="DF120" s="12">
        <v>8</v>
      </c>
      <c r="DG120" s="12">
        <v>10</v>
      </c>
      <c r="DH120" s="12">
        <v>0</v>
      </c>
      <c r="DI120" s="12">
        <v>4</v>
      </c>
      <c r="DJ120" s="12">
        <v>6</v>
      </c>
      <c r="DK120" s="12">
        <v>0</v>
      </c>
      <c r="DL120" s="12">
        <v>4</v>
      </c>
      <c r="DM120" s="12">
        <v>5</v>
      </c>
      <c r="DN120" s="12">
        <v>16</v>
      </c>
      <c r="DO120" s="12">
        <v>25</v>
      </c>
      <c r="DP120" s="12">
        <v>0</v>
      </c>
      <c r="DQ120" s="12">
        <v>2</v>
      </c>
      <c r="DR120" s="12">
        <v>0</v>
      </c>
      <c r="DS120" s="12">
        <v>0</v>
      </c>
      <c r="DT120" s="12">
        <v>6</v>
      </c>
      <c r="DU120" s="12">
        <v>25</v>
      </c>
      <c r="DV120" s="12">
        <v>0</v>
      </c>
      <c r="DW120" s="12">
        <v>0</v>
      </c>
      <c r="DX120" s="12">
        <v>100</v>
      </c>
      <c r="DY120" s="12">
        <v>19</v>
      </c>
      <c r="DZ120" s="12">
        <v>37</v>
      </c>
      <c r="EA120" s="16">
        <v>0.51351351351351349</v>
      </c>
      <c r="EB120" s="12">
        <v>11</v>
      </c>
      <c r="EC120" s="12">
        <v>26</v>
      </c>
      <c r="ED120" s="16">
        <v>0.42307692307692307</v>
      </c>
      <c r="EE120" s="12">
        <v>30</v>
      </c>
      <c r="EF120" s="12">
        <v>63</v>
      </c>
      <c r="EG120" s="16">
        <v>0.47619047619047616</v>
      </c>
      <c r="EH120" s="12">
        <v>29</v>
      </c>
      <c r="EI120" s="12">
        <v>34</v>
      </c>
      <c r="EJ120" s="16">
        <v>0.8529411764705882</v>
      </c>
      <c r="EK120" s="12">
        <v>8</v>
      </c>
      <c r="EL120" s="12">
        <v>29</v>
      </c>
      <c r="EM120" s="12">
        <v>37</v>
      </c>
      <c r="EN120" s="12">
        <v>28</v>
      </c>
      <c r="EO120" s="12">
        <v>21</v>
      </c>
      <c r="EP120" s="12">
        <v>27</v>
      </c>
      <c r="EQ120" s="12">
        <v>7</v>
      </c>
      <c r="ER120" s="12">
        <v>8</v>
      </c>
      <c r="ES120" s="12">
        <v>3</v>
      </c>
      <c r="ET120" s="12">
        <v>1</v>
      </c>
      <c r="EU120" s="12">
        <v>134</v>
      </c>
      <c r="EV120" s="12">
        <v>26</v>
      </c>
      <c r="EW120" s="12">
        <v>79</v>
      </c>
      <c r="EX120" s="12">
        <v>87</v>
      </c>
      <c r="EY120" s="12">
        <v>9</v>
      </c>
      <c r="EZ120" s="12">
        <v>11</v>
      </c>
      <c r="FA120" s="12">
        <v>11</v>
      </c>
      <c r="FB120" s="12">
        <v>6</v>
      </c>
      <c r="FC120" s="12">
        <v>10</v>
      </c>
      <c r="FD120" s="12">
        <v>1</v>
      </c>
      <c r="FE120" s="12">
        <v>0</v>
      </c>
      <c r="FF120" s="12">
        <v>4</v>
      </c>
      <c r="FG120" s="12">
        <v>0</v>
      </c>
      <c r="FH120" s="12">
        <v>1</v>
      </c>
      <c r="FI120" s="12">
        <v>0</v>
      </c>
      <c r="FJ120" s="12">
        <v>0</v>
      </c>
      <c r="FK120" s="12">
        <v>0</v>
      </c>
      <c r="FL120" s="12">
        <v>2</v>
      </c>
      <c r="FM120" s="12">
        <v>0</v>
      </c>
      <c r="FN120" s="12">
        <v>0</v>
      </c>
      <c r="FO120" s="12">
        <v>0</v>
      </c>
      <c r="FP120" s="12">
        <v>0</v>
      </c>
      <c r="FQ120" s="12">
        <v>0</v>
      </c>
      <c r="FR120" s="12">
        <v>8</v>
      </c>
      <c r="FS120" s="12">
        <v>0</v>
      </c>
      <c r="FT120" s="12">
        <v>2</v>
      </c>
      <c r="FU120" s="12">
        <v>0</v>
      </c>
      <c r="FV120" s="12">
        <v>0</v>
      </c>
      <c r="FW120" s="12">
        <v>0</v>
      </c>
      <c r="FX120" s="12">
        <v>16</v>
      </c>
      <c r="FY120" s="12">
        <v>1</v>
      </c>
      <c r="FZ120" s="12">
        <v>3</v>
      </c>
      <c r="GA120" s="12">
        <v>0</v>
      </c>
      <c r="GB120" s="12">
        <v>1</v>
      </c>
      <c r="GC120" s="12">
        <v>1</v>
      </c>
      <c r="GD120" s="12">
        <v>1</v>
      </c>
      <c r="GE120" s="12">
        <v>1</v>
      </c>
      <c r="GF120" s="12">
        <v>27</v>
      </c>
      <c r="GG120" s="12">
        <v>32</v>
      </c>
      <c r="GH120" s="12">
        <v>0</v>
      </c>
      <c r="GI120" s="12">
        <v>0</v>
      </c>
      <c r="GJ120" s="12">
        <v>0</v>
      </c>
      <c r="GK120" s="12">
        <v>0</v>
      </c>
      <c r="GL120" s="12">
        <v>4</v>
      </c>
      <c r="GM120" s="12">
        <v>5</v>
      </c>
      <c r="GN120" s="12">
        <v>15</v>
      </c>
      <c r="GO120" s="12">
        <v>29</v>
      </c>
      <c r="GP120" s="12">
        <v>0</v>
      </c>
      <c r="GQ120" s="12">
        <v>3</v>
      </c>
      <c r="GR120" s="12">
        <v>0</v>
      </c>
      <c r="GS120" s="12">
        <v>0</v>
      </c>
      <c r="GT120" s="12">
        <v>11</v>
      </c>
      <c r="GU120" s="12">
        <v>26</v>
      </c>
      <c r="GV120" s="12">
        <v>0</v>
      </c>
      <c r="GW120" s="12">
        <v>0</v>
      </c>
    </row>
    <row r="121" spans="2:205" ht="15" customHeight="1" x14ac:dyDescent="0.2">
      <c r="B121" s="12">
        <v>7</v>
      </c>
      <c r="C121" s="12" t="s">
        <v>285</v>
      </c>
      <c r="D121" s="12" t="s">
        <v>298</v>
      </c>
      <c r="E121" s="14" t="s">
        <v>287</v>
      </c>
      <c r="F121" s="14" t="s">
        <v>300</v>
      </c>
      <c r="G121" s="15">
        <v>45239</v>
      </c>
      <c r="H121" s="15" t="s">
        <v>271</v>
      </c>
      <c r="I121" s="12" t="s">
        <v>269</v>
      </c>
      <c r="J121" s="12" t="s">
        <v>272</v>
      </c>
      <c r="K121" s="12">
        <v>200</v>
      </c>
      <c r="L121" s="12">
        <v>100</v>
      </c>
      <c r="M121" s="12">
        <v>19</v>
      </c>
      <c r="N121" s="12">
        <v>37</v>
      </c>
      <c r="O121" s="16">
        <v>0.51351351351351349</v>
      </c>
      <c r="P121" s="12">
        <v>11</v>
      </c>
      <c r="Q121" s="12">
        <v>26</v>
      </c>
      <c r="R121" s="16">
        <v>0.42307692307692307</v>
      </c>
      <c r="S121" s="12">
        <v>30</v>
      </c>
      <c r="T121" s="12">
        <v>63</v>
      </c>
      <c r="U121" s="16">
        <v>0.47619047619047616</v>
      </c>
      <c r="V121" s="12">
        <v>29</v>
      </c>
      <c r="W121" s="12">
        <v>34</v>
      </c>
      <c r="X121" s="16">
        <v>0.8529411764705882</v>
      </c>
      <c r="Y121" s="12">
        <v>8</v>
      </c>
      <c r="Z121" s="12">
        <v>29</v>
      </c>
      <c r="AA121" s="12">
        <v>37</v>
      </c>
      <c r="AB121" s="12">
        <v>28</v>
      </c>
      <c r="AC121" s="12">
        <v>8</v>
      </c>
      <c r="AD121" s="12">
        <v>7</v>
      </c>
      <c r="AE121" s="12">
        <v>3</v>
      </c>
      <c r="AF121" s="12">
        <v>1</v>
      </c>
      <c r="AG121" s="12">
        <v>21</v>
      </c>
      <c r="AH121" s="12">
        <v>27</v>
      </c>
      <c r="AI121" s="17">
        <v>134</v>
      </c>
      <c r="AJ121" s="12">
        <v>26</v>
      </c>
      <c r="AK121" s="12">
        <v>79</v>
      </c>
      <c r="AL121" s="12">
        <v>87</v>
      </c>
      <c r="AM121" s="19">
        <v>1.1494252873563218</v>
      </c>
      <c r="AN121" s="19">
        <v>0.89156626506024095</v>
      </c>
      <c r="AO121" s="18">
        <v>126.58227848101266</v>
      </c>
      <c r="AP121" s="18">
        <v>94.871794871794862</v>
      </c>
      <c r="AQ121" s="18">
        <v>31.710483609217803</v>
      </c>
      <c r="AR121" s="53">
        <v>0.56349206349206349</v>
      </c>
      <c r="AS121" s="53">
        <v>0.63291139240506333</v>
      </c>
      <c r="AT121" s="16">
        <v>5.7471264367816091E-2</v>
      </c>
      <c r="AU121" s="19">
        <v>1.6</v>
      </c>
      <c r="AV121" s="16">
        <v>0.33333333333333331</v>
      </c>
      <c r="AW121" s="19">
        <v>1.0344827586206897</v>
      </c>
      <c r="AX121" s="16">
        <v>3.4482758620689655E-2</v>
      </c>
      <c r="AY121" s="19">
        <v>0</v>
      </c>
      <c r="AZ121" s="16">
        <v>0</v>
      </c>
      <c r="BA121" s="19" t="s">
        <v>269</v>
      </c>
      <c r="BB121" s="16">
        <v>0.2988505747126437</v>
      </c>
      <c r="BC121" s="21">
        <v>1.2692307692307692</v>
      </c>
      <c r="BD121" s="16">
        <v>0.18390804597701149</v>
      </c>
      <c r="BE121" s="16">
        <v>9.1954022988505746E-2</v>
      </c>
      <c r="BF121" s="16">
        <v>0.60869565217391308</v>
      </c>
      <c r="BG121" s="16">
        <v>0.57894736842105265</v>
      </c>
      <c r="BH121" s="16">
        <v>1</v>
      </c>
      <c r="BI121" s="16">
        <v>0.375</v>
      </c>
      <c r="BJ121" s="16">
        <v>0.32183908045977011</v>
      </c>
      <c r="BK121" s="21">
        <v>3.5</v>
      </c>
      <c r="BL121" s="16">
        <v>0.25</v>
      </c>
      <c r="BM121" s="16">
        <v>0.375</v>
      </c>
      <c r="BN121" s="16">
        <v>0.125</v>
      </c>
      <c r="BO121" s="16">
        <v>0</v>
      </c>
      <c r="BP121" s="16">
        <v>0.8529411764705882</v>
      </c>
      <c r="BQ121" s="16">
        <v>0.83333333333333337</v>
      </c>
      <c r="BR121" s="16">
        <v>0.85</v>
      </c>
      <c r="BS121" s="16">
        <v>1</v>
      </c>
      <c r="BT121" s="16">
        <v>0.56060606060606055</v>
      </c>
      <c r="BU121" s="16">
        <v>8.9743589743589744E-2</v>
      </c>
      <c r="BV121" s="16">
        <v>5.2631578947368418E-2</v>
      </c>
      <c r="BW121" s="16">
        <v>9</v>
      </c>
      <c r="BX121" s="16">
        <v>0.52380952380952384</v>
      </c>
      <c r="BY121" s="16">
        <v>0.62962962962962965</v>
      </c>
      <c r="BZ121" s="12">
        <v>11</v>
      </c>
      <c r="CA121" s="12">
        <v>11</v>
      </c>
      <c r="CB121" s="12">
        <v>6</v>
      </c>
      <c r="CC121" s="12">
        <v>10</v>
      </c>
      <c r="CD121" s="12">
        <v>1</v>
      </c>
      <c r="CE121" s="12">
        <v>0</v>
      </c>
      <c r="CF121" s="12">
        <v>4</v>
      </c>
      <c r="CG121" s="12">
        <v>0</v>
      </c>
      <c r="CH121" s="12">
        <v>1</v>
      </c>
      <c r="CI121" s="12">
        <v>0</v>
      </c>
      <c r="CJ121" s="12">
        <v>0</v>
      </c>
      <c r="CK121" s="12">
        <v>0</v>
      </c>
      <c r="CL121" s="12">
        <v>2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8</v>
      </c>
      <c r="CS121" s="12">
        <v>0</v>
      </c>
      <c r="CT121" s="12">
        <v>2</v>
      </c>
      <c r="CU121" s="12">
        <v>0</v>
      </c>
      <c r="CV121" s="12">
        <v>0</v>
      </c>
      <c r="CW121" s="12">
        <v>0</v>
      </c>
      <c r="CX121" s="12">
        <v>16</v>
      </c>
      <c r="CY121" s="12">
        <v>1</v>
      </c>
      <c r="CZ121" s="12">
        <v>3</v>
      </c>
      <c r="DA121" s="12">
        <v>0</v>
      </c>
      <c r="DB121" s="12">
        <v>1</v>
      </c>
      <c r="DC121" s="12">
        <v>1</v>
      </c>
      <c r="DD121" s="12">
        <v>1</v>
      </c>
      <c r="DE121" s="12">
        <v>1</v>
      </c>
      <c r="DF121" s="12">
        <v>27</v>
      </c>
      <c r="DG121" s="12">
        <v>32</v>
      </c>
      <c r="DH121" s="12">
        <v>0</v>
      </c>
      <c r="DI121" s="12">
        <v>0</v>
      </c>
      <c r="DJ121" s="12">
        <v>0</v>
      </c>
      <c r="DK121" s="12">
        <v>0</v>
      </c>
      <c r="DL121" s="12">
        <v>4</v>
      </c>
      <c r="DM121" s="12">
        <v>5</v>
      </c>
      <c r="DN121" s="12">
        <v>15</v>
      </c>
      <c r="DO121" s="12">
        <v>29</v>
      </c>
      <c r="DP121" s="12">
        <v>0</v>
      </c>
      <c r="DQ121" s="12">
        <v>3</v>
      </c>
      <c r="DR121" s="12">
        <v>0</v>
      </c>
      <c r="DS121" s="12">
        <v>0</v>
      </c>
      <c r="DT121" s="12">
        <v>11</v>
      </c>
      <c r="DU121" s="12">
        <v>26</v>
      </c>
      <c r="DV121" s="12">
        <v>0</v>
      </c>
      <c r="DW121" s="12">
        <v>0</v>
      </c>
      <c r="DX121" s="12">
        <v>74</v>
      </c>
      <c r="DY121" s="12">
        <v>20</v>
      </c>
      <c r="DZ121" s="12">
        <v>32</v>
      </c>
      <c r="EA121" s="16">
        <v>0.625</v>
      </c>
      <c r="EB121" s="12">
        <v>6</v>
      </c>
      <c r="EC121" s="12">
        <v>25</v>
      </c>
      <c r="ED121" s="16">
        <v>0.24</v>
      </c>
      <c r="EE121" s="12">
        <v>26</v>
      </c>
      <c r="EF121" s="12">
        <v>57</v>
      </c>
      <c r="EG121" s="16">
        <v>0.45614035087719296</v>
      </c>
      <c r="EH121" s="12">
        <v>16</v>
      </c>
      <c r="EI121" s="12">
        <v>21</v>
      </c>
      <c r="EJ121" s="16">
        <v>0.76190476190476186</v>
      </c>
      <c r="EK121" s="12">
        <v>5</v>
      </c>
      <c r="EL121" s="12">
        <v>24</v>
      </c>
      <c r="EM121" s="12">
        <v>29</v>
      </c>
      <c r="EN121" s="12">
        <v>17</v>
      </c>
      <c r="EO121" s="12">
        <v>28</v>
      </c>
      <c r="EP121" s="12">
        <v>20</v>
      </c>
      <c r="EQ121" s="12">
        <v>4</v>
      </c>
      <c r="ER121" s="12">
        <v>19</v>
      </c>
      <c r="ES121" s="12">
        <v>1</v>
      </c>
      <c r="ET121" s="12">
        <v>3</v>
      </c>
      <c r="EU121" s="12">
        <v>59</v>
      </c>
      <c r="EV121" s="12">
        <v>-26</v>
      </c>
      <c r="EW121" s="12">
        <v>78</v>
      </c>
      <c r="EX121" s="12">
        <v>83</v>
      </c>
      <c r="EY121" s="12">
        <v>5</v>
      </c>
      <c r="EZ121" s="12">
        <v>11</v>
      </c>
      <c r="FA121" s="12">
        <v>5</v>
      </c>
      <c r="FB121" s="12">
        <v>1</v>
      </c>
      <c r="FC121" s="12">
        <v>0</v>
      </c>
      <c r="FD121" s="12">
        <v>1</v>
      </c>
      <c r="FE121" s="12">
        <v>0</v>
      </c>
      <c r="FF121" s="12">
        <v>1</v>
      </c>
      <c r="FG121" s="12">
        <v>0</v>
      </c>
      <c r="FH121" s="12">
        <v>0</v>
      </c>
      <c r="FI121" s="12">
        <v>0</v>
      </c>
      <c r="FJ121" s="12">
        <v>0</v>
      </c>
      <c r="FK121" s="12">
        <v>0</v>
      </c>
      <c r="FL121" s="12">
        <v>3</v>
      </c>
      <c r="FM121" s="12">
        <v>0</v>
      </c>
      <c r="FN121" s="12">
        <v>0</v>
      </c>
      <c r="FO121" s="12">
        <v>0</v>
      </c>
      <c r="FP121" s="12">
        <v>0</v>
      </c>
      <c r="FQ121" s="12">
        <v>0</v>
      </c>
      <c r="FR121" s="12">
        <v>10</v>
      </c>
      <c r="FS121" s="12">
        <v>0</v>
      </c>
      <c r="FT121" s="12">
        <v>0</v>
      </c>
      <c r="FU121" s="12">
        <v>0</v>
      </c>
      <c r="FV121" s="12">
        <v>0</v>
      </c>
      <c r="FW121" s="12">
        <v>0</v>
      </c>
      <c r="FX121" s="12">
        <v>12</v>
      </c>
      <c r="FY121" s="12">
        <v>2</v>
      </c>
      <c r="FZ121" s="12">
        <v>2</v>
      </c>
      <c r="GA121" s="12">
        <v>0</v>
      </c>
      <c r="GB121" s="12">
        <v>1</v>
      </c>
      <c r="GC121" s="12">
        <v>1</v>
      </c>
      <c r="GD121" s="12">
        <v>3</v>
      </c>
      <c r="GE121" s="12">
        <v>4</v>
      </c>
      <c r="GF121" s="12">
        <v>8</v>
      </c>
      <c r="GG121" s="12">
        <v>10</v>
      </c>
      <c r="GH121" s="12">
        <v>0</v>
      </c>
      <c r="GI121" s="12">
        <v>4</v>
      </c>
      <c r="GJ121" s="12">
        <v>6</v>
      </c>
      <c r="GK121" s="12">
        <v>0</v>
      </c>
      <c r="GL121" s="12">
        <v>4</v>
      </c>
      <c r="GM121" s="12">
        <v>5</v>
      </c>
      <c r="GN121" s="12">
        <v>16</v>
      </c>
      <c r="GO121" s="12">
        <v>25</v>
      </c>
      <c r="GP121" s="12">
        <v>0</v>
      </c>
      <c r="GQ121" s="12">
        <v>2</v>
      </c>
      <c r="GR121" s="12">
        <v>0</v>
      </c>
      <c r="GS121" s="12">
        <v>0</v>
      </c>
      <c r="GT121" s="12">
        <v>6</v>
      </c>
      <c r="GU121" s="12">
        <v>25</v>
      </c>
      <c r="GV121" s="12">
        <v>0</v>
      </c>
      <c r="GW121" s="12">
        <v>0</v>
      </c>
    </row>
    <row r="122" spans="2:205" ht="15" customHeight="1" x14ac:dyDescent="0.2">
      <c r="B122" s="12">
        <v>7</v>
      </c>
      <c r="C122" s="12" t="s">
        <v>281</v>
      </c>
      <c r="D122" s="12" t="s">
        <v>294</v>
      </c>
      <c r="E122" s="14" t="s">
        <v>283</v>
      </c>
      <c r="F122" s="14" t="s">
        <v>296</v>
      </c>
      <c r="G122" s="15">
        <v>45240</v>
      </c>
      <c r="H122" s="15" t="s">
        <v>268</v>
      </c>
      <c r="I122" s="12" t="s">
        <v>269</v>
      </c>
      <c r="J122" s="12" t="s">
        <v>272</v>
      </c>
      <c r="K122" s="12">
        <v>200</v>
      </c>
      <c r="L122" s="12">
        <v>99</v>
      </c>
      <c r="M122" s="12">
        <v>23</v>
      </c>
      <c r="N122" s="12">
        <v>33</v>
      </c>
      <c r="O122" s="16">
        <v>0.69696969696969702</v>
      </c>
      <c r="P122" s="12">
        <v>13</v>
      </c>
      <c r="Q122" s="12">
        <v>29</v>
      </c>
      <c r="R122" s="16">
        <v>0.44827586206896552</v>
      </c>
      <c r="S122" s="12">
        <v>36</v>
      </c>
      <c r="T122" s="12">
        <v>62</v>
      </c>
      <c r="U122" s="16">
        <v>0.58064516129032262</v>
      </c>
      <c r="V122" s="12">
        <v>14</v>
      </c>
      <c r="W122" s="12">
        <v>17</v>
      </c>
      <c r="X122" s="16">
        <v>0.82352941176470584</v>
      </c>
      <c r="Y122" s="12">
        <v>7</v>
      </c>
      <c r="Z122" s="12">
        <v>26</v>
      </c>
      <c r="AA122" s="12">
        <v>33</v>
      </c>
      <c r="AB122" s="12">
        <v>27</v>
      </c>
      <c r="AC122" s="12">
        <v>12</v>
      </c>
      <c r="AD122" s="12">
        <v>8</v>
      </c>
      <c r="AE122" s="12">
        <v>3</v>
      </c>
      <c r="AF122" s="12">
        <v>1</v>
      </c>
      <c r="AG122" s="12">
        <v>17</v>
      </c>
      <c r="AH122" s="12">
        <v>21</v>
      </c>
      <c r="AI122" s="17">
        <v>132</v>
      </c>
      <c r="AJ122" s="12">
        <v>14</v>
      </c>
      <c r="AK122" s="12">
        <v>75</v>
      </c>
      <c r="AL122" s="12">
        <v>82</v>
      </c>
      <c r="AM122" s="19">
        <v>1.2073170731707317</v>
      </c>
      <c r="AN122" s="19">
        <v>0.9550561797752809</v>
      </c>
      <c r="AO122" s="18">
        <v>132</v>
      </c>
      <c r="AP122" s="18">
        <v>114.86486486486487</v>
      </c>
      <c r="AQ122" s="18">
        <v>17.13513513513513</v>
      </c>
      <c r="AR122" s="53">
        <v>0.68548387096774188</v>
      </c>
      <c r="AS122" s="53">
        <v>0.70714285714285718</v>
      </c>
      <c r="AT122" s="16">
        <v>0.1951219512195122</v>
      </c>
      <c r="AU122" s="19">
        <v>1.5</v>
      </c>
      <c r="AV122" s="16">
        <v>0.15853658536585366</v>
      </c>
      <c r="AW122" s="19">
        <v>1.2307692307692308</v>
      </c>
      <c r="AX122" s="16">
        <v>4.878048780487805E-2</v>
      </c>
      <c r="AY122" s="19">
        <v>1.5</v>
      </c>
      <c r="AZ122" s="16">
        <v>6.097560975609756E-2</v>
      </c>
      <c r="BA122" s="19">
        <v>1.8</v>
      </c>
      <c r="BB122" s="16">
        <v>0.29268292682926828</v>
      </c>
      <c r="BC122" s="21">
        <v>1.25</v>
      </c>
      <c r="BD122" s="16">
        <v>9.7560975609756101E-2</v>
      </c>
      <c r="BE122" s="16">
        <v>0.14634146341463414</v>
      </c>
      <c r="BF122" s="16">
        <v>0.62790697674418605</v>
      </c>
      <c r="BG122" s="16">
        <v>0.56521739130434778</v>
      </c>
      <c r="BH122" s="16">
        <v>0.84615384615384615</v>
      </c>
      <c r="BI122" s="16">
        <v>0.42857142857142855</v>
      </c>
      <c r="BJ122" s="16">
        <v>0.32926829268292684</v>
      </c>
      <c r="BK122" s="21">
        <v>2.25</v>
      </c>
      <c r="BL122" s="16">
        <v>0.26923076923076922</v>
      </c>
      <c r="BM122" s="16">
        <v>0.33333333333333331</v>
      </c>
      <c r="BN122" s="16">
        <v>0.25</v>
      </c>
      <c r="BO122" s="16">
        <v>0</v>
      </c>
      <c r="BP122" s="16">
        <v>0.63414634146341464</v>
      </c>
      <c r="BQ122" s="16">
        <v>0.6</v>
      </c>
      <c r="BR122" s="16">
        <v>0.61111111111111116</v>
      </c>
      <c r="BS122" s="16">
        <v>1</v>
      </c>
      <c r="BT122" s="16">
        <v>0.4925373134328358</v>
      </c>
      <c r="BU122" s="16">
        <v>0.10810810810810811</v>
      </c>
      <c r="BV122" s="16">
        <v>4.2857142857142858E-2</v>
      </c>
      <c r="BW122" s="16">
        <v>6</v>
      </c>
      <c r="BX122" s="16">
        <v>0.35294117647058826</v>
      </c>
      <c r="BY122" s="16">
        <v>0.42857142857142855</v>
      </c>
      <c r="BZ122" s="12">
        <v>13</v>
      </c>
      <c r="CA122" s="12">
        <v>11</v>
      </c>
      <c r="CB122" s="12">
        <v>3</v>
      </c>
      <c r="CC122" s="12">
        <v>6</v>
      </c>
      <c r="CD122" s="12">
        <v>1</v>
      </c>
      <c r="CE122" s="12">
        <v>0</v>
      </c>
      <c r="CF122" s="12">
        <v>3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3</v>
      </c>
      <c r="CM122" s="12">
        <v>1</v>
      </c>
      <c r="CN122" s="12">
        <v>0</v>
      </c>
      <c r="CO122" s="12">
        <v>0</v>
      </c>
      <c r="CP122" s="12">
        <v>6</v>
      </c>
      <c r="CQ122" s="12">
        <v>1</v>
      </c>
      <c r="CR122" s="12">
        <v>5</v>
      </c>
      <c r="CS122" s="12">
        <v>0</v>
      </c>
      <c r="CT122" s="12">
        <v>2</v>
      </c>
      <c r="CU122" s="12">
        <v>1</v>
      </c>
      <c r="CV122" s="12">
        <v>1</v>
      </c>
      <c r="CW122" s="12">
        <v>0</v>
      </c>
      <c r="CX122" s="12">
        <v>9</v>
      </c>
      <c r="CY122" s="12">
        <v>1</v>
      </c>
      <c r="CZ122" s="12">
        <v>3</v>
      </c>
      <c r="DA122" s="12">
        <v>0</v>
      </c>
      <c r="DB122" s="12">
        <v>0</v>
      </c>
      <c r="DC122" s="12">
        <v>0</v>
      </c>
      <c r="DD122" s="12">
        <v>1</v>
      </c>
      <c r="DE122" s="12">
        <v>1</v>
      </c>
      <c r="DF122" s="12">
        <v>13</v>
      </c>
      <c r="DG122" s="12">
        <v>16</v>
      </c>
      <c r="DH122" s="12">
        <v>1</v>
      </c>
      <c r="DI122" s="12">
        <v>0</v>
      </c>
      <c r="DJ122" s="12">
        <v>0</v>
      </c>
      <c r="DK122" s="12">
        <v>0</v>
      </c>
      <c r="DL122" s="12">
        <v>12</v>
      </c>
      <c r="DM122" s="12">
        <v>16</v>
      </c>
      <c r="DN122" s="12">
        <v>8</v>
      </c>
      <c r="DO122" s="12">
        <v>13</v>
      </c>
      <c r="DP122" s="12">
        <v>3</v>
      </c>
      <c r="DQ122" s="12">
        <v>4</v>
      </c>
      <c r="DR122" s="12">
        <v>3</v>
      </c>
      <c r="DS122" s="12">
        <v>5</v>
      </c>
      <c r="DT122" s="12">
        <v>10</v>
      </c>
      <c r="DU122" s="12">
        <v>24</v>
      </c>
      <c r="DV122" s="12">
        <v>0</v>
      </c>
      <c r="DW122" s="12">
        <v>0</v>
      </c>
      <c r="DX122" s="12">
        <v>85</v>
      </c>
      <c r="DY122" s="12">
        <v>20</v>
      </c>
      <c r="DZ122" s="12">
        <v>42</v>
      </c>
      <c r="EA122" s="16">
        <v>0.47619047619047616</v>
      </c>
      <c r="EB122" s="12">
        <v>12</v>
      </c>
      <c r="EC122" s="12">
        <v>28</v>
      </c>
      <c r="ED122" s="16">
        <v>0.42857142857142855</v>
      </c>
      <c r="EE122" s="12">
        <v>32</v>
      </c>
      <c r="EF122" s="12">
        <v>70</v>
      </c>
      <c r="EG122" s="16">
        <v>0.45714285714285713</v>
      </c>
      <c r="EH122" s="12">
        <v>9</v>
      </c>
      <c r="EI122" s="12">
        <v>12</v>
      </c>
      <c r="EJ122" s="16">
        <v>0.75</v>
      </c>
      <c r="EK122" s="12">
        <v>15</v>
      </c>
      <c r="EL122" s="12">
        <v>19</v>
      </c>
      <c r="EM122" s="12">
        <v>34</v>
      </c>
      <c r="EN122" s="12">
        <v>19</v>
      </c>
      <c r="EO122" s="12">
        <v>21</v>
      </c>
      <c r="EP122" s="12">
        <v>17</v>
      </c>
      <c r="EQ122" s="12">
        <v>7</v>
      </c>
      <c r="ER122" s="12">
        <v>14</v>
      </c>
      <c r="ES122" s="12">
        <v>1</v>
      </c>
      <c r="ET122" s="12">
        <v>3</v>
      </c>
      <c r="EU122" s="12">
        <v>84</v>
      </c>
      <c r="EV122" s="12">
        <v>-14</v>
      </c>
      <c r="EW122" s="12">
        <v>74</v>
      </c>
      <c r="EX122" s="12">
        <v>89</v>
      </c>
      <c r="EY122" s="12">
        <v>1</v>
      </c>
      <c r="EZ122" s="12">
        <v>7</v>
      </c>
      <c r="FA122" s="12">
        <v>10</v>
      </c>
      <c r="FB122" s="12">
        <v>2</v>
      </c>
      <c r="FC122" s="12">
        <v>4</v>
      </c>
      <c r="FD122" s="12">
        <v>3</v>
      </c>
      <c r="FE122" s="12">
        <v>1</v>
      </c>
      <c r="FF122" s="12">
        <v>3</v>
      </c>
      <c r="FG122" s="12">
        <v>0</v>
      </c>
      <c r="FH122" s="12">
        <v>2</v>
      </c>
      <c r="FI122" s="12">
        <v>1</v>
      </c>
      <c r="FJ122" s="12">
        <v>2</v>
      </c>
      <c r="FK122" s="12">
        <v>1</v>
      </c>
      <c r="FL122" s="12">
        <v>4</v>
      </c>
      <c r="FM122" s="12">
        <v>0</v>
      </c>
      <c r="FN122" s="12">
        <v>0</v>
      </c>
      <c r="FO122" s="12">
        <v>0</v>
      </c>
      <c r="FP122" s="12">
        <v>3</v>
      </c>
      <c r="FQ122" s="12">
        <v>2</v>
      </c>
      <c r="FR122" s="12">
        <v>2</v>
      </c>
      <c r="FS122" s="12">
        <v>0</v>
      </c>
      <c r="FT122" s="12">
        <v>1</v>
      </c>
      <c r="FU122" s="12">
        <v>0</v>
      </c>
      <c r="FV122" s="12">
        <v>2</v>
      </c>
      <c r="FW122" s="12">
        <v>0</v>
      </c>
      <c r="FX122" s="12">
        <v>10</v>
      </c>
      <c r="FY122" s="12">
        <v>0</v>
      </c>
      <c r="FZ122" s="12">
        <v>1</v>
      </c>
      <c r="GA122" s="12">
        <v>0</v>
      </c>
      <c r="GB122" s="12">
        <v>0</v>
      </c>
      <c r="GC122" s="12">
        <v>0</v>
      </c>
      <c r="GD122" s="12">
        <v>0</v>
      </c>
      <c r="GE122" s="12">
        <v>1</v>
      </c>
      <c r="GF122" s="12">
        <v>9</v>
      </c>
      <c r="GG122" s="12">
        <v>10</v>
      </c>
      <c r="GH122" s="12">
        <v>0</v>
      </c>
      <c r="GI122" s="12">
        <v>0</v>
      </c>
      <c r="GJ122" s="12">
        <v>0</v>
      </c>
      <c r="GK122" s="12">
        <v>0</v>
      </c>
      <c r="GL122" s="12">
        <v>13</v>
      </c>
      <c r="GM122" s="12">
        <v>22</v>
      </c>
      <c r="GN122" s="12">
        <v>7</v>
      </c>
      <c r="GO122" s="12">
        <v>16</v>
      </c>
      <c r="GP122" s="12">
        <v>0</v>
      </c>
      <c r="GQ122" s="12">
        <v>4</v>
      </c>
      <c r="GR122" s="12">
        <v>4</v>
      </c>
      <c r="GS122" s="12">
        <v>7</v>
      </c>
      <c r="GT122" s="12">
        <v>8</v>
      </c>
      <c r="GU122" s="12">
        <v>21</v>
      </c>
      <c r="GV122" s="12">
        <v>0</v>
      </c>
      <c r="GW122" s="12">
        <v>0</v>
      </c>
    </row>
    <row r="123" spans="2:205" ht="15" customHeight="1" x14ac:dyDescent="0.2">
      <c r="B123" s="12">
        <v>7</v>
      </c>
      <c r="C123" s="12" t="s">
        <v>294</v>
      </c>
      <c r="D123" s="12" t="s">
        <v>281</v>
      </c>
      <c r="E123" s="14" t="s">
        <v>296</v>
      </c>
      <c r="F123" s="14" t="s">
        <v>283</v>
      </c>
      <c r="G123" s="15">
        <v>45240</v>
      </c>
      <c r="H123" s="15" t="s">
        <v>271</v>
      </c>
      <c r="I123" s="12" t="s">
        <v>269</v>
      </c>
      <c r="J123" s="12" t="s">
        <v>270</v>
      </c>
      <c r="K123" s="12">
        <v>200</v>
      </c>
      <c r="L123" s="12">
        <v>85</v>
      </c>
      <c r="M123" s="12">
        <v>20</v>
      </c>
      <c r="N123" s="12">
        <v>42</v>
      </c>
      <c r="O123" s="16">
        <v>0.47619047619047616</v>
      </c>
      <c r="P123" s="12">
        <v>12</v>
      </c>
      <c r="Q123" s="12">
        <v>28</v>
      </c>
      <c r="R123" s="16">
        <v>0.42857142857142855</v>
      </c>
      <c r="S123" s="12">
        <v>32</v>
      </c>
      <c r="T123" s="12">
        <v>70</v>
      </c>
      <c r="U123" s="16">
        <v>0.45714285714285713</v>
      </c>
      <c r="V123" s="12">
        <v>9</v>
      </c>
      <c r="W123" s="12">
        <v>12</v>
      </c>
      <c r="X123" s="16">
        <v>0.75</v>
      </c>
      <c r="Y123" s="12">
        <v>15</v>
      </c>
      <c r="Z123" s="12">
        <v>19</v>
      </c>
      <c r="AA123" s="12">
        <v>34</v>
      </c>
      <c r="AB123" s="12">
        <v>19</v>
      </c>
      <c r="AC123" s="12">
        <v>14</v>
      </c>
      <c r="AD123" s="12">
        <v>7</v>
      </c>
      <c r="AE123" s="12">
        <v>1</v>
      </c>
      <c r="AF123" s="12">
        <v>3</v>
      </c>
      <c r="AG123" s="12">
        <v>21</v>
      </c>
      <c r="AH123" s="12">
        <v>17</v>
      </c>
      <c r="AI123" s="17">
        <v>84</v>
      </c>
      <c r="AJ123" s="12">
        <v>-14</v>
      </c>
      <c r="AK123" s="12">
        <v>74</v>
      </c>
      <c r="AL123" s="12">
        <v>89</v>
      </c>
      <c r="AM123" s="19">
        <v>0.9550561797752809</v>
      </c>
      <c r="AN123" s="19">
        <v>1.2073170731707317</v>
      </c>
      <c r="AO123" s="18">
        <v>114.86486486486487</v>
      </c>
      <c r="AP123" s="18">
        <v>132</v>
      </c>
      <c r="AQ123" s="18">
        <v>-17.13513513513513</v>
      </c>
      <c r="AR123" s="53">
        <v>0.54285714285714282</v>
      </c>
      <c r="AS123" s="53">
        <v>0.56666666666666665</v>
      </c>
      <c r="AT123" s="16">
        <v>0.24719101123595505</v>
      </c>
      <c r="AU123" s="19">
        <v>1.1818181818181819</v>
      </c>
      <c r="AV123" s="16">
        <v>0.1797752808988764</v>
      </c>
      <c r="AW123" s="19">
        <v>0.875</v>
      </c>
      <c r="AX123" s="16">
        <v>4.49438202247191E-2</v>
      </c>
      <c r="AY123" s="19">
        <v>0</v>
      </c>
      <c r="AZ123" s="16">
        <v>7.8651685393258425E-2</v>
      </c>
      <c r="BA123" s="19">
        <v>1.7142857142857142</v>
      </c>
      <c r="BB123" s="16">
        <v>0.23595505617977527</v>
      </c>
      <c r="BC123" s="21">
        <v>1.1428571428571428</v>
      </c>
      <c r="BD123" s="16">
        <v>5.6179775280898875E-2</v>
      </c>
      <c r="BE123" s="16">
        <v>0.15730337078651685</v>
      </c>
      <c r="BF123" s="16">
        <v>0.51351351351351349</v>
      </c>
      <c r="BG123" s="16">
        <v>0.35</v>
      </c>
      <c r="BH123" s="16">
        <v>0.83333333333333337</v>
      </c>
      <c r="BI123" s="16">
        <v>0.4</v>
      </c>
      <c r="BJ123" s="16">
        <v>0.21348314606741572</v>
      </c>
      <c r="BK123" s="21">
        <v>1.3571428571428572</v>
      </c>
      <c r="BL123" s="16">
        <v>0.36585365853658536</v>
      </c>
      <c r="BM123" s="16">
        <v>0.4</v>
      </c>
      <c r="BN123" s="16">
        <v>0.3888888888888889</v>
      </c>
      <c r="BO123" s="16">
        <v>0</v>
      </c>
      <c r="BP123" s="16">
        <v>0.73076923076923073</v>
      </c>
      <c r="BQ123" s="16">
        <v>0.66666666666666663</v>
      </c>
      <c r="BR123" s="16">
        <v>0.75</v>
      </c>
      <c r="BS123" s="16">
        <v>1</v>
      </c>
      <c r="BT123" s="16">
        <v>0.5074626865671642</v>
      </c>
      <c r="BU123" s="16">
        <v>9.3333333333333338E-2</v>
      </c>
      <c r="BV123" s="16">
        <v>1.6129032258064516E-2</v>
      </c>
      <c r="BW123" s="16">
        <v>1</v>
      </c>
      <c r="BX123" s="16">
        <v>0.42857142857142855</v>
      </c>
      <c r="BY123" s="16">
        <v>0.41176470588235292</v>
      </c>
      <c r="BZ123" s="12">
        <v>7</v>
      </c>
      <c r="CA123" s="12">
        <v>10</v>
      </c>
      <c r="CB123" s="12">
        <v>2</v>
      </c>
      <c r="CC123" s="12">
        <v>4</v>
      </c>
      <c r="CD123" s="12">
        <v>3</v>
      </c>
      <c r="CE123" s="12">
        <v>1</v>
      </c>
      <c r="CF123" s="12">
        <v>3</v>
      </c>
      <c r="CG123" s="12">
        <v>0</v>
      </c>
      <c r="CH123" s="12">
        <v>2</v>
      </c>
      <c r="CI123" s="12">
        <v>1</v>
      </c>
      <c r="CJ123" s="12">
        <v>2</v>
      </c>
      <c r="CK123" s="12">
        <v>1</v>
      </c>
      <c r="CL123" s="12">
        <v>4</v>
      </c>
      <c r="CM123" s="12">
        <v>0</v>
      </c>
      <c r="CN123" s="12">
        <v>0</v>
      </c>
      <c r="CO123" s="12">
        <v>0</v>
      </c>
      <c r="CP123" s="12">
        <v>3</v>
      </c>
      <c r="CQ123" s="12">
        <v>2</v>
      </c>
      <c r="CR123" s="12">
        <v>2</v>
      </c>
      <c r="CS123" s="12">
        <v>0</v>
      </c>
      <c r="CT123" s="12">
        <v>1</v>
      </c>
      <c r="CU123" s="12">
        <v>0</v>
      </c>
      <c r="CV123" s="12">
        <v>2</v>
      </c>
      <c r="CW123" s="12">
        <v>0</v>
      </c>
      <c r="CX123" s="12">
        <v>10</v>
      </c>
      <c r="CY123" s="12">
        <v>0</v>
      </c>
      <c r="CZ123" s="12">
        <v>1</v>
      </c>
      <c r="DA123" s="12">
        <v>0</v>
      </c>
      <c r="DB123" s="12">
        <v>0</v>
      </c>
      <c r="DC123" s="12">
        <v>0</v>
      </c>
      <c r="DD123" s="12">
        <v>0</v>
      </c>
      <c r="DE123" s="12">
        <v>2</v>
      </c>
      <c r="DF123" s="12">
        <v>9</v>
      </c>
      <c r="DG123" s="12">
        <v>10</v>
      </c>
      <c r="DH123" s="12">
        <v>0</v>
      </c>
      <c r="DI123" s="12">
        <v>0</v>
      </c>
      <c r="DJ123" s="12">
        <v>0</v>
      </c>
      <c r="DK123" s="12">
        <v>0</v>
      </c>
      <c r="DL123" s="12">
        <v>13</v>
      </c>
      <c r="DM123" s="12">
        <v>22</v>
      </c>
      <c r="DN123" s="12">
        <v>7</v>
      </c>
      <c r="DO123" s="12">
        <v>16</v>
      </c>
      <c r="DP123" s="12">
        <v>0</v>
      </c>
      <c r="DQ123" s="12">
        <v>4</v>
      </c>
      <c r="DR123" s="12">
        <v>4</v>
      </c>
      <c r="DS123" s="12">
        <v>7</v>
      </c>
      <c r="DT123" s="12">
        <v>8</v>
      </c>
      <c r="DU123" s="12">
        <v>21</v>
      </c>
      <c r="DV123" s="12">
        <v>0</v>
      </c>
      <c r="DW123" s="12">
        <v>0</v>
      </c>
      <c r="DX123" s="12">
        <v>99</v>
      </c>
      <c r="DY123" s="12">
        <v>23</v>
      </c>
      <c r="DZ123" s="12">
        <v>33</v>
      </c>
      <c r="EA123" s="16">
        <v>0.69696969696969702</v>
      </c>
      <c r="EB123" s="12">
        <v>13</v>
      </c>
      <c r="EC123" s="12">
        <v>29</v>
      </c>
      <c r="ED123" s="16">
        <v>0.44827586206896552</v>
      </c>
      <c r="EE123" s="12">
        <v>36</v>
      </c>
      <c r="EF123" s="12">
        <v>62</v>
      </c>
      <c r="EG123" s="16">
        <v>0.58064516129032262</v>
      </c>
      <c r="EH123" s="12">
        <v>14</v>
      </c>
      <c r="EI123" s="12">
        <v>17</v>
      </c>
      <c r="EJ123" s="16">
        <v>0.82352941176470584</v>
      </c>
      <c r="EK123" s="12">
        <v>7</v>
      </c>
      <c r="EL123" s="12">
        <v>26</v>
      </c>
      <c r="EM123" s="12">
        <v>33</v>
      </c>
      <c r="EN123" s="12">
        <v>27</v>
      </c>
      <c r="EO123" s="12">
        <v>17</v>
      </c>
      <c r="EP123" s="12">
        <v>21</v>
      </c>
      <c r="EQ123" s="12">
        <v>8</v>
      </c>
      <c r="ER123" s="12">
        <v>12</v>
      </c>
      <c r="ES123" s="12">
        <v>3</v>
      </c>
      <c r="ET123" s="12">
        <v>1</v>
      </c>
      <c r="EU123" s="12">
        <v>132</v>
      </c>
      <c r="EV123" s="12">
        <v>14</v>
      </c>
      <c r="EW123" s="12">
        <v>75</v>
      </c>
      <c r="EX123" s="12">
        <v>82</v>
      </c>
      <c r="EY123" s="12">
        <v>6</v>
      </c>
      <c r="EZ123" s="12">
        <v>13</v>
      </c>
      <c r="FA123" s="12">
        <v>11</v>
      </c>
      <c r="FB123" s="12">
        <v>3</v>
      </c>
      <c r="FC123" s="12">
        <v>6</v>
      </c>
      <c r="FD123" s="12">
        <v>1</v>
      </c>
      <c r="FE123" s="12">
        <v>0</v>
      </c>
      <c r="FF123" s="12">
        <v>3</v>
      </c>
      <c r="FG123" s="12">
        <v>0</v>
      </c>
      <c r="FH123" s="12">
        <v>0</v>
      </c>
      <c r="FI123" s="12">
        <v>0</v>
      </c>
      <c r="FJ123" s="12">
        <v>0</v>
      </c>
      <c r="FK123" s="12">
        <v>0</v>
      </c>
      <c r="FL123" s="12">
        <v>3</v>
      </c>
      <c r="FM123" s="12">
        <v>1</v>
      </c>
      <c r="FN123" s="12">
        <v>0</v>
      </c>
      <c r="FO123" s="12">
        <v>0</v>
      </c>
      <c r="FP123" s="12">
        <v>6</v>
      </c>
      <c r="FQ123" s="12">
        <v>1</v>
      </c>
      <c r="FR123" s="12">
        <v>5</v>
      </c>
      <c r="FS123" s="12">
        <v>0</v>
      </c>
      <c r="FT123" s="12">
        <v>2</v>
      </c>
      <c r="FU123" s="12">
        <v>1</v>
      </c>
      <c r="FV123" s="12">
        <v>1</v>
      </c>
      <c r="FW123" s="12">
        <v>0</v>
      </c>
      <c r="FX123" s="12">
        <v>9</v>
      </c>
      <c r="FY123" s="12">
        <v>1</v>
      </c>
      <c r="FZ123" s="12">
        <v>3</v>
      </c>
      <c r="GA123" s="12">
        <v>0</v>
      </c>
      <c r="GB123" s="12">
        <v>0</v>
      </c>
      <c r="GC123" s="12">
        <v>0</v>
      </c>
      <c r="GD123" s="12">
        <v>1</v>
      </c>
      <c r="GE123" s="12">
        <v>1</v>
      </c>
      <c r="GF123" s="12">
        <v>13</v>
      </c>
      <c r="GG123" s="12">
        <v>16</v>
      </c>
      <c r="GH123" s="12">
        <v>1</v>
      </c>
      <c r="GI123" s="12">
        <v>0</v>
      </c>
      <c r="GJ123" s="12">
        <v>0</v>
      </c>
      <c r="GK123" s="12">
        <v>0</v>
      </c>
      <c r="GL123" s="12">
        <v>12</v>
      </c>
      <c r="GM123" s="12">
        <v>16</v>
      </c>
      <c r="GN123" s="12">
        <v>8</v>
      </c>
      <c r="GO123" s="12">
        <v>13</v>
      </c>
      <c r="GP123" s="12">
        <v>3</v>
      </c>
      <c r="GQ123" s="12">
        <v>4</v>
      </c>
      <c r="GR123" s="12">
        <v>3</v>
      </c>
      <c r="GS123" s="12">
        <v>5</v>
      </c>
      <c r="GT123" s="12">
        <v>10</v>
      </c>
      <c r="GU123" s="12">
        <v>24</v>
      </c>
      <c r="GV123" s="12">
        <v>0</v>
      </c>
      <c r="GW123" s="12">
        <v>0</v>
      </c>
    </row>
    <row r="124" spans="2:205" ht="15" customHeight="1" x14ac:dyDescent="0.2">
      <c r="B124" s="12">
        <v>7</v>
      </c>
      <c r="C124" s="12" t="s">
        <v>264</v>
      </c>
      <c r="D124" s="12" t="s">
        <v>278</v>
      </c>
      <c r="E124" s="14" t="s">
        <v>266</v>
      </c>
      <c r="F124" s="14" t="s">
        <v>280</v>
      </c>
      <c r="G124" s="15">
        <v>45240</v>
      </c>
      <c r="H124" s="15" t="s">
        <v>271</v>
      </c>
      <c r="I124" s="12" t="s">
        <v>269</v>
      </c>
      <c r="J124" s="12" t="s">
        <v>272</v>
      </c>
      <c r="K124" s="12">
        <v>200</v>
      </c>
      <c r="L124" s="12">
        <v>86</v>
      </c>
      <c r="M124" s="12">
        <v>26</v>
      </c>
      <c r="N124" s="12">
        <v>39</v>
      </c>
      <c r="O124" s="16">
        <v>0.66666666666666663</v>
      </c>
      <c r="P124" s="12">
        <v>7</v>
      </c>
      <c r="Q124" s="12">
        <v>20</v>
      </c>
      <c r="R124" s="16">
        <v>0.35</v>
      </c>
      <c r="S124" s="12">
        <v>33</v>
      </c>
      <c r="T124" s="12">
        <v>59</v>
      </c>
      <c r="U124" s="16">
        <v>0.55932203389830504</v>
      </c>
      <c r="V124" s="12">
        <v>13</v>
      </c>
      <c r="W124" s="12">
        <v>20</v>
      </c>
      <c r="X124" s="16">
        <v>0.65</v>
      </c>
      <c r="Y124" s="12">
        <v>4</v>
      </c>
      <c r="Z124" s="12">
        <v>23</v>
      </c>
      <c r="AA124" s="12">
        <v>27</v>
      </c>
      <c r="AB124" s="12">
        <v>21</v>
      </c>
      <c r="AC124" s="12">
        <v>9</v>
      </c>
      <c r="AD124" s="12">
        <v>4</v>
      </c>
      <c r="AE124" s="12">
        <v>5</v>
      </c>
      <c r="AF124" s="12">
        <v>1</v>
      </c>
      <c r="AG124" s="12">
        <v>17</v>
      </c>
      <c r="AH124" s="12">
        <v>17</v>
      </c>
      <c r="AI124" s="17">
        <v>100</v>
      </c>
      <c r="AJ124" s="12">
        <v>5</v>
      </c>
      <c r="AK124" s="12">
        <v>71</v>
      </c>
      <c r="AL124" s="12">
        <v>75</v>
      </c>
      <c r="AM124" s="19">
        <v>1.1466666666666667</v>
      </c>
      <c r="AN124" s="19">
        <v>0.89010989010989006</v>
      </c>
      <c r="AO124" s="18">
        <v>121.12676056338027</v>
      </c>
      <c r="AP124" s="18">
        <v>112.5</v>
      </c>
      <c r="AQ124" s="18">
        <v>8.6267605633802731</v>
      </c>
      <c r="AR124" s="53">
        <v>0.61864406779661019</v>
      </c>
      <c r="AS124" s="53">
        <v>0.65151515151515149</v>
      </c>
      <c r="AT124" s="16">
        <v>0.16</v>
      </c>
      <c r="AU124" s="19">
        <v>1.5</v>
      </c>
      <c r="AV124" s="16">
        <v>0.17333333333333334</v>
      </c>
      <c r="AW124" s="19">
        <v>1.2307692307692308</v>
      </c>
      <c r="AX124" s="16">
        <v>0.18666666666666668</v>
      </c>
      <c r="AY124" s="19">
        <v>1.2857142857142858</v>
      </c>
      <c r="AZ124" s="16">
        <v>0</v>
      </c>
      <c r="BA124" s="19" t="s">
        <v>269</v>
      </c>
      <c r="BB124" s="16">
        <v>0.26666666666666666</v>
      </c>
      <c r="BC124" s="21">
        <v>1.05</v>
      </c>
      <c r="BD124" s="16">
        <v>9.3333333333333338E-2</v>
      </c>
      <c r="BE124" s="16">
        <v>0.12</v>
      </c>
      <c r="BF124" s="16">
        <v>0.55263157894736847</v>
      </c>
      <c r="BG124" s="16">
        <v>0.53846153846153844</v>
      </c>
      <c r="BH124" s="16">
        <v>0.7142857142857143</v>
      </c>
      <c r="BI124" s="16">
        <v>0.4</v>
      </c>
      <c r="BJ124" s="16">
        <v>0.28000000000000003</v>
      </c>
      <c r="BK124" s="21">
        <v>2.3333333333333335</v>
      </c>
      <c r="BL124" s="16">
        <v>0.13333333333333333</v>
      </c>
      <c r="BM124" s="16">
        <v>0.21428571428571427</v>
      </c>
      <c r="BN124" s="16">
        <v>6.6666666666666666E-2</v>
      </c>
      <c r="BO124" s="16">
        <v>0</v>
      </c>
      <c r="BP124" s="16">
        <v>0.56097560975609762</v>
      </c>
      <c r="BQ124" s="16">
        <v>0.52631578947368418</v>
      </c>
      <c r="BR124" s="16">
        <v>0.52173913043478259</v>
      </c>
      <c r="BS124" s="16" t="s">
        <v>269</v>
      </c>
      <c r="BT124" s="16">
        <v>0.38028169014084506</v>
      </c>
      <c r="BU124" s="16">
        <v>5.5555555555555552E-2</v>
      </c>
      <c r="BV124" s="16">
        <v>6.7567567567567571E-2</v>
      </c>
      <c r="BW124" s="16">
        <v>3</v>
      </c>
      <c r="BX124" s="16">
        <v>0.47058823529411764</v>
      </c>
      <c r="BY124" s="16">
        <v>0.6470588235294118</v>
      </c>
      <c r="BZ124" s="12">
        <v>14</v>
      </c>
      <c r="CA124" s="12">
        <v>5</v>
      </c>
      <c r="CB124" s="12">
        <v>2</v>
      </c>
      <c r="CC124" s="12">
        <v>4</v>
      </c>
      <c r="CD124" s="12">
        <v>1</v>
      </c>
      <c r="CE124" s="12">
        <v>0</v>
      </c>
      <c r="CF124" s="12">
        <v>1</v>
      </c>
      <c r="CG124" s="12">
        <v>0</v>
      </c>
      <c r="CH124" s="12">
        <v>1</v>
      </c>
      <c r="CI124" s="12">
        <v>0</v>
      </c>
      <c r="CJ124" s="12">
        <v>0</v>
      </c>
      <c r="CK124" s="12">
        <v>0</v>
      </c>
      <c r="CL124" s="12">
        <v>1</v>
      </c>
      <c r="CM124" s="12">
        <v>0</v>
      </c>
      <c r="CN124" s="12">
        <v>0</v>
      </c>
      <c r="CO124" s="12">
        <v>0</v>
      </c>
      <c r="CP124" s="12">
        <v>3</v>
      </c>
      <c r="CQ124" s="12">
        <v>0</v>
      </c>
      <c r="CR124" s="12">
        <v>7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12</v>
      </c>
      <c r="CY124" s="12">
        <v>0</v>
      </c>
      <c r="CZ124" s="12">
        <v>0</v>
      </c>
      <c r="DA124" s="12">
        <v>0</v>
      </c>
      <c r="DB124" s="12">
        <v>2</v>
      </c>
      <c r="DC124" s="12">
        <v>2</v>
      </c>
      <c r="DD124" s="12">
        <v>3</v>
      </c>
      <c r="DE124" s="12">
        <v>4</v>
      </c>
      <c r="DF124" s="12">
        <v>8</v>
      </c>
      <c r="DG124" s="12">
        <v>14</v>
      </c>
      <c r="DH124" s="12">
        <v>2</v>
      </c>
      <c r="DI124" s="12">
        <v>0</v>
      </c>
      <c r="DJ124" s="12">
        <v>0</v>
      </c>
      <c r="DK124" s="12">
        <v>0</v>
      </c>
      <c r="DL124" s="12">
        <v>9</v>
      </c>
      <c r="DM124" s="12">
        <v>12</v>
      </c>
      <c r="DN124" s="12">
        <v>8</v>
      </c>
      <c r="DO124" s="12">
        <v>13</v>
      </c>
      <c r="DP124" s="12">
        <v>9</v>
      </c>
      <c r="DQ124" s="12">
        <v>14</v>
      </c>
      <c r="DR124" s="12">
        <v>0</v>
      </c>
      <c r="DS124" s="12">
        <v>0</v>
      </c>
      <c r="DT124" s="12">
        <v>7</v>
      </c>
      <c r="DU124" s="12">
        <v>20</v>
      </c>
      <c r="DV124" s="12">
        <v>0</v>
      </c>
      <c r="DW124" s="12">
        <v>0</v>
      </c>
      <c r="DX124" s="12">
        <v>81</v>
      </c>
      <c r="DY124" s="12">
        <v>21</v>
      </c>
      <c r="DZ124" s="12">
        <v>39</v>
      </c>
      <c r="EA124" s="16">
        <v>0.53846153846153844</v>
      </c>
      <c r="EB124" s="12">
        <v>9</v>
      </c>
      <c r="EC124" s="12">
        <v>35</v>
      </c>
      <c r="ED124" s="16">
        <v>0.25714285714285712</v>
      </c>
      <c r="EE124" s="12">
        <v>30</v>
      </c>
      <c r="EF124" s="12">
        <v>74</v>
      </c>
      <c r="EG124" s="16">
        <v>0.40540540540540543</v>
      </c>
      <c r="EH124" s="12">
        <v>12</v>
      </c>
      <c r="EI124" s="12">
        <v>14</v>
      </c>
      <c r="EJ124" s="16">
        <v>0.8571428571428571</v>
      </c>
      <c r="EK124" s="12">
        <v>18</v>
      </c>
      <c r="EL124" s="12">
        <v>26</v>
      </c>
      <c r="EM124" s="12">
        <v>44</v>
      </c>
      <c r="EN124" s="12">
        <v>23</v>
      </c>
      <c r="EO124" s="12">
        <v>19</v>
      </c>
      <c r="EP124" s="12">
        <v>17</v>
      </c>
      <c r="EQ124" s="12">
        <v>5</v>
      </c>
      <c r="ER124" s="12">
        <v>11</v>
      </c>
      <c r="ES124" s="12">
        <v>1</v>
      </c>
      <c r="ET124" s="12">
        <v>5</v>
      </c>
      <c r="EU124" s="12">
        <v>90</v>
      </c>
      <c r="EV124" s="12">
        <v>-5</v>
      </c>
      <c r="EW124" s="12">
        <v>72</v>
      </c>
      <c r="EX124" s="12">
        <v>91</v>
      </c>
      <c r="EY124" s="12">
        <v>4</v>
      </c>
      <c r="EZ124" s="12">
        <v>16</v>
      </c>
      <c r="FA124" s="12">
        <v>6</v>
      </c>
      <c r="FB124" s="12">
        <v>1</v>
      </c>
      <c r="FC124" s="12">
        <v>2</v>
      </c>
      <c r="FD124" s="12">
        <v>4</v>
      </c>
      <c r="FE124" s="12">
        <v>0</v>
      </c>
      <c r="FF124" s="12">
        <v>4</v>
      </c>
      <c r="FG124" s="12">
        <v>1</v>
      </c>
      <c r="FH124" s="12">
        <v>0</v>
      </c>
      <c r="FI124" s="12">
        <v>0</v>
      </c>
      <c r="FJ124" s="12">
        <v>0</v>
      </c>
      <c r="FK124" s="12">
        <v>0</v>
      </c>
      <c r="FL124" s="12">
        <v>10</v>
      </c>
      <c r="FM124" s="12">
        <v>1</v>
      </c>
      <c r="FN124" s="12">
        <v>0</v>
      </c>
      <c r="FO124" s="12">
        <v>0</v>
      </c>
      <c r="FP124" s="12">
        <v>2</v>
      </c>
      <c r="FQ124" s="12">
        <v>0</v>
      </c>
      <c r="FR124" s="12">
        <v>4</v>
      </c>
      <c r="FS124" s="12">
        <v>1</v>
      </c>
      <c r="FT124" s="12">
        <v>4</v>
      </c>
      <c r="FU124" s="12">
        <v>0</v>
      </c>
      <c r="FV124" s="12">
        <v>0</v>
      </c>
      <c r="FW124" s="12">
        <v>0</v>
      </c>
      <c r="FX124" s="12">
        <v>13</v>
      </c>
      <c r="FY124" s="12">
        <v>1</v>
      </c>
      <c r="FZ124" s="12">
        <v>2</v>
      </c>
      <c r="GA124" s="12">
        <v>1</v>
      </c>
      <c r="GB124" s="12">
        <v>0</v>
      </c>
      <c r="GC124" s="12">
        <v>0</v>
      </c>
      <c r="GD124" s="12">
        <v>2</v>
      </c>
      <c r="GE124" s="12">
        <v>2</v>
      </c>
      <c r="GF124" s="12">
        <v>10</v>
      </c>
      <c r="GG124" s="12">
        <v>12</v>
      </c>
      <c r="GH124" s="12">
        <v>0</v>
      </c>
      <c r="GI124" s="12">
        <v>0</v>
      </c>
      <c r="GJ124" s="12">
        <v>0</v>
      </c>
      <c r="GK124" s="12">
        <v>0</v>
      </c>
      <c r="GL124" s="12">
        <v>16</v>
      </c>
      <c r="GM124" s="12">
        <v>23</v>
      </c>
      <c r="GN124" s="12">
        <v>5</v>
      </c>
      <c r="GO124" s="12">
        <v>16</v>
      </c>
      <c r="GP124" s="12">
        <v>0</v>
      </c>
      <c r="GQ124" s="12">
        <v>0</v>
      </c>
      <c r="GR124" s="12">
        <v>0</v>
      </c>
      <c r="GS124" s="12">
        <v>0</v>
      </c>
      <c r="GT124" s="12">
        <v>9</v>
      </c>
      <c r="GU124" s="12">
        <v>35</v>
      </c>
      <c r="GV124" s="12">
        <v>0</v>
      </c>
      <c r="GW124" s="12">
        <v>0</v>
      </c>
    </row>
    <row r="125" spans="2:205" ht="15" customHeight="1" x14ac:dyDescent="0.2">
      <c r="B125" s="12">
        <v>7</v>
      </c>
      <c r="C125" s="12" t="s">
        <v>278</v>
      </c>
      <c r="D125" s="12" t="s">
        <v>264</v>
      </c>
      <c r="E125" s="14" t="s">
        <v>280</v>
      </c>
      <c r="F125" s="14" t="s">
        <v>266</v>
      </c>
      <c r="G125" s="15">
        <v>45240</v>
      </c>
      <c r="H125" s="15" t="s">
        <v>268</v>
      </c>
      <c r="I125" s="12" t="s">
        <v>269</v>
      </c>
      <c r="J125" s="12" t="s">
        <v>270</v>
      </c>
      <c r="K125" s="12">
        <v>200</v>
      </c>
      <c r="L125" s="12">
        <v>81</v>
      </c>
      <c r="M125" s="12">
        <v>21</v>
      </c>
      <c r="N125" s="12">
        <v>39</v>
      </c>
      <c r="O125" s="16">
        <v>0.53846153846153844</v>
      </c>
      <c r="P125" s="12">
        <v>9</v>
      </c>
      <c r="Q125" s="12">
        <v>35</v>
      </c>
      <c r="R125" s="16">
        <v>0.25714285714285712</v>
      </c>
      <c r="S125" s="12">
        <v>30</v>
      </c>
      <c r="T125" s="12">
        <v>74</v>
      </c>
      <c r="U125" s="16">
        <v>0.40540540540540543</v>
      </c>
      <c r="V125" s="12">
        <v>12</v>
      </c>
      <c r="W125" s="12">
        <v>14</v>
      </c>
      <c r="X125" s="16">
        <v>0.8571428571428571</v>
      </c>
      <c r="Y125" s="12">
        <v>18</v>
      </c>
      <c r="Z125" s="12">
        <v>26</v>
      </c>
      <c r="AA125" s="12">
        <v>44</v>
      </c>
      <c r="AB125" s="12">
        <v>23</v>
      </c>
      <c r="AC125" s="12">
        <v>11</v>
      </c>
      <c r="AD125" s="12">
        <v>5</v>
      </c>
      <c r="AE125" s="12">
        <v>1</v>
      </c>
      <c r="AF125" s="12">
        <v>5</v>
      </c>
      <c r="AG125" s="12">
        <v>18</v>
      </c>
      <c r="AH125" s="12">
        <v>17</v>
      </c>
      <c r="AI125" s="17">
        <v>91</v>
      </c>
      <c r="AJ125" s="12">
        <v>-5</v>
      </c>
      <c r="AK125" s="12">
        <v>72</v>
      </c>
      <c r="AL125" s="12">
        <v>91</v>
      </c>
      <c r="AM125" s="19">
        <v>0.89010989010989006</v>
      </c>
      <c r="AN125" s="19">
        <v>1.1466666666666667</v>
      </c>
      <c r="AO125" s="18">
        <v>112.5</v>
      </c>
      <c r="AP125" s="18">
        <v>121.12676056338027</v>
      </c>
      <c r="AQ125" s="18">
        <v>-8.6267605633802731</v>
      </c>
      <c r="AR125" s="53">
        <v>0.46621621621621623</v>
      </c>
      <c r="AS125" s="53">
        <v>0.50624999999999998</v>
      </c>
      <c r="AT125" s="16">
        <v>0.25274725274725274</v>
      </c>
      <c r="AU125" s="19">
        <v>1.3913043478260869</v>
      </c>
      <c r="AV125" s="16">
        <v>0.17582417582417584</v>
      </c>
      <c r="AW125" s="19">
        <v>0.625</v>
      </c>
      <c r="AX125" s="16">
        <v>0</v>
      </c>
      <c r="AY125" s="19" t="s">
        <v>269</v>
      </c>
      <c r="AZ125" s="16">
        <v>0</v>
      </c>
      <c r="BA125" s="19" t="s">
        <v>269</v>
      </c>
      <c r="BB125" s="16">
        <v>0.38461538461538464</v>
      </c>
      <c r="BC125" s="21">
        <v>0.77142857142857146</v>
      </c>
      <c r="BD125" s="16">
        <v>6.5934065934065936E-2</v>
      </c>
      <c r="BE125" s="16">
        <v>0.12222222222222222</v>
      </c>
      <c r="BF125" s="16">
        <v>0.63888888888888884</v>
      </c>
      <c r="BG125" s="16">
        <v>0.76190476190476186</v>
      </c>
      <c r="BH125" s="16">
        <v>0.66666666666666663</v>
      </c>
      <c r="BI125" s="16">
        <v>0.16666666666666666</v>
      </c>
      <c r="BJ125" s="16">
        <v>0.25555555555555554</v>
      </c>
      <c r="BK125" s="21">
        <v>2.0909090909090908</v>
      </c>
      <c r="BL125" s="16">
        <v>0.43902439024390244</v>
      </c>
      <c r="BM125" s="16">
        <v>0.47368421052631576</v>
      </c>
      <c r="BN125" s="16">
        <v>0.47826086956521741</v>
      </c>
      <c r="BO125" s="16" t="s">
        <v>269</v>
      </c>
      <c r="BP125" s="16">
        <v>0.8666666666666667</v>
      </c>
      <c r="BQ125" s="16">
        <v>0.7857142857142857</v>
      </c>
      <c r="BR125" s="16">
        <v>0.93333333333333335</v>
      </c>
      <c r="BS125" s="16">
        <v>1</v>
      </c>
      <c r="BT125" s="16">
        <v>0.61971830985915488</v>
      </c>
      <c r="BU125" s="16">
        <v>7.0422535211267609E-2</v>
      </c>
      <c r="BV125" s="16">
        <v>1.6949152542372881E-2</v>
      </c>
      <c r="BW125" s="16">
        <v>4</v>
      </c>
      <c r="BX125" s="16">
        <v>0.61111111111111116</v>
      </c>
      <c r="BY125" s="16">
        <v>0.47058823529411764</v>
      </c>
      <c r="BZ125" s="12">
        <v>16</v>
      </c>
      <c r="CA125" s="12">
        <v>6</v>
      </c>
      <c r="CB125" s="12">
        <v>1</v>
      </c>
      <c r="CC125" s="12">
        <v>2</v>
      </c>
      <c r="CD125" s="12">
        <v>4</v>
      </c>
      <c r="CE125" s="12">
        <v>0</v>
      </c>
      <c r="CF125" s="12">
        <v>4</v>
      </c>
      <c r="CG125" s="12">
        <v>1</v>
      </c>
      <c r="CH125" s="12">
        <v>0</v>
      </c>
      <c r="CI125" s="12">
        <v>0</v>
      </c>
      <c r="CJ125" s="12">
        <v>0</v>
      </c>
      <c r="CK125" s="12">
        <v>0</v>
      </c>
      <c r="CL125" s="12">
        <v>10</v>
      </c>
      <c r="CM125" s="12">
        <v>1</v>
      </c>
      <c r="CN125" s="12">
        <v>0</v>
      </c>
      <c r="CO125" s="12">
        <v>0</v>
      </c>
      <c r="CP125" s="12">
        <v>2</v>
      </c>
      <c r="CQ125" s="12">
        <v>0</v>
      </c>
      <c r="CR125" s="12">
        <v>4</v>
      </c>
      <c r="CS125" s="12">
        <v>1</v>
      </c>
      <c r="CT125" s="12">
        <v>4</v>
      </c>
      <c r="CU125" s="12">
        <v>0</v>
      </c>
      <c r="CV125" s="12">
        <v>0</v>
      </c>
      <c r="CW125" s="12">
        <v>0</v>
      </c>
      <c r="CX125" s="12">
        <v>13</v>
      </c>
      <c r="CY125" s="12">
        <v>1</v>
      </c>
      <c r="CZ125" s="12">
        <v>2</v>
      </c>
      <c r="DA125" s="12">
        <v>1</v>
      </c>
      <c r="DB125" s="12">
        <v>0</v>
      </c>
      <c r="DC125" s="12">
        <v>0</v>
      </c>
      <c r="DD125" s="12">
        <v>2</v>
      </c>
      <c r="DE125" s="12">
        <v>2</v>
      </c>
      <c r="DF125" s="12">
        <v>10</v>
      </c>
      <c r="DG125" s="12">
        <v>12</v>
      </c>
      <c r="DH125" s="12">
        <v>0</v>
      </c>
      <c r="DI125" s="12">
        <v>0</v>
      </c>
      <c r="DJ125" s="12">
        <v>0</v>
      </c>
      <c r="DK125" s="12">
        <v>0</v>
      </c>
      <c r="DL125" s="12">
        <v>16</v>
      </c>
      <c r="DM125" s="12">
        <v>23</v>
      </c>
      <c r="DN125" s="12">
        <v>5</v>
      </c>
      <c r="DO125" s="12">
        <v>16</v>
      </c>
      <c r="DP125" s="12">
        <v>0</v>
      </c>
      <c r="DQ125" s="12">
        <v>0</v>
      </c>
      <c r="DR125" s="12">
        <v>0</v>
      </c>
      <c r="DS125" s="12">
        <v>0</v>
      </c>
      <c r="DT125" s="12">
        <v>9</v>
      </c>
      <c r="DU125" s="12">
        <v>35</v>
      </c>
      <c r="DV125" s="12">
        <v>0</v>
      </c>
      <c r="DW125" s="12">
        <v>0</v>
      </c>
      <c r="DX125" s="12">
        <v>86</v>
      </c>
      <c r="DY125" s="12">
        <v>26</v>
      </c>
      <c r="DZ125" s="12">
        <v>39</v>
      </c>
      <c r="EA125" s="16">
        <v>0.66666666666666663</v>
      </c>
      <c r="EB125" s="12">
        <v>7</v>
      </c>
      <c r="EC125" s="12">
        <v>20</v>
      </c>
      <c r="ED125" s="16">
        <v>0.35</v>
      </c>
      <c r="EE125" s="12">
        <v>33</v>
      </c>
      <c r="EF125" s="12">
        <v>59</v>
      </c>
      <c r="EG125" s="16">
        <v>0.55932203389830504</v>
      </c>
      <c r="EH125" s="12">
        <v>13</v>
      </c>
      <c r="EI125" s="12">
        <v>20</v>
      </c>
      <c r="EJ125" s="16">
        <v>0.65</v>
      </c>
      <c r="EK125" s="12">
        <v>4</v>
      </c>
      <c r="EL125" s="12">
        <v>23</v>
      </c>
      <c r="EM125" s="12">
        <v>27</v>
      </c>
      <c r="EN125" s="12">
        <v>21</v>
      </c>
      <c r="EO125" s="12">
        <v>17</v>
      </c>
      <c r="EP125" s="12">
        <v>17</v>
      </c>
      <c r="EQ125" s="12">
        <v>4</v>
      </c>
      <c r="ER125" s="12">
        <v>9</v>
      </c>
      <c r="ES125" s="12">
        <v>5</v>
      </c>
      <c r="ET125" s="12">
        <v>1</v>
      </c>
      <c r="EU125" s="12">
        <v>100</v>
      </c>
      <c r="EV125" s="12">
        <v>5</v>
      </c>
      <c r="EW125" s="12">
        <v>71</v>
      </c>
      <c r="EX125" s="12">
        <v>75</v>
      </c>
      <c r="EY125" s="12">
        <v>3</v>
      </c>
      <c r="EZ125" s="12">
        <v>14</v>
      </c>
      <c r="FA125" s="12">
        <v>5</v>
      </c>
      <c r="FB125" s="12">
        <v>2</v>
      </c>
      <c r="FC125" s="12">
        <v>4</v>
      </c>
      <c r="FD125" s="12">
        <v>1</v>
      </c>
      <c r="FE125" s="12">
        <v>0</v>
      </c>
      <c r="FF125" s="12">
        <v>1</v>
      </c>
      <c r="FG125" s="12">
        <v>0</v>
      </c>
      <c r="FH125" s="12">
        <v>1</v>
      </c>
      <c r="FI125" s="12">
        <v>0</v>
      </c>
      <c r="FJ125" s="12">
        <v>0</v>
      </c>
      <c r="FK125" s="12">
        <v>0</v>
      </c>
      <c r="FL125" s="12">
        <v>1</v>
      </c>
      <c r="FM125" s="12">
        <v>0</v>
      </c>
      <c r="FN125" s="12">
        <v>0</v>
      </c>
      <c r="FO125" s="12">
        <v>0</v>
      </c>
      <c r="FP125" s="12">
        <v>3</v>
      </c>
      <c r="FQ125" s="12">
        <v>0</v>
      </c>
      <c r="FR125" s="12">
        <v>7</v>
      </c>
      <c r="FS125" s="12">
        <v>0</v>
      </c>
      <c r="FT125" s="12">
        <v>0</v>
      </c>
      <c r="FU125" s="12">
        <v>0</v>
      </c>
      <c r="FV125" s="12">
        <v>0</v>
      </c>
      <c r="FW125" s="12">
        <v>0</v>
      </c>
      <c r="FX125" s="12">
        <v>12</v>
      </c>
      <c r="FY125" s="12">
        <v>0</v>
      </c>
      <c r="FZ125" s="12">
        <v>0</v>
      </c>
      <c r="GA125" s="12">
        <v>0</v>
      </c>
      <c r="GB125" s="12">
        <v>2</v>
      </c>
      <c r="GC125" s="12">
        <v>2</v>
      </c>
      <c r="GD125" s="12">
        <v>3</v>
      </c>
      <c r="GE125" s="12">
        <v>4</v>
      </c>
      <c r="GF125" s="12">
        <v>8</v>
      </c>
      <c r="GG125" s="12">
        <v>14</v>
      </c>
      <c r="GH125" s="12">
        <v>2</v>
      </c>
      <c r="GI125" s="12">
        <v>0</v>
      </c>
      <c r="GJ125" s="12">
        <v>0</v>
      </c>
      <c r="GK125" s="12">
        <v>0</v>
      </c>
      <c r="GL125" s="12">
        <v>9</v>
      </c>
      <c r="GM125" s="12">
        <v>12</v>
      </c>
      <c r="GN125" s="12">
        <v>8</v>
      </c>
      <c r="GO125" s="12">
        <v>13</v>
      </c>
      <c r="GP125" s="12">
        <v>9</v>
      </c>
      <c r="GQ125" s="12">
        <v>14</v>
      </c>
      <c r="GR125" s="12">
        <v>0</v>
      </c>
      <c r="GS125" s="12">
        <v>0</v>
      </c>
      <c r="GT125" s="12">
        <v>7</v>
      </c>
      <c r="GU125" s="12">
        <v>20</v>
      </c>
      <c r="GV125" s="12">
        <v>0</v>
      </c>
      <c r="GW125" s="12">
        <v>0</v>
      </c>
    </row>
    <row r="126" spans="2:205" ht="15" customHeight="1" x14ac:dyDescent="0.2">
      <c r="B126" s="12">
        <v>7</v>
      </c>
      <c r="C126" s="12" t="s">
        <v>301</v>
      </c>
      <c r="D126" s="12" t="s">
        <v>265</v>
      </c>
      <c r="E126" s="14" t="s">
        <v>302</v>
      </c>
      <c r="F126" s="14" t="s">
        <v>267</v>
      </c>
      <c r="G126" s="15">
        <v>45240</v>
      </c>
      <c r="H126" s="15" t="s">
        <v>268</v>
      </c>
      <c r="I126" s="12" t="s">
        <v>269</v>
      </c>
      <c r="J126" s="12" t="s">
        <v>270</v>
      </c>
      <c r="K126" s="12">
        <v>200</v>
      </c>
      <c r="L126" s="12">
        <v>70</v>
      </c>
      <c r="M126" s="12">
        <v>18</v>
      </c>
      <c r="N126" s="12">
        <v>39</v>
      </c>
      <c r="O126" s="16">
        <v>0.46153846153846156</v>
      </c>
      <c r="P126" s="12">
        <v>9</v>
      </c>
      <c r="Q126" s="12">
        <v>23</v>
      </c>
      <c r="R126" s="16">
        <v>0.39130434782608697</v>
      </c>
      <c r="S126" s="12">
        <v>27</v>
      </c>
      <c r="T126" s="12">
        <v>62</v>
      </c>
      <c r="U126" s="16">
        <v>0.43548387096774194</v>
      </c>
      <c r="V126" s="12">
        <v>7</v>
      </c>
      <c r="W126" s="12">
        <v>10</v>
      </c>
      <c r="X126" s="16">
        <v>0.7</v>
      </c>
      <c r="Y126" s="12">
        <v>14</v>
      </c>
      <c r="Z126" s="12">
        <v>29</v>
      </c>
      <c r="AA126" s="12">
        <v>43</v>
      </c>
      <c r="AB126" s="12">
        <v>15</v>
      </c>
      <c r="AC126" s="12">
        <v>17</v>
      </c>
      <c r="AD126" s="12">
        <v>4</v>
      </c>
      <c r="AE126" s="12">
        <v>3</v>
      </c>
      <c r="AF126" s="12">
        <v>1</v>
      </c>
      <c r="AG126" s="12">
        <v>14</v>
      </c>
      <c r="AH126" s="12">
        <v>15</v>
      </c>
      <c r="AI126" s="17">
        <v>80</v>
      </c>
      <c r="AJ126" s="12">
        <v>-10</v>
      </c>
      <c r="AK126" s="12">
        <v>69</v>
      </c>
      <c r="AL126" s="12">
        <v>83</v>
      </c>
      <c r="AM126" s="19">
        <v>0.84337349397590367</v>
      </c>
      <c r="AN126" s="19">
        <v>0.98765432098765427</v>
      </c>
      <c r="AO126" s="18">
        <v>101.44927536231884</v>
      </c>
      <c r="AP126" s="18">
        <v>117.64705882352942</v>
      </c>
      <c r="AQ126" s="18">
        <v>-16.197783461210577</v>
      </c>
      <c r="AR126" s="53">
        <v>0.50806451612903225</v>
      </c>
      <c r="AS126" s="53">
        <v>0.53030303030303028</v>
      </c>
      <c r="AT126" s="16">
        <v>1.2048192771084338E-2</v>
      </c>
      <c r="AU126" s="19">
        <v>0</v>
      </c>
      <c r="AV126" s="16">
        <v>0.31325301204819278</v>
      </c>
      <c r="AW126" s="19">
        <v>1</v>
      </c>
      <c r="AX126" s="16">
        <v>0.14457831325301204</v>
      </c>
      <c r="AY126" s="19">
        <v>0.83333333333333337</v>
      </c>
      <c r="AZ126" s="16">
        <v>0</v>
      </c>
      <c r="BA126" s="19" t="s">
        <v>269</v>
      </c>
      <c r="BB126" s="16">
        <v>0.27710843373493976</v>
      </c>
      <c r="BC126" s="21">
        <v>1.173913043478261</v>
      </c>
      <c r="BD126" s="16">
        <v>4.8192771084337352E-2</v>
      </c>
      <c r="BE126" s="16">
        <v>0.20481927710843373</v>
      </c>
      <c r="BF126" s="16">
        <v>0.4838709677419355</v>
      </c>
      <c r="BG126" s="16">
        <v>0.3888888888888889</v>
      </c>
      <c r="BH126" s="16">
        <v>0.88888888888888884</v>
      </c>
      <c r="BI126" s="16">
        <v>0</v>
      </c>
      <c r="BJ126" s="16">
        <v>0.18072289156626506</v>
      </c>
      <c r="BK126" s="21">
        <v>0.88235294117647056</v>
      </c>
      <c r="BL126" s="16">
        <v>0.3888888888888889</v>
      </c>
      <c r="BM126" s="16">
        <v>0.60869565217391308</v>
      </c>
      <c r="BN126" s="16">
        <v>0.16666666666666666</v>
      </c>
      <c r="BO126" s="16">
        <v>0</v>
      </c>
      <c r="BP126" s="16">
        <v>0.69047619047619047</v>
      </c>
      <c r="BQ126" s="16">
        <v>0.66666666666666663</v>
      </c>
      <c r="BR126" s="16">
        <v>0.68181818181818177</v>
      </c>
      <c r="BS126" s="16">
        <v>1</v>
      </c>
      <c r="BT126" s="16">
        <v>0.55128205128205132</v>
      </c>
      <c r="BU126" s="16">
        <v>5.8823529411764705E-2</v>
      </c>
      <c r="BV126" s="16">
        <v>4.3478260869565216E-2</v>
      </c>
      <c r="BW126" s="16">
        <v>6</v>
      </c>
      <c r="BX126" s="16">
        <v>0.5</v>
      </c>
      <c r="BY126" s="16">
        <v>0.4</v>
      </c>
      <c r="BZ126" s="12">
        <v>7</v>
      </c>
      <c r="CA126" s="12">
        <v>8</v>
      </c>
      <c r="CB126" s="12">
        <v>0</v>
      </c>
      <c r="CC126" s="12">
        <v>0</v>
      </c>
      <c r="CD126" s="12">
        <v>1</v>
      </c>
      <c r="CE126" s="12">
        <v>0</v>
      </c>
      <c r="CF126" s="12">
        <v>7</v>
      </c>
      <c r="CG126" s="12">
        <v>1</v>
      </c>
      <c r="CH126" s="12">
        <v>4</v>
      </c>
      <c r="CI126" s="12">
        <v>1</v>
      </c>
      <c r="CJ126" s="12">
        <v>0</v>
      </c>
      <c r="CK126" s="12">
        <v>0</v>
      </c>
      <c r="CL126" s="12">
        <v>2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10</v>
      </c>
      <c r="CS126" s="12">
        <v>0</v>
      </c>
      <c r="CT126" s="12">
        <v>4</v>
      </c>
      <c r="CU126" s="12">
        <v>0</v>
      </c>
      <c r="CV126" s="12">
        <v>0</v>
      </c>
      <c r="CW126" s="12">
        <v>0</v>
      </c>
      <c r="CX126" s="12">
        <v>14</v>
      </c>
      <c r="CY126" s="12">
        <v>1</v>
      </c>
      <c r="CZ126" s="12">
        <v>1</v>
      </c>
      <c r="DA126" s="12">
        <v>0</v>
      </c>
      <c r="DB126" s="12">
        <v>0</v>
      </c>
      <c r="DC126" s="12">
        <v>0</v>
      </c>
      <c r="DD126" s="12">
        <v>1</v>
      </c>
      <c r="DE126" s="12">
        <v>2</v>
      </c>
      <c r="DF126" s="12">
        <v>6</v>
      </c>
      <c r="DG126" s="12">
        <v>8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1</v>
      </c>
      <c r="DN126" s="12">
        <v>13</v>
      </c>
      <c r="DO126" s="12">
        <v>26</v>
      </c>
      <c r="DP126" s="12">
        <v>5</v>
      </c>
      <c r="DQ126" s="12">
        <v>12</v>
      </c>
      <c r="DR126" s="12">
        <v>0</v>
      </c>
      <c r="DS126" s="12">
        <v>0</v>
      </c>
      <c r="DT126" s="12">
        <v>9</v>
      </c>
      <c r="DU126" s="12">
        <v>23</v>
      </c>
      <c r="DV126" s="12">
        <v>0</v>
      </c>
      <c r="DW126" s="12">
        <v>0</v>
      </c>
      <c r="DX126" s="12">
        <v>80</v>
      </c>
      <c r="DY126" s="12">
        <v>16</v>
      </c>
      <c r="DZ126" s="12">
        <v>37</v>
      </c>
      <c r="EA126" s="16">
        <v>0.43243243243243246</v>
      </c>
      <c r="EB126" s="12">
        <v>12</v>
      </c>
      <c r="EC126" s="12">
        <v>32</v>
      </c>
      <c r="ED126" s="16">
        <v>0.375</v>
      </c>
      <c r="EE126" s="12">
        <v>28</v>
      </c>
      <c r="EF126" s="12">
        <v>69</v>
      </c>
      <c r="EG126" s="16">
        <v>0.40579710144927539</v>
      </c>
      <c r="EH126" s="12">
        <v>12</v>
      </c>
      <c r="EI126" s="12">
        <v>14</v>
      </c>
      <c r="EJ126" s="16">
        <v>0.8571428571428571</v>
      </c>
      <c r="EK126" s="12">
        <v>13</v>
      </c>
      <c r="EL126" s="12">
        <v>22</v>
      </c>
      <c r="EM126" s="12">
        <v>35</v>
      </c>
      <c r="EN126" s="12">
        <v>18</v>
      </c>
      <c r="EO126" s="12">
        <v>15</v>
      </c>
      <c r="EP126" s="12">
        <v>13</v>
      </c>
      <c r="EQ126" s="12">
        <v>10</v>
      </c>
      <c r="ER126" s="12">
        <v>7</v>
      </c>
      <c r="ES126" s="12">
        <v>1</v>
      </c>
      <c r="ET126" s="12">
        <v>3</v>
      </c>
      <c r="EU126" s="12">
        <v>89</v>
      </c>
      <c r="EV126" s="12">
        <v>10</v>
      </c>
      <c r="EW126" s="12">
        <v>68</v>
      </c>
      <c r="EX126" s="12">
        <v>81</v>
      </c>
      <c r="EY126" s="12">
        <v>5</v>
      </c>
      <c r="EZ126" s="12">
        <v>5</v>
      </c>
      <c r="FA126" s="12">
        <v>11</v>
      </c>
      <c r="FB126" s="12">
        <v>2</v>
      </c>
      <c r="FC126" s="12">
        <v>4</v>
      </c>
      <c r="FD126" s="12">
        <v>2</v>
      </c>
      <c r="FE126" s="12">
        <v>0</v>
      </c>
      <c r="FF126" s="12">
        <v>3</v>
      </c>
      <c r="FG126" s="12">
        <v>0</v>
      </c>
      <c r="FH126" s="12">
        <v>2</v>
      </c>
      <c r="FI126" s="12">
        <v>0</v>
      </c>
      <c r="FJ126" s="12">
        <v>0</v>
      </c>
      <c r="FK126" s="12">
        <v>0</v>
      </c>
      <c r="FL126" s="12">
        <v>6</v>
      </c>
      <c r="FM126" s="12">
        <v>1</v>
      </c>
      <c r="FN126" s="12">
        <v>0</v>
      </c>
      <c r="FO126" s="12">
        <v>0</v>
      </c>
      <c r="FP126" s="12">
        <v>0</v>
      </c>
      <c r="FQ126" s="12">
        <v>0</v>
      </c>
      <c r="FR126" s="12">
        <v>6</v>
      </c>
      <c r="FS126" s="12">
        <v>0</v>
      </c>
      <c r="FT126" s="12">
        <v>3</v>
      </c>
      <c r="FU126" s="12">
        <v>0</v>
      </c>
      <c r="FV126" s="12">
        <v>0</v>
      </c>
      <c r="FW126" s="12">
        <v>0</v>
      </c>
      <c r="FX126" s="12">
        <v>10</v>
      </c>
      <c r="FY126" s="12">
        <v>0</v>
      </c>
      <c r="FZ126" s="12">
        <v>3</v>
      </c>
      <c r="GA126" s="12">
        <v>0</v>
      </c>
      <c r="GB126" s="12">
        <v>2</v>
      </c>
      <c r="GC126" s="12">
        <v>2</v>
      </c>
      <c r="GD126" s="12">
        <v>2</v>
      </c>
      <c r="GE126" s="12">
        <v>2</v>
      </c>
      <c r="GF126" s="12">
        <v>8</v>
      </c>
      <c r="GG126" s="12">
        <v>10</v>
      </c>
      <c r="GH126" s="12">
        <v>1</v>
      </c>
      <c r="GI126" s="12">
        <v>0</v>
      </c>
      <c r="GJ126" s="12">
        <v>0</v>
      </c>
      <c r="GK126" s="12">
        <v>0</v>
      </c>
      <c r="GL126" s="12">
        <v>1</v>
      </c>
      <c r="GM126" s="12">
        <v>3</v>
      </c>
      <c r="GN126" s="12">
        <v>10</v>
      </c>
      <c r="GO126" s="12">
        <v>23</v>
      </c>
      <c r="GP126" s="12">
        <v>5</v>
      </c>
      <c r="GQ126" s="12">
        <v>11</v>
      </c>
      <c r="GR126" s="12">
        <v>0</v>
      </c>
      <c r="GS126" s="12">
        <v>0</v>
      </c>
      <c r="GT126" s="12">
        <v>12</v>
      </c>
      <c r="GU126" s="12">
        <v>32</v>
      </c>
      <c r="GV126" s="12">
        <v>0</v>
      </c>
      <c r="GW126" s="12">
        <v>0</v>
      </c>
    </row>
    <row r="127" spans="2:205" ht="15" customHeight="1" x14ac:dyDescent="0.2">
      <c r="B127" s="12">
        <v>7</v>
      </c>
      <c r="C127" s="12" t="s">
        <v>265</v>
      </c>
      <c r="D127" s="12" t="s">
        <v>301</v>
      </c>
      <c r="E127" s="14" t="s">
        <v>267</v>
      </c>
      <c r="F127" s="14" t="s">
        <v>302</v>
      </c>
      <c r="G127" s="15">
        <v>45240</v>
      </c>
      <c r="H127" s="15" t="s">
        <v>271</v>
      </c>
      <c r="I127" s="12" t="s">
        <v>269</v>
      </c>
      <c r="J127" s="12" t="s">
        <v>272</v>
      </c>
      <c r="K127" s="12">
        <v>200</v>
      </c>
      <c r="L127" s="12">
        <v>80</v>
      </c>
      <c r="M127" s="12">
        <v>16</v>
      </c>
      <c r="N127" s="12">
        <v>37</v>
      </c>
      <c r="O127" s="16">
        <v>0.43243243243243246</v>
      </c>
      <c r="P127" s="12">
        <v>12</v>
      </c>
      <c r="Q127" s="12">
        <v>32</v>
      </c>
      <c r="R127" s="16">
        <v>0.375</v>
      </c>
      <c r="S127" s="12">
        <v>28</v>
      </c>
      <c r="T127" s="12">
        <v>69</v>
      </c>
      <c r="U127" s="16">
        <v>0.40579710144927539</v>
      </c>
      <c r="V127" s="12">
        <v>12</v>
      </c>
      <c r="W127" s="12">
        <v>14</v>
      </c>
      <c r="X127" s="16">
        <v>0.8571428571428571</v>
      </c>
      <c r="Y127" s="12">
        <v>13</v>
      </c>
      <c r="Z127" s="12">
        <v>22</v>
      </c>
      <c r="AA127" s="12">
        <v>35</v>
      </c>
      <c r="AB127" s="12">
        <v>18</v>
      </c>
      <c r="AC127" s="12">
        <v>7</v>
      </c>
      <c r="AD127" s="12">
        <v>10</v>
      </c>
      <c r="AE127" s="12">
        <v>1</v>
      </c>
      <c r="AF127" s="12">
        <v>3</v>
      </c>
      <c r="AG127" s="12">
        <v>15</v>
      </c>
      <c r="AH127" s="12">
        <v>13</v>
      </c>
      <c r="AI127" s="17">
        <v>89</v>
      </c>
      <c r="AJ127" s="12">
        <v>10</v>
      </c>
      <c r="AK127" s="12">
        <v>68</v>
      </c>
      <c r="AL127" s="12">
        <v>81</v>
      </c>
      <c r="AM127" s="19">
        <v>0.98765432098765427</v>
      </c>
      <c r="AN127" s="19">
        <v>0.84337349397590367</v>
      </c>
      <c r="AO127" s="18">
        <v>117.64705882352942</v>
      </c>
      <c r="AP127" s="18">
        <v>101.44927536231884</v>
      </c>
      <c r="AQ127" s="18">
        <v>16.197783461210577</v>
      </c>
      <c r="AR127" s="53">
        <v>0.49275362318840582</v>
      </c>
      <c r="AS127" s="53">
        <v>0.54054054054054057</v>
      </c>
      <c r="AT127" s="16">
        <v>3.7037037037037035E-2</v>
      </c>
      <c r="AU127" s="19">
        <v>0.66666666666666663</v>
      </c>
      <c r="AV127" s="16">
        <v>0.2839506172839506</v>
      </c>
      <c r="AW127" s="19">
        <v>0.86956521739130432</v>
      </c>
      <c r="AX127" s="16">
        <v>0.13580246913580246</v>
      </c>
      <c r="AY127" s="19">
        <v>0.90909090909090906</v>
      </c>
      <c r="AZ127" s="16">
        <v>0</v>
      </c>
      <c r="BA127" s="19" t="s">
        <v>269</v>
      </c>
      <c r="BB127" s="16">
        <v>0.39506172839506171</v>
      </c>
      <c r="BC127" s="21">
        <v>1.125</v>
      </c>
      <c r="BD127" s="16">
        <v>6.1728395061728392E-2</v>
      </c>
      <c r="BE127" s="16">
        <v>8.6419753086419748E-2</v>
      </c>
      <c r="BF127" s="16">
        <v>0.5625</v>
      </c>
      <c r="BG127" s="16">
        <v>0.3125</v>
      </c>
      <c r="BH127" s="16">
        <v>0.91666666666666663</v>
      </c>
      <c r="BI127" s="16">
        <v>0.5</v>
      </c>
      <c r="BJ127" s="16">
        <v>0.22222222222222221</v>
      </c>
      <c r="BK127" s="21">
        <v>2.5714285714285716</v>
      </c>
      <c r="BL127" s="16">
        <v>0.30952380952380953</v>
      </c>
      <c r="BM127" s="16">
        <v>0.33333333333333331</v>
      </c>
      <c r="BN127" s="16">
        <v>0.31818181818181818</v>
      </c>
      <c r="BO127" s="16">
        <v>0</v>
      </c>
      <c r="BP127" s="16">
        <v>0.61111111111111116</v>
      </c>
      <c r="BQ127" s="16">
        <v>0.39130434782608697</v>
      </c>
      <c r="BR127" s="16">
        <v>0.83333333333333337</v>
      </c>
      <c r="BS127" s="16">
        <v>1</v>
      </c>
      <c r="BT127" s="16">
        <v>0.44871794871794873</v>
      </c>
      <c r="BU127" s="16">
        <v>0.14492753623188406</v>
      </c>
      <c r="BV127" s="16">
        <v>1.6129032258064516E-2</v>
      </c>
      <c r="BW127" s="16">
        <v>5</v>
      </c>
      <c r="BX127" s="16">
        <v>0.4</v>
      </c>
      <c r="BY127" s="16">
        <v>0.53846153846153844</v>
      </c>
      <c r="BZ127" s="12">
        <v>5</v>
      </c>
      <c r="CA127" s="12">
        <v>11</v>
      </c>
      <c r="CB127" s="12">
        <v>2</v>
      </c>
      <c r="CC127" s="12">
        <v>4</v>
      </c>
      <c r="CD127" s="12">
        <v>2</v>
      </c>
      <c r="CE127" s="12">
        <v>0</v>
      </c>
      <c r="CF127" s="12">
        <v>3</v>
      </c>
      <c r="CG127" s="12">
        <v>0</v>
      </c>
      <c r="CH127" s="12">
        <v>2</v>
      </c>
      <c r="CI127" s="12">
        <v>0</v>
      </c>
      <c r="CJ127" s="12">
        <v>0</v>
      </c>
      <c r="CK127" s="12">
        <v>0</v>
      </c>
      <c r="CL127" s="12">
        <v>6</v>
      </c>
      <c r="CM127" s="12">
        <v>1</v>
      </c>
      <c r="CN127" s="12">
        <v>0</v>
      </c>
      <c r="CO127" s="12">
        <v>0</v>
      </c>
      <c r="CP127" s="12">
        <v>0</v>
      </c>
      <c r="CQ127" s="12">
        <v>0</v>
      </c>
      <c r="CR127" s="12">
        <v>6</v>
      </c>
      <c r="CS127" s="12">
        <v>0</v>
      </c>
      <c r="CT127" s="12">
        <v>3</v>
      </c>
      <c r="CU127" s="12">
        <v>0</v>
      </c>
      <c r="CV127" s="12">
        <v>0</v>
      </c>
      <c r="CW127" s="12">
        <v>0</v>
      </c>
      <c r="CX127" s="12">
        <v>10</v>
      </c>
      <c r="CY127" s="12">
        <v>0</v>
      </c>
      <c r="CZ127" s="12">
        <v>3</v>
      </c>
      <c r="DA127" s="12">
        <v>0</v>
      </c>
      <c r="DB127" s="12">
        <v>2</v>
      </c>
      <c r="DC127" s="12">
        <v>2</v>
      </c>
      <c r="DD127" s="12">
        <v>2</v>
      </c>
      <c r="DE127" s="12">
        <v>2</v>
      </c>
      <c r="DF127" s="12">
        <v>8</v>
      </c>
      <c r="DG127" s="12">
        <v>10</v>
      </c>
      <c r="DH127" s="12">
        <v>1</v>
      </c>
      <c r="DI127" s="12">
        <v>0</v>
      </c>
      <c r="DJ127" s="12">
        <v>0</v>
      </c>
      <c r="DK127" s="12">
        <v>0</v>
      </c>
      <c r="DL127" s="12">
        <v>1</v>
      </c>
      <c r="DM127" s="12">
        <v>3</v>
      </c>
      <c r="DN127" s="12">
        <v>10</v>
      </c>
      <c r="DO127" s="12">
        <v>23</v>
      </c>
      <c r="DP127" s="12">
        <v>5</v>
      </c>
      <c r="DQ127" s="12">
        <v>11</v>
      </c>
      <c r="DR127" s="12">
        <v>0</v>
      </c>
      <c r="DS127" s="12">
        <v>0</v>
      </c>
      <c r="DT127" s="12">
        <v>12</v>
      </c>
      <c r="DU127" s="12">
        <v>32</v>
      </c>
      <c r="DV127" s="12">
        <v>0</v>
      </c>
      <c r="DW127" s="12">
        <v>0</v>
      </c>
      <c r="DX127" s="12">
        <v>70</v>
      </c>
      <c r="DY127" s="12">
        <v>18</v>
      </c>
      <c r="DZ127" s="12">
        <v>39</v>
      </c>
      <c r="EA127" s="16">
        <v>0.46153846153846156</v>
      </c>
      <c r="EB127" s="12">
        <v>9</v>
      </c>
      <c r="EC127" s="12">
        <v>23</v>
      </c>
      <c r="ED127" s="16">
        <v>0.39130434782608697</v>
      </c>
      <c r="EE127" s="12">
        <v>27</v>
      </c>
      <c r="EF127" s="12">
        <v>62</v>
      </c>
      <c r="EG127" s="16">
        <v>0.43548387096774194</v>
      </c>
      <c r="EH127" s="12">
        <v>7</v>
      </c>
      <c r="EI127" s="12">
        <v>10</v>
      </c>
      <c r="EJ127" s="16">
        <v>0.7</v>
      </c>
      <c r="EK127" s="12">
        <v>14</v>
      </c>
      <c r="EL127" s="12">
        <v>29</v>
      </c>
      <c r="EM127" s="12">
        <v>43</v>
      </c>
      <c r="EN127" s="12">
        <v>15</v>
      </c>
      <c r="EO127" s="12">
        <v>15</v>
      </c>
      <c r="EP127" s="12">
        <v>15</v>
      </c>
      <c r="EQ127" s="12">
        <v>4</v>
      </c>
      <c r="ER127" s="12">
        <v>17</v>
      </c>
      <c r="ES127" s="12">
        <v>3</v>
      </c>
      <c r="ET127" s="12">
        <v>1</v>
      </c>
      <c r="EU127" s="12">
        <v>79</v>
      </c>
      <c r="EV127" s="12">
        <v>-10</v>
      </c>
      <c r="EW127" s="12">
        <v>69</v>
      </c>
      <c r="EX127" s="12">
        <v>83</v>
      </c>
      <c r="EY127" s="12">
        <v>6</v>
      </c>
      <c r="EZ127" s="12">
        <v>7</v>
      </c>
      <c r="FA127" s="12">
        <v>8</v>
      </c>
      <c r="FB127" s="12">
        <v>0</v>
      </c>
      <c r="FC127" s="12">
        <v>0</v>
      </c>
      <c r="FD127" s="12">
        <v>1</v>
      </c>
      <c r="FE127" s="12">
        <v>0</v>
      </c>
      <c r="FF127" s="12">
        <v>7</v>
      </c>
      <c r="FG127" s="12">
        <v>1</v>
      </c>
      <c r="FH127" s="12">
        <v>4</v>
      </c>
      <c r="FI127" s="12">
        <v>1</v>
      </c>
      <c r="FJ127" s="12">
        <v>0</v>
      </c>
      <c r="FK127" s="12">
        <v>0</v>
      </c>
      <c r="FL127" s="12">
        <v>2</v>
      </c>
      <c r="FM127" s="12">
        <v>0</v>
      </c>
      <c r="FN127" s="12">
        <v>0</v>
      </c>
      <c r="FO127" s="12">
        <v>0</v>
      </c>
      <c r="FP127" s="12">
        <v>0</v>
      </c>
      <c r="FQ127" s="12">
        <v>0</v>
      </c>
      <c r="FR127" s="12">
        <v>10</v>
      </c>
      <c r="FS127" s="12">
        <v>0</v>
      </c>
      <c r="FT127" s="12">
        <v>4</v>
      </c>
      <c r="FU127" s="12">
        <v>0</v>
      </c>
      <c r="FV127" s="12">
        <v>0</v>
      </c>
      <c r="FW127" s="12">
        <v>0</v>
      </c>
      <c r="FX127" s="12">
        <v>14</v>
      </c>
      <c r="FY127" s="12">
        <v>1</v>
      </c>
      <c r="FZ127" s="12">
        <v>1</v>
      </c>
      <c r="GA127" s="12">
        <v>0</v>
      </c>
      <c r="GB127" s="12">
        <v>0</v>
      </c>
      <c r="GC127" s="12">
        <v>0</v>
      </c>
      <c r="GD127" s="12">
        <v>1</v>
      </c>
      <c r="GE127" s="12">
        <v>2</v>
      </c>
      <c r="GF127" s="12">
        <v>6</v>
      </c>
      <c r="GG127" s="12">
        <v>8</v>
      </c>
      <c r="GH127" s="12">
        <v>0</v>
      </c>
      <c r="GI127" s="12">
        <v>0</v>
      </c>
      <c r="GJ127" s="12">
        <v>0</v>
      </c>
      <c r="GK127" s="12">
        <v>0</v>
      </c>
      <c r="GL127" s="12">
        <v>0</v>
      </c>
      <c r="GM127" s="12">
        <v>1</v>
      </c>
      <c r="GN127" s="12">
        <v>13</v>
      </c>
      <c r="GO127" s="12">
        <v>26</v>
      </c>
      <c r="GP127" s="12">
        <v>5</v>
      </c>
      <c r="GQ127" s="12">
        <v>12</v>
      </c>
      <c r="GR127" s="12">
        <v>0</v>
      </c>
      <c r="GS127" s="12">
        <v>0</v>
      </c>
      <c r="GT127" s="12">
        <v>9</v>
      </c>
      <c r="GU127" s="12">
        <v>23</v>
      </c>
      <c r="GV127" s="12">
        <v>0</v>
      </c>
      <c r="GW127" s="12">
        <v>0</v>
      </c>
    </row>
    <row r="128" spans="2:205" ht="15" customHeight="1" x14ac:dyDescent="0.2">
      <c r="B128" s="12">
        <v>8</v>
      </c>
      <c r="C128" s="12" t="s">
        <v>301</v>
      </c>
      <c r="D128" s="12" t="s">
        <v>277</v>
      </c>
      <c r="E128" s="14" t="s">
        <v>302</v>
      </c>
      <c r="F128" s="14" t="s">
        <v>279</v>
      </c>
      <c r="G128" s="15">
        <v>45244</v>
      </c>
      <c r="H128" s="15" t="s">
        <v>268</v>
      </c>
      <c r="I128" s="12" t="s">
        <v>269</v>
      </c>
      <c r="J128" s="12" t="s">
        <v>272</v>
      </c>
      <c r="K128" s="12">
        <v>200</v>
      </c>
      <c r="L128" s="12">
        <v>89</v>
      </c>
      <c r="M128" s="12">
        <v>22</v>
      </c>
      <c r="N128" s="12">
        <v>34</v>
      </c>
      <c r="O128" s="16">
        <v>0.6470588235294118</v>
      </c>
      <c r="P128" s="12">
        <v>13</v>
      </c>
      <c r="Q128" s="12">
        <v>30</v>
      </c>
      <c r="R128" s="16">
        <v>0.43333333333333335</v>
      </c>
      <c r="S128" s="12">
        <v>35</v>
      </c>
      <c r="T128" s="12">
        <v>64</v>
      </c>
      <c r="U128" s="16">
        <v>0.546875</v>
      </c>
      <c r="V128" s="12">
        <v>6</v>
      </c>
      <c r="W128" s="12">
        <v>7</v>
      </c>
      <c r="X128" s="16">
        <v>0.8571428571428571</v>
      </c>
      <c r="Y128" s="12">
        <v>5</v>
      </c>
      <c r="Z128" s="12">
        <v>22</v>
      </c>
      <c r="AA128" s="12">
        <v>27</v>
      </c>
      <c r="AB128" s="12">
        <v>24</v>
      </c>
      <c r="AC128" s="12">
        <v>7</v>
      </c>
      <c r="AD128" s="12">
        <v>7</v>
      </c>
      <c r="AE128" s="12">
        <v>3</v>
      </c>
      <c r="AF128" s="12">
        <v>0</v>
      </c>
      <c r="AG128" s="12">
        <v>22</v>
      </c>
      <c r="AH128" s="12">
        <v>16</v>
      </c>
      <c r="AI128" s="17">
        <v>107</v>
      </c>
      <c r="AJ128" s="12">
        <v>7</v>
      </c>
      <c r="AK128" s="12">
        <v>69</v>
      </c>
      <c r="AL128" s="12">
        <v>74</v>
      </c>
      <c r="AM128" s="19">
        <v>1.2027027027027026</v>
      </c>
      <c r="AN128" s="19">
        <v>0.97619047619047616</v>
      </c>
      <c r="AO128" s="18">
        <v>128.98550724637681</v>
      </c>
      <c r="AP128" s="18">
        <v>117.14285714285715</v>
      </c>
      <c r="AQ128" s="18">
        <v>11.842650103519659</v>
      </c>
      <c r="AR128" s="53">
        <v>0.6484375</v>
      </c>
      <c r="AS128" s="53">
        <v>0.66417910447761197</v>
      </c>
      <c r="AT128" s="16">
        <v>2.7027027027027029E-2</v>
      </c>
      <c r="AU128" s="19">
        <v>2</v>
      </c>
      <c r="AV128" s="16">
        <v>0.29729729729729731</v>
      </c>
      <c r="AW128" s="19">
        <v>1.3636363636363635</v>
      </c>
      <c r="AX128" s="16">
        <v>0.13513513513513514</v>
      </c>
      <c r="AY128" s="19">
        <v>1</v>
      </c>
      <c r="AZ128" s="16">
        <v>0</v>
      </c>
      <c r="BA128" s="19" t="s">
        <v>269</v>
      </c>
      <c r="BB128" s="16">
        <v>0.40540540540540543</v>
      </c>
      <c r="BC128" s="21">
        <v>1.3</v>
      </c>
      <c r="BD128" s="16">
        <v>4.0540540540540543E-2</v>
      </c>
      <c r="BE128" s="16">
        <v>9.45945945945946E-2</v>
      </c>
      <c r="BF128" s="16">
        <v>0.63157894736842102</v>
      </c>
      <c r="BG128" s="16">
        <v>0.45454545454545453</v>
      </c>
      <c r="BH128" s="16">
        <v>1</v>
      </c>
      <c r="BI128" s="16">
        <v>0.33333333333333331</v>
      </c>
      <c r="BJ128" s="16">
        <v>0.32432432432432434</v>
      </c>
      <c r="BK128" s="21">
        <v>3.4285714285714284</v>
      </c>
      <c r="BL128" s="16">
        <v>0.17857142857142858</v>
      </c>
      <c r="BM128" s="16">
        <v>0.23076923076923078</v>
      </c>
      <c r="BN128" s="16">
        <v>0.11764705882352941</v>
      </c>
      <c r="BO128" s="16" t="s">
        <v>269</v>
      </c>
      <c r="BP128" s="16">
        <v>0.61111111111111116</v>
      </c>
      <c r="BQ128" s="16">
        <v>0.56000000000000005</v>
      </c>
      <c r="BR128" s="16">
        <v>0.61538461538461542</v>
      </c>
      <c r="BS128" s="16">
        <v>0</v>
      </c>
      <c r="BT128" s="16">
        <v>0.421875</v>
      </c>
      <c r="BU128" s="16">
        <v>0.1</v>
      </c>
      <c r="BV128" s="16">
        <v>4.8387096774193547E-2</v>
      </c>
      <c r="BW128" s="16">
        <v>2</v>
      </c>
      <c r="BX128" s="16">
        <v>0.54545454545454541</v>
      </c>
      <c r="BY128" s="16">
        <v>0.25</v>
      </c>
      <c r="BZ128" s="12">
        <v>10</v>
      </c>
      <c r="CA128" s="12">
        <v>13</v>
      </c>
      <c r="CB128" s="12">
        <v>1</v>
      </c>
      <c r="CC128" s="12">
        <v>2</v>
      </c>
      <c r="CD128" s="12">
        <v>0</v>
      </c>
      <c r="CE128" s="12">
        <v>0</v>
      </c>
      <c r="CF128" s="12">
        <v>1</v>
      </c>
      <c r="CG128" s="12">
        <v>0</v>
      </c>
      <c r="CH128" s="12">
        <v>2</v>
      </c>
      <c r="CI128" s="12">
        <v>0</v>
      </c>
      <c r="CJ128" s="12">
        <v>0</v>
      </c>
      <c r="CK128" s="12">
        <v>0</v>
      </c>
      <c r="CL128" s="12">
        <v>2</v>
      </c>
      <c r="CM128" s="12">
        <v>0</v>
      </c>
      <c r="CN128" s="12">
        <v>0</v>
      </c>
      <c r="CO128" s="12">
        <v>0</v>
      </c>
      <c r="CP128" s="12">
        <v>1</v>
      </c>
      <c r="CQ128" s="12">
        <v>0</v>
      </c>
      <c r="CR128" s="12">
        <v>9</v>
      </c>
      <c r="CS128" s="12">
        <v>0</v>
      </c>
      <c r="CT128" s="12">
        <v>4</v>
      </c>
      <c r="CU128" s="12">
        <v>0</v>
      </c>
      <c r="CV128" s="12">
        <v>0</v>
      </c>
      <c r="CW128" s="12">
        <v>0</v>
      </c>
      <c r="CX128" s="12">
        <v>8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1</v>
      </c>
      <c r="DE128" s="12">
        <v>1</v>
      </c>
      <c r="DF128" s="12">
        <v>5</v>
      </c>
      <c r="DG128" s="12">
        <v>6</v>
      </c>
      <c r="DH128" s="12">
        <v>0</v>
      </c>
      <c r="DI128" s="12">
        <v>0</v>
      </c>
      <c r="DJ128" s="12">
        <v>0</v>
      </c>
      <c r="DK128" s="12">
        <v>0</v>
      </c>
      <c r="DL128" s="12">
        <v>2</v>
      </c>
      <c r="DM128" s="12">
        <v>2</v>
      </c>
      <c r="DN128" s="12">
        <v>15</v>
      </c>
      <c r="DO128" s="12">
        <v>22</v>
      </c>
      <c r="DP128" s="12">
        <v>5</v>
      </c>
      <c r="DQ128" s="12">
        <v>10</v>
      </c>
      <c r="DR128" s="12">
        <v>0</v>
      </c>
      <c r="DS128" s="12">
        <v>0</v>
      </c>
      <c r="DT128" s="12">
        <v>13</v>
      </c>
      <c r="DU128" s="12">
        <v>30</v>
      </c>
      <c r="DV128" s="12">
        <v>0</v>
      </c>
      <c r="DW128" s="12">
        <v>0</v>
      </c>
      <c r="DX128" s="12">
        <v>82</v>
      </c>
      <c r="DY128" s="12">
        <v>19</v>
      </c>
      <c r="DZ128" s="12">
        <v>41</v>
      </c>
      <c r="EA128" s="16">
        <v>0.46341463414634149</v>
      </c>
      <c r="EB128" s="12">
        <v>7</v>
      </c>
      <c r="EC128" s="12">
        <v>21</v>
      </c>
      <c r="ED128" s="16">
        <v>0.33333333333333331</v>
      </c>
      <c r="EE128" s="12">
        <v>26</v>
      </c>
      <c r="EF128" s="12">
        <v>62</v>
      </c>
      <c r="EG128" s="16">
        <v>0.41935483870967744</v>
      </c>
      <c r="EH128" s="12">
        <v>23</v>
      </c>
      <c r="EI128" s="12">
        <v>26</v>
      </c>
      <c r="EJ128" s="16">
        <v>0.88461538461538458</v>
      </c>
      <c r="EK128" s="12">
        <v>14</v>
      </c>
      <c r="EL128" s="12">
        <v>23</v>
      </c>
      <c r="EM128" s="12">
        <v>37</v>
      </c>
      <c r="EN128" s="12">
        <v>11</v>
      </c>
      <c r="EO128" s="12">
        <v>16</v>
      </c>
      <c r="EP128" s="12">
        <v>22</v>
      </c>
      <c r="EQ128" s="12">
        <v>4</v>
      </c>
      <c r="ER128" s="12">
        <v>10</v>
      </c>
      <c r="ES128" s="12">
        <v>0</v>
      </c>
      <c r="ET128" s="12">
        <v>3</v>
      </c>
      <c r="EU128" s="12">
        <v>88</v>
      </c>
      <c r="EV128" s="12">
        <v>-7</v>
      </c>
      <c r="EW128" s="12">
        <v>70</v>
      </c>
      <c r="EX128" s="12">
        <v>84</v>
      </c>
      <c r="EY128" s="12">
        <v>4</v>
      </c>
      <c r="EZ128" s="12">
        <v>6</v>
      </c>
      <c r="FA128" s="12">
        <v>4</v>
      </c>
      <c r="FB128" s="12">
        <v>1</v>
      </c>
      <c r="FC128" s="12">
        <v>2</v>
      </c>
      <c r="FD128" s="12">
        <v>1</v>
      </c>
      <c r="FE128" s="12">
        <v>1</v>
      </c>
      <c r="FF128" s="12">
        <v>6</v>
      </c>
      <c r="FG128" s="12">
        <v>2</v>
      </c>
      <c r="FH128" s="12">
        <v>1</v>
      </c>
      <c r="FI128" s="12">
        <v>0</v>
      </c>
      <c r="FJ128" s="12">
        <v>0</v>
      </c>
      <c r="FK128" s="12">
        <v>0</v>
      </c>
      <c r="FL128" s="12">
        <v>5</v>
      </c>
      <c r="FM128" s="12">
        <v>0</v>
      </c>
      <c r="FN128" s="12">
        <v>1</v>
      </c>
      <c r="FO128" s="12">
        <v>1</v>
      </c>
      <c r="FP128" s="12">
        <v>0</v>
      </c>
      <c r="FQ128" s="12">
        <v>0</v>
      </c>
      <c r="FR128" s="12">
        <v>6</v>
      </c>
      <c r="FS128" s="12">
        <v>2</v>
      </c>
      <c r="FT128" s="12">
        <v>2</v>
      </c>
      <c r="FU128" s="12">
        <v>0</v>
      </c>
      <c r="FV128" s="12">
        <v>0</v>
      </c>
      <c r="FW128" s="12">
        <v>0</v>
      </c>
      <c r="FX128" s="12">
        <v>15</v>
      </c>
      <c r="FY128" s="12">
        <v>0</v>
      </c>
      <c r="FZ128" s="12">
        <v>0</v>
      </c>
      <c r="GA128" s="12">
        <v>0</v>
      </c>
      <c r="GB128" s="12">
        <v>2</v>
      </c>
      <c r="GC128" s="12">
        <v>2</v>
      </c>
      <c r="GD128" s="12">
        <v>0</v>
      </c>
      <c r="GE128" s="12">
        <v>0</v>
      </c>
      <c r="GF128" s="12">
        <v>21</v>
      </c>
      <c r="GG128" s="12">
        <v>24</v>
      </c>
      <c r="GH128" s="12">
        <v>0</v>
      </c>
      <c r="GI128" s="12">
        <v>0</v>
      </c>
      <c r="GJ128" s="12">
        <v>0</v>
      </c>
      <c r="GK128" s="12">
        <v>0</v>
      </c>
      <c r="GL128" s="12">
        <v>0</v>
      </c>
      <c r="GM128" s="12">
        <v>2</v>
      </c>
      <c r="GN128" s="12">
        <v>16</v>
      </c>
      <c r="GO128" s="12">
        <v>31</v>
      </c>
      <c r="GP128" s="12">
        <v>3</v>
      </c>
      <c r="GQ128" s="12">
        <v>8</v>
      </c>
      <c r="GR128" s="12">
        <v>0</v>
      </c>
      <c r="GS128" s="12">
        <v>0</v>
      </c>
      <c r="GT128" s="12">
        <v>7</v>
      </c>
      <c r="GU128" s="12">
        <v>21</v>
      </c>
      <c r="GV128" s="12">
        <v>0</v>
      </c>
      <c r="GW128" s="12">
        <v>0</v>
      </c>
    </row>
    <row r="129" spans="2:205" ht="15" customHeight="1" x14ac:dyDescent="0.2">
      <c r="B129" s="12">
        <v>8</v>
      </c>
      <c r="C129" s="12" t="s">
        <v>277</v>
      </c>
      <c r="D129" s="12" t="s">
        <v>301</v>
      </c>
      <c r="E129" s="14" t="s">
        <v>279</v>
      </c>
      <c r="F129" s="14" t="s">
        <v>302</v>
      </c>
      <c r="G129" s="15">
        <v>45244</v>
      </c>
      <c r="H129" s="15" t="s">
        <v>271</v>
      </c>
      <c r="I129" s="12" t="s">
        <v>269</v>
      </c>
      <c r="J129" s="12" t="s">
        <v>270</v>
      </c>
      <c r="K129" s="12">
        <v>200</v>
      </c>
      <c r="L129" s="12">
        <v>82</v>
      </c>
      <c r="M129" s="12">
        <v>19</v>
      </c>
      <c r="N129" s="12">
        <v>41</v>
      </c>
      <c r="O129" s="16">
        <v>0.46341463414634149</v>
      </c>
      <c r="P129" s="12">
        <v>7</v>
      </c>
      <c r="Q129" s="12">
        <v>21</v>
      </c>
      <c r="R129" s="16">
        <v>0.33333333333333331</v>
      </c>
      <c r="S129" s="12">
        <v>26</v>
      </c>
      <c r="T129" s="12">
        <v>62</v>
      </c>
      <c r="U129" s="16">
        <v>0.41935483870967744</v>
      </c>
      <c r="V129" s="12">
        <v>23</v>
      </c>
      <c r="W129" s="12">
        <v>26</v>
      </c>
      <c r="X129" s="16">
        <v>0.88461538461538458</v>
      </c>
      <c r="Y129" s="12">
        <v>14</v>
      </c>
      <c r="Z129" s="12">
        <v>23</v>
      </c>
      <c r="AA129" s="12">
        <v>37</v>
      </c>
      <c r="AB129" s="12">
        <v>11</v>
      </c>
      <c r="AC129" s="12">
        <v>10</v>
      </c>
      <c r="AD129" s="12">
        <v>4</v>
      </c>
      <c r="AE129" s="12">
        <v>0</v>
      </c>
      <c r="AF129" s="12">
        <v>3</v>
      </c>
      <c r="AG129" s="12">
        <v>16</v>
      </c>
      <c r="AH129" s="12">
        <v>22</v>
      </c>
      <c r="AI129" s="17">
        <v>88</v>
      </c>
      <c r="AJ129" s="12">
        <v>-7</v>
      </c>
      <c r="AK129" s="12">
        <v>70</v>
      </c>
      <c r="AL129" s="12">
        <v>84</v>
      </c>
      <c r="AM129" s="19">
        <v>0.97619047619047616</v>
      </c>
      <c r="AN129" s="19">
        <v>1.2027027027027026</v>
      </c>
      <c r="AO129" s="18">
        <v>117.14285714285715</v>
      </c>
      <c r="AP129" s="18">
        <v>128.98550724637681</v>
      </c>
      <c r="AQ129" s="18">
        <v>-11.842650103519659</v>
      </c>
      <c r="AR129" s="53">
        <v>0.47580645161290325</v>
      </c>
      <c r="AS129" s="53">
        <v>0.55405405405405406</v>
      </c>
      <c r="AT129" s="16">
        <v>2.3809523809523808E-2</v>
      </c>
      <c r="AU129" s="19">
        <v>0</v>
      </c>
      <c r="AV129" s="16">
        <v>0.36904761904761907</v>
      </c>
      <c r="AW129" s="19">
        <v>1.032258064516129</v>
      </c>
      <c r="AX129" s="16">
        <v>9.5238095238095233E-2</v>
      </c>
      <c r="AY129" s="19">
        <v>0.75</v>
      </c>
      <c r="AZ129" s="16">
        <v>0</v>
      </c>
      <c r="BA129" s="19" t="s">
        <v>269</v>
      </c>
      <c r="BB129" s="16">
        <v>0.25</v>
      </c>
      <c r="BC129" s="21">
        <v>1</v>
      </c>
      <c r="BD129" s="16">
        <v>0.14285714285714285</v>
      </c>
      <c r="BE129" s="16">
        <v>0.11904761904761904</v>
      </c>
      <c r="BF129" s="16">
        <v>0.28947368421052633</v>
      </c>
      <c r="BG129" s="16">
        <v>0.31578947368421051</v>
      </c>
      <c r="BH129" s="16">
        <v>0.5714285714285714</v>
      </c>
      <c r="BI129" s="16">
        <v>8.3333333333333329E-2</v>
      </c>
      <c r="BJ129" s="16">
        <v>0.13095238095238096</v>
      </c>
      <c r="BK129" s="21">
        <v>1.1000000000000001</v>
      </c>
      <c r="BL129" s="16">
        <v>0.3888888888888889</v>
      </c>
      <c r="BM129" s="16">
        <v>0.44</v>
      </c>
      <c r="BN129" s="16">
        <v>0.38461538461538464</v>
      </c>
      <c r="BO129" s="16">
        <v>1</v>
      </c>
      <c r="BP129" s="16">
        <v>0.8214285714285714</v>
      </c>
      <c r="BQ129" s="16">
        <v>0.76923076923076927</v>
      </c>
      <c r="BR129" s="16">
        <v>0.88235294117647056</v>
      </c>
      <c r="BS129" s="16" t="s">
        <v>269</v>
      </c>
      <c r="BT129" s="16">
        <v>0.578125</v>
      </c>
      <c r="BU129" s="16">
        <v>5.7971014492753624E-2</v>
      </c>
      <c r="BV129" s="16">
        <v>0</v>
      </c>
      <c r="BW129" s="16">
        <v>4</v>
      </c>
      <c r="BX129" s="16">
        <v>0.25</v>
      </c>
      <c r="BY129" s="16">
        <v>0.54545454545454541</v>
      </c>
      <c r="BZ129" s="12">
        <v>6</v>
      </c>
      <c r="CA129" s="12">
        <v>4</v>
      </c>
      <c r="CB129" s="12">
        <v>1</v>
      </c>
      <c r="CC129" s="12">
        <v>2</v>
      </c>
      <c r="CD129" s="12">
        <v>1</v>
      </c>
      <c r="CE129" s="12">
        <v>1</v>
      </c>
      <c r="CF129" s="12">
        <v>6</v>
      </c>
      <c r="CG129" s="12">
        <v>2</v>
      </c>
      <c r="CH129" s="12">
        <v>1</v>
      </c>
      <c r="CI129" s="12">
        <v>0</v>
      </c>
      <c r="CJ129" s="12">
        <v>0</v>
      </c>
      <c r="CK129" s="12">
        <v>0</v>
      </c>
      <c r="CL129" s="12">
        <v>5</v>
      </c>
      <c r="CM129" s="12">
        <v>0</v>
      </c>
      <c r="CN129" s="12">
        <v>1</v>
      </c>
      <c r="CO129" s="12">
        <v>1</v>
      </c>
      <c r="CP129" s="12">
        <v>0</v>
      </c>
      <c r="CQ129" s="12">
        <v>0</v>
      </c>
      <c r="CR129" s="12">
        <v>6</v>
      </c>
      <c r="CS129" s="12">
        <v>2</v>
      </c>
      <c r="CT129" s="12">
        <v>2</v>
      </c>
      <c r="CU129" s="12">
        <v>0</v>
      </c>
      <c r="CV129" s="12">
        <v>0</v>
      </c>
      <c r="CW129" s="12">
        <v>0</v>
      </c>
      <c r="CX129" s="12">
        <v>15</v>
      </c>
      <c r="CY129" s="12">
        <v>0</v>
      </c>
      <c r="CZ129" s="12">
        <v>0</v>
      </c>
      <c r="DA129" s="12">
        <v>0</v>
      </c>
      <c r="DB129" s="12">
        <v>2</v>
      </c>
      <c r="DC129" s="12">
        <v>2</v>
      </c>
      <c r="DD129" s="12">
        <v>0</v>
      </c>
      <c r="DE129" s="12">
        <v>0</v>
      </c>
      <c r="DF129" s="12">
        <v>21</v>
      </c>
      <c r="DG129" s="12">
        <v>24</v>
      </c>
      <c r="DH129" s="12">
        <v>0</v>
      </c>
      <c r="DI129" s="12">
        <v>0</v>
      </c>
      <c r="DJ129" s="12">
        <v>0</v>
      </c>
      <c r="DK129" s="12">
        <v>0</v>
      </c>
      <c r="DL129" s="12">
        <v>0</v>
      </c>
      <c r="DM129" s="12">
        <v>2</v>
      </c>
      <c r="DN129" s="12">
        <v>16</v>
      </c>
      <c r="DO129" s="12">
        <v>31</v>
      </c>
      <c r="DP129" s="12">
        <v>3</v>
      </c>
      <c r="DQ129" s="12">
        <v>8</v>
      </c>
      <c r="DR129" s="12">
        <v>0</v>
      </c>
      <c r="DS129" s="12">
        <v>0</v>
      </c>
      <c r="DT129" s="12">
        <v>7</v>
      </c>
      <c r="DU129" s="12">
        <v>21</v>
      </c>
      <c r="DV129" s="12">
        <v>0</v>
      </c>
      <c r="DW129" s="12">
        <v>0</v>
      </c>
      <c r="DX129" s="12">
        <v>89</v>
      </c>
      <c r="DY129" s="12">
        <v>22</v>
      </c>
      <c r="DZ129" s="12">
        <v>34</v>
      </c>
      <c r="EA129" s="16">
        <v>0.6470588235294118</v>
      </c>
      <c r="EB129" s="12">
        <v>13</v>
      </c>
      <c r="EC129" s="12">
        <v>30</v>
      </c>
      <c r="ED129" s="16">
        <v>0.43333333333333335</v>
      </c>
      <c r="EE129" s="12">
        <v>35</v>
      </c>
      <c r="EF129" s="12">
        <v>64</v>
      </c>
      <c r="EG129" s="16">
        <v>0.546875</v>
      </c>
      <c r="EH129" s="12">
        <v>6</v>
      </c>
      <c r="EI129" s="12">
        <v>7</v>
      </c>
      <c r="EJ129" s="16">
        <v>0.8571428571428571</v>
      </c>
      <c r="EK129" s="12">
        <v>5</v>
      </c>
      <c r="EL129" s="12">
        <v>22</v>
      </c>
      <c r="EM129" s="12">
        <v>27</v>
      </c>
      <c r="EN129" s="12">
        <v>24</v>
      </c>
      <c r="EO129" s="12">
        <v>24</v>
      </c>
      <c r="EP129" s="12">
        <v>16</v>
      </c>
      <c r="EQ129" s="12">
        <v>7</v>
      </c>
      <c r="ER129" s="12">
        <v>7</v>
      </c>
      <c r="ES129" s="12">
        <v>3</v>
      </c>
      <c r="ET129" s="12">
        <v>0</v>
      </c>
      <c r="EU129" s="12">
        <v>105</v>
      </c>
      <c r="EV129" s="12">
        <v>7</v>
      </c>
      <c r="EW129" s="12">
        <v>69</v>
      </c>
      <c r="EX129" s="12">
        <v>74</v>
      </c>
      <c r="EY129" s="12">
        <v>2</v>
      </c>
      <c r="EZ129" s="12">
        <v>10</v>
      </c>
      <c r="FA129" s="12">
        <v>13</v>
      </c>
      <c r="FB129" s="12">
        <v>1</v>
      </c>
      <c r="FC129" s="12">
        <v>2</v>
      </c>
      <c r="FD129" s="12">
        <v>0</v>
      </c>
      <c r="FE129" s="12">
        <v>0</v>
      </c>
      <c r="FF129" s="12">
        <v>1</v>
      </c>
      <c r="FG129" s="12">
        <v>0</v>
      </c>
      <c r="FH129" s="12">
        <v>2</v>
      </c>
      <c r="FI129" s="12">
        <v>0</v>
      </c>
      <c r="FJ129" s="12">
        <v>0</v>
      </c>
      <c r="FK129" s="12">
        <v>0</v>
      </c>
      <c r="FL129" s="12">
        <v>2</v>
      </c>
      <c r="FM129" s="12">
        <v>0</v>
      </c>
      <c r="FN129" s="12">
        <v>0</v>
      </c>
      <c r="FO129" s="12">
        <v>0</v>
      </c>
      <c r="FP129" s="12">
        <v>1</v>
      </c>
      <c r="FQ129" s="12">
        <v>0</v>
      </c>
      <c r="FR129" s="12">
        <v>9</v>
      </c>
      <c r="FS129" s="12">
        <v>0</v>
      </c>
      <c r="FT129" s="12">
        <v>4</v>
      </c>
      <c r="FU129" s="12">
        <v>0</v>
      </c>
      <c r="FV129" s="12">
        <v>0</v>
      </c>
      <c r="FW129" s="12">
        <v>0</v>
      </c>
      <c r="FX129" s="12">
        <v>8</v>
      </c>
      <c r="FY129" s="12">
        <v>0</v>
      </c>
      <c r="FZ129" s="12">
        <v>0</v>
      </c>
      <c r="GA129" s="12">
        <v>0</v>
      </c>
      <c r="GB129" s="12">
        <v>0</v>
      </c>
      <c r="GC129" s="12">
        <v>0</v>
      </c>
      <c r="GD129" s="12">
        <v>1</v>
      </c>
      <c r="GE129" s="12">
        <v>1</v>
      </c>
      <c r="GF129" s="12">
        <v>5</v>
      </c>
      <c r="GG129" s="12">
        <v>6</v>
      </c>
      <c r="GH129" s="12">
        <v>0</v>
      </c>
      <c r="GI129" s="12">
        <v>0</v>
      </c>
      <c r="GJ129" s="12">
        <v>0</v>
      </c>
      <c r="GK129" s="12">
        <v>0</v>
      </c>
      <c r="GL129" s="12">
        <v>2</v>
      </c>
      <c r="GM129" s="12">
        <v>2</v>
      </c>
      <c r="GN129" s="12">
        <v>15</v>
      </c>
      <c r="GO129" s="12">
        <v>22</v>
      </c>
      <c r="GP129" s="12">
        <v>5</v>
      </c>
      <c r="GQ129" s="12">
        <v>10</v>
      </c>
      <c r="GR129" s="12">
        <v>0</v>
      </c>
      <c r="GS129" s="12">
        <v>0</v>
      </c>
      <c r="GT129" s="12">
        <v>13</v>
      </c>
      <c r="GU129" s="12">
        <v>30</v>
      </c>
      <c r="GV129" s="12">
        <v>0</v>
      </c>
      <c r="GW129" s="12">
        <v>0</v>
      </c>
    </row>
    <row r="130" spans="2:205" ht="15" customHeight="1" x14ac:dyDescent="0.2">
      <c r="B130" s="12">
        <v>8</v>
      </c>
      <c r="C130" s="12" t="s">
        <v>273</v>
      </c>
      <c r="D130" s="12" t="s">
        <v>293</v>
      </c>
      <c r="E130" s="14" t="s">
        <v>275</v>
      </c>
      <c r="F130" s="14" t="s">
        <v>295</v>
      </c>
      <c r="G130" s="15">
        <v>45244</v>
      </c>
      <c r="H130" s="15" t="s">
        <v>268</v>
      </c>
      <c r="I130" s="12" t="s">
        <v>269</v>
      </c>
      <c r="J130" s="12" t="s">
        <v>272</v>
      </c>
      <c r="K130" s="12">
        <v>200</v>
      </c>
      <c r="L130" s="12">
        <v>79</v>
      </c>
      <c r="M130" s="12">
        <v>22</v>
      </c>
      <c r="N130" s="12">
        <v>43</v>
      </c>
      <c r="O130" s="16">
        <v>0.51162790697674421</v>
      </c>
      <c r="P130" s="12">
        <v>7</v>
      </c>
      <c r="Q130" s="12">
        <v>22</v>
      </c>
      <c r="R130" s="16">
        <v>0.31818181818181818</v>
      </c>
      <c r="S130" s="12">
        <v>29</v>
      </c>
      <c r="T130" s="12">
        <v>65</v>
      </c>
      <c r="U130" s="16">
        <v>0.44615384615384618</v>
      </c>
      <c r="V130" s="12">
        <v>14</v>
      </c>
      <c r="W130" s="12">
        <v>21</v>
      </c>
      <c r="X130" s="16">
        <v>0.66666666666666663</v>
      </c>
      <c r="Y130" s="12">
        <v>18</v>
      </c>
      <c r="Z130" s="12">
        <v>24</v>
      </c>
      <c r="AA130" s="12">
        <v>42</v>
      </c>
      <c r="AB130" s="12">
        <v>21</v>
      </c>
      <c r="AC130" s="12">
        <v>12</v>
      </c>
      <c r="AD130" s="12">
        <v>3</v>
      </c>
      <c r="AE130" s="12">
        <v>3</v>
      </c>
      <c r="AF130" s="12">
        <v>8</v>
      </c>
      <c r="AG130" s="12">
        <v>21</v>
      </c>
      <c r="AH130" s="12">
        <v>21</v>
      </c>
      <c r="AI130" s="17">
        <v>85</v>
      </c>
      <c r="AJ130" s="12">
        <v>5</v>
      </c>
      <c r="AK130" s="12">
        <v>68</v>
      </c>
      <c r="AL130" s="12">
        <v>86</v>
      </c>
      <c r="AM130" s="19">
        <v>0.91860465116279066</v>
      </c>
      <c r="AN130" s="19">
        <v>0.93670886075949367</v>
      </c>
      <c r="AO130" s="18">
        <v>116.1764705882353</v>
      </c>
      <c r="AP130" s="18">
        <v>110.44776119402985</v>
      </c>
      <c r="AQ130" s="18">
        <v>5.7287093942054526</v>
      </c>
      <c r="AR130" s="53">
        <v>0.5</v>
      </c>
      <c r="AS130" s="53">
        <v>0.53378378378378377</v>
      </c>
      <c r="AT130" s="16">
        <v>0.13953488372093023</v>
      </c>
      <c r="AU130" s="19">
        <v>1.5</v>
      </c>
      <c r="AV130" s="16">
        <v>0.29069767441860467</v>
      </c>
      <c r="AW130" s="19">
        <v>0.72</v>
      </c>
      <c r="AX130" s="16">
        <v>6.9767441860465115E-2</v>
      </c>
      <c r="AY130" s="19">
        <v>1.3333333333333333</v>
      </c>
      <c r="AZ130" s="16">
        <v>3.4883720930232558E-2</v>
      </c>
      <c r="BA130" s="19">
        <v>1</v>
      </c>
      <c r="BB130" s="16">
        <v>0.22093023255813954</v>
      </c>
      <c r="BC130" s="21">
        <v>0.94736842105263153</v>
      </c>
      <c r="BD130" s="16">
        <v>0.10465116279069768</v>
      </c>
      <c r="BE130" s="16">
        <v>0.13953488372093023</v>
      </c>
      <c r="BF130" s="16">
        <v>0.55263157894736847</v>
      </c>
      <c r="BG130" s="16">
        <v>0.59090909090909094</v>
      </c>
      <c r="BH130" s="16">
        <v>1</v>
      </c>
      <c r="BI130" s="16">
        <v>0.1111111111111111</v>
      </c>
      <c r="BJ130" s="16">
        <v>0.2441860465116279</v>
      </c>
      <c r="BK130" s="21">
        <v>1.75</v>
      </c>
      <c r="BL130" s="16">
        <v>0.42857142857142855</v>
      </c>
      <c r="BM130" s="16">
        <v>0.625</v>
      </c>
      <c r="BN130" s="16">
        <v>0.25</v>
      </c>
      <c r="BO130" s="16">
        <v>0.42857142857142855</v>
      </c>
      <c r="BP130" s="16">
        <v>0.66666666666666663</v>
      </c>
      <c r="BQ130" s="16">
        <v>0.6428571428571429</v>
      </c>
      <c r="BR130" s="16">
        <v>0.64</v>
      </c>
      <c r="BS130" s="16" t="s">
        <v>269</v>
      </c>
      <c r="BT130" s="16">
        <v>0.53846153846153844</v>
      </c>
      <c r="BU130" s="16">
        <v>4.4776119402985072E-2</v>
      </c>
      <c r="BV130" s="16">
        <v>4.7619047619047616E-2</v>
      </c>
      <c r="BW130" s="16">
        <v>3</v>
      </c>
      <c r="BX130" s="16">
        <v>0.52380952380952384</v>
      </c>
      <c r="BY130" s="16">
        <v>0.5714285714285714</v>
      </c>
      <c r="BZ130" s="12">
        <v>13</v>
      </c>
      <c r="CA130" s="12">
        <v>7</v>
      </c>
      <c r="CB130" s="12">
        <v>1</v>
      </c>
      <c r="CC130" s="12">
        <v>0</v>
      </c>
      <c r="CD130" s="12">
        <v>1</v>
      </c>
      <c r="CE130" s="12">
        <v>1</v>
      </c>
      <c r="CF130" s="12">
        <v>9</v>
      </c>
      <c r="CG130" s="12">
        <v>2</v>
      </c>
      <c r="CH130" s="12">
        <v>2</v>
      </c>
      <c r="CI130" s="12">
        <v>0</v>
      </c>
      <c r="CJ130" s="12">
        <v>0</v>
      </c>
      <c r="CK130" s="12">
        <v>0</v>
      </c>
      <c r="CL130" s="12">
        <v>4</v>
      </c>
      <c r="CM130" s="12">
        <v>0</v>
      </c>
      <c r="CN130" s="12">
        <v>2</v>
      </c>
      <c r="CO130" s="12">
        <v>1</v>
      </c>
      <c r="CP130" s="12">
        <v>0</v>
      </c>
      <c r="CQ130" s="12">
        <v>0</v>
      </c>
      <c r="CR130" s="12">
        <v>6</v>
      </c>
      <c r="CS130" s="12">
        <v>0</v>
      </c>
      <c r="CT130" s="12">
        <v>3</v>
      </c>
      <c r="CU130" s="12">
        <v>0</v>
      </c>
      <c r="CV130" s="12">
        <v>2</v>
      </c>
      <c r="CW130" s="12">
        <v>0</v>
      </c>
      <c r="CX130" s="12">
        <v>13</v>
      </c>
      <c r="CY130" s="12">
        <v>1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3</v>
      </c>
      <c r="DF130" s="12">
        <v>14</v>
      </c>
      <c r="DG130" s="12">
        <v>18</v>
      </c>
      <c r="DH130" s="12">
        <v>0</v>
      </c>
      <c r="DI130" s="12">
        <v>0</v>
      </c>
      <c r="DJ130" s="12">
        <v>0</v>
      </c>
      <c r="DK130" s="12">
        <v>0</v>
      </c>
      <c r="DL130" s="12">
        <v>9</v>
      </c>
      <c r="DM130" s="12">
        <v>12</v>
      </c>
      <c r="DN130" s="12">
        <v>9</v>
      </c>
      <c r="DO130" s="12">
        <v>25</v>
      </c>
      <c r="DP130" s="12">
        <v>4</v>
      </c>
      <c r="DQ130" s="12">
        <v>6</v>
      </c>
      <c r="DR130" s="12">
        <v>1</v>
      </c>
      <c r="DS130" s="12">
        <v>3</v>
      </c>
      <c r="DT130" s="12">
        <v>6</v>
      </c>
      <c r="DU130" s="12">
        <v>19</v>
      </c>
      <c r="DV130" s="12">
        <v>0</v>
      </c>
      <c r="DW130" s="12">
        <v>0</v>
      </c>
      <c r="DX130" s="12">
        <v>74</v>
      </c>
      <c r="DY130" s="12">
        <v>20</v>
      </c>
      <c r="DZ130" s="12">
        <v>33</v>
      </c>
      <c r="EA130" s="16">
        <v>0.60606060606060608</v>
      </c>
      <c r="EB130" s="12">
        <v>6</v>
      </c>
      <c r="EC130" s="12">
        <v>30</v>
      </c>
      <c r="ED130" s="16">
        <v>0.2</v>
      </c>
      <c r="EE130" s="12">
        <v>26</v>
      </c>
      <c r="EF130" s="12">
        <v>63</v>
      </c>
      <c r="EG130" s="16">
        <v>0.41269841269841268</v>
      </c>
      <c r="EH130" s="12">
        <v>16</v>
      </c>
      <c r="EI130" s="12">
        <v>22</v>
      </c>
      <c r="EJ130" s="16">
        <v>0.72727272727272729</v>
      </c>
      <c r="EK130" s="12">
        <v>12</v>
      </c>
      <c r="EL130" s="12">
        <v>24</v>
      </c>
      <c r="EM130" s="12">
        <v>36</v>
      </c>
      <c r="EN130" s="12">
        <v>17</v>
      </c>
      <c r="EO130" s="12">
        <v>21</v>
      </c>
      <c r="EP130" s="12">
        <v>20</v>
      </c>
      <c r="EQ130" s="12">
        <v>5</v>
      </c>
      <c r="ER130" s="12">
        <v>7</v>
      </c>
      <c r="ES130" s="12">
        <v>8</v>
      </c>
      <c r="ET130" s="12">
        <v>3</v>
      </c>
      <c r="EU130" s="12">
        <v>86</v>
      </c>
      <c r="EV130" s="12">
        <v>-5</v>
      </c>
      <c r="EW130" s="12">
        <v>67</v>
      </c>
      <c r="EX130" s="12">
        <v>79</v>
      </c>
      <c r="EY130" s="12">
        <v>3</v>
      </c>
      <c r="EZ130" s="12">
        <v>9</v>
      </c>
      <c r="FA130" s="12">
        <v>5</v>
      </c>
      <c r="FB130" s="12">
        <v>3</v>
      </c>
      <c r="FC130" s="12">
        <v>6</v>
      </c>
      <c r="FD130" s="12">
        <v>0</v>
      </c>
      <c r="FE130" s="12">
        <v>0</v>
      </c>
      <c r="FF130" s="12">
        <v>2</v>
      </c>
      <c r="FG130" s="12">
        <v>1</v>
      </c>
      <c r="FH130" s="12">
        <v>2</v>
      </c>
      <c r="FI130" s="12">
        <v>0</v>
      </c>
      <c r="FJ130" s="12">
        <v>1</v>
      </c>
      <c r="FK130" s="12">
        <v>0</v>
      </c>
      <c r="FL130" s="12">
        <v>7</v>
      </c>
      <c r="FM130" s="12">
        <v>1</v>
      </c>
      <c r="FN130" s="12">
        <v>0</v>
      </c>
      <c r="FO130" s="12">
        <v>0</v>
      </c>
      <c r="FP130" s="12">
        <v>2</v>
      </c>
      <c r="FQ130" s="12">
        <v>0</v>
      </c>
      <c r="FR130" s="12">
        <v>7</v>
      </c>
      <c r="FS130" s="12">
        <v>0</v>
      </c>
      <c r="FT130" s="12">
        <v>0</v>
      </c>
      <c r="FU130" s="12">
        <v>0</v>
      </c>
      <c r="FV130" s="12">
        <v>2</v>
      </c>
      <c r="FW130" s="12">
        <v>1</v>
      </c>
      <c r="FX130" s="12">
        <v>9</v>
      </c>
      <c r="FY130" s="12">
        <v>0</v>
      </c>
      <c r="FZ130" s="12">
        <v>4</v>
      </c>
      <c r="GA130" s="12">
        <v>0</v>
      </c>
      <c r="GB130" s="12">
        <v>1</v>
      </c>
      <c r="GC130" s="12">
        <v>1</v>
      </c>
      <c r="GD130" s="12">
        <v>2</v>
      </c>
      <c r="GE130" s="12">
        <v>2</v>
      </c>
      <c r="GF130" s="12">
        <v>11</v>
      </c>
      <c r="GG130" s="12">
        <v>16</v>
      </c>
      <c r="GH130" s="12">
        <v>0</v>
      </c>
      <c r="GI130" s="12">
        <v>2</v>
      </c>
      <c r="GJ130" s="12">
        <v>3</v>
      </c>
      <c r="GK130" s="12">
        <v>0</v>
      </c>
      <c r="GL130" s="12">
        <v>6</v>
      </c>
      <c r="GM130" s="12">
        <v>6</v>
      </c>
      <c r="GN130" s="12">
        <v>8</v>
      </c>
      <c r="GO130" s="12">
        <v>16</v>
      </c>
      <c r="GP130" s="12">
        <v>6</v>
      </c>
      <c r="GQ130" s="12">
        <v>11</v>
      </c>
      <c r="GR130" s="12">
        <v>0</v>
      </c>
      <c r="GS130" s="12">
        <v>3</v>
      </c>
      <c r="GT130" s="12">
        <v>6</v>
      </c>
      <c r="GU130" s="12">
        <v>27</v>
      </c>
      <c r="GV130" s="12">
        <v>0</v>
      </c>
      <c r="GW130" s="12">
        <v>0</v>
      </c>
    </row>
    <row r="131" spans="2:205" ht="15" customHeight="1" x14ac:dyDescent="0.2">
      <c r="B131" s="12">
        <v>8</v>
      </c>
      <c r="C131" s="12" t="s">
        <v>293</v>
      </c>
      <c r="D131" s="12" t="s">
        <v>273</v>
      </c>
      <c r="E131" s="14" t="s">
        <v>295</v>
      </c>
      <c r="F131" s="14" t="s">
        <v>275</v>
      </c>
      <c r="G131" s="15">
        <v>45244</v>
      </c>
      <c r="H131" s="15" t="s">
        <v>271</v>
      </c>
      <c r="I131" s="12" t="s">
        <v>269</v>
      </c>
      <c r="J131" s="12" t="s">
        <v>270</v>
      </c>
      <c r="K131" s="12">
        <v>200</v>
      </c>
      <c r="L131" s="12">
        <v>74</v>
      </c>
      <c r="M131" s="12">
        <v>20</v>
      </c>
      <c r="N131" s="12">
        <v>33</v>
      </c>
      <c r="O131" s="16">
        <v>0.60606060606060608</v>
      </c>
      <c r="P131" s="12">
        <v>6</v>
      </c>
      <c r="Q131" s="12">
        <v>30</v>
      </c>
      <c r="R131" s="16">
        <v>0.2</v>
      </c>
      <c r="S131" s="12">
        <v>26</v>
      </c>
      <c r="T131" s="12">
        <v>63</v>
      </c>
      <c r="U131" s="16">
        <v>0.41269841269841268</v>
      </c>
      <c r="V131" s="12">
        <v>16</v>
      </c>
      <c r="W131" s="12">
        <v>22</v>
      </c>
      <c r="X131" s="16">
        <v>0.72727272727272729</v>
      </c>
      <c r="Y131" s="12">
        <v>12</v>
      </c>
      <c r="Z131" s="12">
        <v>24</v>
      </c>
      <c r="AA131" s="12">
        <v>36</v>
      </c>
      <c r="AB131" s="12">
        <v>17</v>
      </c>
      <c r="AC131" s="12">
        <v>7</v>
      </c>
      <c r="AD131" s="12">
        <v>5</v>
      </c>
      <c r="AE131" s="12">
        <v>8</v>
      </c>
      <c r="AF131" s="12">
        <v>3</v>
      </c>
      <c r="AG131" s="12">
        <v>21</v>
      </c>
      <c r="AH131" s="12">
        <v>20</v>
      </c>
      <c r="AI131" s="17">
        <v>86</v>
      </c>
      <c r="AJ131" s="12">
        <v>-5</v>
      </c>
      <c r="AK131" s="12">
        <v>67</v>
      </c>
      <c r="AL131" s="12">
        <v>79</v>
      </c>
      <c r="AM131" s="19">
        <v>0.93670886075949367</v>
      </c>
      <c r="AN131" s="19">
        <v>0.91860465116279066</v>
      </c>
      <c r="AO131" s="18">
        <v>110.44776119402985</v>
      </c>
      <c r="AP131" s="18">
        <v>116.1764705882353</v>
      </c>
      <c r="AQ131" s="18">
        <v>-5.7287093942054526</v>
      </c>
      <c r="AR131" s="53">
        <v>0.46031746031746029</v>
      </c>
      <c r="AS131" s="53">
        <v>0.51388888888888884</v>
      </c>
      <c r="AT131" s="16">
        <v>7.5949367088607597E-2</v>
      </c>
      <c r="AU131" s="19">
        <v>2</v>
      </c>
      <c r="AV131" s="16">
        <v>0.20253164556962025</v>
      </c>
      <c r="AW131" s="19">
        <v>1</v>
      </c>
      <c r="AX131" s="16">
        <v>0.13924050632911392</v>
      </c>
      <c r="AY131" s="19">
        <v>1.0909090909090908</v>
      </c>
      <c r="AZ131" s="16">
        <v>3.7974683544303799E-2</v>
      </c>
      <c r="BA131" s="19">
        <v>0</v>
      </c>
      <c r="BB131" s="16">
        <v>0.34177215189873417</v>
      </c>
      <c r="BC131" s="21">
        <v>0.66666666666666663</v>
      </c>
      <c r="BD131" s="16">
        <v>0.11392405063291139</v>
      </c>
      <c r="BE131" s="16">
        <v>8.8607594936708861E-2</v>
      </c>
      <c r="BF131" s="16">
        <v>0.48571428571428571</v>
      </c>
      <c r="BG131" s="16">
        <v>0.45</v>
      </c>
      <c r="BH131" s="16">
        <v>0.83333333333333337</v>
      </c>
      <c r="BI131" s="16">
        <v>0.33333333333333331</v>
      </c>
      <c r="BJ131" s="16">
        <v>0.21518987341772153</v>
      </c>
      <c r="BK131" s="21">
        <v>2.4285714285714284</v>
      </c>
      <c r="BL131" s="16">
        <v>0.33333333333333331</v>
      </c>
      <c r="BM131" s="16">
        <v>0.35714285714285715</v>
      </c>
      <c r="BN131" s="16">
        <v>0.36</v>
      </c>
      <c r="BO131" s="16" t="s">
        <v>269</v>
      </c>
      <c r="BP131" s="16">
        <v>0.5714285714285714</v>
      </c>
      <c r="BQ131" s="16">
        <v>0.375</v>
      </c>
      <c r="BR131" s="16">
        <v>0.75</v>
      </c>
      <c r="BS131" s="16">
        <v>0.5714285714285714</v>
      </c>
      <c r="BT131" s="16">
        <v>0.46153846153846156</v>
      </c>
      <c r="BU131" s="16">
        <v>7.3529411764705885E-2</v>
      </c>
      <c r="BV131" s="16">
        <v>0.12307692307692308</v>
      </c>
      <c r="BW131" s="16">
        <v>3</v>
      </c>
      <c r="BX131" s="16">
        <v>0.5714285714285714</v>
      </c>
      <c r="BY131" s="16">
        <v>0.55000000000000004</v>
      </c>
      <c r="BZ131" s="12">
        <v>9</v>
      </c>
      <c r="CA131" s="12">
        <v>5</v>
      </c>
      <c r="CB131" s="12">
        <v>3</v>
      </c>
      <c r="CC131" s="12">
        <v>6</v>
      </c>
      <c r="CD131" s="12">
        <v>0</v>
      </c>
      <c r="CE131" s="12">
        <v>0</v>
      </c>
      <c r="CF131" s="12">
        <v>2</v>
      </c>
      <c r="CG131" s="12">
        <v>1</v>
      </c>
      <c r="CH131" s="12">
        <v>2</v>
      </c>
      <c r="CI131" s="12">
        <v>0</v>
      </c>
      <c r="CJ131" s="12">
        <v>1</v>
      </c>
      <c r="CK131" s="12">
        <v>0</v>
      </c>
      <c r="CL131" s="12">
        <v>7</v>
      </c>
      <c r="CM131" s="12">
        <v>1</v>
      </c>
      <c r="CN131" s="12">
        <v>0</v>
      </c>
      <c r="CO131" s="12">
        <v>0</v>
      </c>
      <c r="CP131" s="12">
        <v>2</v>
      </c>
      <c r="CQ131" s="12">
        <v>0</v>
      </c>
      <c r="CR131" s="12">
        <v>7</v>
      </c>
      <c r="CS131" s="12">
        <v>0</v>
      </c>
      <c r="CT131" s="12">
        <v>0</v>
      </c>
      <c r="CU131" s="12">
        <v>0</v>
      </c>
      <c r="CV131" s="12">
        <v>2</v>
      </c>
      <c r="CW131" s="12">
        <v>1</v>
      </c>
      <c r="CX131" s="12">
        <v>9</v>
      </c>
      <c r="CY131" s="12">
        <v>0</v>
      </c>
      <c r="CZ131" s="12">
        <v>4</v>
      </c>
      <c r="DA131" s="12">
        <v>0</v>
      </c>
      <c r="DB131" s="12">
        <v>1</v>
      </c>
      <c r="DC131" s="12">
        <v>1</v>
      </c>
      <c r="DD131" s="12">
        <v>2</v>
      </c>
      <c r="DE131" s="12">
        <v>2</v>
      </c>
      <c r="DF131" s="12">
        <v>11</v>
      </c>
      <c r="DG131" s="12">
        <v>16</v>
      </c>
      <c r="DH131" s="12">
        <v>0</v>
      </c>
      <c r="DI131" s="12">
        <v>2</v>
      </c>
      <c r="DJ131" s="12">
        <v>3</v>
      </c>
      <c r="DK131" s="12">
        <v>0</v>
      </c>
      <c r="DL131" s="12">
        <v>6</v>
      </c>
      <c r="DM131" s="12">
        <v>6</v>
      </c>
      <c r="DN131" s="12">
        <v>8</v>
      </c>
      <c r="DO131" s="12">
        <v>16</v>
      </c>
      <c r="DP131" s="12">
        <v>6</v>
      </c>
      <c r="DQ131" s="12">
        <v>11</v>
      </c>
      <c r="DR131" s="12">
        <v>0</v>
      </c>
      <c r="DS131" s="12">
        <v>3</v>
      </c>
      <c r="DT131" s="12">
        <v>6</v>
      </c>
      <c r="DU131" s="12">
        <v>27</v>
      </c>
      <c r="DV131" s="12">
        <v>0</v>
      </c>
      <c r="DW131" s="12">
        <v>0</v>
      </c>
      <c r="DX131" s="12">
        <v>79</v>
      </c>
      <c r="DY131" s="12">
        <v>22</v>
      </c>
      <c r="DZ131" s="12">
        <v>43</v>
      </c>
      <c r="EA131" s="16">
        <v>0.51162790697674421</v>
      </c>
      <c r="EB131" s="12">
        <v>7</v>
      </c>
      <c r="EC131" s="12">
        <v>22</v>
      </c>
      <c r="ED131" s="16">
        <v>0.31818181818181818</v>
      </c>
      <c r="EE131" s="12">
        <v>29</v>
      </c>
      <c r="EF131" s="12">
        <v>65</v>
      </c>
      <c r="EG131" s="16">
        <v>0.44615384615384618</v>
      </c>
      <c r="EH131" s="12">
        <v>14</v>
      </c>
      <c r="EI131" s="12">
        <v>21</v>
      </c>
      <c r="EJ131" s="16">
        <v>0.66666666666666663</v>
      </c>
      <c r="EK131" s="12">
        <v>18</v>
      </c>
      <c r="EL131" s="12">
        <v>24</v>
      </c>
      <c r="EM131" s="12">
        <v>42</v>
      </c>
      <c r="EN131" s="12">
        <v>21</v>
      </c>
      <c r="EO131" s="12">
        <v>21</v>
      </c>
      <c r="EP131" s="12">
        <v>21</v>
      </c>
      <c r="EQ131" s="12">
        <v>3</v>
      </c>
      <c r="ER131" s="12">
        <v>12</v>
      </c>
      <c r="ES131" s="12">
        <v>3</v>
      </c>
      <c r="ET131" s="12">
        <v>8</v>
      </c>
      <c r="EU131" s="12">
        <v>85</v>
      </c>
      <c r="EV131" s="12">
        <v>5</v>
      </c>
      <c r="EW131" s="12">
        <v>68</v>
      </c>
      <c r="EX131" s="12">
        <v>86</v>
      </c>
      <c r="EY131" s="12">
        <v>3</v>
      </c>
      <c r="EZ131" s="12">
        <v>13</v>
      </c>
      <c r="FA131" s="12">
        <v>7</v>
      </c>
      <c r="FB131" s="12">
        <v>1</v>
      </c>
      <c r="FC131" s="12">
        <v>0</v>
      </c>
      <c r="FD131" s="12">
        <v>1</v>
      </c>
      <c r="FE131" s="12">
        <v>1</v>
      </c>
      <c r="FF131" s="12">
        <v>9</v>
      </c>
      <c r="FG131" s="12">
        <v>2</v>
      </c>
      <c r="FH131" s="12">
        <v>2</v>
      </c>
      <c r="FI131" s="12">
        <v>0</v>
      </c>
      <c r="FJ131" s="12">
        <v>0</v>
      </c>
      <c r="FK131" s="12">
        <v>0</v>
      </c>
      <c r="FL131" s="12">
        <v>4</v>
      </c>
      <c r="FM131" s="12">
        <v>0</v>
      </c>
      <c r="FN131" s="12">
        <v>2</v>
      </c>
      <c r="FO131" s="12">
        <v>1</v>
      </c>
      <c r="FP131" s="12">
        <v>0</v>
      </c>
      <c r="FQ131" s="12">
        <v>0</v>
      </c>
      <c r="FR131" s="12">
        <v>6</v>
      </c>
      <c r="FS131" s="12">
        <v>0</v>
      </c>
      <c r="FT131" s="12">
        <v>3</v>
      </c>
      <c r="FU131" s="12">
        <v>0</v>
      </c>
      <c r="FV131" s="12">
        <v>2</v>
      </c>
      <c r="FW131" s="12">
        <v>0</v>
      </c>
      <c r="FX131" s="12">
        <v>13</v>
      </c>
      <c r="FY131" s="12">
        <v>1</v>
      </c>
      <c r="FZ131" s="12">
        <v>0</v>
      </c>
      <c r="GA131" s="12">
        <v>0</v>
      </c>
      <c r="GB131" s="12">
        <v>0</v>
      </c>
      <c r="GC131" s="12">
        <v>0</v>
      </c>
      <c r="GD131" s="12">
        <v>0</v>
      </c>
      <c r="GE131" s="12">
        <v>3</v>
      </c>
      <c r="GF131" s="12">
        <v>14</v>
      </c>
      <c r="GG131" s="12">
        <v>18</v>
      </c>
      <c r="GH131" s="12">
        <v>0</v>
      </c>
      <c r="GI131" s="12">
        <v>0</v>
      </c>
      <c r="GJ131" s="12">
        <v>0</v>
      </c>
      <c r="GK131" s="12">
        <v>0</v>
      </c>
      <c r="GL131" s="12">
        <v>9</v>
      </c>
      <c r="GM131" s="12">
        <v>12</v>
      </c>
      <c r="GN131" s="12">
        <v>9</v>
      </c>
      <c r="GO131" s="12">
        <v>25</v>
      </c>
      <c r="GP131" s="12">
        <v>4</v>
      </c>
      <c r="GQ131" s="12">
        <v>6</v>
      </c>
      <c r="GR131" s="12">
        <v>1</v>
      </c>
      <c r="GS131" s="12">
        <v>3</v>
      </c>
      <c r="GT131" s="12">
        <v>6</v>
      </c>
      <c r="GU131" s="12">
        <v>19</v>
      </c>
      <c r="GV131" s="12">
        <v>0</v>
      </c>
      <c r="GW131" s="12">
        <v>0</v>
      </c>
    </row>
    <row r="132" spans="2:205" ht="15" customHeight="1" x14ac:dyDescent="0.2">
      <c r="B132" s="12">
        <v>8</v>
      </c>
      <c r="C132" s="12" t="s">
        <v>298</v>
      </c>
      <c r="D132" s="12" t="s">
        <v>93</v>
      </c>
      <c r="E132" s="14" t="s">
        <v>300</v>
      </c>
      <c r="F132" s="14" t="s">
        <v>303</v>
      </c>
      <c r="G132" s="15">
        <v>45244</v>
      </c>
      <c r="H132" s="15" t="s">
        <v>271</v>
      </c>
      <c r="I132" s="12" t="s">
        <v>269</v>
      </c>
      <c r="J132" s="12" t="s">
        <v>270</v>
      </c>
      <c r="K132" s="12">
        <v>200</v>
      </c>
      <c r="L132" s="12">
        <v>73</v>
      </c>
      <c r="M132" s="12">
        <v>28</v>
      </c>
      <c r="N132" s="12">
        <v>49</v>
      </c>
      <c r="O132" s="16">
        <v>0.5714285714285714</v>
      </c>
      <c r="P132" s="12">
        <v>4</v>
      </c>
      <c r="Q132" s="12">
        <v>13</v>
      </c>
      <c r="R132" s="16">
        <v>0.30769230769230771</v>
      </c>
      <c r="S132" s="12">
        <v>32</v>
      </c>
      <c r="T132" s="12">
        <v>62</v>
      </c>
      <c r="U132" s="16">
        <v>0.5161290322580645</v>
      </c>
      <c r="V132" s="12">
        <v>5</v>
      </c>
      <c r="W132" s="12">
        <v>8</v>
      </c>
      <c r="X132" s="16">
        <v>0.625</v>
      </c>
      <c r="Y132" s="12">
        <v>10</v>
      </c>
      <c r="Z132" s="12">
        <v>18</v>
      </c>
      <c r="AA132" s="12">
        <v>28</v>
      </c>
      <c r="AB132" s="12">
        <v>15</v>
      </c>
      <c r="AC132" s="12">
        <v>12</v>
      </c>
      <c r="AD132" s="12">
        <v>3</v>
      </c>
      <c r="AE132" s="12">
        <v>1</v>
      </c>
      <c r="AF132" s="12">
        <v>5</v>
      </c>
      <c r="AG132" s="12">
        <v>22</v>
      </c>
      <c r="AH132" s="12">
        <v>15</v>
      </c>
      <c r="AI132" s="17">
        <v>63</v>
      </c>
      <c r="AJ132" s="12">
        <v>-3</v>
      </c>
      <c r="AK132" s="12">
        <v>66</v>
      </c>
      <c r="AL132" s="12">
        <v>76</v>
      </c>
      <c r="AM132" s="19">
        <v>0.96052631578947367</v>
      </c>
      <c r="AN132" s="19">
        <v>1</v>
      </c>
      <c r="AO132" s="18">
        <v>110.60606060606059</v>
      </c>
      <c r="AP132" s="18">
        <v>111.76470588235294</v>
      </c>
      <c r="AQ132" s="18">
        <v>-1.1586452762923471</v>
      </c>
      <c r="AR132" s="53">
        <v>0.54838709677419351</v>
      </c>
      <c r="AS132" s="53">
        <v>0.5703125</v>
      </c>
      <c r="AT132" s="16">
        <v>0.30263157894736842</v>
      </c>
      <c r="AU132" s="19">
        <v>1.5652173913043479</v>
      </c>
      <c r="AV132" s="16">
        <v>0.27631578947368424</v>
      </c>
      <c r="AW132" s="19">
        <v>0.5714285714285714</v>
      </c>
      <c r="AX132" s="16">
        <v>6.5789473684210523E-2</v>
      </c>
      <c r="AY132" s="19">
        <v>1.6</v>
      </c>
      <c r="AZ132" s="16">
        <v>0</v>
      </c>
      <c r="BA132" s="19" t="s">
        <v>269</v>
      </c>
      <c r="BB132" s="16">
        <v>0.17105263157894737</v>
      </c>
      <c r="BC132" s="21">
        <v>0.92307692307692313</v>
      </c>
      <c r="BD132" s="16">
        <v>2.6315789473684209E-2</v>
      </c>
      <c r="BE132" s="16">
        <v>0.15789473684210525</v>
      </c>
      <c r="BF132" s="16">
        <v>0.44117647058823528</v>
      </c>
      <c r="BG132" s="16">
        <v>0.35714285714285715</v>
      </c>
      <c r="BH132" s="16">
        <v>1</v>
      </c>
      <c r="BI132" s="16">
        <v>0.5</v>
      </c>
      <c r="BJ132" s="16">
        <v>0.19736842105263158</v>
      </c>
      <c r="BK132" s="21">
        <v>1.25</v>
      </c>
      <c r="BL132" s="16">
        <v>0.30303030303030304</v>
      </c>
      <c r="BM132" s="16">
        <v>0.39130434782608697</v>
      </c>
      <c r="BN132" s="16">
        <v>0.4</v>
      </c>
      <c r="BO132" s="16">
        <v>0</v>
      </c>
      <c r="BP132" s="16">
        <v>0.69230769230769229</v>
      </c>
      <c r="BQ132" s="16">
        <v>0.63636363636363635</v>
      </c>
      <c r="BR132" s="16">
        <v>0.68421052631578949</v>
      </c>
      <c r="BS132" s="16" t="s">
        <v>269</v>
      </c>
      <c r="BT132" s="16">
        <v>0.47457627118644069</v>
      </c>
      <c r="BU132" s="16">
        <v>4.4117647058823532E-2</v>
      </c>
      <c r="BV132" s="16">
        <v>1.8518518518518517E-2</v>
      </c>
      <c r="BW132" s="16">
        <v>5</v>
      </c>
      <c r="BX132" s="16">
        <v>0.31818181818181818</v>
      </c>
      <c r="BY132" s="16">
        <v>0.33333333333333331</v>
      </c>
      <c r="BZ132" s="12">
        <v>10</v>
      </c>
      <c r="CA132" s="12">
        <v>4</v>
      </c>
      <c r="CB132" s="12">
        <v>1</v>
      </c>
      <c r="CC132" s="12">
        <v>2</v>
      </c>
      <c r="CD132" s="12">
        <v>2</v>
      </c>
      <c r="CE132" s="12">
        <v>1</v>
      </c>
      <c r="CF132" s="12">
        <v>5</v>
      </c>
      <c r="CG132" s="12">
        <v>1</v>
      </c>
      <c r="CH132" s="12">
        <v>0</v>
      </c>
      <c r="CI132" s="12">
        <v>0</v>
      </c>
      <c r="CJ132" s="12">
        <v>0</v>
      </c>
      <c r="CK132" s="12">
        <v>0</v>
      </c>
      <c r="CL132" s="12">
        <v>3</v>
      </c>
      <c r="CM132" s="12">
        <v>1</v>
      </c>
      <c r="CN132" s="12">
        <v>0</v>
      </c>
      <c r="CO132" s="12">
        <v>0</v>
      </c>
      <c r="CP132" s="12">
        <v>4</v>
      </c>
      <c r="CQ132" s="12">
        <v>1</v>
      </c>
      <c r="CR132" s="12">
        <v>1</v>
      </c>
      <c r="CS132" s="12">
        <v>0</v>
      </c>
      <c r="CT132" s="12">
        <v>1</v>
      </c>
      <c r="CU132" s="12">
        <v>0</v>
      </c>
      <c r="CV132" s="12">
        <v>1</v>
      </c>
      <c r="CW132" s="12">
        <v>0</v>
      </c>
      <c r="CX132" s="12">
        <v>11</v>
      </c>
      <c r="CY132" s="12">
        <v>1</v>
      </c>
      <c r="CZ132" s="12">
        <v>0</v>
      </c>
      <c r="DA132" s="12">
        <v>0</v>
      </c>
      <c r="DB132" s="12">
        <v>1</v>
      </c>
      <c r="DC132" s="12">
        <v>1</v>
      </c>
      <c r="DD132" s="12">
        <v>1</v>
      </c>
      <c r="DE132" s="12">
        <v>3</v>
      </c>
      <c r="DF132" s="12">
        <v>3</v>
      </c>
      <c r="DG132" s="12">
        <v>4</v>
      </c>
      <c r="DH132" s="12">
        <v>0</v>
      </c>
      <c r="DI132" s="12">
        <v>0</v>
      </c>
      <c r="DJ132" s="12">
        <v>0</v>
      </c>
      <c r="DK132" s="12">
        <v>0</v>
      </c>
      <c r="DL132" s="12">
        <v>18</v>
      </c>
      <c r="DM132" s="12">
        <v>23</v>
      </c>
      <c r="DN132" s="12">
        <v>6</v>
      </c>
      <c r="DO132" s="12">
        <v>21</v>
      </c>
      <c r="DP132" s="12">
        <v>4</v>
      </c>
      <c r="DQ132" s="12">
        <v>5</v>
      </c>
      <c r="DR132" s="12">
        <v>0</v>
      </c>
      <c r="DS132" s="12">
        <v>0</v>
      </c>
      <c r="DT132" s="12">
        <v>4</v>
      </c>
      <c r="DU132" s="12">
        <v>13</v>
      </c>
      <c r="DV132" s="12">
        <v>0</v>
      </c>
      <c r="DW132" s="12">
        <v>0</v>
      </c>
      <c r="DX132" s="12">
        <v>76</v>
      </c>
      <c r="DY132" s="12">
        <v>16</v>
      </c>
      <c r="DZ132" s="12">
        <v>27</v>
      </c>
      <c r="EA132" s="16">
        <v>0.59259259259259256</v>
      </c>
      <c r="EB132" s="12">
        <v>10</v>
      </c>
      <c r="EC132" s="12">
        <v>27</v>
      </c>
      <c r="ED132" s="16">
        <v>0.37037037037037035</v>
      </c>
      <c r="EE132" s="12">
        <v>26</v>
      </c>
      <c r="EF132" s="12">
        <v>54</v>
      </c>
      <c r="EG132" s="16">
        <v>0.48148148148148145</v>
      </c>
      <c r="EH132" s="12">
        <v>14</v>
      </c>
      <c r="EI132" s="12">
        <v>15</v>
      </c>
      <c r="EJ132" s="16">
        <v>0.93333333333333335</v>
      </c>
      <c r="EK132" s="12">
        <v>8</v>
      </c>
      <c r="EL132" s="12">
        <v>23</v>
      </c>
      <c r="EM132" s="12">
        <v>31</v>
      </c>
      <c r="EN132" s="12">
        <v>15</v>
      </c>
      <c r="EO132" s="12">
        <v>16</v>
      </c>
      <c r="EP132" s="12">
        <v>21</v>
      </c>
      <c r="EQ132" s="12">
        <v>6</v>
      </c>
      <c r="ER132" s="12">
        <v>15</v>
      </c>
      <c r="ES132" s="12">
        <v>5</v>
      </c>
      <c r="ET132" s="12">
        <v>1</v>
      </c>
      <c r="EU132" s="12">
        <v>93</v>
      </c>
      <c r="EV132" s="12">
        <v>3</v>
      </c>
      <c r="EW132" s="12">
        <v>68</v>
      </c>
      <c r="EX132" s="12">
        <v>76</v>
      </c>
      <c r="EY132" s="12">
        <v>5</v>
      </c>
      <c r="EZ132" s="12">
        <v>7</v>
      </c>
      <c r="FA132" s="12">
        <v>7</v>
      </c>
      <c r="FB132" s="12">
        <v>1</v>
      </c>
      <c r="FC132" s="12">
        <v>2</v>
      </c>
      <c r="FD132" s="12">
        <v>2</v>
      </c>
      <c r="FE132" s="12">
        <v>1</v>
      </c>
      <c r="FF132" s="12">
        <v>1</v>
      </c>
      <c r="FG132" s="12">
        <v>0</v>
      </c>
      <c r="FH132" s="12">
        <v>0</v>
      </c>
      <c r="FI132" s="12">
        <v>0</v>
      </c>
      <c r="FJ132" s="12">
        <v>1</v>
      </c>
      <c r="FK132" s="12">
        <v>0</v>
      </c>
      <c r="FL132" s="12">
        <v>4</v>
      </c>
      <c r="FM132" s="12">
        <v>1</v>
      </c>
      <c r="FN132" s="12">
        <v>0</v>
      </c>
      <c r="FO132" s="12">
        <v>0</v>
      </c>
      <c r="FP132" s="12">
        <v>3</v>
      </c>
      <c r="FQ132" s="12">
        <v>0</v>
      </c>
      <c r="FR132" s="12">
        <v>10</v>
      </c>
      <c r="FS132" s="12">
        <v>0</v>
      </c>
      <c r="FT132" s="12">
        <v>1</v>
      </c>
      <c r="FU132" s="12">
        <v>0</v>
      </c>
      <c r="FV132" s="12">
        <v>0</v>
      </c>
      <c r="FW132" s="12">
        <v>0</v>
      </c>
      <c r="FX132" s="12">
        <v>6</v>
      </c>
      <c r="FY132" s="12">
        <v>0</v>
      </c>
      <c r="FZ132" s="12">
        <v>3</v>
      </c>
      <c r="GA132" s="12">
        <v>1</v>
      </c>
      <c r="GB132" s="12">
        <v>1</v>
      </c>
      <c r="GC132" s="12">
        <v>1</v>
      </c>
      <c r="GD132" s="12">
        <v>0</v>
      </c>
      <c r="GE132" s="12">
        <v>0</v>
      </c>
      <c r="GF132" s="12">
        <v>13</v>
      </c>
      <c r="GG132" s="12">
        <v>14</v>
      </c>
      <c r="GH132" s="12">
        <v>0</v>
      </c>
      <c r="GI132" s="12">
        <v>0</v>
      </c>
      <c r="GJ132" s="12">
        <v>0</v>
      </c>
      <c r="GK132" s="12">
        <v>0</v>
      </c>
      <c r="GL132" s="12">
        <v>10</v>
      </c>
      <c r="GM132" s="12">
        <v>17</v>
      </c>
      <c r="GN132" s="12">
        <v>4</v>
      </c>
      <c r="GO132" s="12">
        <v>7</v>
      </c>
      <c r="GP132" s="12">
        <v>2</v>
      </c>
      <c r="GQ132" s="12">
        <v>3</v>
      </c>
      <c r="GR132" s="12">
        <v>3</v>
      </c>
      <c r="GS132" s="12">
        <v>5</v>
      </c>
      <c r="GT132" s="12">
        <v>7</v>
      </c>
      <c r="GU132" s="12">
        <v>22</v>
      </c>
      <c r="GV132" s="12">
        <v>0</v>
      </c>
      <c r="GW132" s="12">
        <v>0</v>
      </c>
    </row>
    <row r="133" spans="2:205" ht="15" customHeight="1" x14ac:dyDescent="0.2">
      <c r="B133" s="12">
        <v>8</v>
      </c>
      <c r="C133" s="12" t="s">
        <v>93</v>
      </c>
      <c r="D133" s="12" t="s">
        <v>298</v>
      </c>
      <c r="E133" s="14" t="s">
        <v>303</v>
      </c>
      <c r="F133" s="14" t="s">
        <v>300</v>
      </c>
      <c r="G133" s="15">
        <v>45244</v>
      </c>
      <c r="H133" s="15" t="s">
        <v>268</v>
      </c>
      <c r="I133" s="12" t="s">
        <v>269</v>
      </c>
      <c r="J133" s="12" t="s">
        <v>272</v>
      </c>
      <c r="K133" s="12">
        <v>200</v>
      </c>
      <c r="L133" s="12">
        <v>76</v>
      </c>
      <c r="M133" s="12">
        <v>16</v>
      </c>
      <c r="N133" s="12">
        <v>27</v>
      </c>
      <c r="O133" s="16">
        <v>0.59259259259259256</v>
      </c>
      <c r="P133" s="12">
        <v>10</v>
      </c>
      <c r="Q133" s="12">
        <v>27</v>
      </c>
      <c r="R133" s="16">
        <v>0.37037037037037035</v>
      </c>
      <c r="S133" s="12">
        <v>26</v>
      </c>
      <c r="T133" s="12">
        <v>54</v>
      </c>
      <c r="U133" s="16">
        <v>0.48148148148148145</v>
      </c>
      <c r="V133" s="12">
        <v>14</v>
      </c>
      <c r="W133" s="12">
        <v>15</v>
      </c>
      <c r="X133" s="16">
        <v>0.93333333333333335</v>
      </c>
      <c r="Y133" s="12">
        <v>8</v>
      </c>
      <c r="Z133" s="12">
        <v>23</v>
      </c>
      <c r="AA133" s="12">
        <v>31</v>
      </c>
      <c r="AB133" s="12">
        <v>15</v>
      </c>
      <c r="AC133" s="12">
        <v>15</v>
      </c>
      <c r="AD133" s="12">
        <v>6</v>
      </c>
      <c r="AE133" s="12">
        <v>5</v>
      </c>
      <c r="AF133" s="12">
        <v>1</v>
      </c>
      <c r="AG133" s="12">
        <v>15</v>
      </c>
      <c r="AH133" s="12">
        <v>21</v>
      </c>
      <c r="AI133" s="17">
        <v>94</v>
      </c>
      <c r="AJ133" s="12">
        <v>3</v>
      </c>
      <c r="AK133" s="12">
        <v>68</v>
      </c>
      <c r="AL133" s="12">
        <v>76</v>
      </c>
      <c r="AM133" s="19">
        <v>1</v>
      </c>
      <c r="AN133" s="19">
        <v>0.96052631578947367</v>
      </c>
      <c r="AO133" s="18">
        <v>111.76470588235294</v>
      </c>
      <c r="AP133" s="18">
        <v>110.60606060606059</v>
      </c>
      <c r="AQ133" s="18">
        <v>1.1586452762923471</v>
      </c>
      <c r="AR133" s="53">
        <v>0.57407407407407407</v>
      </c>
      <c r="AS133" s="53">
        <v>0.62295081967213117</v>
      </c>
      <c r="AT133" s="16">
        <v>0.22368421052631579</v>
      </c>
      <c r="AU133" s="19">
        <v>1.1764705882352942</v>
      </c>
      <c r="AV133" s="16">
        <v>9.2105263157894732E-2</v>
      </c>
      <c r="AW133" s="19">
        <v>1.1428571428571428</v>
      </c>
      <c r="AX133" s="16">
        <v>3.9473684210526314E-2</v>
      </c>
      <c r="AY133" s="19">
        <v>1.3333333333333333</v>
      </c>
      <c r="AZ133" s="16">
        <v>6.5789473684210523E-2</v>
      </c>
      <c r="BA133" s="19">
        <v>1.8</v>
      </c>
      <c r="BB133" s="16">
        <v>0.28947368421052633</v>
      </c>
      <c r="BC133" s="21">
        <v>0.95454545454545459</v>
      </c>
      <c r="BD133" s="16">
        <v>9.2105263157894732E-2</v>
      </c>
      <c r="BE133" s="16">
        <v>0.19736842105263158</v>
      </c>
      <c r="BF133" s="16">
        <v>0.45454545454545453</v>
      </c>
      <c r="BG133" s="16">
        <v>0.4375</v>
      </c>
      <c r="BH133" s="16">
        <v>0.7</v>
      </c>
      <c r="BI133" s="16">
        <v>0.14285714285714285</v>
      </c>
      <c r="BJ133" s="16">
        <v>0.19736842105263158</v>
      </c>
      <c r="BK133" s="21">
        <v>1</v>
      </c>
      <c r="BL133" s="16">
        <v>0.30769230769230771</v>
      </c>
      <c r="BM133" s="16">
        <v>0.36363636363636365</v>
      </c>
      <c r="BN133" s="16">
        <v>0.31578947368421051</v>
      </c>
      <c r="BO133" s="16" t="s">
        <v>269</v>
      </c>
      <c r="BP133" s="16">
        <v>0.69696969696969702</v>
      </c>
      <c r="BQ133" s="16">
        <v>0.60869565217391308</v>
      </c>
      <c r="BR133" s="16">
        <v>0.6</v>
      </c>
      <c r="BS133" s="16">
        <v>1</v>
      </c>
      <c r="BT133" s="16">
        <v>0.52542372881355937</v>
      </c>
      <c r="BU133" s="16">
        <v>9.0909090909090912E-2</v>
      </c>
      <c r="BV133" s="16">
        <v>8.0645161290322578E-2</v>
      </c>
      <c r="BW133" s="16">
        <v>5</v>
      </c>
      <c r="BX133" s="16">
        <v>0.33333333333333331</v>
      </c>
      <c r="BY133" s="16">
        <v>0.33333333333333331</v>
      </c>
      <c r="BZ133" s="12">
        <v>7</v>
      </c>
      <c r="CA133" s="12">
        <v>7</v>
      </c>
      <c r="CB133" s="12">
        <v>1</v>
      </c>
      <c r="CC133" s="12">
        <v>2</v>
      </c>
      <c r="CD133" s="12">
        <v>2</v>
      </c>
      <c r="CE133" s="12">
        <v>1</v>
      </c>
      <c r="CF133" s="12">
        <v>1</v>
      </c>
      <c r="CG133" s="12">
        <v>0</v>
      </c>
      <c r="CH133" s="12">
        <v>0</v>
      </c>
      <c r="CI133" s="12">
        <v>0</v>
      </c>
      <c r="CJ133" s="12">
        <v>1</v>
      </c>
      <c r="CK133" s="12">
        <v>0</v>
      </c>
      <c r="CL133" s="12">
        <v>4</v>
      </c>
      <c r="CM133" s="12">
        <v>1</v>
      </c>
      <c r="CN133" s="12">
        <v>0</v>
      </c>
      <c r="CO133" s="12">
        <v>0</v>
      </c>
      <c r="CP133" s="12">
        <v>3</v>
      </c>
      <c r="CQ133" s="12">
        <v>0</v>
      </c>
      <c r="CR133" s="12">
        <v>10</v>
      </c>
      <c r="CS133" s="12">
        <v>0</v>
      </c>
      <c r="CT133" s="12">
        <v>1</v>
      </c>
      <c r="CU133" s="12">
        <v>0</v>
      </c>
      <c r="CV133" s="12">
        <v>0</v>
      </c>
      <c r="CW133" s="12">
        <v>0</v>
      </c>
      <c r="CX133" s="12">
        <v>6</v>
      </c>
      <c r="CY133" s="12">
        <v>0</v>
      </c>
      <c r="CZ133" s="12">
        <v>3</v>
      </c>
      <c r="DA133" s="12">
        <v>1</v>
      </c>
      <c r="DB133" s="12">
        <v>1</v>
      </c>
      <c r="DC133" s="12">
        <v>1</v>
      </c>
      <c r="DD133" s="12">
        <v>0</v>
      </c>
      <c r="DE133" s="12">
        <v>0</v>
      </c>
      <c r="DF133" s="12">
        <v>13</v>
      </c>
      <c r="DG133" s="12">
        <v>14</v>
      </c>
      <c r="DH133" s="12">
        <v>0</v>
      </c>
      <c r="DI133" s="12">
        <v>0</v>
      </c>
      <c r="DJ133" s="12">
        <v>0</v>
      </c>
      <c r="DK133" s="12">
        <v>0</v>
      </c>
      <c r="DL133" s="12">
        <v>10</v>
      </c>
      <c r="DM133" s="12">
        <v>17</v>
      </c>
      <c r="DN133" s="12">
        <v>4</v>
      </c>
      <c r="DO133" s="12">
        <v>7</v>
      </c>
      <c r="DP133" s="12">
        <v>2</v>
      </c>
      <c r="DQ133" s="12">
        <v>3</v>
      </c>
      <c r="DR133" s="12">
        <v>3</v>
      </c>
      <c r="DS133" s="12">
        <v>5</v>
      </c>
      <c r="DT133" s="12">
        <v>7</v>
      </c>
      <c r="DU133" s="12">
        <v>22</v>
      </c>
      <c r="DV133" s="12">
        <v>0</v>
      </c>
      <c r="DW133" s="12">
        <v>0</v>
      </c>
      <c r="DX133" s="12">
        <v>73</v>
      </c>
      <c r="DY133" s="12">
        <v>28</v>
      </c>
      <c r="DZ133" s="12">
        <v>49</v>
      </c>
      <c r="EA133" s="16">
        <v>0.5714285714285714</v>
      </c>
      <c r="EB133" s="12">
        <v>4</v>
      </c>
      <c r="EC133" s="12">
        <v>13</v>
      </c>
      <c r="ED133" s="16">
        <v>0.30769230769230771</v>
      </c>
      <c r="EE133" s="12">
        <v>32</v>
      </c>
      <c r="EF133" s="12">
        <v>62</v>
      </c>
      <c r="EG133" s="16">
        <v>0.5161290322580645</v>
      </c>
      <c r="EH133" s="12">
        <v>5</v>
      </c>
      <c r="EI133" s="12">
        <v>8</v>
      </c>
      <c r="EJ133" s="16">
        <v>0.625</v>
      </c>
      <c r="EK133" s="12">
        <v>10</v>
      </c>
      <c r="EL133" s="12">
        <v>18</v>
      </c>
      <c r="EM133" s="12">
        <v>28</v>
      </c>
      <c r="EN133" s="12">
        <v>15</v>
      </c>
      <c r="EO133" s="12">
        <v>22</v>
      </c>
      <c r="EP133" s="12">
        <v>15</v>
      </c>
      <c r="EQ133" s="12">
        <v>3</v>
      </c>
      <c r="ER133" s="12">
        <v>12</v>
      </c>
      <c r="ES133" s="12">
        <v>1</v>
      </c>
      <c r="ET133" s="12">
        <v>5</v>
      </c>
      <c r="EU133" s="12">
        <v>63</v>
      </c>
      <c r="EV133" s="12">
        <v>-3</v>
      </c>
      <c r="EW133" s="12">
        <v>66</v>
      </c>
      <c r="EX133" s="12">
        <v>76</v>
      </c>
      <c r="EY133" s="12">
        <v>5</v>
      </c>
      <c r="EZ133" s="12">
        <v>10</v>
      </c>
      <c r="FA133" s="12">
        <v>4</v>
      </c>
      <c r="FB133" s="12">
        <v>1</v>
      </c>
      <c r="FC133" s="12">
        <v>2</v>
      </c>
      <c r="FD133" s="12">
        <v>2</v>
      </c>
      <c r="FE133" s="12">
        <v>1</v>
      </c>
      <c r="FF133" s="12">
        <v>5</v>
      </c>
      <c r="FG133" s="12">
        <v>1</v>
      </c>
      <c r="FH133" s="12">
        <v>0</v>
      </c>
      <c r="FI133" s="12">
        <v>0</v>
      </c>
      <c r="FJ133" s="12">
        <v>0</v>
      </c>
      <c r="FK133" s="12">
        <v>0</v>
      </c>
      <c r="FL133" s="12">
        <v>3</v>
      </c>
      <c r="FM133" s="12">
        <v>1</v>
      </c>
      <c r="FN133" s="12">
        <v>0</v>
      </c>
      <c r="FO133" s="12">
        <v>0</v>
      </c>
      <c r="FP133" s="12">
        <v>4</v>
      </c>
      <c r="FQ133" s="12">
        <v>1</v>
      </c>
      <c r="FR133" s="12">
        <v>1</v>
      </c>
      <c r="FS133" s="12">
        <v>0</v>
      </c>
      <c r="FT133" s="12">
        <v>1</v>
      </c>
      <c r="FU133" s="12">
        <v>0</v>
      </c>
      <c r="FV133" s="12">
        <v>1</v>
      </c>
      <c r="FW133" s="12">
        <v>0</v>
      </c>
      <c r="FX133" s="12">
        <v>11</v>
      </c>
      <c r="FY133" s="12">
        <v>1</v>
      </c>
      <c r="FZ133" s="12">
        <v>0</v>
      </c>
      <c r="GA133" s="12">
        <v>0</v>
      </c>
      <c r="GB133" s="12">
        <v>1</v>
      </c>
      <c r="GC133" s="12">
        <v>1</v>
      </c>
      <c r="GD133" s="12">
        <v>1</v>
      </c>
      <c r="GE133" s="12">
        <v>3</v>
      </c>
      <c r="GF133" s="12">
        <v>3</v>
      </c>
      <c r="GG133" s="12">
        <v>4</v>
      </c>
      <c r="GH133" s="12">
        <v>0</v>
      </c>
      <c r="GI133" s="12">
        <v>0</v>
      </c>
      <c r="GJ133" s="12">
        <v>0</v>
      </c>
      <c r="GK133" s="12">
        <v>0</v>
      </c>
      <c r="GL133" s="12">
        <v>18</v>
      </c>
      <c r="GM133" s="12">
        <v>23</v>
      </c>
      <c r="GN133" s="12">
        <v>6</v>
      </c>
      <c r="GO133" s="12">
        <v>21</v>
      </c>
      <c r="GP133" s="12">
        <v>4</v>
      </c>
      <c r="GQ133" s="12">
        <v>5</v>
      </c>
      <c r="GR133" s="12">
        <v>0</v>
      </c>
      <c r="GS133" s="12">
        <v>0</v>
      </c>
      <c r="GT133" s="12">
        <v>4</v>
      </c>
      <c r="GU133" s="12">
        <v>13</v>
      </c>
      <c r="GV133" s="12">
        <v>0</v>
      </c>
      <c r="GW133" s="12">
        <v>0</v>
      </c>
    </row>
    <row r="134" spans="2:205" ht="15" customHeight="1" x14ac:dyDescent="0.2">
      <c r="B134" s="12">
        <v>8</v>
      </c>
      <c r="C134" s="12" t="s">
        <v>289</v>
      </c>
      <c r="D134" s="12" t="s">
        <v>285</v>
      </c>
      <c r="E134" s="14" t="s">
        <v>291</v>
      </c>
      <c r="F134" s="14" t="s">
        <v>287</v>
      </c>
      <c r="G134" s="15">
        <v>45244</v>
      </c>
      <c r="H134" s="15" t="s">
        <v>271</v>
      </c>
      <c r="I134" s="12" t="s">
        <v>269</v>
      </c>
      <c r="J134" s="12" t="s">
        <v>272</v>
      </c>
      <c r="K134" s="12">
        <v>200</v>
      </c>
      <c r="L134" s="12">
        <v>86</v>
      </c>
      <c r="M134" s="12">
        <v>22</v>
      </c>
      <c r="N134" s="12">
        <v>39</v>
      </c>
      <c r="O134" s="16">
        <v>0.5641025641025641</v>
      </c>
      <c r="P134" s="12">
        <v>11</v>
      </c>
      <c r="Q134" s="12">
        <v>24</v>
      </c>
      <c r="R134" s="16">
        <v>0.45833333333333331</v>
      </c>
      <c r="S134" s="12">
        <v>33</v>
      </c>
      <c r="T134" s="12">
        <v>63</v>
      </c>
      <c r="U134" s="16">
        <v>0.52380952380952384</v>
      </c>
      <c r="V134" s="12">
        <v>9</v>
      </c>
      <c r="W134" s="12">
        <v>11</v>
      </c>
      <c r="X134" s="16">
        <v>0.81818181818181823</v>
      </c>
      <c r="Y134" s="12">
        <v>7</v>
      </c>
      <c r="Z134" s="12">
        <v>22</v>
      </c>
      <c r="AA134" s="12">
        <v>29</v>
      </c>
      <c r="AB134" s="12">
        <v>20</v>
      </c>
      <c r="AC134" s="12">
        <v>7</v>
      </c>
      <c r="AD134" s="12">
        <v>6</v>
      </c>
      <c r="AE134" s="12">
        <v>2</v>
      </c>
      <c r="AF134" s="12">
        <v>2</v>
      </c>
      <c r="AG134" s="12">
        <v>15</v>
      </c>
      <c r="AH134" s="12">
        <v>17</v>
      </c>
      <c r="AI134" s="17">
        <v>104</v>
      </c>
      <c r="AJ134" s="12">
        <v>7</v>
      </c>
      <c r="AK134" s="12">
        <v>67</v>
      </c>
      <c r="AL134" s="12">
        <v>74</v>
      </c>
      <c r="AM134" s="19">
        <v>1.1621621621621621</v>
      </c>
      <c r="AN134" s="19">
        <v>0.98750000000000004</v>
      </c>
      <c r="AO134" s="18">
        <v>128.35820895522389</v>
      </c>
      <c r="AP134" s="18">
        <v>116.1764705882353</v>
      </c>
      <c r="AQ134" s="18">
        <v>12.181738366988583</v>
      </c>
      <c r="AR134" s="53">
        <v>0.61111111111111116</v>
      </c>
      <c r="AS134" s="53">
        <v>0.64179104477611937</v>
      </c>
      <c r="AT134" s="16">
        <v>0.13513513513513514</v>
      </c>
      <c r="AU134" s="19">
        <v>2</v>
      </c>
      <c r="AV134" s="16">
        <v>0.33783783783783783</v>
      </c>
      <c r="AW134" s="19">
        <v>0.88</v>
      </c>
      <c r="AX134" s="16">
        <v>5.4054054054054057E-2</v>
      </c>
      <c r="AY134" s="19">
        <v>0.5</v>
      </c>
      <c r="AZ134" s="16">
        <v>2.7027027027027029E-2</v>
      </c>
      <c r="BA134" s="19">
        <v>1.5</v>
      </c>
      <c r="BB134" s="16">
        <v>0.29729729729729731</v>
      </c>
      <c r="BC134" s="21">
        <v>1.3636363636363635</v>
      </c>
      <c r="BD134" s="16">
        <v>5.4054054054054057E-2</v>
      </c>
      <c r="BE134" s="16">
        <v>9.45945945945946E-2</v>
      </c>
      <c r="BF134" s="16">
        <v>0.54054054054054057</v>
      </c>
      <c r="BG134" s="16">
        <v>0.5</v>
      </c>
      <c r="BH134" s="16">
        <v>0.72727272727272729</v>
      </c>
      <c r="BI134" s="16">
        <v>0.25</v>
      </c>
      <c r="BJ134" s="16">
        <v>0.27027027027027029</v>
      </c>
      <c r="BK134" s="21">
        <v>2.8571428571428572</v>
      </c>
      <c r="BL134" s="16">
        <v>0.23333333333333334</v>
      </c>
      <c r="BM134" s="16">
        <v>0.22222222222222221</v>
      </c>
      <c r="BN134" s="16">
        <v>0.25</v>
      </c>
      <c r="BO134" s="16">
        <v>0</v>
      </c>
      <c r="BP134" s="16">
        <v>0.66666666666666663</v>
      </c>
      <c r="BQ134" s="16">
        <v>0.7142857142857143</v>
      </c>
      <c r="BR134" s="16">
        <v>0.6</v>
      </c>
      <c r="BS134" s="16">
        <v>0.75</v>
      </c>
      <c r="BT134" s="16">
        <v>0.46031746031746029</v>
      </c>
      <c r="BU134" s="16">
        <v>8.8235294117647065E-2</v>
      </c>
      <c r="BV134" s="16">
        <v>3.3333333333333333E-2</v>
      </c>
      <c r="BW134" s="16">
        <v>4</v>
      </c>
      <c r="BX134" s="16">
        <v>0.53333333333333333</v>
      </c>
      <c r="BY134" s="16">
        <v>0.41176470588235292</v>
      </c>
      <c r="BZ134" s="12">
        <v>11</v>
      </c>
      <c r="CA134" s="12">
        <v>8</v>
      </c>
      <c r="CB134" s="12">
        <v>1</v>
      </c>
      <c r="CC134" s="12">
        <v>2</v>
      </c>
      <c r="CD134" s="12">
        <v>0</v>
      </c>
      <c r="CE134" s="12">
        <v>0</v>
      </c>
      <c r="CF134" s="12">
        <v>4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3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5</v>
      </c>
      <c r="CS134" s="12">
        <v>0</v>
      </c>
      <c r="CT134" s="12">
        <v>5</v>
      </c>
      <c r="CU134" s="12">
        <v>0</v>
      </c>
      <c r="CV134" s="12">
        <v>0</v>
      </c>
      <c r="CW134" s="12">
        <v>0</v>
      </c>
      <c r="CX134" s="12">
        <v>9</v>
      </c>
      <c r="CY134" s="12">
        <v>3</v>
      </c>
      <c r="CZ134" s="12">
        <v>3</v>
      </c>
      <c r="DA134" s="12">
        <v>0</v>
      </c>
      <c r="DB134" s="12">
        <v>0</v>
      </c>
      <c r="DC134" s="12">
        <v>0</v>
      </c>
      <c r="DD134" s="12">
        <v>2</v>
      </c>
      <c r="DE134" s="12">
        <v>3</v>
      </c>
      <c r="DF134" s="12">
        <v>7</v>
      </c>
      <c r="DG134" s="12">
        <v>8</v>
      </c>
      <c r="DH134" s="12">
        <v>0</v>
      </c>
      <c r="DI134" s="12">
        <v>0</v>
      </c>
      <c r="DJ134" s="12">
        <v>0</v>
      </c>
      <c r="DK134" s="12">
        <v>0</v>
      </c>
      <c r="DL134" s="12">
        <v>10</v>
      </c>
      <c r="DM134" s="12">
        <v>10</v>
      </c>
      <c r="DN134" s="12">
        <v>11</v>
      </c>
      <c r="DO134" s="12">
        <v>25</v>
      </c>
      <c r="DP134" s="12">
        <v>1</v>
      </c>
      <c r="DQ134" s="12">
        <v>4</v>
      </c>
      <c r="DR134" s="12">
        <v>1</v>
      </c>
      <c r="DS134" s="12">
        <v>2</v>
      </c>
      <c r="DT134" s="12">
        <v>10</v>
      </c>
      <c r="DU134" s="12">
        <v>22</v>
      </c>
      <c r="DV134" s="12">
        <v>0</v>
      </c>
      <c r="DW134" s="12">
        <v>0</v>
      </c>
      <c r="DX134" s="12">
        <v>79</v>
      </c>
      <c r="DY134" s="12">
        <v>17</v>
      </c>
      <c r="DZ134" s="12">
        <v>31</v>
      </c>
      <c r="EA134" s="16">
        <v>0.54838709677419351</v>
      </c>
      <c r="EB134" s="12">
        <v>12</v>
      </c>
      <c r="EC134" s="12">
        <v>29</v>
      </c>
      <c r="ED134" s="16">
        <v>0.41379310344827586</v>
      </c>
      <c r="EE134" s="12">
        <v>29</v>
      </c>
      <c r="EF134" s="12">
        <v>60</v>
      </c>
      <c r="EG134" s="16">
        <v>0.48333333333333334</v>
      </c>
      <c r="EH134" s="12">
        <v>9</v>
      </c>
      <c r="EI134" s="12">
        <v>16</v>
      </c>
      <c r="EJ134" s="16">
        <v>0.5625</v>
      </c>
      <c r="EK134" s="12">
        <v>11</v>
      </c>
      <c r="EL134" s="12">
        <v>23</v>
      </c>
      <c r="EM134" s="12">
        <v>34</v>
      </c>
      <c r="EN134" s="12">
        <v>18</v>
      </c>
      <c r="EO134" s="12">
        <v>17</v>
      </c>
      <c r="EP134" s="12">
        <v>15</v>
      </c>
      <c r="EQ134" s="12">
        <v>4</v>
      </c>
      <c r="ER134" s="12">
        <v>13</v>
      </c>
      <c r="ES134" s="12">
        <v>2</v>
      </c>
      <c r="ET134" s="12">
        <v>2</v>
      </c>
      <c r="EU134" s="12">
        <v>82</v>
      </c>
      <c r="EV134" s="12">
        <v>-7</v>
      </c>
      <c r="EW134" s="12">
        <v>68</v>
      </c>
      <c r="EX134" s="12">
        <v>80</v>
      </c>
      <c r="EY134" s="12">
        <v>1</v>
      </c>
      <c r="EZ134" s="12">
        <v>8</v>
      </c>
      <c r="FA134" s="12">
        <v>10</v>
      </c>
      <c r="FB134" s="12">
        <v>0</v>
      </c>
      <c r="FC134" s="12">
        <v>0</v>
      </c>
      <c r="FD134" s="12">
        <v>1</v>
      </c>
      <c r="FE134" s="12">
        <v>0</v>
      </c>
      <c r="FF134" s="12">
        <v>3</v>
      </c>
      <c r="FG134" s="12">
        <v>0</v>
      </c>
      <c r="FH134" s="12">
        <v>0</v>
      </c>
      <c r="FI134" s="12">
        <v>0</v>
      </c>
      <c r="FJ134" s="12">
        <v>0</v>
      </c>
      <c r="FK134" s="12">
        <v>0</v>
      </c>
      <c r="FL134" s="12">
        <v>6</v>
      </c>
      <c r="FM134" s="12">
        <v>2</v>
      </c>
      <c r="FN134" s="12">
        <v>1</v>
      </c>
      <c r="FO134" s="12">
        <v>0</v>
      </c>
      <c r="FP134" s="12">
        <v>0</v>
      </c>
      <c r="FQ134" s="12">
        <v>0</v>
      </c>
      <c r="FR134" s="12">
        <v>10</v>
      </c>
      <c r="FS134" s="12">
        <v>0</v>
      </c>
      <c r="FT134" s="12">
        <v>3</v>
      </c>
      <c r="FU134" s="12">
        <v>1</v>
      </c>
      <c r="FV134" s="12">
        <v>0</v>
      </c>
      <c r="FW134" s="12">
        <v>0</v>
      </c>
      <c r="FX134" s="12">
        <v>9</v>
      </c>
      <c r="FY134" s="12">
        <v>0</v>
      </c>
      <c r="FZ134" s="12">
        <v>1</v>
      </c>
      <c r="GA134" s="12">
        <v>0</v>
      </c>
      <c r="GB134" s="12">
        <v>0</v>
      </c>
      <c r="GC134" s="12">
        <v>0</v>
      </c>
      <c r="GD134" s="12">
        <v>1</v>
      </c>
      <c r="GE134" s="12">
        <v>1</v>
      </c>
      <c r="GF134" s="12">
        <v>7</v>
      </c>
      <c r="GG134" s="12">
        <v>14</v>
      </c>
      <c r="GH134" s="12">
        <v>2</v>
      </c>
      <c r="GI134" s="12">
        <v>0</v>
      </c>
      <c r="GJ134" s="12">
        <v>0</v>
      </c>
      <c r="GK134" s="12">
        <v>0</v>
      </c>
      <c r="GL134" s="12">
        <v>3</v>
      </c>
      <c r="GM134" s="12">
        <v>4</v>
      </c>
      <c r="GN134" s="12">
        <v>13</v>
      </c>
      <c r="GO134" s="12">
        <v>21</v>
      </c>
      <c r="GP134" s="12">
        <v>1</v>
      </c>
      <c r="GQ134" s="12">
        <v>6</v>
      </c>
      <c r="GR134" s="12">
        <v>3</v>
      </c>
      <c r="GS134" s="12">
        <v>3</v>
      </c>
      <c r="GT134" s="12">
        <v>9</v>
      </c>
      <c r="GU134" s="12">
        <v>26</v>
      </c>
      <c r="GV134" s="12">
        <v>0</v>
      </c>
      <c r="GW134" s="12">
        <v>0</v>
      </c>
    </row>
    <row r="135" spans="2:205" ht="15" customHeight="1" x14ac:dyDescent="0.2">
      <c r="B135" s="12">
        <v>8</v>
      </c>
      <c r="C135" s="12" t="s">
        <v>285</v>
      </c>
      <c r="D135" s="12" t="s">
        <v>289</v>
      </c>
      <c r="E135" s="14" t="s">
        <v>287</v>
      </c>
      <c r="F135" s="14" t="s">
        <v>291</v>
      </c>
      <c r="G135" s="15">
        <v>45244</v>
      </c>
      <c r="H135" s="15" t="s">
        <v>268</v>
      </c>
      <c r="I135" s="12" t="s">
        <v>269</v>
      </c>
      <c r="J135" s="12" t="s">
        <v>270</v>
      </c>
      <c r="K135" s="12">
        <v>200</v>
      </c>
      <c r="L135" s="12">
        <v>79</v>
      </c>
      <c r="M135" s="12">
        <v>17</v>
      </c>
      <c r="N135" s="12">
        <v>31</v>
      </c>
      <c r="O135" s="16">
        <v>0.54838709677419351</v>
      </c>
      <c r="P135" s="12">
        <v>12</v>
      </c>
      <c r="Q135" s="12">
        <v>29</v>
      </c>
      <c r="R135" s="16">
        <v>0.41379310344827586</v>
      </c>
      <c r="S135" s="12">
        <v>29</v>
      </c>
      <c r="T135" s="12">
        <v>60</v>
      </c>
      <c r="U135" s="16">
        <v>0.48333333333333334</v>
      </c>
      <c r="V135" s="12">
        <v>9</v>
      </c>
      <c r="W135" s="12">
        <v>16</v>
      </c>
      <c r="X135" s="16">
        <v>0.5625</v>
      </c>
      <c r="Y135" s="12">
        <v>11</v>
      </c>
      <c r="Z135" s="12">
        <v>23</v>
      </c>
      <c r="AA135" s="12">
        <v>34</v>
      </c>
      <c r="AB135" s="12">
        <v>18</v>
      </c>
      <c r="AC135" s="12">
        <v>13</v>
      </c>
      <c r="AD135" s="12">
        <v>4</v>
      </c>
      <c r="AE135" s="12">
        <v>2</v>
      </c>
      <c r="AF135" s="12">
        <v>2</v>
      </c>
      <c r="AG135" s="12">
        <v>17</v>
      </c>
      <c r="AH135" s="12">
        <v>15</v>
      </c>
      <c r="AI135" s="17">
        <v>82</v>
      </c>
      <c r="AJ135" s="12">
        <v>-7</v>
      </c>
      <c r="AK135" s="12">
        <v>68</v>
      </c>
      <c r="AL135" s="12">
        <v>80</v>
      </c>
      <c r="AM135" s="19">
        <v>0.98750000000000004</v>
      </c>
      <c r="AN135" s="19">
        <v>1.1621621621621621</v>
      </c>
      <c r="AO135" s="18">
        <v>116.1764705882353</v>
      </c>
      <c r="AP135" s="18">
        <v>128.35820895522389</v>
      </c>
      <c r="AQ135" s="18">
        <v>-12.181738366988583</v>
      </c>
      <c r="AR135" s="53">
        <v>0.58333333333333337</v>
      </c>
      <c r="AS135" s="53">
        <v>0.58955223880597019</v>
      </c>
      <c r="AT135" s="16">
        <v>0.05</v>
      </c>
      <c r="AU135" s="19">
        <v>1.5</v>
      </c>
      <c r="AV135" s="16">
        <v>0.26250000000000001</v>
      </c>
      <c r="AW135" s="19">
        <v>1.2380952380952381</v>
      </c>
      <c r="AX135" s="16">
        <v>7.4999999999999997E-2</v>
      </c>
      <c r="AY135" s="19">
        <v>0.33333333333333331</v>
      </c>
      <c r="AZ135" s="16">
        <v>3.7499999999999999E-2</v>
      </c>
      <c r="BA135" s="19">
        <v>3</v>
      </c>
      <c r="BB135" s="16">
        <v>0.32500000000000001</v>
      </c>
      <c r="BC135" s="21">
        <v>1.0384615384615385</v>
      </c>
      <c r="BD135" s="16">
        <v>8.7499999999999994E-2</v>
      </c>
      <c r="BE135" s="16">
        <v>0.16455696202531644</v>
      </c>
      <c r="BF135" s="16">
        <v>0.52941176470588236</v>
      </c>
      <c r="BG135" s="16">
        <v>0.47058823529411764</v>
      </c>
      <c r="BH135" s="16">
        <v>0.83333333333333337</v>
      </c>
      <c r="BI135" s="16">
        <v>0</v>
      </c>
      <c r="BJ135" s="16">
        <v>0.22784810126582278</v>
      </c>
      <c r="BK135" s="21">
        <v>1.3846153846153846</v>
      </c>
      <c r="BL135" s="16">
        <v>0.33333333333333331</v>
      </c>
      <c r="BM135" s="16">
        <v>0.2857142857142857</v>
      </c>
      <c r="BN135" s="16">
        <v>0.4</v>
      </c>
      <c r="BO135" s="16">
        <v>0.25</v>
      </c>
      <c r="BP135" s="16">
        <v>0.76666666666666672</v>
      </c>
      <c r="BQ135" s="16">
        <v>0.77777777777777779</v>
      </c>
      <c r="BR135" s="16">
        <v>0.75</v>
      </c>
      <c r="BS135" s="16">
        <v>1</v>
      </c>
      <c r="BT135" s="16">
        <v>0.53968253968253965</v>
      </c>
      <c r="BU135" s="16">
        <v>5.9701492537313432E-2</v>
      </c>
      <c r="BV135" s="16">
        <v>3.1746031746031744E-2</v>
      </c>
      <c r="BW135" s="16">
        <v>1</v>
      </c>
      <c r="BX135" s="16">
        <v>0.41176470588235292</v>
      </c>
      <c r="BY135" s="16">
        <v>0.6</v>
      </c>
      <c r="BZ135" s="12">
        <v>8</v>
      </c>
      <c r="CA135" s="12">
        <v>10</v>
      </c>
      <c r="CB135" s="12">
        <v>0</v>
      </c>
      <c r="CC135" s="12">
        <v>0</v>
      </c>
      <c r="CD135" s="12">
        <v>1</v>
      </c>
      <c r="CE135" s="12">
        <v>0</v>
      </c>
      <c r="CF135" s="12">
        <v>3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6</v>
      </c>
      <c r="CM135" s="12">
        <v>2</v>
      </c>
      <c r="CN135" s="12">
        <v>1</v>
      </c>
      <c r="CO135" s="12">
        <v>0</v>
      </c>
      <c r="CP135" s="12">
        <v>0</v>
      </c>
      <c r="CQ135" s="12">
        <v>0</v>
      </c>
      <c r="CR135" s="12">
        <v>10</v>
      </c>
      <c r="CS135" s="12">
        <v>0</v>
      </c>
      <c r="CT135" s="12">
        <v>3</v>
      </c>
      <c r="CU135" s="12">
        <v>1</v>
      </c>
      <c r="CV135" s="12">
        <v>0</v>
      </c>
      <c r="CW135" s="12">
        <v>0</v>
      </c>
      <c r="CX135" s="12">
        <v>9</v>
      </c>
      <c r="CY135" s="12">
        <v>0</v>
      </c>
      <c r="CZ135" s="12">
        <v>1</v>
      </c>
      <c r="DA135" s="12">
        <v>0</v>
      </c>
      <c r="DB135" s="12">
        <v>0</v>
      </c>
      <c r="DC135" s="12">
        <v>0</v>
      </c>
      <c r="DD135" s="12">
        <v>2</v>
      </c>
      <c r="DE135" s="12">
        <v>2</v>
      </c>
      <c r="DF135" s="12">
        <v>7</v>
      </c>
      <c r="DG135" s="12">
        <v>14</v>
      </c>
      <c r="DH135" s="12">
        <v>2</v>
      </c>
      <c r="DI135" s="12">
        <v>0</v>
      </c>
      <c r="DJ135" s="12">
        <v>0</v>
      </c>
      <c r="DK135" s="12">
        <v>0</v>
      </c>
      <c r="DL135" s="12">
        <v>3</v>
      </c>
      <c r="DM135" s="12">
        <v>4</v>
      </c>
      <c r="DN135" s="12">
        <v>13</v>
      </c>
      <c r="DO135" s="12">
        <v>21</v>
      </c>
      <c r="DP135" s="12">
        <v>1</v>
      </c>
      <c r="DQ135" s="12">
        <v>6</v>
      </c>
      <c r="DR135" s="12">
        <v>3</v>
      </c>
      <c r="DS135" s="12">
        <v>3</v>
      </c>
      <c r="DT135" s="12">
        <v>9</v>
      </c>
      <c r="DU135" s="12">
        <v>26</v>
      </c>
      <c r="DV135" s="12">
        <v>0</v>
      </c>
      <c r="DW135" s="12">
        <v>0</v>
      </c>
      <c r="DX135" s="12">
        <v>86</v>
      </c>
      <c r="DY135" s="12">
        <v>22</v>
      </c>
      <c r="DZ135" s="12">
        <v>39</v>
      </c>
      <c r="EA135" s="16">
        <v>0.5641025641025641</v>
      </c>
      <c r="EB135" s="12">
        <v>11</v>
      </c>
      <c r="EC135" s="12">
        <v>24</v>
      </c>
      <c r="ED135" s="16">
        <v>0.45833333333333331</v>
      </c>
      <c r="EE135" s="12">
        <v>33</v>
      </c>
      <c r="EF135" s="12">
        <v>63</v>
      </c>
      <c r="EG135" s="16">
        <v>0.52380952380952384</v>
      </c>
      <c r="EH135" s="12">
        <v>9</v>
      </c>
      <c r="EI135" s="12">
        <v>11</v>
      </c>
      <c r="EJ135" s="16">
        <v>0.81818181818181823</v>
      </c>
      <c r="EK135" s="12">
        <v>7</v>
      </c>
      <c r="EL135" s="12">
        <v>22</v>
      </c>
      <c r="EM135" s="12">
        <v>29</v>
      </c>
      <c r="EN135" s="12">
        <v>20</v>
      </c>
      <c r="EO135" s="12">
        <v>15</v>
      </c>
      <c r="EP135" s="12">
        <v>17</v>
      </c>
      <c r="EQ135" s="12">
        <v>6</v>
      </c>
      <c r="ER135" s="12">
        <v>7</v>
      </c>
      <c r="ES135" s="12">
        <v>2</v>
      </c>
      <c r="ET135" s="12">
        <v>2</v>
      </c>
      <c r="EU135" s="12">
        <v>104</v>
      </c>
      <c r="EV135" s="12">
        <v>7</v>
      </c>
      <c r="EW135" s="12">
        <v>67</v>
      </c>
      <c r="EX135" s="12">
        <v>74</v>
      </c>
      <c r="EY135" s="12">
        <v>4</v>
      </c>
      <c r="EZ135" s="12">
        <v>11</v>
      </c>
      <c r="FA135" s="12">
        <v>8</v>
      </c>
      <c r="FB135" s="12">
        <v>1</v>
      </c>
      <c r="FC135" s="12">
        <v>2</v>
      </c>
      <c r="FD135" s="12">
        <v>0</v>
      </c>
      <c r="FE135" s="12">
        <v>0</v>
      </c>
      <c r="FF135" s="12">
        <v>4</v>
      </c>
      <c r="FG135" s="12">
        <v>0</v>
      </c>
      <c r="FH135" s="12">
        <v>0</v>
      </c>
      <c r="FI135" s="12">
        <v>0</v>
      </c>
      <c r="FJ135" s="12">
        <v>0</v>
      </c>
      <c r="FK135" s="12">
        <v>0</v>
      </c>
      <c r="FL135" s="12">
        <v>3</v>
      </c>
      <c r="FM135" s="12">
        <v>0</v>
      </c>
      <c r="FN135" s="12">
        <v>0</v>
      </c>
      <c r="FO135" s="12">
        <v>0</v>
      </c>
      <c r="FP135" s="12">
        <v>0</v>
      </c>
      <c r="FQ135" s="12">
        <v>0</v>
      </c>
      <c r="FR135" s="12">
        <v>5</v>
      </c>
      <c r="FS135" s="12">
        <v>0</v>
      </c>
      <c r="FT135" s="12">
        <v>5</v>
      </c>
      <c r="FU135" s="12">
        <v>0</v>
      </c>
      <c r="FV135" s="12">
        <v>0</v>
      </c>
      <c r="FW135" s="12">
        <v>0</v>
      </c>
      <c r="FX135" s="12">
        <v>9</v>
      </c>
      <c r="FY135" s="12">
        <v>3</v>
      </c>
      <c r="FZ135" s="12">
        <v>3</v>
      </c>
      <c r="GA135" s="12">
        <v>0</v>
      </c>
      <c r="GB135" s="12">
        <v>0</v>
      </c>
      <c r="GC135" s="12">
        <v>0</v>
      </c>
      <c r="GD135" s="12">
        <v>2</v>
      </c>
      <c r="GE135" s="12">
        <v>3</v>
      </c>
      <c r="GF135" s="12">
        <v>7</v>
      </c>
      <c r="GG135" s="12">
        <v>8</v>
      </c>
      <c r="GH135" s="12">
        <v>0</v>
      </c>
      <c r="GI135" s="12">
        <v>0</v>
      </c>
      <c r="GJ135" s="12">
        <v>0</v>
      </c>
      <c r="GK135" s="12">
        <v>0</v>
      </c>
      <c r="GL135" s="12">
        <v>10</v>
      </c>
      <c r="GM135" s="12">
        <v>10</v>
      </c>
      <c r="GN135" s="12">
        <v>11</v>
      </c>
      <c r="GO135" s="12">
        <v>25</v>
      </c>
      <c r="GP135" s="12">
        <v>1</v>
      </c>
      <c r="GQ135" s="12">
        <v>4</v>
      </c>
      <c r="GR135" s="12">
        <v>1</v>
      </c>
      <c r="GS135" s="12">
        <v>2</v>
      </c>
      <c r="GT135" s="12">
        <v>10</v>
      </c>
      <c r="GU135" s="12">
        <v>22</v>
      </c>
      <c r="GV135" s="12">
        <v>0</v>
      </c>
      <c r="GW135" s="12">
        <v>0</v>
      </c>
    </row>
    <row r="136" spans="2:205" ht="15" customHeight="1" x14ac:dyDescent="0.2">
      <c r="B136" s="12">
        <v>8</v>
      </c>
      <c r="C136" s="12" t="s">
        <v>264</v>
      </c>
      <c r="D136" s="12" t="s">
        <v>290</v>
      </c>
      <c r="E136" s="14" t="s">
        <v>266</v>
      </c>
      <c r="F136" s="14" t="s">
        <v>292</v>
      </c>
      <c r="G136" s="15">
        <v>45244</v>
      </c>
      <c r="H136" s="15" t="s">
        <v>268</v>
      </c>
      <c r="I136" s="12" t="s">
        <v>269</v>
      </c>
      <c r="J136" s="12" t="s">
        <v>270</v>
      </c>
      <c r="K136" s="12">
        <v>200</v>
      </c>
      <c r="L136" s="12">
        <v>56</v>
      </c>
      <c r="M136" s="12">
        <v>15</v>
      </c>
      <c r="N136" s="12">
        <v>33</v>
      </c>
      <c r="O136" s="16">
        <v>0.45454545454545453</v>
      </c>
      <c r="P136" s="12">
        <v>8</v>
      </c>
      <c r="Q136" s="12">
        <v>24</v>
      </c>
      <c r="R136" s="16">
        <v>0.33333333333333331</v>
      </c>
      <c r="S136" s="12">
        <v>23</v>
      </c>
      <c r="T136" s="12">
        <v>57</v>
      </c>
      <c r="U136" s="16">
        <v>0.40350877192982454</v>
      </c>
      <c r="V136" s="12">
        <v>2</v>
      </c>
      <c r="W136" s="12">
        <v>4</v>
      </c>
      <c r="X136" s="16">
        <v>0.5</v>
      </c>
      <c r="Y136" s="12">
        <v>6</v>
      </c>
      <c r="Z136" s="12">
        <v>19</v>
      </c>
      <c r="AA136" s="12">
        <v>25</v>
      </c>
      <c r="AB136" s="12">
        <v>13</v>
      </c>
      <c r="AC136" s="12">
        <v>12</v>
      </c>
      <c r="AD136" s="12">
        <v>2</v>
      </c>
      <c r="AE136" s="12">
        <v>6</v>
      </c>
      <c r="AF136" s="12">
        <v>0</v>
      </c>
      <c r="AG136" s="12">
        <v>17</v>
      </c>
      <c r="AH136" s="12">
        <v>15</v>
      </c>
      <c r="AI136" s="17">
        <v>52</v>
      </c>
      <c r="AJ136" s="12">
        <v>-31</v>
      </c>
      <c r="AK136" s="12">
        <v>65</v>
      </c>
      <c r="AL136" s="12">
        <v>71</v>
      </c>
      <c r="AM136" s="19">
        <v>0.78873239436619713</v>
      </c>
      <c r="AN136" s="19">
        <v>1.1153846153846154</v>
      </c>
      <c r="AO136" s="18">
        <v>86.15384615384616</v>
      </c>
      <c r="AP136" s="18">
        <v>133.84615384615384</v>
      </c>
      <c r="AQ136" s="18">
        <v>-47.692307692307679</v>
      </c>
      <c r="AR136" s="53">
        <v>0.47368421052631576</v>
      </c>
      <c r="AS136" s="53">
        <v>0.47457627118644069</v>
      </c>
      <c r="AT136" s="16">
        <v>4.2253521126760563E-2</v>
      </c>
      <c r="AU136" s="19">
        <v>1.3333333333333333</v>
      </c>
      <c r="AV136" s="16">
        <v>0.352112676056338</v>
      </c>
      <c r="AW136" s="19">
        <v>0.8</v>
      </c>
      <c r="AX136" s="16">
        <v>7.0422535211267609E-2</v>
      </c>
      <c r="AY136" s="19">
        <v>1.2</v>
      </c>
      <c r="AZ136" s="16">
        <v>1.4084507042253521E-2</v>
      </c>
      <c r="BA136" s="19">
        <v>3</v>
      </c>
      <c r="BB136" s="16">
        <v>0.323943661971831</v>
      </c>
      <c r="BC136" s="21">
        <v>0.91304347826086951</v>
      </c>
      <c r="BD136" s="16">
        <v>2.8169014084507043E-2</v>
      </c>
      <c r="BE136" s="16">
        <v>0.16901408450704225</v>
      </c>
      <c r="BF136" s="16">
        <v>0.54166666666666663</v>
      </c>
      <c r="BG136" s="16">
        <v>0.46666666666666667</v>
      </c>
      <c r="BH136" s="16">
        <v>0.75</v>
      </c>
      <c r="BI136" s="16">
        <v>0</v>
      </c>
      <c r="BJ136" s="16">
        <v>0.18309859154929578</v>
      </c>
      <c r="BK136" s="21">
        <v>1.0833333333333333</v>
      </c>
      <c r="BL136" s="16">
        <v>0.17142857142857143</v>
      </c>
      <c r="BM136" s="16">
        <v>0.26315789473684209</v>
      </c>
      <c r="BN136" s="16">
        <v>0.1111111111111111</v>
      </c>
      <c r="BO136" s="16">
        <v>0</v>
      </c>
      <c r="BP136" s="16">
        <v>0.61290322580645162</v>
      </c>
      <c r="BQ136" s="16">
        <v>0.55555555555555558</v>
      </c>
      <c r="BR136" s="16">
        <v>0.53333333333333333</v>
      </c>
      <c r="BS136" s="16">
        <v>1</v>
      </c>
      <c r="BT136" s="16">
        <v>0.37878787878787878</v>
      </c>
      <c r="BU136" s="16">
        <v>3.0769230769230771E-2</v>
      </c>
      <c r="BV136" s="16">
        <v>9.375E-2</v>
      </c>
      <c r="BW136" s="16">
        <v>4</v>
      </c>
      <c r="BX136" s="16">
        <v>0.29411764705882354</v>
      </c>
      <c r="BY136" s="16">
        <v>0.13333333333333333</v>
      </c>
      <c r="BZ136" s="12">
        <v>7</v>
      </c>
      <c r="CA136" s="12">
        <v>6</v>
      </c>
      <c r="CB136" s="12">
        <v>0</v>
      </c>
      <c r="CC136" s="12">
        <v>0</v>
      </c>
      <c r="CD136" s="12">
        <v>0</v>
      </c>
      <c r="CE136" s="12">
        <v>0</v>
      </c>
      <c r="CF136" s="12">
        <v>3</v>
      </c>
      <c r="CG136" s="12">
        <v>0</v>
      </c>
      <c r="CH136" s="12">
        <v>1</v>
      </c>
      <c r="CI136" s="12">
        <v>1</v>
      </c>
      <c r="CJ136" s="12">
        <v>0</v>
      </c>
      <c r="CK136" s="12">
        <v>0</v>
      </c>
      <c r="CL136" s="12">
        <v>2</v>
      </c>
      <c r="CM136" s="12">
        <v>0</v>
      </c>
      <c r="CN136" s="12">
        <v>0</v>
      </c>
      <c r="CO136" s="12">
        <v>0</v>
      </c>
      <c r="CP136" s="12">
        <v>2</v>
      </c>
      <c r="CQ136" s="12">
        <v>0</v>
      </c>
      <c r="CR136" s="12">
        <v>7</v>
      </c>
      <c r="CS136" s="12">
        <v>0</v>
      </c>
      <c r="CT136" s="12">
        <v>1</v>
      </c>
      <c r="CU136" s="12">
        <v>0</v>
      </c>
      <c r="CV136" s="12">
        <v>1</v>
      </c>
      <c r="CW136" s="12">
        <v>0</v>
      </c>
      <c r="CX136" s="12">
        <v>7</v>
      </c>
      <c r="CY136" s="12">
        <v>0</v>
      </c>
      <c r="CZ136" s="12">
        <v>1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2</v>
      </c>
      <c r="DG136" s="12">
        <v>4</v>
      </c>
      <c r="DH136" s="12">
        <v>1</v>
      </c>
      <c r="DI136" s="12">
        <v>0</v>
      </c>
      <c r="DJ136" s="12">
        <v>0</v>
      </c>
      <c r="DK136" s="12">
        <v>0</v>
      </c>
      <c r="DL136" s="12">
        <v>2</v>
      </c>
      <c r="DM136" s="12">
        <v>3</v>
      </c>
      <c r="DN136" s="12">
        <v>10</v>
      </c>
      <c r="DO136" s="12">
        <v>25</v>
      </c>
      <c r="DP136" s="12">
        <v>3</v>
      </c>
      <c r="DQ136" s="12">
        <v>5</v>
      </c>
      <c r="DR136" s="12">
        <v>1</v>
      </c>
      <c r="DS136" s="12">
        <v>1</v>
      </c>
      <c r="DT136" s="12">
        <v>7</v>
      </c>
      <c r="DU136" s="12">
        <v>23</v>
      </c>
      <c r="DV136" s="12">
        <v>0</v>
      </c>
      <c r="DW136" s="12">
        <v>0</v>
      </c>
      <c r="DX136" s="12">
        <v>87</v>
      </c>
      <c r="DY136" s="12">
        <v>20</v>
      </c>
      <c r="DZ136" s="12">
        <v>37</v>
      </c>
      <c r="EA136" s="16">
        <v>0.54054054054054057</v>
      </c>
      <c r="EB136" s="12">
        <v>13</v>
      </c>
      <c r="EC136" s="12">
        <v>27</v>
      </c>
      <c r="ED136" s="16">
        <v>0.48148148148148145</v>
      </c>
      <c r="EE136" s="12">
        <v>33</v>
      </c>
      <c r="EF136" s="12">
        <v>64</v>
      </c>
      <c r="EG136" s="16">
        <v>0.515625</v>
      </c>
      <c r="EH136" s="12">
        <v>8</v>
      </c>
      <c r="EI136" s="12">
        <v>9</v>
      </c>
      <c r="EJ136" s="16">
        <v>0.88888888888888884</v>
      </c>
      <c r="EK136" s="12">
        <v>12</v>
      </c>
      <c r="EL136" s="12">
        <v>29</v>
      </c>
      <c r="EM136" s="12">
        <v>41</v>
      </c>
      <c r="EN136" s="12">
        <v>18</v>
      </c>
      <c r="EO136" s="12">
        <v>15</v>
      </c>
      <c r="EP136" s="12">
        <v>17</v>
      </c>
      <c r="EQ136" s="12">
        <v>8</v>
      </c>
      <c r="ER136" s="12">
        <v>10</v>
      </c>
      <c r="ES136" s="12">
        <v>0</v>
      </c>
      <c r="ET136" s="12">
        <v>6</v>
      </c>
      <c r="EU136" s="12">
        <v>108</v>
      </c>
      <c r="EV136" s="12">
        <v>31</v>
      </c>
      <c r="EW136" s="12">
        <v>65</v>
      </c>
      <c r="EX136" s="12">
        <v>78</v>
      </c>
      <c r="EY136" s="12">
        <v>6</v>
      </c>
      <c r="EZ136" s="12">
        <v>10</v>
      </c>
      <c r="FA136" s="12">
        <v>6</v>
      </c>
      <c r="FB136" s="12">
        <v>2</v>
      </c>
      <c r="FC136" s="12">
        <v>4</v>
      </c>
      <c r="FD136" s="12">
        <v>1</v>
      </c>
      <c r="FE136" s="12">
        <v>0</v>
      </c>
      <c r="FF136" s="12">
        <v>4</v>
      </c>
      <c r="FG136" s="12">
        <v>2</v>
      </c>
      <c r="FH136" s="12">
        <v>1</v>
      </c>
      <c r="FI136" s="12">
        <v>0</v>
      </c>
      <c r="FJ136" s="12">
        <v>0</v>
      </c>
      <c r="FK136" s="12">
        <v>0</v>
      </c>
      <c r="FL136" s="12">
        <v>6</v>
      </c>
      <c r="FM136" s="12">
        <v>1</v>
      </c>
      <c r="FN136" s="12">
        <v>0</v>
      </c>
      <c r="FO136" s="12">
        <v>0</v>
      </c>
      <c r="FP136" s="12">
        <v>1</v>
      </c>
      <c r="FQ136" s="12">
        <v>0</v>
      </c>
      <c r="FR136" s="12">
        <v>12</v>
      </c>
      <c r="FS136" s="12">
        <v>0</v>
      </c>
      <c r="FT136" s="12">
        <v>1</v>
      </c>
      <c r="FU136" s="12">
        <v>0</v>
      </c>
      <c r="FV136" s="12">
        <v>0</v>
      </c>
      <c r="FW136" s="12">
        <v>0</v>
      </c>
      <c r="FX136" s="12">
        <v>14</v>
      </c>
      <c r="FY136" s="12">
        <v>2</v>
      </c>
      <c r="FZ136" s="12">
        <v>1</v>
      </c>
      <c r="GA136" s="12">
        <v>0</v>
      </c>
      <c r="GB136" s="12">
        <v>0</v>
      </c>
      <c r="GC136" s="12">
        <v>0</v>
      </c>
      <c r="GD136" s="12">
        <v>0</v>
      </c>
      <c r="GE136" s="12">
        <v>1</v>
      </c>
      <c r="GF136" s="12">
        <v>8</v>
      </c>
      <c r="GG136" s="12">
        <v>8</v>
      </c>
      <c r="GH136" s="12">
        <v>0</v>
      </c>
      <c r="GI136" s="12">
        <v>0</v>
      </c>
      <c r="GJ136" s="12">
        <v>0</v>
      </c>
      <c r="GK136" s="12">
        <v>0</v>
      </c>
      <c r="GL136" s="12">
        <v>8</v>
      </c>
      <c r="GM136" s="12">
        <v>11</v>
      </c>
      <c r="GN136" s="12">
        <v>12</v>
      </c>
      <c r="GO136" s="12">
        <v>23</v>
      </c>
      <c r="GP136" s="12">
        <v>0</v>
      </c>
      <c r="GQ136" s="12">
        <v>3</v>
      </c>
      <c r="GR136" s="12">
        <v>0</v>
      </c>
      <c r="GS136" s="12">
        <v>1</v>
      </c>
      <c r="GT136" s="12">
        <v>13</v>
      </c>
      <c r="GU136" s="12">
        <v>26</v>
      </c>
      <c r="GV136" s="12">
        <v>0</v>
      </c>
      <c r="GW136" s="12">
        <v>0</v>
      </c>
    </row>
    <row r="137" spans="2:205" ht="15" customHeight="1" x14ac:dyDescent="0.2">
      <c r="B137" s="12">
        <v>8</v>
      </c>
      <c r="C137" s="12" t="s">
        <v>290</v>
      </c>
      <c r="D137" s="12" t="s">
        <v>264</v>
      </c>
      <c r="E137" s="14" t="s">
        <v>292</v>
      </c>
      <c r="F137" s="14" t="s">
        <v>266</v>
      </c>
      <c r="G137" s="15">
        <v>45244</v>
      </c>
      <c r="H137" s="15" t="s">
        <v>271</v>
      </c>
      <c r="I137" s="12" t="s">
        <v>269</v>
      </c>
      <c r="J137" s="12" t="s">
        <v>272</v>
      </c>
      <c r="K137" s="12">
        <v>200</v>
      </c>
      <c r="L137" s="12">
        <v>87</v>
      </c>
      <c r="M137" s="12">
        <v>20</v>
      </c>
      <c r="N137" s="12">
        <v>37</v>
      </c>
      <c r="O137" s="16">
        <v>0.54054054054054057</v>
      </c>
      <c r="P137" s="12">
        <v>13</v>
      </c>
      <c r="Q137" s="12">
        <v>27</v>
      </c>
      <c r="R137" s="16">
        <v>0.48148148148148145</v>
      </c>
      <c r="S137" s="12">
        <v>33</v>
      </c>
      <c r="T137" s="12">
        <v>64</v>
      </c>
      <c r="U137" s="16">
        <v>0.515625</v>
      </c>
      <c r="V137" s="12">
        <v>8</v>
      </c>
      <c r="W137" s="12">
        <v>9</v>
      </c>
      <c r="X137" s="16">
        <v>0.88888888888888884</v>
      </c>
      <c r="Y137" s="12">
        <v>12</v>
      </c>
      <c r="Z137" s="12">
        <v>29</v>
      </c>
      <c r="AA137" s="12">
        <v>41</v>
      </c>
      <c r="AB137" s="12">
        <v>18</v>
      </c>
      <c r="AC137" s="12">
        <v>10</v>
      </c>
      <c r="AD137" s="12">
        <v>8</v>
      </c>
      <c r="AE137" s="12">
        <v>0</v>
      </c>
      <c r="AF137" s="12">
        <v>6</v>
      </c>
      <c r="AG137" s="12">
        <v>15</v>
      </c>
      <c r="AH137" s="12">
        <v>17</v>
      </c>
      <c r="AI137" s="17">
        <v>108</v>
      </c>
      <c r="AJ137" s="12">
        <v>31</v>
      </c>
      <c r="AK137" s="12">
        <v>65</v>
      </c>
      <c r="AL137" s="12">
        <v>78</v>
      </c>
      <c r="AM137" s="19">
        <v>1.1153846153846154</v>
      </c>
      <c r="AN137" s="19">
        <v>0.78873239436619713</v>
      </c>
      <c r="AO137" s="18">
        <v>133.84615384615384</v>
      </c>
      <c r="AP137" s="18">
        <v>86.15384615384616</v>
      </c>
      <c r="AQ137" s="18">
        <v>47.692307692307679</v>
      </c>
      <c r="AR137" s="53">
        <v>0.6171875</v>
      </c>
      <c r="AS137" s="53">
        <v>0.63970588235294112</v>
      </c>
      <c r="AT137" s="16">
        <v>0.14102564102564102</v>
      </c>
      <c r="AU137" s="19">
        <v>1.4545454545454546</v>
      </c>
      <c r="AV137" s="16">
        <v>0.29487179487179488</v>
      </c>
      <c r="AW137" s="19">
        <v>1.0434782608695652</v>
      </c>
      <c r="AX137" s="16">
        <v>3.8461538461538464E-2</v>
      </c>
      <c r="AY137" s="19">
        <v>0</v>
      </c>
      <c r="AZ137" s="16">
        <v>1.282051282051282E-2</v>
      </c>
      <c r="BA137" s="19">
        <v>0</v>
      </c>
      <c r="BB137" s="16">
        <v>0.33333333333333331</v>
      </c>
      <c r="BC137" s="21">
        <v>1.5</v>
      </c>
      <c r="BD137" s="16">
        <v>5.128205128205128E-2</v>
      </c>
      <c r="BE137" s="16">
        <v>0.12987012987012986</v>
      </c>
      <c r="BF137" s="16">
        <v>0.48648648648648651</v>
      </c>
      <c r="BG137" s="16">
        <v>0.5</v>
      </c>
      <c r="BH137" s="16">
        <v>0.46153846153846156</v>
      </c>
      <c r="BI137" s="16">
        <v>0.5</v>
      </c>
      <c r="BJ137" s="16">
        <v>0.23376623376623376</v>
      </c>
      <c r="BK137" s="21">
        <v>1.8</v>
      </c>
      <c r="BL137" s="16">
        <v>0.38709677419354838</v>
      </c>
      <c r="BM137" s="16">
        <v>0.44444444444444442</v>
      </c>
      <c r="BN137" s="16">
        <v>0.46666666666666667</v>
      </c>
      <c r="BO137" s="16">
        <v>0</v>
      </c>
      <c r="BP137" s="16">
        <v>0.82857142857142863</v>
      </c>
      <c r="BQ137" s="16">
        <v>0.73684210526315785</v>
      </c>
      <c r="BR137" s="16">
        <v>0.88888888888888884</v>
      </c>
      <c r="BS137" s="16">
        <v>1</v>
      </c>
      <c r="BT137" s="16">
        <v>0.62121212121212122</v>
      </c>
      <c r="BU137" s="16">
        <v>0.12307692307692308</v>
      </c>
      <c r="BV137" s="16">
        <v>0</v>
      </c>
      <c r="BW137" s="16">
        <v>6</v>
      </c>
      <c r="BX137" s="16">
        <v>0.13333333333333333</v>
      </c>
      <c r="BY137" s="16">
        <v>0.29411764705882354</v>
      </c>
      <c r="BZ137" s="12">
        <v>10</v>
      </c>
      <c r="CA137" s="12">
        <v>6</v>
      </c>
      <c r="CB137" s="12">
        <v>2</v>
      </c>
      <c r="CC137" s="12">
        <v>4</v>
      </c>
      <c r="CD137" s="12">
        <v>1</v>
      </c>
      <c r="CE137" s="12">
        <v>0</v>
      </c>
      <c r="CF137" s="12">
        <v>4</v>
      </c>
      <c r="CG137" s="12">
        <v>2</v>
      </c>
      <c r="CH137" s="12">
        <v>1</v>
      </c>
      <c r="CI137" s="12">
        <v>0</v>
      </c>
      <c r="CJ137" s="12">
        <v>0</v>
      </c>
      <c r="CK137" s="12">
        <v>0</v>
      </c>
      <c r="CL137" s="12">
        <v>6</v>
      </c>
      <c r="CM137" s="12">
        <v>1</v>
      </c>
      <c r="CN137" s="12">
        <v>0</v>
      </c>
      <c r="CO137" s="12">
        <v>0</v>
      </c>
      <c r="CP137" s="12">
        <v>1</v>
      </c>
      <c r="CQ137" s="12">
        <v>0</v>
      </c>
      <c r="CR137" s="12">
        <v>12</v>
      </c>
      <c r="CS137" s="12">
        <v>0</v>
      </c>
      <c r="CT137" s="12">
        <v>1</v>
      </c>
      <c r="CU137" s="12">
        <v>0</v>
      </c>
      <c r="CV137" s="12">
        <v>0</v>
      </c>
      <c r="CW137" s="12">
        <v>0</v>
      </c>
      <c r="CX137" s="12">
        <v>14</v>
      </c>
      <c r="CY137" s="12">
        <v>2</v>
      </c>
      <c r="CZ137" s="12">
        <v>1</v>
      </c>
      <c r="DA137" s="12">
        <v>0</v>
      </c>
      <c r="DB137" s="12">
        <v>0</v>
      </c>
      <c r="DC137" s="12">
        <v>0</v>
      </c>
      <c r="DD137" s="12">
        <v>0</v>
      </c>
      <c r="DE137" s="12">
        <v>1</v>
      </c>
      <c r="DF137" s="12">
        <v>8</v>
      </c>
      <c r="DG137" s="12">
        <v>8</v>
      </c>
      <c r="DH137" s="12">
        <v>0</v>
      </c>
      <c r="DI137" s="12">
        <v>0</v>
      </c>
      <c r="DJ137" s="12">
        <v>0</v>
      </c>
      <c r="DK137" s="12">
        <v>0</v>
      </c>
      <c r="DL137" s="12">
        <v>8</v>
      </c>
      <c r="DM137" s="12">
        <v>11</v>
      </c>
      <c r="DN137" s="12">
        <v>12</v>
      </c>
      <c r="DO137" s="12">
        <v>23</v>
      </c>
      <c r="DP137" s="12">
        <v>0</v>
      </c>
      <c r="DQ137" s="12">
        <v>3</v>
      </c>
      <c r="DR137" s="12">
        <v>0</v>
      </c>
      <c r="DS137" s="12">
        <v>1</v>
      </c>
      <c r="DT137" s="12">
        <v>13</v>
      </c>
      <c r="DU137" s="12">
        <v>26</v>
      </c>
      <c r="DV137" s="12">
        <v>0</v>
      </c>
      <c r="DW137" s="12">
        <v>0</v>
      </c>
      <c r="DX137" s="12">
        <v>56</v>
      </c>
      <c r="DY137" s="12">
        <v>15</v>
      </c>
      <c r="DZ137" s="12">
        <v>33</v>
      </c>
      <c r="EA137" s="16">
        <v>0.45454545454545453</v>
      </c>
      <c r="EB137" s="12">
        <v>8</v>
      </c>
      <c r="EC137" s="12">
        <v>24</v>
      </c>
      <c r="ED137" s="16">
        <v>0.33333333333333331</v>
      </c>
      <c r="EE137" s="12">
        <v>23</v>
      </c>
      <c r="EF137" s="12">
        <v>57</v>
      </c>
      <c r="EG137" s="16">
        <v>0.40350877192982454</v>
      </c>
      <c r="EH137" s="12">
        <v>2</v>
      </c>
      <c r="EI137" s="12">
        <v>4</v>
      </c>
      <c r="EJ137" s="16">
        <v>0.5</v>
      </c>
      <c r="EK137" s="12">
        <v>6</v>
      </c>
      <c r="EL137" s="12">
        <v>19</v>
      </c>
      <c r="EM137" s="12">
        <v>25</v>
      </c>
      <c r="EN137" s="12">
        <v>13</v>
      </c>
      <c r="EO137" s="12">
        <v>17</v>
      </c>
      <c r="EP137" s="12">
        <v>15</v>
      </c>
      <c r="EQ137" s="12">
        <v>2</v>
      </c>
      <c r="ER137" s="12">
        <v>12</v>
      </c>
      <c r="ES137" s="12">
        <v>6</v>
      </c>
      <c r="ET137" s="12">
        <v>0</v>
      </c>
      <c r="EU137" s="12">
        <v>52</v>
      </c>
      <c r="EV137" s="12">
        <v>-31</v>
      </c>
      <c r="EW137" s="12">
        <v>65</v>
      </c>
      <c r="EX137" s="12">
        <v>71</v>
      </c>
      <c r="EY137" s="12">
        <v>4</v>
      </c>
      <c r="EZ137" s="12">
        <v>7</v>
      </c>
      <c r="FA137" s="12">
        <v>6</v>
      </c>
      <c r="FB137" s="12">
        <v>0</v>
      </c>
      <c r="FC137" s="12">
        <v>0</v>
      </c>
      <c r="FD137" s="12">
        <v>0</v>
      </c>
      <c r="FE137" s="12">
        <v>0</v>
      </c>
      <c r="FF137" s="12">
        <v>3</v>
      </c>
      <c r="FG137" s="12">
        <v>0</v>
      </c>
      <c r="FH137" s="12">
        <v>1</v>
      </c>
      <c r="FI137" s="12">
        <v>1</v>
      </c>
      <c r="FJ137" s="12">
        <v>0</v>
      </c>
      <c r="FK137" s="12">
        <v>0</v>
      </c>
      <c r="FL137" s="12">
        <v>2</v>
      </c>
      <c r="FM137" s="12">
        <v>0</v>
      </c>
      <c r="FN137" s="12">
        <v>0</v>
      </c>
      <c r="FO137" s="12">
        <v>0</v>
      </c>
      <c r="FP137" s="12">
        <v>2</v>
      </c>
      <c r="FQ137" s="12">
        <v>0</v>
      </c>
      <c r="FR137" s="12">
        <v>7</v>
      </c>
      <c r="FS137" s="12">
        <v>0</v>
      </c>
      <c r="FT137" s="12">
        <v>1</v>
      </c>
      <c r="FU137" s="12">
        <v>0</v>
      </c>
      <c r="FV137" s="12">
        <v>1</v>
      </c>
      <c r="FW137" s="12">
        <v>0</v>
      </c>
      <c r="FX137" s="12">
        <v>7</v>
      </c>
      <c r="FY137" s="12">
        <v>0</v>
      </c>
      <c r="FZ137" s="12">
        <v>1</v>
      </c>
      <c r="GA137" s="12">
        <v>0</v>
      </c>
      <c r="GB137" s="12">
        <v>0</v>
      </c>
      <c r="GC137" s="12">
        <v>0</v>
      </c>
      <c r="GD137" s="12">
        <v>0</v>
      </c>
      <c r="GE137" s="12">
        <v>0</v>
      </c>
      <c r="GF137" s="12">
        <v>2</v>
      </c>
      <c r="GG137" s="12">
        <v>4</v>
      </c>
      <c r="GH137" s="12">
        <v>1</v>
      </c>
      <c r="GI137" s="12">
        <v>0</v>
      </c>
      <c r="GJ137" s="12">
        <v>0</v>
      </c>
      <c r="GK137" s="12">
        <v>0</v>
      </c>
      <c r="GL137" s="12">
        <v>2</v>
      </c>
      <c r="GM137" s="12">
        <v>3</v>
      </c>
      <c r="GN137" s="12">
        <v>10</v>
      </c>
      <c r="GO137" s="12">
        <v>25</v>
      </c>
      <c r="GP137" s="12">
        <v>3</v>
      </c>
      <c r="GQ137" s="12">
        <v>5</v>
      </c>
      <c r="GR137" s="12">
        <v>1</v>
      </c>
      <c r="GS137" s="12">
        <v>1</v>
      </c>
      <c r="GT137" s="12">
        <v>7</v>
      </c>
      <c r="GU137" s="12">
        <v>23</v>
      </c>
      <c r="GV137" s="12">
        <v>0</v>
      </c>
      <c r="GW137" s="12">
        <v>0</v>
      </c>
    </row>
    <row r="138" spans="2:205" ht="15" customHeight="1" x14ac:dyDescent="0.2">
      <c r="B138" s="12">
        <v>8</v>
      </c>
      <c r="C138" s="12" t="s">
        <v>281</v>
      </c>
      <c r="D138" s="12" t="s">
        <v>265</v>
      </c>
      <c r="E138" s="14" t="s">
        <v>283</v>
      </c>
      <c r="F138" s="14" t="s">
        <v>267</v>
      </c>
      <c r="G138" s="15">
        <v>45245</v>
      </c>
      <c r="H138" s="15" t="s">
        <v>268</v>
      </c>
      <c r="I138" s="12" t="s">
        <v>269</v>
      </c>
      <c r="J138" s="12" t="s">
        <v>272</v>
      </c>
      <c r="K138" s="12">
        <v>200</v>
      </c>
      <c r="L138" s="12">
        <v>73</v>
      </c>
      <c r="M138" s="12">
        <v>18</v>
      </c>
      <c r="N138" s="12">
        <v>42</v>
      </c>
      <c r="O138" s="16">
        <v>0.42857142857142855</v>
      </c>
      <c r="P138" s="12">
        <v>7</v>
      </c>
      <c r="Q138" s="12">
        <v>20</v>
      </c>
      <c r="R138" s="16">
        <v>0.35</v>
      </c>
      <c r="S138" s="12">
        <v>25</v>
      </c>
      <c r="T138" s="12">
        <v>62</v>
      </c>
      <c r="U138" s="16">
        <v>0.40322580645161288</v>
      </c>
      <c r="V138" s="12">
        <v>16</v>
      </c>
      <c r="W138" s="12">
        <v>24</v>
      </c>
      <c r="X138" s="16">
        <v>0.66666666666666663</v>
      </c>
      <c r="Y138" s="12">
        <v>12</v>
      </c>
      <c r="Z138" s="12">
        <v>29</v>
      </c>
      <c r="AA138" s="12">
        <v>41</v>
      </c>
      <c r="AB138" s="12">
        <v>12</v>
      </c>
      <c r="AC138" s="12">
        <v>16</v>
      </c>
      <c r="AD138" s="12">
        <v>8</v>
      </c>
      <c r="AE138" s="12">
        <v>1</v>
      </c>
      <c r="AF138" s="12">
        <v>2</v>
      </c>
      <c r="AG138" s="12">
        <v>16</v>
      </c>
      <c r="AH138" s="12">
        <v>23</v>
      </c>
      <c r="AI138" s="17">
        <v>79</v>
      </c>
      <c r="AJ138" s="12">
        <v>5</v>
      </c>
      <c r="AK138" s="12">
        <v>77</v>
      </c>
      <c r="AL138" s="12">
        <v>89</v>
      </c>
      <c r="AM138" s="19">
        <v>0.8202247191011236</v>
      </c>
      <c r="AN138" s="19">
        <v>0.73913043478260865</v>
      </c>
      <c r="AO138" s="18">
        <v>94.805194805194802</v>
      </c>
      <c r="AP138" s="18">
        <v>87.179487179487182</v>
      </c>
      <c r="AQ138" s="18">
        <v>7.6257076257076193</v>
      </c>
      <c r="AR138" s="53">
        <v>0.45967741935483869</v>
      </c>
      <c r="AS138" s="53">
        <v>0.5</v>
      </c>
      <c r="AT138" s="16">
        <v>0.20224719101123595</v>
      </c>
      <c r="AU138" s="19">
        <v>1.3333333333333333</v>
      </c>
      <c r="AV138" s="16">
        <v>0.23595505617977527</v>
      </c>
      <c r="AW138" s="19">
        <v>0.47619047619047616</v>
      </c>
      <c r="AX138" s="16">
        <v>3.3707865168539325E-2</v>
      </c>
      <c r="AY138" s="19">
        <v>0.66666666666666663</v>
      </c>
      <c r="AZ138" s="16">
        <v>4.49438202247191E-2</v>
      </c>
      <c r="BA138" s="19">
        <v>1.5</v>
      </c>
      <c r="BB138" s="16">
        <v>0.1797752808988764</v>
      </c>
      <c r="BC138" s="21">
        <v>0.9375</v>
      </c>
      <c r="BD138" s="16">
        <v>0.12359550561797752</v>
      </c>
      <c r="BE138" s="16">
        <v>0.1797752808988764</v>
      </c>
      <c r="BF138" s="16">
        <v>0.34285714285714286</v>
      </c>
      <c r="BG138" s="16">
        <v>0.3888888888888889</v>
      </c>
      <c r="BH138" s="16">
        <v>0.42857142857142855</v>
      </c>
      <c r="BI138" s="16">
        <v>0.2</v>
      </c>
      <c r="BJ138" s="16">
        <v>0.1348314606741573</v>
      </c>
      <c r="BK138" s="21">
        <v>0.75</v>
      </c>
      <c r="BL138" s="16">
        <v>0.32432432432432434</v>
      </c>
      <c r="BM138" s="16">
        <v>0.4</v>
      </c>
      <c r="BN138" s="16">
        <v>0.25</v>
      </c>
      <c r="BO138" s="16">
        <v>0</v>
      </c>
      <c r="BP138" s="16">
        <v>0.67441860465116277</v>
      </c>
      <c r="BQ138" s="16">
        <v>0.6470588235294118</v>
      </c>
      <c r="BR138" s="16">
        <v>0.66666666666666663</v>
      </c>
      <c r="BS138" s="16" t="s">
        <v>269</v>
      </c>
      <c r="BT138" s="16">
        <v>0.51249999999999996</v>
      </c>
      <c r="BU138" s="16">
        <v>0.10256410256410256</v>
      </c>
      <c r="BV138" s="16">
        <v>1.4492753623188406E-2</v>
      </c>
      <c r="BW138" s="16">
        <v>11</v>
      </c>
      <c r="BX138" s="16">
        <v>0.4375</v>
      </c>
      <c r="BY138" s="16">
        <v>0.52173913043478259</v>
      </c>
      <c r="BZ138" s="12">
        <v>7</v>
      </c>
      <c r="CA138" s="12">
        <v>3</v>
      </c>
      <c r="CB138" s="12">
        <v>2</v>
      </c>
      <c r="CC138" s="12">
        <v>4</v>
      </c>
      <c r="CD138" s="12">
        <v>3</v>
      </c>
      <c r="CE138" s="12">
        <v>1</v>
      </c>
      <c r="CF138" s="12">
        <v>5</v>
      </c>
      <c r="CG138" s="12">
        <v>0</v>
      </c>
      <c r="CH138" s="12">
        <v>1</v>
      </c>
      <c r="CI138" s="12">
        <v>0</v>
      </c>
      <c r="CJ138" s="12">
        <v>0</v>
      </c>
      <c r="CK138" s="12">
        <v>0</v>
      </c>
      <c r="CL138" s="12">
        <v>3</v>
      </c>
      <c r="CM138" s="12">
        <v>0</v>
      </c>
      <c r="CN138" s="12">
        <v>0</v>
      </c>
      <c r="CO138" s="12">
        <v>0</v>
      </c>
      <c r="CP138" s="12">
        <v>1</v>
      </c>
      <c r="CQ138" s="12">
        <v>0</v>
      </c>
      <c r="CR138" s="12">
        <v>8</v>
      </c>
      <c r="CS138" s="12">
        <v>1</v>
      </c>
      <c r="CT138" s="12">
        <v>1</v>
      </c>
      <c r="CU138" s="12">
        <v>0</v>
      </c>
      <c r="CV138" s="12">
        <v>2</v>
      </c>
      <c r="CW138" s="12">
        <v>0</v>
      </c>
      <c r="CX138" s="12">
        <v>17</v>
      </c>
      <c r="CY138" s="12">
        <v>3</v>
      </c>
      <c r="CZ138" s="12">
        <v>0</v>
      </c>
      <c r="DA138" s="12">
        <v>0</v>
      </c>
      <c r="DB138" s="12">
        <v>1</v>
      </c>
      <c r="DC138" s="12">
        <v>1</v>
      </c>
      <c r="DD138" s="12">
        <v>1</v>
      </c>
      <c r="DE138" s="12">
        <v>1</v>
      </c>
      <c r="DF138" s="12">
        <v>14</v>
      </c>
      <c r="DG138" s="12">
        <v>22</v>
      </c>
      <c r="DH138" s="12">
        <v>1</v>
      </c>
      <c r="DI138" s="12">
        <v>0</v>
      </c>
      <c r="DJ138" s="12">
        <v>0</v>
      </c>
      <c r="DK138" s="12">
        <v>0</v>
      </c>
      <c r="DL138" s="12">
        <v>12</v>
      </c>
      <c r="DM138" s="12">
        <v>18</v>
      </c>
      <c r="DN138" s="12">
        <v>5</v>
      </c>
      <c r="DO138" s="12">
        <v>21</v>
      </c>
      <c r="DP138" s="12">
        <v>1</v>
      </c>
      <c r="DQ138" s="12">
        <v>3</v>
      </c>
      <c r="DR138" s="12">
        <v>2</v>
      </c>
      <c r="DS138" s="12">
        <v>4</v>
      </c>
      <c r="DT138" s="12">
        <v>5</v>
      </c>
      <c r="DU138" s="12">
        <v>16</v>
      </c>
      <c r="DV138" s="12">
        <v>0</v>
      </c>
      <c r="DW138" s="12">
        <v>0</v>
      </c>
      <c r="DX138" s="12">
        <v>68</v>
      </c>
      <c r="DY138" s="12">
        <v>17</v>
      </c>
      <c r="DZ138" s="12">
        <v>33</v>
      </c>
      <c r="EA138" s="16">
        <v>0.51515151515151514</v>
      </c>
      <c r="EB138" s="12">
        <v>7</v>
      </c>
      <c r="EC138" s="12">
        <v>36</v>
      </c>
      <c r="ED138" s="16">
        <v>0.19444444444444445</v>
      </c>
      <c r="EE138" s="12">
        <v>24</v>
      </c>
      <c r="EF138" s="12">
        <v>69</v>
      </c>
      <c r="EG138" s="16">
        <v>0.34782608695652173</v>
      </c>
      <c r="EH138" s="12">
        <v>13</v>
      </c>
      <c r="EI138" s="12">
        <v>14</v>
      </c>
      <c r="EJ138" s="16">
        <v>0.9285714285714286</v>
      </c>
      <c r="EK138" s="12">
        <v>14</v>
      </c>
      <c r="EL138" s="12">
        <v>25</v>
      </c>
      <c r="EM138" s="12">
        <v>39</v>
      </c>
      <c r="EN138" s="12">
        <v>15</v>
      </c>
      <c r="EO138" s="12">
        <v>24</v>
      </c>
      <c r="EP138" s="12">
        <v>16</v>
      </c>
      <c r="EQ138" s="12">
        <v>11</v>
      </c>
      <c r="ER138" s="12">
        <v>17</v>
      </c>
      <c r="ES138" s="12">
        <v>2</v>
      </c>
      <c r="ET138" s="12">
        <v>1</v>
      </c>
      <c r="EU138" s="12">
        <v>63</v>
      </c>
      <c r="EV138" s="12">
        <v>-5</v>
      </c>
      <c r="EW138" s="12">
        <v>78</v>
      </c>
      <c r="EX138" s="12">
        <v>92</v>
      </c>
      <c r="EY138" s="12">
        <v>8</v>
      </c>
      <c r="EZ138" s="12">
        <v>6</v>
      </c>
      <c r="FA138" s="12">
        <v>6</v>
      </c>
      <c r="FB138" s="12">
        <v>3</v>
      </c>
      <c r="FC138" s="12">
        <v>7</v>
      </c>
      <c r="FD138" s="12">
        <v>2</v>
      </c>
      <c r="FE138" s="12">
        <v>1</v>
      </c>
      <c r="FF138" s="12">
        <v>3</v>
      </c>
      <c r="FG138" s="12">
        <v>0</v>
      </c>
      <c r="FH138" s="12">
        <v>0</v>
      </c>
      <c r="FI138" s="12">
        <v>0</v>
      </c>
      <c r="FJ138" s="12">
        <v>1</v>
      </c>
      <c r="FK138" s="12">
        <v>0</v>
      </c>
      <c r="FL138" s="12">
        <v>8</v>
      </c>
      <c r="FM138" s="12">
        <v>2</v>
      </c>
      <c r="FN138" s="12">
        <v>0</v>
      </c>
      <c r="FO138" s="12">
        <v>0</v>
      </c>
      <c r="FP138" s="12">
        <v>3</v>
      </c>
      <c r="FQ138" s="12">
        <v>0</v>
      </c>
      <c r="FR138" s="12">
        <v>11</v>
      </c>
      <c r="FS138" s="12">
        <v>0</v>
      </c>
      <c r="FT138" s="12">
        <v>1</v>
      </c>
      <c r="FU138" s="12">
        <v>0</v>
      </c>
      <c r="FV138" s="12">
        <v>2</v>
      </c>
      <c r="FW138" s="12">
        <v>0</v>
      </c>
      <c r="FX138" s="12">
        <v>7</v>
      </c>
      <c r="FY138" s="12">
        <v>0</v>
      </c>
      <c r="FZ138" s="12">
        <v>1</v>
      </c>
      <c r="GA138" s="12">
        <v>0</v>
      </c>
      <c r="GB138" s="12">
        <v>0</v>
      </c>
      <c r="GC138" s="12">
        <v>0</v>
      </c>
      <c r="GD138" s="12">
        <v>1</v>
      </c>
      <c r="GE138" s="12">
        <v>1</v>
      </c>
      <c r="GF138" s="12">
        <v>10</v>
      </c>
      <c r="GG138" s="12">
        <v>10</v>
      </c>
      <c r="GH138" s="12">
        <v>0</v>
      </c>
      <c r="GI138" s="12">
        <v>2</v>
      </c>
      <c r="GJ138" s="12">
        <v>3</v>
      </c>
      <c r="GK138" s="12">
        <v>0</v>
      </c>
      <c r="GL138" s="12">
        <v>11</v>
      </c>
      <c r="GM138" s="12">
        <v>14</v>
      </c>
      <c r="GN138" s="12">
        <v>4</v>
      </c>
      <c r="GO138" s="12">
        <v>16</v>
      </c>
      <c r="GP138" s="12">
        <v>2</v>
      </c>
      <c r="GQ138" s="12">
        <v>3</v>
      </c>
      <c r="GR138" s="12">
        <v>1</v>
      </c>
      <c r="GS138" s="12">
        <v>4</v>
      </c>
      <c r="GT138" s="12">
        <v>6</v>
      </c>
      <c r="GU138" s="12">
        <v>31</v>
      </c>
      <c r="GV138" s="12">
        <v>0</v>
      </c>
      <c r="GW138" s="12">
        <v>1</v>
      </c>
    </row>
    <row r="139" spans="2:205" ht="15" customHeight="1" x14ac:dyDescent="0.2">
      <c r="B139" s="12">
        <v>8</v>
      </c>
      <c r="C139" s="12" t="s">
        <v>265</v>
      </c>
      <c r="D139" s="12" t="s">
        <v>281</v>
      </c>
      <c r="E139" s="14" t="s">
        <v>267</v>
      </c>
      <c r="F139" s="14" t="s">
        <v>283</v>
      </c>
      <c r="G139" s="15">
        <v>45245</v>
      </c>
      <c r="H139" s="15" t="s">
        <v>271</v>
      </c>
      <c r="I139" s="12" t="s">
        <v>269</v>
      </c>
      <c r="J139" s="12" t="s">
        <v>270</v>
      </c>
      <c r="K139" s="12">
        <v>200</v>
      </c>
      <c r="L139" s="12">
        <v>68</v>
      </c>
      <c r="M139" s="12">
        <v>17</v>
      </c>
      <c r="N139" s="12">
        <v>33</v>
      </c>
      <c r="O139" s="16">
        <v>0.51515151515151514</v>
      </c>
      <c r="P139" s="12">
        <v>7</v>
      </c>
      <c r="Q139" s="12">
        <v>36</v>
      </c>
      <c r="R139" s="16">
        <v>0.19444444444444445</v>
      </c>
      <c r="S139" s="12">
        <v>24</v>
      </c>
      <c r="T139" s="12">
        <v>69</v>
      </c>
      <c r="U139" s="16">
        <v>0.34782608695652173</v>
      </c>
      <c r="V139" s="12">
        <v>13</v>
      </c>
      <c r="W139" s="12">
        <v>14</v>
      </c>
      <c r="X139" s="16">
        <v>0.9285714285714286</v>
      </c>
      <c r="Y139" s="12">
        <v>14</v>
      </c>
      <c r="Z139" s="12">
        <v>25</v>
      </c>
      <c r="AA139" s="12">
        <v>39</v>
      </c>
      <c r="AB139" s="12">
        <v>15</v>
      </c>
      <c r="AC139" s="12">
        <v>17</v>
      </c>
      <c r="AD139" s="12">
        <v>11</v>
      </c>
      <c r="AE139" s="12">
        <v>2</v>
      </c>
      <c r="AF139" s="12">
        <v>1</v>
      </c>
      <c r="AG139" s="12">
        <v>24</v>
      </c>
      <c r="AH139" s="12">
        <v>16</v>
      </c>
      <c r="AI139" s="17">
        <v>63</v>
      </c>
      <c r="AJ139" s="12">
        <v>-5</v>
      </c>
      <c r="AK139" s="12">
        <v>78</v>
      </c>
      <c r="AL139" s="12">
        <v>92</v>
      </c>
      <c r="AM139" s="19">
        <v>0.73913043478260865</v>
      </c>
      <c r="AN139" s="19">
        <v>0.8202247191011236</v>
      </c>
      <c r="AO139" s="18">
        <v>87.179487179487182</v>
      </c>
      <c r="AP139" s="18">
        <v>94.805194805194802</v>
      </c>
      <c r="AQ139" s="18">
        <v>-7.6257076257076193</v>
      </c>
      <c r="AR139" s="53">
        <v>0.39855072463768115</v>
      </c>
      <c r="AS139" s="53">
        <v>0.45333333333333331</v>
      </c>
      <c r="AT139" s="16">
        <v>0.15217391304347827</v>
      </c>
      <c r="AU139" s="19">
        <v>1.5714285714285714</v>
      </c>
      <c r="AV139" s="16">
        <v>0.17391304347826086</v>
      </c>
      <c r="AW139" s="19">
        <v>0.5</v>
      </c>
      <c r="AX139" s="16">
        <v>3.2608695652173912E-2</v>
      </c>
      <c r="AY139" s="19">
        <v>1.3333333333333333</v>
      </c>
      <c r="AZ139" s="16">
        <v>4.3478260869565216E-2</v>
      </c>
      <c r="BA139" s="19">
        <v>0.75</v>
      </c>
      <c r="BB139" s="16">
        <v>0.33695652173913043</v>
      </c>
      <c r="BC139" s="21">
        <v>0.58064516129032262</v>
      </c>
      <c r="BD139" s="16">
        <v>6.5217391304347824E-2</v>
      </c>
      <c r="BE139" s="16">
        <v>0.18478260869565216</v>
      </c>
      <c r="BF139" s="16">
        <v>0.5</v>
      </c>
      <c r="BG139" s="16">
        <v>0.35294117647058826</v>
      </c>
      <c r="BH139" s="16">
        <v>0.8571428571428571</v>
      </c>
      <c r="BI139" s="16">
        <v>0.5</v>
      </c>
      <c r="BJ139" s="16">
        <v>0.16304347826086957</v>
      </c>
      <c r="BK139" s="21">
        <v>0.88235294117647056</v>
      </c>
      <c r="BL139" s="16">
        <v>0.32558139534883723</v>
      </c>
      <c r="BM139" s="16">
        <v>0.35294117647058826</v>
      </c>
      <c r="BN139" s="16">
        <v>0.33333333333333331</v>
      </c>
      <c r="BO139" s="16" t="s">
        <v>269</v>
      </c>
      <c r="BP139" s="16">
        <v>0.67567567567567566</v>
      </c>
      <c r="BQ139" s="16">
        <v>0.6</v>
      </c>
      <c r="BR139" s="16">
        <v>0.75</v>
      </c>
      <c r="BS139" s="16">
        <v>1</v>
      </c>
      <c r="BT139" s="16">
        <v>0.48749999999999999</v>
      </c>
      <c r="BU139" s="16">
        <v>0.14285714285714285</v>
      </c>
      <c r="BV139" s="16">
        <v>3.2258064516129031E-2</v>
      </c>
      <c r="BW139" s="16">
        <v>8</v>
      </c>
      <c r="BX139" s="16">
        <v>0.5</v>
      </c>
      <c r="BY139" s="16">
        <v>0.4375</v>
      </c>
      <c r="BZ139" s="12">
        <v>6</v>
      </c>
      <c r="CA139" s="12">
        <v>6</v>
      </c>
      <c r="CB139" s="12">
        <v>3</v>
      </c>
      <c r="CC139" s="12">
        <v>7</v>
      </c>
      <c r="CD139" s="12">
        <v>2</v>
      </c>
      <c r="CE139" s="12">
        <v>1</v>
      </c>
      <c r="CF139" s="12">
        <v>3</v>
      </c>
      <c r="CG139" s="12">
        <v>0</v>
      </c>
      <c r="CH139" s="12">
        <v>0</v>
      </c>
      <c r="CI139" s="12">
        <v>0</v>
      </c>
      <c r="CJ139" s="12">
        <v>1</v>
      </c>
      <c r="CK139" s="12">
        <v>0</v>
      </c>
      <c r="CL139" s="12">
        <v>8</v>
      </c>
      <c r="CM139" s="12">
        <v>2</v>
      </c>
      <c r="CN139" s="12">
        <v>0</v>
      </c>
      <c r="CO139" s="12">
        <v>0</v>
      </c>
      <c r="CP139" s="12">
        <v>3</v>
      </c>
      <c r="CQ139" s="12">
        <v>0</v>
      </c>
      <c r="CR139" s="12">
        <v>11</v>
      </c>
      <c r="CS139" s="12">
        <v>0</v>
      </c>
      <c r="CT139" s="12">
        <v>1</v>
      </c>
      <c r="CU139" s="12">
        <v>0</v>
      </c>
      <c r="CV139" s="12">
        <v>2</v>
      </c>
      <c r="CW139" s="12">
        <v>0</v>
      </c>
      <c r="CX139" s="12">
        <v>7</v>
      </c>
      <c r="CY139" s="12">
        <v>0</v>
      </c>
      <c r="CZ139" s="12">
        <v>1</v>
      </c>
      <c r="DA139" s="12">
        <v>0</v>
      </c>
      <c r="DB139" s="12">
        <v>0</v>
      </c>
      <c r="DC139" s="12">
        <v>0</v>
      </c>
      <c r="DD139" s="12">
        <v>1</v>
      </c>
      <c r="DE139" s="12">
        <v>1</v>
      </c>
      <c r="DF139" s="12">
        <v>10</v>
      </c>
      <c r="DG139" s="12">
        <v>10</v>
      </c>
      <c r="DH139" s="12">
        <v>0</v>
      </c>
      <c r="DI139" s="12">
        <v>2</v>
      </c>
      <c r="DJ139" s="12">
        <v>3</v>
      </c>
      <c r="DK139" s="12">
        <v>0</v>
      </c>
      <c r="DL139" s="12">
        <v>11</v>
      </c>
      <c r="DM139" s="12">
        <v>14</v>
      </c>
      <c r="DN139" s="12">
        <v>4</v>
      </c>
      <c r="DO139" s="12">
        <v>16</v>
      </c>
      <c r="DP139" s="12">
        <v>2</v>
      </c>
      <c r="DQ139" s="12">
        <v>3</v>
      </c>
      <c r="DR139" s="12">
        <v>1</v>
      </c>
      <c r="DS139" s="12">
        <v>4</v>
      </c>
      <c r="DT139" s="12">
        <v>6</v>
      </c>
      <c r="DU139" s="12">
        <v>31</v>
      </c>
      <c r="DV139" s="12">
        <v>0</v>
      </c>
      <c r="DW139" s="12">
        <v>1</v>
      </c>
      <c r="DX139" s="12">
        <v>73</v>
      </c>
      <c r="DY139" s="12">
        <v>18</v>
      </c>
      <c r="DZ139" s="12">
        <v>42</v>
      </c>
      <c r="EA139" s="16">
        <v>0.42857142857142855</v>
      </c>
      <c r="EB139" s="12">
        <v>7</v>
      </c>
      <c r="EC139" s="12">
        <v>20</v>
      </c>
      <c r="ED139" s="16">
        <v>0.35</v>
      </c>
      <c r="EE139" s="12">
        <v>25</v>
      </c>
      <c r="EF139" s="12">
        <v>62</v>
      </c>
      <c r="EG139" s="16">
        <v>0.40322580645161288</v>
      </c>
      <c r="EH139" s="12">
        <v>16</v>
      </c>
      <c r="EI139" s="12">
        <v>24</v>
      </c>
      <c r="EJ139" s="16">
        <v>0.66666666666666663</v>
      </c>
      <c r="EK139" s="12">
        <v>12</v>
      </c>
      <c r="EL139" s="12">
        <v>29</v>
      </c>
      <c r="EM139" s="12">
        <v>41</v>
      </c>
      <c r="EN139" s="12">
        <v>12</v>
      </c>
      <c r="EO139" s="12">
        <v>16</v>
      </c>
      <c r="EP139" s="12">
        <v>23</v>
      </c>
      <c r="EQ139" s="12">
        <v>8</v>
      </c>
      <c r="ER139" s="12">
        <v>16</v>
      </c>
      <c r="ES139" s="12">
        <v>1</v>
      </c>
      <c r="ET139" s="12">
        <v>2</v>
      </c>
      <c r="EU139" s="12">
        <v>79</v>
      </c>
      <c r="EV139" s="12">
        <v>5</v>
      </c>
      <c r="EW139" s="12">
        <v>77</v>
      </c>
      <c r="EX139" s="12">
        <v>89</v>
      </c>
      <c r="EY139" s="12">
        <v>11</v>
      </c>
      <c r="EZ139" s="12">
        <v>7</v>
      </c>
      <c r="FA139" s="12">
        <v>3</v>
      </c>
      <c r="FB139" s="12">
        <v>2</v>
      </c>
      <c r="FC139" s="12">
        <v>4</v>
      </c>
      <c r="FD139" s="12">
        <v>3</v>
      </c>
      <c r="FE139" s="12">
        <v>1</v>
      </c>
      <c r="FF139" s="12">
        <v>5</v>
      </c>
      <c r="FG139" s="12">
        <v>0</v>
      </c>
      <c r="FH139" s="12">
        <v>1</v>
      </c>
      <c r="FI139" s="12">
        <v>0</v>
      </c>
      <c r="FJ139" s="12">
        <v>0</v>
      </c>
      <c r="FK139" s="12">
        <v>0</v>
      </c>
      <c r="FL139" s="12">
        <v>3</v>
      </c>
      <c r="FM139" s="12">
        <v>0</v>
      </c>
      <c r="FN139" s="12">
        <v>0</v>
      </c>
      <c r="FO139" s="12">
        <v>0</v>
      </c>
      <c r="FP139" s="12">
        <v>1</v>
      </c>
      <c r="FQ139" s="12">
        <v>0</v>
      </c>
      <c r="FR139" s="12">
        <v>8</v>
      </c>
      <c r="FS139" s="12">
        <v>1</v>
      </c>
      <c r="FT139" s="12">
        <v>1</v>
      </c>
      <c r="FU139" s="12">
        <v>0</v>
      </c>
      <c r="FV139" s="12">
        <v>2</v>
      </c>
      <c r="FW139" s="12">
        <v>0</v>
      </c>
      <c r="FX139" s="12">
        <v>17</v>
      </c>
      <c r="FY139" s="12">
        <v>3</v>
      </c>
      <c r="FZ139" s="12">
        <v>0</v>
      </c>
      <c r="GA139" s="12">
        <v>0</v>
      </c>
      <c r="GB139" s="12">
        <v>1</v>
      </c>
      <c r="GC139" s="12">
        <v>1</v>
      </c>
      <c r="GD139" s="12">
        <v>1</v>
      </c>
      <c r="GE139" s="12">
        <v>1</v>
      </c>
      <c r="GF139" s="12">
        <v>14</v>
      </c>
      <c r="GG139" s="12">
        <v>22</v>
      </c>
      <c r="GH139" s="12">
        <v>1</v>
      </c>
      <c r="GI139" s="12">
        <v>0</v>
      </c>
      <c r="GJ139" s="12">
        <v>0</v>
      </c>
      <c r="GK139" s="12">
        <v>0</v>
      </c>
      <c r="GL139" s="12">
        <v>12</v>
      </c>
      <c r="GM139" s="12">
        <v>18</v>
      </c>
      <c r="GN139" s="12">
        <v>5</v>
      </c>
      <c r="GO139" s="12">
        <v>21</v>
      </c>
      <c r="GP139" s="12">
        <v>1</v>
      </c>
      <c r="GQ139" s="12">
        <v>3</v>
      </c>
      <c r="GR139" s="12">
        <v>2</v>
      </c>
      <c r="GS139" s="12">
        <v>4</v>
      </c>
      <c r="GT139" s="12">
        <v>5</v>
      </c>
      <c r="GU139" s="12">
        <v>16</v>
      </c>
      <c r="GV139" s="12">
        <v>0</v>
      </c>
      <c r="GW139" s="12">
        <v>0</v>
      </c>
    </row>
    <row r="140" spans="2:205" ht="15" customHeight="1" x14ac:dyDescent="0.2">
      <c r="B140" s="12">
        <v>8</v>
      </c>
      <c r="C140" s="12" t="s">
        <v>294</v>
      </c>
      <c r="D140" s="12" t="s">
        <v>286</v>
      </c>
      <c r="E140" s="14" t="s">
        <v>296</v>
      </c>
      <c r="F140" s="14" t="s">
        <v>288</v>
      </c>
      <c r="G140" s="15">
        <v>45245</v>
      </c>
      <c r="H140" s="15" t="s">
        <v>268</v>
      </c>
      <c r="I140" s="12" t="s">
        <v>269</v>
      </c>
      <c r="J140" s="12" t="s">
        <v>270</v>
      </c>
      <c r="K140" s="12">
        <v>200</v>
      </c>
      <c r="L140" s="12">
        <v>71</v>
      </c>
      <c r="M140" s="12">
        <v>15</v>
      </c>
      <c r="N140" s="12">
        <v>31</v>
      </c>
      <c r="O140" s="16">
        <v>0.4838709677419355</v>
      </c>
      <c r="P140" s="12">
        <v>10</v>
      </c>
      <c r="Q140" s="12">
        <v>20</v>
      </c>
      <c r="R140" s="16">
        <v>0.5</v>
      </c>
      <c r="S140" s="12">
        <v>25</v>
      </c>
      <c r="T140" s="12">
        <v>51</v>
      </c>
      <c r="U140" s="16">
        <v>0.49019607843137253</v>
      </c>
      <c r="V140" s="12">
        <v>11</v>
      </c>
      <c r="W140" s="12">
        <v>14</v>
      </c>
      <c r="X140" s="16">
        <v>0.7857142857142857</v>
      </c>
      <c r="Y140" s="12">
        <v>11</v>
      </c>
      <c r="Z140" s="12">
        <v>23</v>
      </c>
      <c r="AA140" s="12">
        <v>34</v>
      </c>
      <c r="AB140" s="12">
        <v>16</v>
      </c>
      <c r="AC140" s="12">
        <v>23</v>
      </c>
      <c r="AD140" s="12">
        <v>5</v>
      </c>
      <c r="AE140" s="12">
        <v>3</v>
      </c>
      <c r="AF140" s="12">
        <v>4</v>
      </c>
      <c r="AG140" s="12">
        <v>29</v>
      </c>
      <c r="AH140" s="12">
        <v>18</v>
      </c>
      <c r="AI140" s="17">
        <v>62</v>
      </c>
      <c r="AJ140" s="12">
        <v>-2</v>
      </c>
      <c r="AK140" s="12">
        <v>69</v>
      </c>
      <c r="AL140" s="12">
        <v>80</v>
      </c>
      <c r="AM140" s="19">
        <v>0.88749999999999996</v>
      </c>
      <c r="AN140" s="19">
        <v>0.9358974358974359</v>
      </c>
      <c r="AO140" s="18">
        <v>102.89855072463767</v>
      </c>
      <c r="AP140" s="18">
        <v>107.35294117647058</v>
      </c>
      <c r="AQ140" s="18">
        <v>-4.4543904518329072</v>
      </c>
      <c r="AR140" s="53">
        <v>0.58823529411764708</v>
      </c>
      <c r="AS140" s="53">
        <v>0.6228070175438597</v>
      </c>
      <c r="AT140" s="16">
        <v>0.13750000000000001</v>
      </c>
      <c r="AU140" s="19">
        <v>1.4545454545454546</v>
      </c>
      <c r="AV140" s="16">
        <v>0.2</v>
      </c>
      <c r="AW140" s="19">
        <v>0.75</v>
      </c>
      <c r="AX140" s="16">
        <v>0.05</v>
      </c>
      <c r="AY140" s="19">
        <v>0.5</v>
      </c>
      <c r="AZ140" s="16">
        <v>3.7499999999999999E-2</v>
      </c>
      <c r="BA140" s="19">
        <v>2</v>
      </c>
      <c r="BB140" s="16">
        <v>0.21249999999999999</v>
      </c>
      <c r="BC140" s="21">
        <v>1.411764705882353</v>
      </c>
      <c r="BD140" s="16">
        <v>7.4999999999999997E-2</v>
      </c>
      <c r="BE140" s="16">
        <v>0.28749999999999998</v>
      </c>
      <c r="BF140" s="16">
        <v>0.53333333333333333</v>
      </c>
      <c r="BG140" s="16">
        <v>0.46666666666666667</v>
      </c>
      <c r="BH140" s="16">
        <v>0.8</v>
      </c>
      <c r="BI140" s="16">
        <v>0.2</v>
      </c>
      <c r="BJ140" s="16">
        <v>0.2</v>
      </c>
      <c r="BK140" s="21">
        <v>0.69565217391304346</v>
      </c>
      <c r="BL140" s="16">
        <v>0.42307692307692307</v>
      </c>
      <c r="BM140" s="16">
        <v>0.3125</v>
      </c>
      <c r="BN140" s="16">
        <v>0.63636363636363635</v>
      </c>
      <c r="BO140" s="16">
        <v>0</v>
      </c>
      <c r="BP140" s="16">
        <v>0.69696969696969702</v>
      </c>
      <c r="BQ140" s="16">
        <v>0.46666666666666667</v>
      </c>
      <c r="BR140" s="16">
        <v>0.5</v>
      </c>
      <c r="BS140" s="16">
        <v>1</v>
      </c>
      <c r="BT140" s="16">
        <v>0.57627118644067798</v>
      </c>
      <c r="BU140" s="16">
        <v>7.3529411764705885E-2</v>
      </c>
      <c r="BV140" s="16">
        <v>6.25E-2</v>
      </c>
      <c r="BW140" s="16">
        <v>2</v>
      </c>
      <c r="BX140" s="16">
        <v>0.58620689655172409</v>
      </c>
      <c r="BY140" s="16">
        <v>0.3888888888888889</v>
      </c>
      <c r="BZ140" s="12">
        <v>7</v>
      </c>
      <c r="CA140" s="12">
        <v>8</v>
      </c>
      <c r="CB140" s="12">
        <v>1</v>
      </c>
      <c r="CC140" s="12">
        <v>2</v>
      </c>
      <c r="CD140" s="12">
        <v>0</v>
      </c>
      <c r="CE140" s="12">
        <v>0</v>
      </c>
      <c r="CF140" s="12">
        <v>4</v>
      </c>
      <c r="CG140" s="12">
        <v>0</v>
      </c>
      <c r="CH140" s="12">
        <v>1</v>
      </c>
      <c r="CI140" s="12">
        <v>0</v>
      </c>
      <c r="CJ140" s="12">
        <v>1</v>
      </c>
      <c r="CK140" s="12">
        <v>0</v>
      </c>
      <c r="CL140" s="12">
        <v>5</v>
      </c>
      <c r="CM140" s="12">
        <v>1</v>
      </c>
      <c r="CN140" s="12">
        <v>0</v>
      </c>
      <c r="CO140" s="12">
        <v>0</v>
      </c>
      <c r="CP140" s="12">
        <v>1</v>
      </c>
      <c r="CQ140" s="12">
        <v>0</v>
      </c>
      <c r="CR140" s="12">
        <v>4</v>
      </c>
      <c r="CS140" s="12">
        <v>0</v>
      </c>
      <c r="CT140" s="12">
        <v>2</v>
      </c>
      <c r="CU140" s="12">
        <v>0</v>
      </c>
      <c r="CV140" s="12">
        <v>1</v>
      </c>
      <c r="CW140" s="12">
        <v>0</v>
      </c>
      <c r="CX140" s="12">
        <v>6</v>
      </c>
      <c r="CY140" s="12">
        <v>0</v>
      </c>
      <c r="CZ140" s="12">
        <v>8</v>
      </c>
      <c r="DA140" s="12">
        <v>0</v>
      </c>
      <c r="DB140" s="12">
        <v>1</v>
      </c>
      <c r="DC140" s="12">
        <v>1</v>
      </c>
      <c r="DD140" s="12">
        <v>1</v>
      </c>
      <c r="DE140" s="12">
        <v>1</v>
      </c>
      <c r="DF140" s="12">
        <v>9</v>
      </c>
      <c r="DG140" s="12">
        <v>12</v>
      </c>
      <c r="DH140" s="12">
        <v>1</v>
      </c>
      <c r="DI140" s="12">
        <v>0</v>
      </c>
      <c r="DJ140" s="12">
        <v>0</v>
      </c>
      <c r="DK140" s="12">
        <v>0</v>
      </c>
      <c r="DL140" s="12">
        <v>8</v>
      </c>
      <c r="DM140" s="12">
        <v>11</v>
      </c>
      <c r="DN140" s="12">
        <v>6</v>
      </c>
      <c r="DO140" s="12">
        <v>16</v>
      </c>
      <c r="DP140" s="12">
        <v>1</v>
      </c>
      <c r="DQ140" s="12">
        <v>4</v>
      </c>
      <c r="DR140" s="12">
        <v>2</v>
      </c>
      <c r="DS140" s="12">
        <v>3</v>
      </c>
      <c r="DT140" s="12">
        <v>8</v>
      </c>
      <c r="DU140" s="12">
        <v>17</v>
      </c>
      <c r="DV140" s="12">
        <v>0</v>
      </c>
      <c r="DW140" s="12">
        <v>0</v>
      </c>
      <c r="DX140" s="12">
        <v>73</v>
      </c>
      <c r="DY140" s="12">
        <v>17</v>
      </c>
      <c r="DZ140" s="12">
        <v>29</v>
      </c>
      <c r="EA140" s="16">
        <v>0.58620689655172409</v>
      </c>
      <c r="EB140" s="12">
        <v>7</v>
      </c>
      <c r="EC140" s="12">
        <v>19</v>
      </c>
      <c r="ED140" s="16">
        <v>0.36842105263157893</v>
      </c>
      <c r="EE140" s="12">
        <v>24</v>
      </c>
      <c r="EF140" s="12">
        <v>48</v>
      </c>
      <c r="EG140" s="16">
        <v>0.5</v>
      </c>
      <c r="EH140" s="12">
        <v>18</v>
      </c>
      <c r="EI140" s="12">
        <v>31</v>
      </c>
      <c r="EJ140" s="16">
        <v>0.58064516129032262</v>
      </c>
      <c r="EK140" s="12">
        <v>10</v>
      </c>
      <c r="EL140" s="12">
        <v>15</v>
      </c>
      <c r="EM140" s="12">
        <v>25</v>
      </c>
      <c r="EN140" s="12">
        <v>14</v>
      </c>
      <c r="EO140" s="12">
        <v>19</v>
      </c>
      <c r="EP140" s="12">
        <v>29</v>
      </c>
      <c r="EQ140" s="12">
        <v>8</v>
      </c>
      <c r="ER140" s="12">
        <v>16</v>
      </c>
      <c r="ES140" s="12">
        <v>4</v>
      </c>
      <c r="ET140" s="12">
        <v>3</v>
      </c>
      <c r="EU140" s="12">
        <v>78</v>
      </c>
      <c r="EV140" s="12">
        <v>2</v>
      </c>
      <c r="EW140" s="12">
        <v>68</v>
      </c>
      <c r="EX140" s="12">
        <v>78</v>
      </c>
      <c r="EY140" s="12">
        <v>4</v>
      </c>
      <c r="EZ140" s="12">
        <v>7</v>
      </c>
      <c r="FA140" s="12">
        <v>7</v>
      </c>
      <c r="FB140" s="12">
        <v>0</v>
      </c>
      <c r="FC140" s="12">
        <v>0</v>
      </c>
      <c r="FD140" s="12">
        <v>1</v>
      </c>
      <c r="FE140" s="12">
        <v>1</v>
      </c>
      <c r="FF140" s="12">
        <v>4</v>
      </c>
      <c r="FG140" s="12">
        <v>2</v>
      </c>
      <c r="FH140" s="12">
        <v>0</v>
      </c>
      <c r="FI140" s="12">
        <v>0</v>
      </c>
      <c r="FJ140" s="12">
        <v>0</v>
      </c>
      <c r="FK140" s="12">
        <v>0</v>
      </c>
      <c r="FL140" s="12">
        <v>5</v>
      </c>
      <c r="FM140" s="12">
        <v>2</v>
      </c>
      <c r="FN140" s="12">
        <v>0</v>
      </c>
      <c r="FO140" s="12">
        <v>0</v>
      </c>
      <c r="FP140" s="12">
        <v>2</v>
      </c>
      <c r="FQ140" s="12">
        <v>0</v>
      </c>
      <c r="FR140" s="12">
        <v>6</v>
      </c>
      <c r="FS140" s="12">
        <v>1</v>
      </c>
      <c r="FT140" s="12">
        <v>2</v>
      </c>
      <c r="FU140" s="12">
        <v>0</v>
      </c>
      <c r="FV140" s="12">
        <v>0</v>
      </c>
      <c r="FW140" s="12">
        <v>0</v>
      </c>
      <c r="FX140" s="12">
        <v>4</v>
      </c>
      <c r="FY140" s="12">
        <v>0</v>
      </c>
      <c r="FZ140" s="12">
        <v>1</v>
      </c>
      <c r="GA140" s="12">
        <v>0</v>
      </c>
      <c r="GB140" s="12">
        <v>0</v>
      </c>
      <c r="GC140" s="12">
        <v>0</v>
      </c>
      <c r="GD140" s="12">
        <v>2</v>
      </c>
      <c r="GE140" s="12">
        <v>3</v>
      </c>
      <c r="GF140" s="12">
        <v>16</v>
      </c>
      <c r="GG140" s="12">
        <v>28</v>
      </c>
      <c r="GH140" s="12">
        <v>2</v>
      </c>
      <c r="GI140" s="12">
        <v>0</v>
      </c>
      <c r="GJ140" s="12">
        <v>0</v>
      </c>
      <c r="GK140" s="12">
        <v>0</v>
      </c>
      <c r="GL140" s="12">
        <v>9</v>
      </c>
      <c r="GM140" s="12">
        <v>11</v>
      </c>
      <c r="GN140" s="12">
        <v>7</v>
      </c>
      <c r="GO140" s="12">
        <v>15</v>
      </c>
      <c r="GP140" s="12">
        <v>1</v>
      </c>
      <c r="GQ140" s="12">
        <v>3</v>
      </c>
      <c r="GR140" s="12">
        <v>3</v>
      </c>
      <c r="GS140" s="12">
        <v>4</v>
      </c>
      <c r="GT140" s="12">
        <v>4</v>
      </c>
      <c r="GU140" s="12">
        <v>15</v>
      </c>
      <c r="GV140" s="12">
        <v>0</v>
      </c>
      <c r="GW140" s="12">
        <v>0</v>
      </c>
    </row>
    <row r="141" spans="2:205" ht="15" customHeight="1" x14ac:dyDescent="0.2">
      <c r="B141" s="12">
        <v>8</v>
      </c>
      <c r="C141" s="12" t="s">
        <v>286</v>
      </c>
      <c r="D141" s="12" t="s">
        <v>294</v>
      </c>
      <c r="E141" s="14" t="s">
        <v>288</v>
      </c>
      <c r="F141" s="14" t="s">
        <v>296</v>
      </c>
      <c r="G141" s="15">
        <v>45245</v>
      </c>
      <c r="H141" s="15" t="s">
        <v>271</v>
      </c>
      <c r="I141" s="12" t="s">
        <v>269</v>
      </c>
      <c r="J141" s="12" t="s">
        <v>272</v>
      </c>
      <c r="K141" s="12">
        <v>200</v>
      </c>
      <c r="L141" s="12">
        <v>73</v>
      </c>
      <c r="M141" s="12">
        <v>17</v>
      </c>
      <c r="N141" s="12">
        <v>29</v>
      </c>
      <c r="O141" s="16">
        <v>0.58620689655172409</v>
      </c>
      <c r="P141" s="12">
        <v>7</v>
      </c>
      <c r="Q141" s="12">
        <v>19</v>
      </c>
      <c r="R141" s="16">
        <v>0.36842105263157893</v>
      </c>
      <c r="S141" s="12">
        <v>24</v>
      </c>
      <c r="T141" s="12">
        <v>48</v>
      </c>
      <c r="U141" s="16">
        <v>0.5</v>
      </c>
      <c r="V141" s="12">
        <v>18</v>
      </c>
      <c r="W141" s="12">
        <v>31</v>
      </c>
      <c r="X141" s="16">
        <v>0.58064516129032262</v>
      </c>
      <c r="Y141" s="12">
        <v>10</v>
      </c>
      <c r="Z141" s="12">
        <v>15</v>
      </c>
      <c r="AA141" s="12">
        <v>25</v>
      </c>
      <c r="AB141" s="12">
        <v>14</v>
      </c>
      <c r="AC141" s="12">
        <v>16</v>
      </c>
      <c r="AD141" s="12">
        <v>8</v>
      </c>
      <c r="AE141" s="12">
        <v>4</v>
      </c>
      <c r="AF141" s="12">
        <v>3</v>
      </c>
      <c r="AG141" s="12">
        <v>18</v>
      </c>
      <c r="AH141" s="12">
        <v>29</v>
      </c>
      <c r="AI141" s="17">
        <v>79</v>
      </c>
      <c r="AJ141" s="12">
        <v>2</v>
      </c>
      <c r="AK141" s="12">
        <v>68</v>
      </c>
      <c r="AL141" s="12">
        <v>78</v>
      </c>
      <c r="AM141" s="19">
        <v>0.9358974358974359</v>
      </c>
      <c r="AN141" s="19">
        <v>0.88749999999999996</v>
      </c>
      <c r="AO141" s="18">
        <v>107.35294117647058</v>
      </c>
      <c r="AP141" s="18">
        <v>102.89855072463767</v>
      </c>
      <c r="AQ141" s="18">
        <v>4.4543904518329072</v>
      </c>
      <c r="AR141" s="53">
        <v>0.57291666666666663</v>
      </c>
      <c r="AS141" s="53">
        <v>0.58870967741935487</v>
      </c>
      <c r="AT141" s="16">
        <v>0.14102564102564102</v>
      </c>
      <c r="AU141" s="19">
        <v>1.6363636363636365</v>
      </c>
      <c r="AV141" s="16">
        <v>0.19230769230769232</v>
      </c>
      <c r="AW141" s="19">
        <v>0.93333333333333335</v>
      </c>
      <c r="AX141" s="16">
        <v>3.8461538461538464E-2</v>
      </c>
      <c r="AY141" s="19">
        <v>0.66666666666666663</v>
      </c>
      <c r="AZ141" s="16">
        <v>5.128205128205128E-2</v>
      </c>
      <c r="BA141" s="19">
        <v>2.25</v>
      </c>
      <c r="BB141" s="16">
        <v>0.19230769230769232</v>
      </c>
      <c r="BC141" s="21">
        <v>0.8</v>
      </c>
      <c r="BD141" s="16">
        <v>0.17948717948717949</v>
      </c>
      <c r="BE141" s="16">
        <v>0.20512820512820512</v>
      </c>
      <c r="BF141" s="16">
        <v>0.3888888888888889</v>
      </c>
      <c r="BG141" s="16">
        <v>0.41176470588235292</v>
      </c>
      <c r="BH141" s="16">
        <v>1</v>
      </c>
      <c r="BI141" s="16">
        <v>0</v>
      </c>
      <c r="BJ141" s="16">
        <v>0.17948717948717949</v>
      </c>
      <c r="BK141" s="21">
        <v>0.875</v>
      </c>
      <c r="BL141" s="16">
        <v>0.30303030303030304</v>
      </c>
      <c r="BM141" s="16">
        <v>0.53333333333333333</v>
      </c>
      <c r="BN141" s="16">
        <v>0.5</v>
      </c>
      <c r="BO141" s="16">
        <v>0</v>
      </c>
      <c r="BP141" s="16">
        <v>0.57692307692307687</v>
      </c>
      <c r="BQ141" s="16">
        <v>0.6875</v>
      </c>
      <c r="BR141" s="16">
        <v>0.36363636363636365</v>
      </c>
      <c r="BS141" s="16">
        <v>1</v>
      </c>
      <c r="BT141" s="16">
        <v>0.42372881355932202</v>
      </c>
      <c r="BU141" s="16">
        <v>0.11594202898550725</v>
      </c>
      <c r="BV141" s="16">
        <v>7.8431372549019607E-2</v>
      </c>
      <c r="BW141" s="16">
        <v>4</v>
      </c>
      <c r="BX141" s="16">
        <v>0.3888888888888889</v>
      </c>
      <c r="BY141" s="16">
        <v>0.58620689655172409</v>
      </c>
      <c r="BZ141" s="12">
        <v>7</v>
      </c>
      <c r="CA141" s="12">
        <v>7</v>
      </c>
      <c r="CB141" s="12">
        <v>0</v>
      </c>
      <c r="CC141" s="12">
        <v>0</v>
      </c>
      <c r="CD141" s="12">
        <v>1</v>
      </c>
      <c r="CE141" s="12">
        <v>1</v>
      </c>
      <c r="CF141" s="12">
        <v>4</v>
      </c>
      <c r="CG141" s="12">
        <v>2</v>
      </c>
      <c r="CH141" s="12">
        <v>0</v>
      </c>
      <c r="CI141" s="12">
        <v>0</v>
      </c>
      <c r="CJ141" s="12">
        <v>0</v>
      </c>
      <c r="CK141" s="12">
        <v>0</v>
      </c>
      <c r="CL141" s="12">
        <v>5</v>
      </c>
      <c r="CM141" s="12">
        <v>2</v>
      </c>
      <c r="CN141" s="12">
        <v>0</v>
      </c>
      <c r="CO141" s="12">
        <v>0</v>
      </c>
      <c r="CP141" s="12">
        <v>2</v>
      </c>
      <c r="CQ141" s="12">
        <v>0</v>
      </c>
      <c r="CR141" s="12">
        <v>6</v>
      </c>
      <c r="CS141" s="12">
        <v>1</v>
      </c>
      <c r="CT141" s="12">
        <v>2</v>
      </c>
      <c r="CU141" s="12">
        <v>0</v>
      </c>
      <c r="CV141" s="12">
        <v>0</v>
      </c>
      <c r="CW141" s="12">
        <v>0</v>
      </c>
      <c r="CX141" s="12">
        <v>4</v>
      </c>
      <c r="CY141" s="12">
        <v>0</v>
      </c>
      <c r="CZ141" s="12">
        <v>1</v>
      </c>
      <c r="DA141" s="12">
        <v>0</v>
      </c>
      <c r="DB141" s="12">
        <v>0</v>
      </c>
      <c r="DC141" s="12">
        <v>0</v>
      </c>
      <c r="DD141" s="12">
        <v>2</v>
      </c>
      <c r="DE141" s="12">
        <v>3</v>
      </c>
      <c r="DF141" s="12">
        <v>16</v>
      </c>
      <c r="DG141" s="12">
        <v>28</v>
      </c>
      <c r="DH141" s="12">
        <v>2</v>
      </c>
      <c r="DI141" s="12">
        <v>0</v>
      </c>
      <c r="DJ141" s="12">
        <v>0</v>
      </c>
      <c r="DK141" s="12">
        <v>0</v>
      </c>
      <c r="DL141" s="12">
        <v>9</v>
      </c>
      <c r="DM141" s="12">
        <v>11</v>
      </c>
      <c r="DN141" s="12">
        <v>7</v>
      </c>
      <c r="DO141" s="12">
        <v>15</v>
      </c>
      <c r="DP141" s="12">
        <v>1</v>
      </c>
      <c r="DQ141" s="12">
        <v>3</v>
      </c>
      <c r="DR141" s="12">
        <v>3</v>
      </c>
      <c r="DS141" s="12">
        <v>4</v>
      </c>
      <c r="DT141" s="12">
        <v>4</v>
      </c>
      <c r="DU141" s="12">
        <v>15</v>
      </c>
      <c r="DV141" s="12">
        <v>0</v>
      </c>
      <c r="DW141" s="12">
        <v>0</v>
      </c>
      <c r="DX141" s="12">
        <v>71</v>
      </c>
      <c r="DY141" s="12">
        <v>15</v>
      </c>
      <c r="DZ141" s="12">
        <v>31</v>
      </c>
      <c r="EA141" s="16">
        <v>0.4838709677419355</v>
      </c>
      <c r="EB141" s="12">
        <v>10</v>
      </c>
      <c r="EC141" s="12">
        <v>20</v>
      </c>
      <c r="ED141" s="16">
        <v>0.5</v>
      </c>
      <c r="EE141" s="12">
        <v>25</v>
      </c>
      <c r="EF141" s="12">
        <v>51</v>
      </c>
      <c r="EG141" s="16">
        <v>0.49019607843137253</v>
      </c>
      <c r="EH141" s="12">
        <v>11</v>
      </c>
      <c r="EI141" s="12">
        <v>14</v>
      </c>
      <c r="EJ141" s="16">
        <v>0.7857142857142857</v>
      </c>
      <c r="EK141" s="12">
        <v>11</v>
      </c>
      <c r="EL141" s="12">
        <v>23</v>
      </c>
      <c r="EM141" s="12">
        <v>34</v>
      </c>
      <c r="EN141" s="12">
        <v>16</v>
      </c>
      <c r="EO141" s="12">
        <v>29</v>
      </c>
      <c r="EP141" s="12">
        <v>18</v>
      </c>
      <c r="EQ141" s="12">
        <v>5</v>
      </c>
      <c r="ER141" s="12">
        <v>23</v>
      </c>
      <c r="ES141" s="12">
        <v>3</v>
      </c>
      <c r="ET141" s="12">
        <v>4</v>
      </c>
      <c r="EU141" s="12">
        <v>62</v>
      </c>
      <c r="EV141" s="12">
        <v>-2</v>
      </c>
      <c r="EW141" s="12">
        <v>69</v>
      </c>
      <c r="EX141" s="12">
        <v>80</v>
      </c>
      <c r="EY141" s="12">
        <v>2</v>
      </c>
      <c r="EZ141" s="12">
        <v>7</v>
      </c>
      <c r="FA141" s="12">
        <v>8</v>
      </c>
      <c r="FB141" s="12">
        <v>1</v>
      </c>
      <c r="FC141" s="12">
        <v>2</v>
      </c>
      <c r="FD141" s="12">
        <v>0</v>
      </c>
      <c r="FE141" s="12">
        <v>0</v>
      </c>
      <c r="FF141" s="12">
        <v>4</v>
      </c>
      <c r="FG141" s="12">
        <v>0</v>
      </c>
      <c r="FH141" s="12">
        <v>1</v>
      </c>
      <c r="FI141" s="12">
        <v>0</v>
      </c>
      <c r="FJ141" s="12">
        <v>1</v>
      </c>
      <c r="FK141" s="12">
        <v>0</v>
      </c>
      <c r="FL141" s="12">
        <v>5</v>
      </c>
      <c r="FM141" s="12">
        <v>1</v>
      </c>
      <c r="FN141" s="12">
        <v>0</v>
      </c>
      <c r="FO141" s="12">
        <v>0</v>
      </c>
      <c r="FP141" s="12">
        <v>1</v>
      </c>
      <c r="FQ141" s="12">
        <v>0</v>
      </c>
      <c r="FR141" s="12">
        <v>4</v>
      </c>
      <c r="FS141" s="12">
        <v>0</v>
      </c>
      <c r="FT141" s="12">
        <v>2</v>
      </c>
      <c r="FU141" s="12">
        <v>0</v>
      </c>
      <c r="FV141" s="12">
        <v>1</v>
      </c>
      <c r="FW141" s="12">
        <v>0</v>
      </c>
      <c r="FX141" s="12">
        <v>6</v>
      </c>
      <c r="FY141" s="12">
        <v>0</v>
      </c>
      <c r="FZ141" s="12">
        <v>8</v>
      </c>
      <c r="GA141" s="12">
        <v>0</v>
      </c>
      <c r="GB141" s="12">
        <v>1</v>
      </c>
      <c r="GC141" s="12">
        <v>1</v>
      </c>
      <c r="GD141" s="12">
        <v>1</v>
      </c>
      <c r="GE141" s="12">
        <v>1</v>
      </c>
      <c r="GF141" s="12">
        <v>9</v>
      </c>
      <c r="GG141" s="12">
        <v>12</v>
      </c>
      <c r="GH141" s="12">
        <v>1</v>
      </c>
      <c r="GI141" s="12">
        <v>0</v>
      </c>
      <c r="GJ141" s="12">
        <v>0</v>
      </c>
      <c r="GK141" s="12">
        <v>0</v>
      </c>
      <c r="GL141" s="12">
        <v>8</v>
      </c>
      <c r="GM141" s="12">
        <v>11</v>
      </c>
      <c r="GN141" s="12">
        <v>6</v>
      </c>
      <c r="GO141" s="12">
        <v>16</v>
      </c>
      <c r="GP141" s="12">
        <v>1</v>
      </c>
      <c r="GQ141" s="12">
        <v>4</v>
      </c>
      <c r="GR141" s="12">
        <v>2</v>
      </c>
      <c r="GS141" s="12">
        <v>3</v>
      </c>
      <c r="GT141" s="12">
        <v>8</v>
      </c>
      <c r="GU141" s="12">
        <v>17</v>
      </c>
      <c r="GV141" s="12">
        <v>0</v>
      </c>
      <c r="GW141" s="12">
        <v>0</v>
      </c>
    </row>
    <row r="142" spans="2:205" ht="15" customHeight="1" x14ac:dyDescent="0.2">
      <c r="B142" s="12">
        <v>8</v>
      </c>
      <c r="C142" s="12" t="s">
        <v>282</v>
      </c>
      <c r="D142" s="12" t="s">
        <v>274</v>
      </c>
      <c r="E142" s="14" t="s">
        <v>284</v>
      </c>
      <c r="F142" s="14" t="s">
        <v>276</v>
      </c>
      <c r="G142" s="15">
        <v>45245</v>
      </c>
      <c r="H142" s="15" t="s">
        <v>268</v>
      </c>
      <c r="I142" s="12" t="s">
        <v>269</v>
      </c>
      <c r="J142" s="12" t="s">
        <v>270</v>
      </c>
      <c r="K142" s="12">
        <v>200</v>
      </c>
      <c r="L142" s="12">
        <v>85</v>
      </c>
      <c r="M142" s="12">
        <v>21</v>
      </c>
      <c r="N142" s="12">
        <v>31</v>
      </c>
      <c r="O142" s="16">
        <v>0.67741935483870963</v>
      </c>
      <c r="P142" s="12">
        <v>8</v>
      </c>
      <c r="Q142" s="12">
        <v>27</v>
      </c>
      <c r="R142" s="16">
        <v>0.29629629629629628</v>
      </c>
      <c r="S142" s="12">
        <v>29</v>
      </c>
      <c r="T142" s="12">
        <v>58</v>
      </c>
      <c r="U142" s="16">
        <v>0.5</v>
      </c>
      <c r="V142" s="12">
        <v>19</v>
      </c>
      <c r="W142" s="12">
        <v>23</v>
      </c>
      <c r="X142" s="16">
        <v>0.82608695652173914</v>
      </c>
      <c r="Y142" s="12">
        <v>3</v>
      </c>
      <c r="Z142" s="12">
        <v>22</v>
      </c>
      <c r="AA142" s="12">
        <v>25</v>
      </c>
      <c r="AB142" s="12">
        <v>15</v>
      </c>
      <c r="AC142" s="12">
        <v>8</v>
      </c>
      <c r="AD142" s="12">
        <v>3</v>
      </c>
      <c r="AE142" s="12">
        <v>4</v>
      </c>
      <c r="AF142" s="12">
        <v>1</v>
      </c>
      <c r="AG142" s="12">
        <v>23</v>
      </c>
      <c r="AH142" s="12">
        <v>25</v>
      </c>
      <c r="AI142" s="17">
        <v>92</v>
      </c>
      <c r="AJ142" s="12">
        <v>-9</v>
      </c>
      <c r="AK142" s="12">
        <v>70</v>
      </c>
      <c r="AL142" s="12">
        <v>74</v>
      </c>
      <c r="AM142" s="19">
        <v>1.1486486486486487</v>
      </c>
      <c r="AN142" s="19">
        <v>1.1463414634146341</v>
      </c>
      <c r="AO142" s="18">
        <v>121.42857142857142</v>
      </c>
      <c r="AP142" s="18">
        <v>138.23529411764704</v>
      </c>
      <c r="AQ142" s="18">
        <v>-16.806722689075627</v>
      </c>
      <c r="AR142" s="53">
        <v>0.56896551724137934</v>
      </c>
      <c r="AS142" s="53">
        <v>0.64393939393939392</v>
      </c>
      <c r="AT142" s="16">
        <v>2.7027027027027029E-2</v>
      </c>
      <c r="AU142" s="19">
        <v>2</v>
      </c>
      <c r="AV142" s="16">
        <v>0.29729729729729731</v>
      </c>
      <c r="AW142" s="19">
        <v>1.4545454545454546</v>
      </c>
      <c r="AX142" s="16">
        <v>9.45945945945946E-2</v>
      </c>
      <c r="AY142" s="19">
        <v>0.8571428571428571</v>
      </c>
      <c r="AZ142" s="16">
        <v>5.4054054054054057E-2</v>
      </c>
      <c r="BA142" s="19">
        <v>1.5</v>
      </c>
      <c r="BB142" s="16">
        <v>0.29729729729729731</v>
      </c>
      <c r="BC142" s="21">
        <v>0.81818181818181823</v>
      </c>
      <c r="BD142" s="16">
        <v>0.10810810810810811</v>
      </c>
      <c r="BE142" s="16">
        <v>0.1095890410958904</v>
      </c>
      <c r="BF142" s="16">
        <v>0.40540540540540543</v>
      </c>
      <c r="BG142" s="16">
        <v>0.2857142857142857</v>
      </c>
      <c r="BH142" s="16">
        <v>0.875</v>
      </c>
      <c r="BI142" s="16">
        <v>0.25</v>
      </c>
      <c r="BJ142" s="16">
        <v>0.20547945205479451</v>
      </c>
      <c r="BK142" s="21">
        <v>1.875</v>
      </c>
      <c r="BL142" s="16">
        <v>0.10344827586206896</v>
      </c>
      <c r="BM142" s="16">
        <v>0</v>
      </c>
      <c r="BN142" s="16">
        <v>0.125</v>
      </c>
      <c r="BO142" s="16">
        <v>1</v>
      </c>
      <c r="BP142" s="16">
        <v>0.62857142857142856</v>
      </c>
      <c r="BQ142" s="16">
        <v>0.65</v>
      </c>
      <c r="BR142" s="16">
        <v>0.53333333333333333</v>
      </c>
      <c r="BS142" s="16">
        <v>1</v>
      </c>
      <c r="BT142" s="16">
        <v>0.390625</v>
      </c>
      <c r="BU142" s="16">
        <v>4.4117647058823532E-2</v>
      </c>
      <c r="BV142" s="16">
        <v>5.9701492537313432E-2</v>
      </c>
      <c r="BW142" s="16">
        <v>3</v>
      </c>
      <c r="BX142" s="16">
        <v>0.43478260869565216</v>
      </c>
      <c r="BY142" s="16">
        <v>0.56000000000000005</v>
      </c>
      <c r="BZ142" s="12">
        <v>6</v>
      </c>
      <c r="CA142" s="12">
        <v>7</v>
      </c>
      <c r="CB142" s="12">
        <v>2</v>
      </c>
      <c r="CC142" s="12">
        <v>4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2</v>
      </c>
      <c r="CM142" s="12">
        <v>0</v>
      </c>
      <c r="CN142" s="12">
        <v>1</v>
      </c>
      <c r="CO142" s="12">
        <v>1</v>
      </c>
      <c r="CP142" s="12">
        <v>1</v>
      </c>
      <c r="CQ142" s="12">
        <v>0</v>
      </c>
      <c r="CR142" s="12">
        <v>7</v>
      </c>
      <c r="CS142" s="12">
        <v>0</v>
      </c>
      <c r="CT142" s="12">
        <v>4</v>
      </c>
      <c r="CU142" s="12">
        <v>1</v>
      </c>
      <c r="CV142" s="12">
        <v>1</v>
      </c>
      <c r="CW142" s="12">
        <v>0</v>
      </c>
      <c r="CX142" s="12">
        <v>6</v>
      </c>
      <c r="CY142" s="12">
        <v>1</v>
      </c>
      <c r="CZ142" s="12">
        <v>3</v>
      </c>
      <c r="DA142" s="12">
        <v>0</v>
      </c>
      <c r="DB142" s="12">
        <v>1</v>
      </c>
      <c r="DC142" s="12">
        <v>1</v>
      </c>
      <c r="DD142" s="12">
        <v>4</v>
      </c>
      <c r="DE142" s="12">
        <v>6</v>
      </c>
      <c r="DF142" s="12">
        <v>14</v>
      </c>
      <c r="DG142" s="12">
        <v>16</v>
      </c>
      <c r="DH142" s="12">
        <v>0</v>
      </c>
      <c r="DI142" s="12">
        <v>0</v>
      </c>
      <c r="DJ142" s="12">
        <v>0</v>
      </c>
      <c r="DK142" s="12">
        <v>0</v>
      </c>
      <c r="DL142" s="12">
        <v>2</v>
      </c>
      <c r="DM142" s="12">
        <v>2</v>
      </c>
      <c r="DN142" s="12">
        <v>16</v>
      </c>
      <c r="DO142" s="12">
        <v>22</v>
      </c>
      <c r="DP142" s="12">
        <v>3</v>
      </c>
      <c r="DQ142" s="12">
        <v>7</v>
      </c>
      <c r="DR142" s="12">
        <v>2</v>
      </c>
      <c r="DS142" s="12">
        <v>4</v>
      </c>
      <c r="DT142" s="12">
        <v>6</v>
      </c>
      <c r="DU142" s="12">
        <v>22</v>
      </c>
      <c r="DV142" s="12">
        <v>0</v>
      </c>
      <c r="DW142" s="12">
        <v>1</v>
      </c>
      <c r="DX142" s="12">
        <v>94</v>
      </c>
      <c r="DY142" s="12">
        <v>21</v>
      </c>
      <c r="DZ142" s="12">
        <v>39</v>
      </c>
      <c r="EA142" s="16">
        <v>0.53846153846153844</v>
      </c>
      <c r="EB142" s="12">
        <v>13</v>
      </c>
      <c r="EC142" s="12">
        <v>28</v>
      </c>
      <c r="ED142" s="16">
        <v>0.4642857142857143</v>
      </c>
      <c r="EE142" s="12">
        <v>34</v>
      </c>
      <c r="EF142" s="12">
        <v>67</v>
      </c>
      <c r="EG142" s="16">
        <v>0.5074626865671642</v>
      </c>
      <c r="EH142" s="12">
        <v>13</v>
      </c>
      <c r="EI142" s="12">
        <v>16</v>
      </c>
      <c r="EJ142" s="16">
        <v>0.8125</v>
      </c>
      <c r="EK142" s="12">
        <v>13</v>
      </c>
      <c r="EL142" s="12">
        <v>26</v>
      </c>
      <c r="EM142" s="12">
        <v>39</v>
      </c>
      <c r="EN142" s="12">
        <v>16</v>
      </c>
      <c r="EO142" s="12">
        <v>26</v>
      </c>
      <c r="EP142" s="12">
        <v>23</v>
      </c>
      <c r="EQ142" s="12">
        <v>7</v>
      </c>
      <c r="ER142" s="12">
        <v>9</v>
      </c>
      <c r="ES142" s="12">
        <v>1</v>
      </c>
      <c r="ET142" s="12">
        <v>4</v>
      </c>
      <c r="EU142" s="12">
        <v>105</v>
      </c>
      <c r="EV142" s="12">
        <v>9</v>
      </c>
      <c r="EW142" s="12">
        <v>68</v>
      </c>
      <c r="EX142" s="12">
        <v>82</v>
      </c>
      <c r="EY142" s="12">
        <v>6</v>
      </c>
      <c r="EZ142" s="12">
        <v>6</v>
      </c>
      <c r="FA142" s="12">
        <v>9</v>
      </c>
      <c r="FB142" s="12">
        <v>1</v>
      </c>
      <c r="FC142" s="12">
        <v>0</v>
      </c>
      <c r="FD142" s="12">
        <v>1</v>
      </c>
      <c r="FE142" s="12">
        <v>1</v>
      </c>
      <c r="FF142" s="12">
        <v>4</v>
      </c>
      <c r="FG142" s="12">
        <v>0</v>
      </c>
      <c r="FH142" s="12">
        <v>1</v>
      </c>
      <c r="FI142" s="12">
        <v>0</v>
      </c>
      <c r="FJ142" s="12">
        <v>0</v>
      </c>
      <c r="FK142" s="12">
        <v>0</v>
      </c>
      <c r="FL142" s="12">
        <v>7</v>
      </c>
      <c r="FM142" s="12">
        <v>0</v>
      </c>
      <c r="FN142" s="12">
        <v>0</v>
      </c>
      <c r="FO142" s="12">
        <v>0</v>
      </c>
      <c r="FP142" s="12">
        <v>0</v>
      </c>
      <c r="FQ142" s="12">
        <v>0</v>
      </c>
      <c r="FR142" s="12">
        <v>6</v>
      </c>
      <c r="FS142" s="12">
        <v>0</v>
      </c>
      <c r="FT142" s="12">
        <v>4</v>
      </c>
      <c r="FU142" s="12">
        <v>0</v>
      </c>
      <c r="FV142" s="12">
        <v>1</v>
      </c>
      <c r="FW142" s="12">
        <v>0</v>
      </c>
      <c r="FX142" s="12">
        <v>13</v>
      </c>
      <c r="FY142" s="12">
        <v>0</v>
      </c>
      <c r="FZ142" s="12">
        <v>0</v>
      </c>
      <c r="GA142" s="12">
        <v>0</v>
      </c>
      <c r="GB142" s="12">
        <v>0</v>
      </c>
      <c r="GC142" s="12">
        <v>0</v>
      </c>
      <c r="GD142" s="12">
        <v>3</v>
      </c>
      <c r="GE142" s="12">
        <v>4</v>
      </c>
      <c r="GF142" s="12">
        <v>10</v>
      </c>
      <c r="GG142" s="12">
        <v>12</v>
      </c>
      <c r="GH142" s="12">
        <v>0</v>
      </c>
      <c r="GI142" s="12">
        <v>0</v>
      </c>
      <c r="GJ142" s="12">
        <v>0</v>
      </c>
      <c r="GK142" s="12">
        <v>0</v>
      </c>
      <c r="GL142" s="12">
        <v>7</v>
      </c>
      <c r="GM142" s="12">
        <v>9</v>
      </c>
      <c r="GN142" s="12">
        <v>10</v>
      </c>
      <c r="GO142" s="12">
        <v>21</v>
      </c>
      <c r="GP142" s="12">
        <v>4</v>
      </c>
      <c r="GQ142" s="12">
        <v>9</v>
      </c>
      <c r="GR142" s="12">
        <v>1</v>
      </c>
      <c r="GS142" s="12">
        <v>2</v>
      </c>
      <c r="GT142" s="12">
        <v>12</v>
      </c>
      <c r="GU142" s="12">
        <v>26</v>
      </c>
      <c r="GV142" s="12">
        <v>0</v>
      </c>
      <c r="GW142" s="12">
        <v>0</v>
      </c>
    </row>
    <row r="143" spans="2:205" ht="15" customHeight="1" x14ac:dyDescent="0.2">
      <c r="B143" s="12">
        <v>8</v>
      </c>
      <c r="C143" s="12" t="s">
        <v>274</v>
      </c>
      <c r="D143" s="12" t="s">
        <v>282</v>
      </c>
      <c r="E143" s="14" t="s">
        <v>276</v>
      </c>
      <c r="F143" s="14" t="s">
        <v>284</v>
      </c>
      <c r="G143" s="15">
        <v>45245</v>
      </c>
      <c r="H143" s="15" t="s">
        <v>271</v>
      </c>
      <c r="I143" s="12" t="s">
        <v>269</v>
      </c>
      <c r="J143" s="12" t="s">
        <v>272</v>
      </c>
      <c r="K143" s="12">
        <v>200</v>
      </c>
      <c r="L143" s="12">
        <v>94</v>
      </c>
      <c r="M143" s="12">
        <v>21</v>
      </c>
      <c r="N143" s="12">
        <v>39</v>
      </c>
      <c r="O143" s="16">
        <v>0.53846153846153844</v>
      </c>
      <c r="P143" s="12">
        <v>13</v>
      </c>
      <c r="Q143" s="12">
        <v>28</v>
      </c>
      <c r="R143" s="16">
        <v>0.4642857142857143</v>
      </c>
      <c r="S143" s="12">
        <v>34</v>
      </c>
      <c r="T143" s="12">
        <v>67</v>
      </c>
      <c r="U143" s="16">
        <v>0.5074626865671642</v>
      </c>
      <c r="V143" s="12">
        <v>13</v>
      </c>
      <c r="W143" s="12">
        <v>16</v>
      </c>
      <c r="X143" s="16">
        <v>0.8125</v>
      </c>
      <c r="Y143" s="12">
        <v>13</v>
      </c>
      <c r="Z143" s="12">
        <v>26</v>
      </c>
      <c r="AA143" s="12">
        <v>39</v>
      </c>
      <c r="AB143" s="12">
        <v>16</v>
      </c>
      <c r="AC143" s="12">
        <v>9</v>
      </c>
      <c r="AD143" s="12">
        <v>7</v>
      </c>
      <c r="AE143" s="12">
        <v>1</v>
      </c>
      <c r="AF143" s="12">
        <v>4</v>
      </c>
      <c r="AG143" s="12">
        <v>25</v>
      </c>
      <c r="AH143" s="12">
        <v>23</v>
      </c>
      <c r="AI143" s="17">
        <v>106</v>
      </c>
      <c r="AJ143" s="12">
        <v>9</v>
      </c>
      <c r="AK143" s="12">
        <v>68</v>
      </c>
      <c r="AL143" s="12">
        <v>82</v>
      </c>
      <c r="AM143" s="19">
        <v>1.1463414634146341</v>
      </c>
      <c r="AN143" s="19">
        <v>1.1486486486486487</v>
      </c>
      <c r="AO143" s="18">
        <v>138.23529411764704</v>
      </c>
      <c r="AP143" s="18">
        <v>121.42857142857142</v>
      </c>
      <c r="AQ143" s="18">
        <v>16.806722689075627</v>
      </c>
      <c r="AR143" s="53">
        <v>0.60447761194029848</v>
      </c>
      <c r="AS143" s="53">
        <v>0.64383561643835618</v>
      </c>
      <c r="AT143" s="16">
        <v>0.10975609756097561</v>
      </c>
      <c r="AU143" s="19">
        <v>1.5555555555555556</v>
      </c>
      <c r="AV143" s="16">
        <v>0.25609756097560976</v>
      </c>
      <c r="AW143" s="19">
        <v>0.95238095238095233</v>
      </c>
      <c r="AX143" s="16">
        <v>0.10975609756097561</v>
      </c>
      <c r="AY143" s="19">
        <v>0.88888888888888884</v>
      </c>
      <c r="AZ143" s="16">
        <v>2.4390243902439025E-2</v>
      </c>
      <c r="BA143" s="19">
        <v>1.5</v>
      </c>
      <c r="BB143" s="16">
        <v>0.31707317073170732</v>
      </c>
      <c r="BC143" s="21">
        <v>1.3846153846153846</v>
      </c>
      <c r="BD143" s="16">
        <v>7.3170731707317069E-2</v>
      </c>
      <c r="BE143" s="16">
        <v>0.1111111111111111</v>
      </c>
      <c r="BF143" s="16">
        <v>0.4</v>
      </c>
      <c r="BG143" s="16">
        <v>0.2857142857142857</v>
      </c>
      <c r="BH143" s="16">
        <v>0.69230769230769229</v>
      </c>
      <c r="BI143" s="16">
        <v>0.16666666666666666</v>
      </c>
      <c r="BJ143" s="16">
        <v>0.19753086419753085</v>
      </c>
      <c r="BK143" s="21">
        <v>1.7777777777777777</v>
      </c>
      <c r="BL143" s="16">
        <v>0.37142857142857144</v>
      </c>
      <c r="BM143" s="16">
        <v>0.35</v>
      </c>
      <c r="BN143" s="16">
        <v>0.46666666666666667</v>
      </c>
      <c r="BO143" s="16">
        <v>0</v>
      </c>
      <c r="BP143" s="16">
        <v>0.89655172413793105</v>
      </c>
      <c r="BQ143" s="16">
        <v>1</v>
      </c>
      <c r="BR143" s="16">
        <v>0.875</v>
      </c>
      <c r="BS143" s="16">
        <v>0</v>
      </c>
      <c r="BT143" s="16">
        <v>0.609375</v>
      </c>
      <c r="BU143" s="16">
        <v>0.1</v>
      </c>
      <c r="BV143" s="16">
        <v>1.7241379310344827E-2</v>
      </c>
      <c r="BW143" s="16">
        <v>6</v>
      </c>
      <c r="BX143" s="16">
        <v>0.56000000000000005</v>
      </c>
      <c r="BY143" s="16">
        <v>0.43478260869565216</v>
      </c>
      <c r="BZ143" s="12">
        <v>6</v>
      </c>
      <c r="CA143" s="12">
        <v>9</v>
      </c>
      <c r="CB143" s="12">
        <v>1</v>
      </c>
      <c r="CC143" s="12">
        <v>0</v>
      </c>
      <c r="CD143" s="12">
        <v>1</v>
      </c>
      <c r="CE143" s="12">
        <v>1</v>
      </c>
      <c r="CF143" s="12">
        <v>4</v>
      </c>
      <c r="CG143" s="12">
        <v>0</v>
      </c>
      <c r="CH143" s="12">
        <v>1</v>
      </c>
      <c r="CI143" s="12">
        <v>0</v>
      </c>
      <c r="CJ143" s="12">
        <v>0</v>
      </c>
      <c r="CK143" s="12">
        <v>0</v>
      </c>
      <c r="CL143" s="12">
        <v>7</v>
      </c>
      <c r="CM143" s="12">
        <v>0</v>
      </c>
      <c r="CN143" s="12">
        <v>0</v>
      </c>
      <c r="CO143" s="12">
        <v>0</v>
      </c>
      <c r="CP143" s="12">
        <v>0</v>
      </c>
      <c r="CQ143" s="12">
        <v>0</v>
      </c>
      <c r="CR143" s="12">
        <v>6</v>
      </c>
      <c r="CS143" s="12">
        <v>0</v>
      </c>
      <c r="CT143" s="12">
        <v>4</v>
      </c>
      <c r="CU143" s="12">
        <v>0</v>
      </c>
      <c r="CV143" s="12">
        <v>1</v>
      </c>
      <c r="CW143" s="12">
        <v>0</v>
      </c>
      <c r="CX143" s="12">
        <v>13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3</v>
      </c>
      <c r="DE143" s="12">
        <v>4</v>
      </c>
      <c r="DF143" s="12">
        <v>10</v>
      </c>
      <c r="DG143" s="12">
        <v>12</v>
      </c>
      <c r="DH143" s="12">
        <v>0</v>
      </c>
      <c r="DI143" s="12">
        <v>0</v>
      </c>
      <c r="DJ143" s="12">
        <v>0</v>
      </c>
      <c r="DK143" s="12">
        <v>0</v>
      </c>
      <c r="DL143" s="12">
        <v>7</v>
      </c>
      <c r="DM143" s="12">
        <v>9</v>
      </c>
      <c r="DN143" s="12">
        <v>10</v>
      </c>
      <c r="DO143" s="12">
        <v>21</v>
      </c>
      <c r="DP143" s="12">
        <v>4</v>
      </c>
      <c r="DQ143" s="12">
        <v>9</v>
      </c>
      <c r="DR143" s="12">
        <v>1</v>
      </c>
      <c r="DS143" s="12">
        <v>2</v>
      </c>
      <c r="DT143" s="12">
        <v>12</v>
      </c>
      <c r="DU143" s="12">
        <v>26</v>
      </c>
      <c r="DV143" s="12">
        <v>0</v>
      </c>
      <c r="DW143" s="12">
        <v>0</v>
      </c>
      <c r="DX143" s="12">
        <v>85</v>
      </c>
      <c r="DY143" s="12">
        <v>21</v>
      </c>
      <c r="DZ143" s="12">
        <v>31</v>
      </c>
      <c r="EA143" s="16">
        <v>0.67741935483870963</v>
      </c>
      <c r="EB143" s="12">
        <v>8</v>
      </c>
      <c r="EC143" s="12">
        <v>27</v>
      </c>
      <c r="ED143" s="16">
        <v>0.29629629629629628</v>
      </c>
      <c r="EE143" s="12">
        <v>29</v>
      </c>
      <c r="EF143" s="12">
        <v>58</v>
      </c>
      <c r="EG143" s="16">
        <v>0.5</v>
      </c>
      <c r="EH143" s="12">
        <v>19</v>
      </c>
      <c r="EI143" s="12">
        <v>23</v>
      </c>
      <c r="EJ143" s="16">
        <v>0.82608695652173914</v>
      </c>
      <c r="EK143" s="12">
        <v>3</v>
      </c>
      <c r="EL143" s="12">
        <v>22</v>
      </c>
      <c r="EM143" s="12">
        <v>25</v>
      </c>
      <c r="EN143" s="12">
        <v>15</v>
      </c>
      <c r="EO143" s="12">
        <v>23</v>
      </c>
      <c r="EP143" s="12">
        <v>25</v>
      </c>
      <c r="EQ143" s="12">
        <v>3</v>
      </c>
      <c r="ER143" s="12">
        <v>8</v>
      </c>
      <c r="ES143" s="12">
        <v>4</v>
      </c>
      <c r="ET143" s="12">
        <v>1</v>
      </c>
      <c r="EU143" s="12">
        <v>92</v>
      </c>
      <c r="EV143" s="12">
        <v>-9</v>
      </c>
      <c r="EW143" s="12">
        <v>70</v>
      </c>
      <c r="EX143" s="12">
        <v>74</v>
      </c>
      <c r="EY143" s="12">
        <v>3</v>
      </c>
      <c r="EZ143" s="12">
        <v>6</v>
      </c>
      <c r="FA143" s="12">
        <v>7</v>
      </c>
      <c r="FB143" s="12">
        <v>2</v>
      </c>
      <c r="FC143" s="12">
        <v>4</v>
      </c>
      <c r="FD143" s="12">
        <v>0</v>
      </c>
      <c r="FE143" s="12">
        <v>0</v>
      </c>
      <c r="FF143" s="12">
        <v>0</v>
      </c>
      <c r="FG143" s="12">
        <v>0</v>
      </c>
      <c r="FH143" s="12">
        <v>0</v>
      </c>
      <c r="FI143" s="12">
        <v>0</v>
      </c>
      <c r="FJ143" s="12">
        <v>0</v>
      </c>
      <c r="FK143" s="12">
        <v>0</v>
      </c>
      <c r="FL143" s="12">
        <v>2</v>
      </c>
      <c r="FM143" s="12">
        <v>0</v>
      </c>
      <c r="FN143" s="12">
        <v>1</v>
      </c>
      <c r="FO143" s="12">
        <v>1</v>
      </c>
      <c r="FP143" s="12">
        <v>1</v>
      </c>
      <c r="FQ143" s="12">
        <v>0</v>
      </c>
      <c r="FR143" s="12">
        <v>7</v>
      </c>
      <c r="FS143" s="12">
        <v>0</v>
      </c>
      <c r="FT143" s="12">
        <v>4</v>
      </c>
      <c r="FU143" s="12">
        <v>1</v>
      </c>
      <c r="FV143" s="12">
        <v>1</v>
      </c>
      <c r="FW143" s="12">
        <v>0</v>
      </c>
      <c r="FX143" s="12">
        <v>6</v>
      </c>
      <c r="FY143" s="12">
        <v>1</v>
      </c>
      <c r="FZ143" s="12">
        <v>3</v>
      </c>
      <c r="GA143" s="12">
        <v>0</v>
      </c>
      <c r="GB143" s="12">
        <v>1</v>
      </c>
      <c r="GC143" s="12">
        <v>1</v>
      </c>
      <c r="GD143" s="12">
        <v>4</v>
      </c>
      <c r="GE143" s="12">
        <v>6</v>
      </c>
      <c r="GF143" s="12">
        <v>14</v>
      </c>
      <c r="GG143" s="12">
        <v>16</v>
      </c>
      <c r="GH143" s="12">
        <v>0</v>
      </c>
      <c r="GI143" s="12">
        <v>0</v>
      </c>
      <c r="GJ143" s="12">
        <v>0</v>
      </c>
      <c r="GK143" s="12">
        <v>0</v>
      </c>
      <c r="GL143" s="12">
        <v>2</v>
      </c>
      <c r="GM143" s="12">
        <v>2</v>
      </c>
      <c r="GN143" s="12">
        <v>16</v>
      </c>
      <c r="GO143" s="12">
        <v>22</v>
      </c>
      <c r="GP143" s="12">
        <v>3</v>
      </c>
      <c r="GQ143" s="12">
        <v>7</v>
      </c>
      <c r="GR143" s="12">
        <v>2</v>
      </c>
      <c r="GS143" s="12">
        <v>4</v>
      </c>
      <c r="GT143" s="12">
        <v>6</v>
      </c>
      <c r="GU143" s="12">
        <v>22</v>
      </c>
      <c r="GV143" s="12">
        <v>0</v>
      </c>
      <c r="GW143" s="12">
        <v>1</v>
      </c>
    </row>
    <row r="144" spans="2:205" ht="15" customHeight="1" x14ac:dyDescent="0.2">
      <c r="B144" s="12">
        <v>8</v>
      </c>
      <c r="C144" s="12" t="s">
        <v>297</v>
      </c>
      <c r="D144" s="12" t="s">
        <v>278</v>
      </c>
      <c r="E144" s="14" t="s">
        <v>299</v>
      </c>
      <c r="F144" s="14" t="s">
        <v>280</v>
      </c>
      <c r="G144" s="15">
        <v>45245</v>
      </c>
      <c r="H144" s="15" t="s">
        <v>268</v>
      </c>
      <c r="I144" s="12" t="s">
        <v>269</v>
      </c>
      <c r="J144" s="12" t="s">
        <v>270</v>
      </c>
      <c r="K144" s="12">
        <v>200</v>
      </c>
      <c r="L144" s="12">
        <v>71</v>
      </c>
      <c r="M144" s="12">
        <v>15</v>
      </c>
      <c r="N144" s="12">
        <v>40</v>
      </c>
      <c r="O144" s="16">
        <v>0.375</v>
      </c>
      <c r="P144" s="12">
        <v>11</v>
      </c>
      <c r="Q144" s="12">
        <v>31</v>
      </c>
      <c r="R144" s="16">
        <v>0.35483870967741937</v>
      </c>
      <c r="S144" s="12">
        <v>26</v>
      </c>
      <c r="T144" s="12">
        <v>71</v>
      </c>
      <c r="U144" s="16">
        <v>0.36619718309859156</v>
      </c>
      <c r="V144" s="12">
        <v>8</v>
      </c>
      <c r="W144" s="12">
        <v>13</v>
      </c>
      <c r="X144" s="16">
        <v>0.61538461538461542</v>
      </c>
      <c r="Y144" s="12">
        <v>12</v>
      </c>
      <c r="Z144" s="12">
        <v>23</v>
      </c>
      <c r="AA144" s="12">
        <v>35</v>
      </c>
      <c r="AB144" s="12">
        <v>16</v>
      </c>
      <c r="AC144" s="12">
        <v>13</v>
      </c>
      <c r="AD144" s="12">
        <v>5</v>
      </c>
      <c r="AE144" s="12">
        <v>3</v>
      </c>
      <c r="AF144" s="12">
        <v>2</v>
      </c>
      <c r="AG144" s="12">
        <v>15</v>
      </c>
      <c r="AH144" s="12">
        <v>17</v>
      </c>
      <c r="AI144" s="17">
        <v>67</v>
      </c>
      <c r="AJ144" s="12">
        <v>-23</v>
      </c>
      <c r="AK144" s="12">
        <v>78</v>
      </c>
      <c r="AL144" s="12">
        <v>90</v>
      </c>
      <c r="AM144" s="19">
        <v>0.78888888888888886</v>
      </c>
      <c r="AN144" s="19">
        <v>1.1463414634146341</v>
      </c>
      <c r="AO144" s="18">
        <v>91.025641025641022</v>
      </c>
      <c r="AP144" s="18">
        <v>123.68421052631579</v>
      </c>
      <c r="AQ144" s="18">
        <v>-32.658569500674773</v>
      </c>
      <c r="AR144" s="53">
        <v>0.44366197183098594</v>
      </c>
      <c r="AS144" s="53">
        <v>0.46103896103896103</v>
      </c>
      <c r="AT144" s="16">
        <v>3.3333333333333333E-2</v>
      </c>
      <c r="AU144" s="19">
        <v>2</v>
      </c>
      <c r="AV144" s="16">
        <v>0.3888888888888889</v>
      </c>
      <c r="AW144" s="19">
        <v>0.62857142857142856</v>
      </c>
      <c r="AX144" s="16">
        <v>2.2222222222222223E-2</v>
      </c>
      <c r="AY144" s="19">
        <v>1</v>
      </c>
      <c r="AZ144" s="16">
        <v>2.2222222222222223E-2</v>
      </c>
      <c r="BA144" s="19">
        <v>3</v>
      </c>
      <c r="BB144" s="16">
        <v>0.32222222222222224</v>
      </c>
      <c r="BC144" s="21">
        <v>0.93103448275862066</v>
      </c>
      <c r="BD144" s="16">
        <v>6.6666666666666666E-2</v>
      </c>
      <c r="BE144" s="16">
        <v>0.14444444444444443</v>
      </c>
      <c r="BF144" s="16">
        <v>0.53333333333333333</v>
      </c>
      <c r="BG144" s="16">
        <v>0.33333333333333331</v>
      </c>
      <c r="BH144" s="16">
        <v>0.81818181818181823</v>
      </c>
      <c r="BI144" s="16">
        <v>0.5</v>
      </c>
      <c r="BJ144" s="16">
        <v>0.17777777777777778</v>
      </c>
      <c r="BK144" s="21">
        <v>1.2307692307692308</v>
      </c>
      <c r="BL144" s="16">
        <v>0.2608695652173913</v>
      </c>
      <c r="BM144" s="16">
        <v>0.24</v>
      </c>
      <c r="BN144" s="16">
        <v>0.3</v>
      </c>
      <c r="BO144" s="16">
        <v>0</v>
      </c>
      <c r="BP144" s="16">
        <v>0.7931034482758621</v>
      </c>
      <c r="BQ144" s="16">
        <v>0.875</v>
      </c>
      <c r="BR144" s="16">
        <v>0.66666666666666663</v>
      </c>
      <c r="BS144" s="16" t="s">
        <v>269</v>
      </c>
      <c r="BT144" s="16">
        <v>0.46666666666666667</v>
      </c>
      <c r="BU144" s="16">
        <v>6.5789473684210523E-2</v>
      </c>
      <c r="BV144" s="16">
        <v>4.7619047619047616E-2</v>
      </c>
      <c r="BW144" s="16">
        <v>6</v>
      </c>
      <c r="BX144" s="16">
        <v>0.46666666666666667</v>
      </c>
      <c r="BY144" s="16">
        <v>0.41176470588235292</v>
      </c>
      <c r="BZ144" s="12">
        <v>5</v>
      </c>
      <c r="CA144" s="12">
        <v>9</v>
      </c>
      <c r="CB144" s="12">
        <v>2</v>
      </c>
      <c r="CC144" s="12">
        <v>2</v>
      </c>
      <c r="CD144" s="12">
        <v>0</v>
      </c>
      <c r="CE144" s="12">
        <v>0</v>
      </c>
      <c r="CF144" s="12">
        <v>5</v>
      </c>
      <c r="CG144" s="12">
        <v>0</v>
      </c>
      <c r="CH144" s="12">
        <v>1</v>
      </c>
      <c r="CI144" s="12">
        <v>0</v>
      </c>
      <c r="CJ144" s="12">
        <v>0</v>
      </c>
      <c r="CK144" s="12">
        <v>0</v>
      </c>
      <c r="CL144" s="12">
        <v>6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9</v>
      </c>
      <c r="CS144" s="12">
        <v>1</v>
      </c>
      <c r="CT144" s="12">
        <v>4</v>
      </c>
      <c r="CU144" s="12">
        <v>0</v>
      </c>
      <c r="CV144" s="12">
        <v>0</v>
      </c>
      <c r="CW144" s="12">
        <v>0</v>
      </c>
      <c r="CX144" s="12">
        <v>10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1</v>
      </c>
      <c r="DE144" s="12">
        <v>1</v>
      </c>
      <c r="DF144" s="12">
        <v>7</v>
      </c>
      <c r="DG144" s="12">
        <v>12</v>
      </c>
      <c r="DH144" s="12">
        <v>2</v>
      </c>
      <c r="DI144" s="12">
        <v>0</v>
      </c>
      <c r="DJ144" s="12">
        <v>0</v>
      </c>
      <c r="DK144" s="12">
        <v>0</v>
      </c>
      <c r="DL144" s="12">
        <v>3</v>
      </c>
      <c r="DM144" s="12">
        <v>3</v>
      </c>
      <c r="DN144" s="12">
        <v>11</v>
      </c>
      <c r="DO144" s="12">
        <v>35</v>
      </c>
      <c r="DP144" s="12">
        <v>1</v>
      </c>
      <c r="DQ144" s="12">
        <v>2</v>
      </c>
      <c r="DR144" s="12">
        <v>2</v>
      </c>
      <c r="DS144" s="12">
        <v>2</v>
      </c>
      <c r="DT144" s="12">
        <v>9</v>
      </c>
      <c r="DU144" s="12">
        <v>29</v>
      </c>
      <c r="DV144" s="12">
        <v>0</v>
      </c>
      <c r="DW144" s="12">
        <v>0</v>
      </c>
      <c r="DX144" s="12">
        <v>94</v>
      </c>
      <c r="DY144" s="12">
        <v>19</v>
      </c>
      <c r="DZ144" s="12">
        <v>33</v>
      </c>
      <c r="EA144" s="16">
        <v>0.5757575757575758</v>
      </c>
      <c r="EB144" s="12">
        <v>14</v>
      </c>
      <c r="EC144" s="12">
        <v>30</v>
      </c>
      <c r="ED144" s="16">
        <v>0.46666666666666667</v>
      </c>
      <c r="EE144" s="12">
        <v>33</v>
      </c>
      <c r="EF144" s="12">
        <v>63</v>
      </c>
      <c r="EG144" s="16">
        <v>0.52380952380952384</v>
      </c>
      <c r="EH144" s="12">
        <v>14</v>
      </c>
      <c r="EI144" s="12">
        <v>14</v>
      </c>
      <c r="EJ144" s="16">
        <v>1</v>
      </c>
      <c r="EK144" s="12">
        <v>6</v>
      </c>
      <c r="EL144" s="12">
        <v>34</v>
      </c>
      <c r="EM144" s="12">
        <v>40</v>
      </c>
      <c r="EN144" s="12">
        <v>19</v>
      </c>
      <c r="EO144" s="12">
        <v>17</v>
      </c>
      <c r="EP144" s="12">
        <v>14</v>
      </c>
      <c r="EQ144" s="12">
        <v>8</v>
      </c>
      <c r="ER144" s="12">
        <v>14</v>
      </c>
      <c r="ES144" s="12">
        <v>2</v>
      </c>
      <c r="ET144" s="12">
        <v>3</v>
      </c>
      <c r="EU144" s="12">
        <v>113</v>
      </c>
      <c r="EV144" s="12">
        <v>23</v>
      </c>
      <c r="EW144" s="12">
        <v>76</v>
      </c>
      <c r="EX144" s="12">
        <v>82</v>
      </c>
      <c r="EY144" s="12">
        <v>8</v>
      </c>
      <c r="EZ144" s="12">
        <v>8</v>
      </c>
      <c r="FA144" s="12">
        <v>10</v>
      </c>
      <c r="FB144" s="12">
        <v>1</v>
      </c>
      <c r="FC144" s="12">
        <v>2</v>
      </c>
      <c r="FD144" s="12">
        <v>1</v>
      </c>
      <c r="FE144" s="12">
        <v>1</v>
      </c>
      <c r="FF144" s="12">
        <v>0</v>
      </c>
      <c r="FG144" s="12">
        <v>0</v>
      </c>
      <c r="FH144" s="12">
        <v>0</v>
      </c>
      <c r="FI144" s="12">
        <v>0</v>
      </c>
      <c r="FJ144" s="12">
        <v>0</v>
      </c>
      <c r="FK144" s="12">
        <v>0</v>
      </c>
      <c r="FL144" s="12">
        <v>5</v>
      </c>
      <c r="FM144" s="12">
        <v>0</v>
      </c>
      <c r="FN144" s="12">
        <v>0</v>
      </c>
      <c r="FO144" s="12">
        <v>0</v>
      </c>
      <c r="FP144" s="12">
        <v>0</v>
      </c>
      <c r="FQ144" s="12">
        <v>0</v>
      </c>
      <c r="FR144" s="12">
        <v>18</v>
      </c>
      <c r="FS144" s="12">
        <v>1</v>
      </c>
      <c r="FT144" s="12">
        <v>0</v>
      </c>
      <c r="FU144" s="12">
        <v>0</v>
      </c>
      <c r="FV144" s="12">
        <v>0</v>
      </c>
      <c r="FW144" s="12">
        <v>0</v>
      </c>
      <c r="FX144" s="12">
        <v>14</v>
      </c>
      <c r="FY144" s="12">
        <v>0</v>
      </c>
      <c r="FZ144" s="12">
        <v>2</v>
      </c>
      <c r="GA144" s="12">
        <v>0</v>
      </c>
      <c r="GB144" s="12">
        <v>2</v>
      </c>
      <c r="GC144" s="12">
        <v>2</v>
      </c>
      <c r="GD144" s="12">
        <v>2</v>
      </c>
      <c r="GE144" s="12">
        <v>2</v>
      </c>
      <c r="GF144" s="12">
        <v>10</v>
      </c>
      <c r="GG144" s="12">
        <v>10</v>
      </c>
      <c r="GH144" s="12">
        <v>0</v>
      </c>
      <c r="GI144" s="12">
        <v>0</v>
      </c>
      <c r="GJ144" s="12">
        <v>0</v>
      </c>
      <c r="GK144" s="12">
        <v>0</v>
      </c>
      <c r="GL144" s="12">
        <v>4</v>
      </c>
      <c r="GM144" s="12">
        <v>5</v>
      </c>
      <c r="GN144" s="12">
        <v>10</v>
      </c>
      <c r="GO144" s="12">
        <v>19</v>
      </c>
      <c r="GP144" s="12">
        <v>5</v>
      </c>
      <c r="GQ144" s="12">
        <v>9</v>
      </c>
      <c r="GR144" s="12">
        <v>2</v>
      </c>
      <c r="GS144" s="12">
        <v>2</v>
      </c>
      <c r="GT144" s="12">
        <v>12</v>
      </c>
      <c r="GU144" s="12">
        <v>28</v>
      </c>
      <c r="GV144" s="12">
        <v>0</v>
      </c>
      <c r="GW144" s="12">
        <v>0</v>
      </c>
    </row>
    <row r="145" spans="2:205" ht="15" customHeight="1" x14ac:dyDescent="0.2">
      <c r="B145" s="12">
        <v>8</v>
      </c>
      <c r="C145" s="12" t="s">
        <v>278</v>
      </c>
      <c r="D145" s="12" t="s">
        <v>297</v>
      </c>
      <c r="E145" s="14" t="s">
        <v>280</v>
      </c>
      <c r="F145" s="14" t="s">
        <v>299</v>
      </c>
      <c r="G145" s="15">
        <v>45245</v>
      </c>
      <c r="H145" s="15" t="s">
        <v>271</v>
      </c>
      <c r="I145" s="12" t="s">
        <v>269</v>
      </c>
      <c r="J145" s="12" t="s">
        <v>272</v>
      </c>
      <c r="K145" s="12">
        <v>200</v>
      </c>
      <c r="L145" s="12">
        <v>94</v>
      </c>
      <c r="M145" s="12">
        <v>19</v>
      </c>
      <c r="N145" s="12">
        <v>33</v>
      </c>
      <c r="O145" s="16">
        <v>0.5757575757575758</v>
      </c>
      <c r="P145" s="12">
        <v>14</v>
      </c>
      <c r="Q145" s="12">
        <v>30</v>
      </c>
      <c r="R145" s="16">
        <v>0.46666666666666667</v>
      </c>
      <c r="S145" s="12">
        <v>33</v>
      </c>
      <c r="T145" s="12">
        <v>63</v>
      </c>
      <c r="U145" s="16">
        <v>0.52380952380952384</v>
      </c>
      <c r="V145" s="12">
        <v>14</v>
      </c>
      <c r="W145" s="12">
        <v>14</v>
      </c>
      <c r="X145" s="16">
        <v>1</v>
      </c>
      <c r="Y145" s="12">
        <v>6</v>
      </c>
      <c r="Z145" s="12">
        <v>34</v>
      </c>
      <c r="AA145" s="12">
        <v>40</v>
      </c>
      <c r="AB145" s="12">
        <v>19</v>
      </c>
      <c r="AC145" s="12">
        <v>14</v>
      </c>
      <c r="AD145" s="12">
        <v>8</v>
      </c>
      <c r="AE145" s="12">
        <v>2</v>
      </c>
      <c r="AF145" s="12">
        <v>3</v>
      </c>
      <c r="AG145" s="12">
        <v>17</v>
      </c>
      <c r="AH145" s="12">
        <v>14</v>
      </c>
      <c r="AI145" s="17">
        <v>113</v>
      </c>
      <c r="AJ145" s="12">
        <v>23</v>
      </c>
      <c r="AK145" s="12">
        <v>76</v>
      </c>
      <c r="AL145" s="12">
        <v>82</v>
      </c>
      <c r="AM145" s="19">
        <v>1.1463414634146341</v>
      </c>
      <c r="AN145" s="19">
        <v>0.78888888888888886</v>
      </c>
      <c r="AO145" s="18">
        <v>123.68421052631579</v>
      </c>
      <c r="AP145" s="18">
        <v>91.025641025641022</v>
      </c>
      <c r="AQ145" s="18">
        <v>32.658569500674773</v>
      </c>
      <c r="AR145" s="53">
        <v>0.63492063492063489</v>
      </c>
      <c r="AS145" s="53">
        <v>0.69117647058823528</v>
      </c>
      <c r="AT145" s="16">
        <v>6.097560975609756E-2</v>
      </c>
      <c r="AU145" s="19">
        <v>1.6</v>
      </c>
      <c r="AV145" s="16">
        <v>0.23170731707317074</v>
      </c>
      <c r="AW145" s="19">
        <v>1.0526315789473684</v>
      </c>
      <c r="AX145" s="16">
        <v>0.10975609756097561</v>
      </c>
      <c r="AY145" s="19">
        <v>1.1111111111111112</v>
      </c>
      <c r="AZ145" s="16">
        <v>2.4390243902439025E-2</v>
      </c>
      <c r="BA145" s="19">
        <v>3</v>
      </c>
      <c r="BB145" s="16">
        <v>0.34146341463414637</v>
      </c>
      <c r="BC145" s="21">
        <v>1.2857142857142858</v>
      </c>
      <c r="BD145" s="16">
        <v>6.097560975609756E-2</v>
      </c>
      <c r="BE145" s="16">
        <v>0.17073170731707318</v>
      </c>
      <c r="BF145" s="16">
        <v>0.5</v>
      </c>
      <c r="BG145" s="16">
        <v>0.42105263157894735</v>
      </c>
      <c r="BH145" s="16">
        <v>0.7142857142857143</v>
      </c>
      <c r="BI145" s="16">
        <v>0.2</v>
      </c>
      <c r="BJ145" s="16">
        <v>0.23170731707317074</v>
      </c>
      <c r="BK145" s="21">
        <v>1.3571428571428572</v>
      </c>
      <c r="BL145" s="16">
        <v>0.20689655172413793</v>
      </c>
      <c r="BM145" s="16">
        <v>0.125</v>
      </c>
      <c r="BN145" s="16">
        <v>0.33333333333333331</v>
      </c>
      <c r="BO145" s="16" t="s">
        <v>269</v>
      </c>
      <c r="BP145" s="16">
        <v>0.73913043478260865</v>
      </c>
      <c r="BQ145" s="16">
        <v>0.76</v>
      </c>
      <c r="BR145" s="16">
        <v>0.7</v>
      </c>
      <c r="BS145" s="16">
        <v>1</v>
      </c>
      <c r="BT145" s="16">
        <v>0.53333333333333333</v>
      </c>
      <c r="BU145" s="16">
        <v>0.10256410256410256</v>
      </c>
      <c r="BV145" s="16">
        <v>2.8169014084507043E-2</v>
      </c>
      <c r="BW145" s="16">
        <v>8</v>
      </c>
      <c r="BX145" s="16">
        <v>0.41176470588235292</v>
      </c>
      <c r="BY145" s="16">
        <v>0.5</v>
      </c>
      <c r="BZ145" s="12">
        <v>8</v>
      </c>
      <c r="CA145" s="12">
        <v>10</v>
      </c>
      <c r="CB145" s="12">
        <v>1</v>
      </c>
      <c r="CC145" s="12">
        <v>2</v>
      </c>
      <c r="CD145" s="12">
        <v>1</v>
      </c>
      <c r="CE145" s="12">
        <v>1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2">
        <v>5</v>
      </c>
      <c r="CM145" s="12">
        <v>0</v>
      </c>
      <c r="CN145" s="12">
        <v>0</v>
      </c>
      <c r="CO145" s="12">
        <v>0</v>
      </c>
      <c r="CP145" s="12">
        <v>0</v>
      </c>
      <c r="CQ145" s="12">
        <v>0</v>
      </c>
      <c r="CR145" s="12">
        <v>18</v>
      </c>
      <c r="CS145" s="12">
        <v>1</v>
      </c>
      <c r="CT145" s="12">
        <v>0</v>
      </c>
      <c r="CU145" s="12">
        <v>0</v>
      </c>
      <c r="CV145" s="12">
        <v>0</v>
      </c>
      <c r="CW145" s="12">
        <v>0</v>
      </c>
      <c r="CX145" s="12">
        <v>14</v>
      </c>
      <c r="CY145" s="12">
        <v>0</v>
      </c>
      <c r="CZ145" s="12">
        <v>2</v>
      </c>
      <c r="DA145" s="12">
        <v>0</v>
      </c>
      <c r="DB145" s="12">
        <v>2</v>
      </c>
      <c r="DC145" s="12">
        <v>2</v>
      </c>
      <c r="DD145" s="12">
        <v>2</v>
      </c>
      <c r="DE145" s="12">
        <v>2</v>
      </c>
      <c r="DF145" s="12">
        <v>10</v>
      </c>
      <c r="DG145" s="12">
        <v>10</v>
      </c>
      <c r="DH145" s="12">
        <v>0</v>
      </c>
      <c r="DI145" s="12">
        <v>0</v>
      </c>
      <c r="DJ145" s="12">
        <v>0</v>
      </c>
      <c r="DK145" s="12">
        <v>0</v>
      </c>
      <c r="DL145" s="12">
        <v>4</v>
      </c>
      <c r="DM145" s="12">
        <v>5</v>
      </c>
      <c r="DN145" s="12">
        <v>10</v>
      </c>
      <c r="DO145" s="12">
        <v>19</v>
      </c>
      <c r="DP145" s="12">
        <v>5</v>
      </c>
      <c r="DQ145" s="12">
        <v>9</v>
      </c>
      <c r="DR145" s="12">
        <v>2</v>
      </c>
      <c r="DS145" s="12">
        <v>2</v>
      </c>
      <c r="DT145" s="12">
        <v>12</v>
      </c>
      <c r="DU145" s="12">
        <v>28</v>
      </c>
      <c r="DV145" s="12">
        <v>0</v>
      </c>
      <c r="DW145" s="12">
        <v>0</v>
      </c>
      <c r="DX145" s="12">
        <v>71</v>
      </c>
      <c r="DY145" s="12">
        <v>15</v>
      </c>
      <c r="DZ145" s="12">
        <v>40</v>
      </c>
      <c r="EA145" s="16">
        <v>0.375</v>
      </c>
      <c r="EB145" s="12">
        <v>11</v>
      </c>
      <c r="EC145" s="12">
        <v>31</v>
      </c>
      <c r="ED145" s="16">
        <v>0.35483870967741937</v>
      </c>
      <c r="EE145" s="12">
        <v>26</v>
      </c>
      <c r="EF145" s="12">
        <v>71</v>
      </c>
      <c r="EG145" s="16">
        <v>0.36619718309859156</v>
      </c>
      <c r="EH145" s="12">
        <v>8</v>
      </c>
      <c r="EI145" s="12">
        <v>13</v>
      </c>
      <c r="EJ145" s="16">
        <v>0.61538461538461542</v>
      </c>
      <c r="EK145" s="12">
        <v>12</v>
      </c>
      <c r="EL145" s="12">
        <v>23</v>
      </c>
      <c r="EM145" s="12">
        <v>35</v>
      </c>
      <c r="EN145" s="12">
        <v>16</v>
      </c>
      <c r="EO145" s="12">
        <v>16</v>
      </c>
      <c r="EP145" s="12">
        <v>17</v>
      </c>
      <c r="EQ145" s="12">
        <v>5</v>
      </c>
      <c r="ER145" s="12">
        <v>13</v>
      </c>
      <c r="ES145" s="12">
        <v>3</v>
      </c>
      <c r="ET145" s="12">
        <v>2</v>
      </c>
      <c r="EU145" s="12">
        <v>66</v>
      </c>
      <c r="EV145" s="12">
        <v>-23</v>
      </c>
      <c r="EW145" s="12">
        <v>78</v>
      </c>
      <c r="EX145" s="12">
        <v>90</v>
      </c>
      <c r="EY145" s="12">
        <v>6</v>
      </c>
      <c r="EZ145" s="12">
        <v>5</v>
      </c>
      <c r="FA145" s="12">
        <v>9</v>
      </c>
      <c r="FB145" s="12">
        <v>2</v>
      </c>
      <c r="FC145" s="12">
        <v>2</v>
      </c>
      <c r="FD145" s="12">
        <v>0</v>
      </c>
      <c r="FE145" s="12">
        <v>0</v>
      </c>
      <c r="FF145" s="12">
        <v>5</v>
      </c>
      <c r="FG145" s="12">
        <v>0</v>
      </c>
      <c r="FH145" s="12">
        <v>1</v>
      </c>
      <c r="FI145" s="12">
        <v>0</v>
      </c>
      <c r="FJ145" s="12">
        <v>0</v>
      </c>
      <c r="FK145" s="12">
        <v>0</v>
      </c>
      <c r="FL145" s="12">
        <v>6</v>
      </c>
      <c r="FM145" s="12">
        <v>0</v>
      </c>
      <c r="FN145" s="12">
        <v>0</v>
      </c>
      <c r="FO145" s="12">
        <v>0</v>
      </c>
      <c r="FP145" s="12">
        <v>0</v>
      </c>
      <c r="FQ145" s="12">
        <v>0</v>
      </c>
      <c r="FR145" s="12">
        <v>9</v>
      </c>
      <c r="FS145" s="12">
        <v>1</v>
      </c>
      <c r="FT145" s="12">
        <v>4</v>
      </c>
      <c r="FU145" s="12">
        <v>0</v>
      </c>
      <c r="FV145" s="12">
        <v>0</v>
      </c>
      <c r="FW145" s="12">
        <v>0</v>
      </c>
      <c r="FX145" s="12">
        <v>10</v>
      </c>
      <c r="FY145" s="12">
        <v>0</v>
      </c>
      <c r="FZ145" s="12">
        <v>0</v>
      </c>
      <c r="GA145" s="12">
        <v>0</v>
      </c>
      <c r="GB145" s="12">
        <v>0</v>
      </c>
      <c r="GC145" s="12">
        <v>0</v>
      </c>
      <c r="GD145" s="12">
        <v>1</v>
      </c>
      <c r="GE145" s="12">
        <v>1</v>
      </c>
      <c r="GF145" s="12">
        <v>7</v>
      </c>
      <c r="GG145" s="12">
        <v>12</v>
      </c>
      <c r="GH145" s="12">
        <v>2</v>
      </c>
      <c r="GI145" s="12">
        <v>0</v>
      </c>
      <c r="GJ145" s="12">
        <v>0</v>
      </c>
      <c r="GK145" s="12">
        <v>0</v>
      </c>
      <c r="GL145" s="12">
        <v>3</v>
      </c>
      <c r="GM145" s="12">
        <v>3</v>
      </c>
      <c r="GN145" s="12">
        <v>11</v>
      </c>
      <c r="GO145" s="12">
        <v>35</v>
      </c>
      <c r="GP145" s="12">
        <v>1</v>
      </c>
      <c r="GQ145" s="12">
        <v>2</v>
      </c>
      <c r="GR145" s="12">
        <v>2</v>
      </c>
      <c r="GS145" s="12">
        <v>2</v>
      </c>
      <c r="GT145" s="12">
        <v>9</v>
      </c>
      <c r="GU145" s="12">
        <v>29</v>
      </c>
      <c r="GV145" s="12">
        <v>0</v>
      </c>
      <c r="GW145" s="12">
        <v>0</v>
      </c>
    </row>
    <row r="146" spans="2:205" ht="15" customHeight="1" x14ac:dyDescent="0.2">
      <c r="B146" s="12">
        <v>9</v>
      </c>
      <c r="C146" s="12" t="s">
        <v>290</v>
      </c>
      <c r="D146" s="12" t="s">
        <v>273</v>
      </c>
      <c r="E146" s="14" t="s">
        <v>292</v>
      </c>
      <c r="F146" s="14" t="s">
        <v>275</v>
      </c>
      <c r="G146" s="15">
        <v>45246</v>
      </c>
      <c r="H146" s="15" t="s">
        <v>271</v>
      </c>
      <c r="I146" s="12" t="s">
        <v>269</v>
      </c>
      <c r="J146" s="12" t="s">
        <v>272</v>
      </c>
      <c r="K146" s="12">
        <v>200</v>
      </c>
      <c r="L146" s="12">
        <v>78</v>
      </c>
      <c r="M146" s="12">
        <v>24</v>
      </c>
      <c r="N146" s="12">
        <v>52</v>
      </c>
      <c r="O146" s="16">
        <v>0.46153846153846156</v>
      </c>
      <c r="P146" s="12">
        <v>5</v>
      </c>
      <c r="Q146" s="12">
        <v>24</v>
      </c>
      <c r="R146" s="16">
        <v>0.20833333333333334</v>
      </c>
      <c r="S146" s="12">
        <v>29</v>
      </c>
      <c r="T146" s="12">
        <v>76</v>
      </c>
      <c r="U146" s="16">
        <v>0.38157894736842107</v>
      </c>
      <c r="V146" s="12">
        <v>15</v>
      </c>
      <c r="W146" s="12">
        <v>17</v>
      </c>
      <c r="X146" s="16">
        <v>0.88235294117647056</v>
      </c>
      <c r="Y146" s="12">
        <v>22</v>
      </c>
      <c r="Z146" s="12">
        <v>23</v>
      </c>
      <c r="AA146" s="12">
        <v>45</v>
      </c>
      <c r="AB146" s="12">
        <v>12</v>
      </c>
      <c r="AC146" s="12">
        <v>12</v>
      </c>
      <c r="AD146" s="12">
        <v>10</v>
      </c>
      <c r="AE146" s="12">
        <v>3</v>
      </c>
      <c r="AF146" s="12">
        <v>3</v>
      </c>
      <c r="AG146" s="12">
        <v>27</v>
      </c>
      <c r="AH146" s="12">
        <v>22</v>
      </c>
      <c r="AI146" s="17">
        <v>79</v>
      </c>
      <c r="AJ146" s="12">
        <v>5</v>
      </c>
      <c r="AK146" s="12">
        <v>74</v>
      </c>
      <c r="AL146" s="12">
        <v>96</v>
      </c>
      <c r="AM146" s="19">
        <v>0.8125</v>
      </c>
      <c r="AN146" s="19">
        <v>0.87951807228915657</v>
      </c>
      <c r="AO146" s="18">
        <v>105.40540540540539</v>
      </c>
      <c r="AP146" s="18">
        <v>97.333333333333343</v>
      </c>
      <c r="AQ146" s="18">
        <v>8.0720720720720465</v>
      </c>
      <c r="AR146" s="53">
        <v>0.41447368421052633</v>
      </c>
      <c r="AS146" s="53">
        <v>0.4642857142857143</v>
      </c>
      <c r="AT146" s="16">
        <v>9.375E-2</v>
      </c>
      <c r="AU146" s="19">
        <v>1.1111111111111112</v>
      </c>
      <c r="AV146" s="16">
        <v>0.41666666666666669</v>
      </c>
      <c r="AW146" s="19">
        <v>0.9</v>
      </c>
      <c r="AX146" s="16">
        <v>3.125E-2</v>
      </c>
      <c r="AY146" s="19">
        <v>0.66666666666666663</v>
      </c>
      <c r="AZ146" s="16">
        <v>0</v>
      </c>
      <c r="BA146" s="19" t="s">
        <v>269</v>
      </c>
      <c r="BB146" s="16">
        <v>0.25</v>
      </c>
      <c r="BC146" s="21">
        <v>0.625</v>
      </c>
      <c r="BD146" s="16">
        <v>8.3333333333333329E-2</v>
      </c>
      <c r="BE146" s="16">
        <v>0.125</v>
      </c>
      <c r="BF146" s="16">
        <v>0.32432432432432434</v>
      </c>
      <c r="BG146" s="16">
        <v>0.33333333333333331</v>
      </c>
      <c r="BH146" s="16">
        <v>0.8</v>
      </c>
      <c r="BI146" s="16">
        <v>0</v>
      </c>
      <c r="BJ146" s="16">
        <v>0.125</v>
      </c>
      <c r="BK146" s="21">
        <v>1</v>
      </c>
      <c r="BL146" s="16">
        <v>0.46808510638297873</v>
      </c>
      <c r="BM146" s="16">
        <v>0.54838709677419351</v>
      </c>
      <c r="BN146" s="16">
        <v>0.4</v>
      </c>
      <c r="BO146" s="16" t="s">
        <v>269</v>
      </c>
      <c r="BP146" s="16">
        <v>0.74193548387096775</v>
      </c>
      <c r="BQ146" s="16">
        <v>0.875</v>
      </c>
      <c r="BR146" s="16">
        <v>0.6</v>
      </c>
      <c r="BS146" s="16">
        <v>1</v>
      </c>
      <c r="BT146" s="16">
        <v>0.57692307692307687</v>
      </c>
      <c r="BU146" s="16">
        <v>0.13333333333333333</v>
      </c>
      <c r="BV146" s="16">
        <v>5.4545454545454543E-2</v>
      </c>
      <c r="BW146" s="16">
        <v>4</v>
      </c>
      <c r="BX146" s="16">
        <v>0.44444444444444442</v>
      </c>
      <c r="BY146" s="16">
        <v>0.40909090909090912</v>
      </c>
      <c r="BZ146" s="12">
        <v>8</v>
      </c>
      <c r="CA146" s="12">
        <v>4</v>
      </c>
      <c r="CB146" s="12">
        <v>0</v>
      </c>
      <c r="CC146" s="12">
        <v>0</v>
      </c>
      <c r="CD146" s="12">
        <v>2</v>
      </c>
      <c r="CE146" s="12">
        <v>0</v>
      </c>
      <c r="CF146" s="12">
        <v>12</v>
      </c>
      <c r="CG146" s="12">
        <v>2</v>
      </c>
      <c r="CH146" s="12">
        <v>1</v>
      </c>
      <c r="CI146" s="12">
        <v>0</v>
      </c>
      <c r="CJ146" s="12">
        <v>0</v>
      </c>
      <c r="CK146" s="12">
        <v>0</v>
      </c>
      <c r="CL146" s="12">
        <v>7</v>
      </c>
      <c r="CM146" s="12">
        <v>1</v>
      </c>
      <c r="CN146" s="12">
        <v>0</v>
      </c>
      <c r="CO146" s="12">
        <v>0</v>
      </c>
      <c r="CP146" s="12">
        <v>1</v>
      </c>
      <c r="CQ146" s="12">
        <v>0</v>
      </c>
      <c r="CR146" s="12">
        <v>6</v>
      </c>
      <c r="CS146" s="12">
        <v>0</v>
      </c>
      <c r="CT146" s="12">
        <v>7</v>
      </c>
      <c r="CU146" s="12">
        <v>0</v>
      </c>
      <c r="CV146" s="12">
        <v>0</v>
      </c>
      <c r="CW146" s="12">
        <v>0</v>
      </c>
      <c r="CX146" s="12">
        <v>8</v>
      </c>
      <c r="CY146" s="12">
        <v>1</v>
      </c>
      <c r="CZ146" s="12">
        <v>1</v>
      </c>
      <c r="DA146" s="12">
        <v>0</v>
      </c>
      <c r="DB146" s="12">
        <v>0</v>
      </c>
      <c r="DC146" s="12">
        <v>0</v>
      </c>
      <c r="DD146" s="12">
        <v>1</v>
      </c>
      <c r="DE146" s="12">
        <v>1</v>
      </c>
      <c r="DF146" s="12">
        <v>14</v>
      </c>
      <c r="DG146" s="12">
        <v>16</v>
      </c>
      <c r="DH146" s="12">
        <v>0</v>
      </c>
      <c r="DI146" s="12">
        <v>0</v>
      </c>
      <c r="DJ146" s="12">
        <v>0</v>
      </c>
      <c r="DK146" s="12">
        <v>0</v>
      </c>
      <c r="DL146" s="12">
        <v>5</v>
      </c>
      <c r="DM146" s="12">
        <v>9</v>
      </c>
      <c r="DN146" s="12">
        <v>18</v>
      </c>
      <c r="DO146" s="12">
        <v>40</v>
      </c>
      <c r="DP146" s="12">
        <v>1</v>
      </c>
      <c r="DQ146" s="12">
        <v>3</v>
      </c>
      <c r="DR146" s="12">
        <v>0</v>
      </c>
      <c r="DS146" s="12">
        <v>0</v>
      </c>
      <c r="DT146" s="12">
        <v>5</v>
      </c>
      <c r="DU146" s="12">
        <v>24</v>
      </c>
      <c r="DV146" s="12">
        <v>0</v>
      </c>
      <c r="DW146" s="12">
        <v>0</v>
      </c>
      <c r="DX146" s="12">
        <v>73</v>
      </c>
      <c r="DY146" s="12">
        <v>11</v>
      </c>
      <c r="DZ146" s="12">
        <v>27</v>
      </c>
      <c r="EA146" s="16">
        <v>0.40740740740740738</v>
      </c>
      <c r="EB146" s="12">
        <v>11</v>
      </c>
      <c r="EC146" s="12">
        <v>28</v>
      </c>
      <c r="ED146" s="16">
        <v>0.39285714285714285</v>
      </c>
      <c r="EE146" s="12">
        <v>22</v>
      </c>
      <c r="EF146" s="12">
        <v>55</v>
      </c>
      <c r="EG146" s="16">
        <v>0.4</v>
      </c>
      <c r="EH146" s="12">
        <v>18</v>
      </c>
      <c r="EI146" s="12">
        <v>24</v>
      </c>
      <c r="EJ146" s="16">
        <v>0.75</v>
      </c>
      <c r="EK146" s="12">
        <v>8</v>
      </c>
      <c r="EL146" s="12">
        <v>25</v>
      </c>
      <c r="EM146" s="12">
        <v>33</v>
      </c>
      <c r="EN146" s="12">
        <v>14</v>
      </c>
      <c r="EO146" s="12">
        <v>24</v>
      </c>
      <c r="EP146" s="12">
        <v>27</v>
      </c>
      <c r="EQ146" s="12">
        <v>3</v>
      </c>
      <c r="ER146" s="12">
        <v>16</v>
      </c>
      <c r="ES146" s="12">
        <v>3</v>
      </c>
      <c r="ET146" s="12">
        <v>3</v>
      </c>
      <c r="EU146" s="12">
        <v>71</v>
      </c>
      <c r="EV146" s="12">
        <v>-5</v>
      </c>
      <c r="EW146" s="12">
        <v>75</v>
      </c>
      <c r="EX146" s="12">
        <v>83</v>
      </c>
      <c r="EY146" s="12">
        <v>4</v>
      </c>
      <c r="EZ146" s="12">
        <v>6</v>
      </c>
      <c r="FA146" s="12">
        <v>6</v>
      </c>
      <c r="FB146" s="12">
        <v>2</v>
      </c>
      <c r="FC146" s="12">
        <v>4</v>
      </c>
      <c r="FD146" s="12">
        <v>0</v>
      </c>
      <c r="FE146" s="12">
        <v>0</v>
      </c>
      <c r="FF146" s="12">
        <v>2</v>
      </c>
      <c r="FG146" s="12">
        <v>0</v>
      </c>
      <c r="FH146" s="12">
        <v>0</v>
      </c>
      <c r="FI146" s="12">
        <v>0</v>
      </c>
      <c r="FJ146" s="12">
        <v>0</v>
      </c>
      <c r="FK146" s="12">
        <v>0</v>
      </c>
      <c r="FL146" s="12">
        <v>6</v>
      </c>
      <c r="FM146" s="12">
        <v>0</v>
      </c>
      <c r="FN146" s="12">
        <v>0</v>
      </c>
      <c r="FO146" s="12">
        <v>0</v>
      </c>
      <c r="FP146" s="12">
        <v>2</v>
      </c>
      <c r="FQ146" s="12">
        <v>1</v>
      </c>
      <c r="FR146" s="12">
        <v>10</v>
      </c>
      <c r="FS146" s="12">
        <v>0</v>
      </c>
      <c r="FT146" s="12">
        <v>1</v>
      </c>
      <c r="FU146" s="12">
        <v>0</v>
      </c>
      <c r="FV146" s="12">
        <v>0</v>
      </c>
      <c r="FW146" s="12">
        <v>0</v>
      </c>
      <c r="FX146" s="12">
        <v>11</v>
      </c>
      <c r="FY146" s="12">
        <v>1</v>
      </c>
      <c r="FZ146" s="12">
        <v>0</v>
      </c>
      <c r="GA146" s="12">
        <v>0</v>
      </c>
      <c r="GB146" s="12">
        <v>0</v>
      </c>
      <c r="GC146" s="12">
        <v>0</v>
      </c>
      <c r="GD146" s="12">
        <v>0</v>
      </c>
      <c r="GE146" s="12">
        <v>0</v>
      </c>
      <c r="GF146" s="12">
        <v>18</v>
      </c>
      <c r="GG146" s="12">
        <v>24</v>
      </c>
      <c r="GH146" s="12">
        <v>1</v>
      </c>
      <c r="GI146" s="12">
        <v>0</v>
      </c>
      <c r="GJ146" s="12">
        <v>0</v>
      </c>
      <c r="GK146" s="12">
        <v>0</v>
      </c>
      <c r="GL146" s="12">
        <v>2</v>
      </c>
      <c r="GM146" s="12">
        <v>3</v>
      </c>
      <c r="GN146" s="12">
        <v>6</v>
      </c>
      <c r="GO146" s="12">
        <v>14</v>
      </c>
      <c r="GP146" s="12">
        <v>3</v>
      </c>
      <c r="GQ146" s="12">
        <v>10</v>
      </c>
      <c r="GR146" s="12">
        <v>0</v>
      </c>
      <c r="GS146" s="12">
        <v>0</v>
      </c>
      <c r="GT146" s="12">
        <v>11</v>
      </c>
      <c r="GU146" s="12">
        <v>26</v>
      </c>
      <c r="GV146" s="12">
        <v>0</v>
      </c>
      <c r="GW146" s="12">
        <v>2</v>
      </c>
    </row>
    <row r="147" spans="2:205" ht="15" customHeight="1" x14ac:dyDescent="0.2">
      <c r="B147" s="12">
        <v>9</v>
      </c>
      <c r="C147" s="12" t="s">
        <v>273</v>
      </c>
      <c r="D147" s="12" t="s">
        <v>290</v>
      </c>
      <c r="E147" s="14" t="s">
        <v>275</v>
      </c>
      <c r="F147" s="14" t="s">
        <v>292</v>
      </c>
      <c r="G147" s="15">
        <v>45246</v>
      </c>
      <c r="H147" s="15" t="s">
        <v>268</v>
      </c>
      <c r="I147" s="12" t="s">
        <v>269</v>
      </c>
      <c r="J147" s="12" t="s">
        <v>270</v>
      </c>
      <c r="K147" s="12">
        <v>200</v>
      </c>
      <c r="L147" s="12">
        <v>73</v>
      </c>
      <c r="M147" s="12">
        <v>11</v>
      </c>
      <c r="N147" s="12">
        <v>27</v>
      </c>
      <c r="O147" s="16">
        <v>0.40740740740740738</v>
      </c>
      <c r="P147" s="12">
        <v>11</v>
      </c>
      <c r="Q147" s="12">
        <v>28</v>
      </c>
      <c r="R147" s="16">
        <v>0.39285714285714285</v>
      </c>
      <c r="S147" s="12">
        <v>22</v>
      </c>
      <c r="T147" s="12">
        <v>55</v>
      </c>
      <c r="U147" s="16">
        <v>0.4</v>
      </c>
      <c r="V147" s="12">
        <v>18</v>
      </c>
      <c r="W147" s="12">
        <v>24</v>
      </c>
      <c r="X147" s="16">
        <v>0.75</v>
      </c>
      <c r="Y147" s="12">
        <v>8</v>
      </c>
      <c r="Z147" s="12">
        <v>25</v>
      </c>
      <c r="AA147" s="12">
        <v>33</v>
      </c>
      <c r="AB147" s="12">
        <v>14</v>
      </c>
      <c r="AC147" s="12">
        <v>16</v>
      </c>
      <c r="AD147" s="12">
        <v>3</v>
      </c>
      <c r="AE147" s="12">
        <v>3</v>
      </c>
      <c r="AF147" s="12">
        <v>3</v>
      </c>
      <c r="AG147" s="12">
        <v>22</v>
      </c>
      <c r="AH147" s="12">
        <v>27</v>
      </c>
      <c r="AI147" s="17">
        <v>73</v>
      </c>
      <c r="AJ147" s="12">
        <v>-5</v>
      </c>
      <c r="AK147" s="12">
        <v>75</v>
      </c>
      <c r="AL147" s="12">
        <v>83</v>
      </c>
      <c r="AM147" s="19">
        <v>0.87951807228915657</v>
      </c>
      <c r="AN147" s="19">
        <v>0.8125</v>
      </c>
      <c r="AO147" s="18">
        <v>97.333333333333343</v>
      </c>
      <c r="AP147" s="18">
        <v>105.40540540540539</v>
      </c>
      <c r="AQ147" s="18">
        <v>-8.0720720720720465</v>
      </c>
      <c r="AR147" s="53">
        <v>0.5</v>
      </c>
      <c r="AS147" s="53">
        <v>0.54477611940298509</v>
      </c>
      <c r="AT147" s="16">
        <v>3.614457831325301E-2</v>
      </c>
      <c r="AU147" s="19">
        <v>1.3333333333333333</v>
      </c>
      <c r="AV147" s="16">
        <v>0.16867469879518071</v>
      </c>
      <c r="AW147" s="19">
        <v>0.8571428571428571</v>
      </c>
      <c r="AX147" s="16">
        <v>0.12048192771084337</v>
      </c>
      <c r="AY147" s="19">
        <v>0.6</v>
      </c>
      <c r="AZ147" s="16">
        <v>0</v>
      </c>
      <c r="BA147" s="19" t="s">
        <v>269</v>
      </c>
      <c r="BB147" s="16">
        <v>0.31325301204819278</v>
      </c>
      <c r="BC147" s="21">
        <v>1.2692307692307692</v>
      </c>
      <c r="BD147" s="16">
        <v>0.14457831325301204</v>
      </c>
      <c r="BE147" s="16">
        <v>0.19277108433734941</v>
      </c>
      <c r="BF147" s="16">
        <v>0.42424242424242425</v>
      </c>
      <c r="BG147" s="16">
        <v>0.54545454545454541</v>
      </c>
      <c r="BH147" s="16">
        <v>0.54545454545454541</v>
      </c>
      <c r="BI147" s="16">
        <v>0.18181818181818182</v>
      </c>
      <c r="BJ147" s="16">
        <v>0.16867469879518071</v>
      </c>
      <c r="BK147" s="21">
        <v>0.875</v>
      </c>
      <c r="BL147" s="16">
        <v>0.25806451612903225</v>
      </c>
      <c r="BM147" s="16">
        <v>0.125</v>
      </c>
      <c r="BN147" s="16">
        <v>0.4</v>
      </c>
      <c r="BO147" s="16">
        <v>0</v>
      </c>
      <c r="BP147" s="16">
        <v>0.53191489361702127</v>
      </c>
      <c r="BQ147" s="16">
        <v>0.45161290322580644</v>
      </c>
      <c r="BR147" s="16">
        <v>0.6</v>
      </c>
      <c r="BS147" s="16" t="s">
        <v>269</v>
      </c>
      <c r="BT147" s="16">
        <v>0.42307692307692307</v>
      </c>
      <c r="BU147" s="16">
        <v>4.0540540540540543E-2</v>
      </c>
      <c r="BV147" s="16">
        <v>3.9473684210526314E-2</v>
      </c>
      <c r="BW147" s="16">
        <v>4</v>
      </c>
      <c r="BX147" s="16">
        <v>0.36363636363636365</v>
      </c>
      <c r="BY147" s="16">
        <v>0.44444444444444442</v>
      </c>
      <c r="BZ147" s="12">
        <v>6</v>
      </c>
      <c r="CA147" s="12">
        <v>6</v>
      </c>
      <c r="CB147" s="12">
        <v>2</v>
      </c>
      <c r="CC147" s="12">
        <v>4</v>
      </c>
      <c r="CD147" s="12">
        <v>0</v>
      </c>
      <c r="CE147" s="12">
        <v>0</v>
      </c>
      <c r="CF147" s="12">
        <v>2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6</v>
      </c>
      <c r="CM147" s="12">
        <v>0</v>
      </c>
      <c r="CN147" s="12">
        <v>0</v>
      </c>
      <c r="CO147" s="12">
        <v>0</v>
      </c>
      <c r="CP147" s="12">
        <v>2</v>
      </c>
      <c r="CQ147" s="12">
        <v>1</v>
      </c>
      <c r="CR147" s="12">
        <v>10</v>
      </c>
      <c r="CS147" s="12">
        <v>0</v>
      </c>
      <c r="CT147" s="12">
        <v>1</v>
      </c>
      <c r="CU147" s="12">
        <v>0</v>
      </c>
      <c r="CV147" s="12">
        <v>0</v>
      </c>
      <c r="CW147" s="12">
        <v>0</v>
      </c>
      <c r="CX147" s="12">
        <v>11</v>
      </c>
      <c r="CY147" s="12">
        <v>1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18</v>
      </c>
      <c r="DG147" s="12">
        <v>24</v>
      </c>
      <c r="DH147" s="12">
        <v>1</v>
      </c>
      <c r="DI147" s="12">
        <v>0</v>
      </c>
      <c r="DJ147" s="12">
        <v>0</v>
      </c>
      <c r="DK147" s="12">
        <v>0</v>
      </c>
      <c r="DL147" s="12">
        <v>2</v>
      </c>
      <c r="DM147" s="12">
        <v>3</v>
      </c>
      <c r="DN147" s="12">
        <v>6</v>
      </c>
      <c r="DO147" s="12">
        <v>14</v>
      </c>
      <c r="DP147" s="12">
        <v>3</v>
      </c>
      <c r="DQ147" s="12">
        <v>10</v>
      </c>
      <c r="DR147" s="12">
        <v>0</v>
      </c>
      <c r="DS147" s="12">
        <v>0</v>
      </c>
      <c r="DT147" s="12">
        <v>11</v>
      </c>
      <c r="DU147" s="12">
        <v>26</v>
      </c>
      <c r="DV147" s="12">
        <v>0</v>
      </c>
      <c r="DW147" s="12">
        <v>2</v>
      </c>
      <c r="DX147" s="12">
        <v>78</v>
      </c>
      <c r="DY147" s="12">
        <v>24</v>
      </c>
      <c r="DZ147" s="12">
        <v>52</v>
      </c>
      <c r="EA147" s="16">
        <v>0.46153846153846156</v>
      </c>
      <c r="EB147" s="12">
        <v>5</v>
      </c>
      <c r="EC147" s="12">
        <v>24</v>
      </c>
      <c r="ED147" s="16">
        <v>0.20833333333333334</v>
      </c>
      <c r="EE147" s="12">
        <v>29</v>
      </c>
      <c r="EF147" s="12">
        <v>76</v>
      </c>
      <c r="EG147" s="16">
        <v>0.38157894736842107</v>
      </c>
      <c r="EH147" s="12">
        <v>15</v>
      </c>
      <c r="EI147" s="12">
        <v>17</v>
      </c>
      <c r="EJ147" s="16">
        <v>0.88235294117647056</v>
      </c>
      <c r="EK147" s="12">
        <v>22</v>
      </c>
      <c r="EL147" s="12">
        <v>23</v>
      </c>
      <c r="EM147" s="12">
        <v>45</v>
      </c>
      <c r="EN147" s="12">
        <v>12</v>
      </c>
      <c r="EO147" s="12">
        <v>29</v>
      </c>
      <c r="EP147" s="12">
        <v>22</v>
      </c>
      <c r="EQ147" s="12">
        <v>10</v>
      </c>
      <c r="ER147" s="12">
        <v>12</v>
      </c>
      <c r="ES147" s="12">
        <v>3</v>
      </c>
      <c r="ET147" s="12">
        <v>3</v>
      </c>
      <c r="EU147" s="12">
        <v>77</v>
      </c>
      <c r="EV147" s="12">
        <v>5</v>
      </c>
      <c r="EW147" s="12">
        <v>74</v>
      </c>
      <c r="EX147" s="12">
        <v>96</v>
      </c>
      <c r="EY147" s="12">
        <v>4</v>
      </c>
      <c r="EZ147" s="12">
        <v>8</v>
      </c>
      <c r="FA147" s="12">
        <v>4</v>
      </c>
      <c r="FB147" s="12">
        <v>0</v>
      </c>
      <c r="FC147" s="12">
        <v>0</v>
      </c>
      <c r="FD147" s="12">
        <v>2</v>
      </c>
      <c r="FE147" s="12">
        <v>0</v>
      </c>
      <c r="FF147" s="12">
        <v>12</v>
      </c>
      <c r="FG147" s="12">
        <v>2</v>
      </c>
      <c r="FH147" s="12">
        <v>1</v>
      </c>
      <c r="FI147" s="12">
        <v>0</v>
      </c>
      <c r="FJ147" s="12">
        <v>0</v>
      </c>
      <c r="FK147" s="12">
        <v>0</v>
      </c>
      <c r="FL147" s="12">
        <v>7</v>
      </c>
      <c r="FM147" s="12">
        <v>1</v>
      </c>
      <c r="FN147" s="12">
        <v>0</v>
      </c>
      <c r="FO147" s="12">
        <v>0</v>
      </c>
      <c r="FP147" s="12">
        <v>1</v>
      </c>
      <c r="FQ147" s="12">
        <v>0</v>
      </c>
      <c r="FR147" s="12">
        <v>6</v>
      </c>
      <c r="FS147" s="12">
        <v>0</v>
      </c>
      <c r="FT147" s="12">
        <v>7</v>
      </c>
      <c r="FU147" s="12">
        <v>0</v>
      </c>
      <c r="FV147" s="12">
        <v>0</v>
      </c>
      <c r="FW147" s="12">
        <v>0</v>
      </c>
      <c r="FX147" s="12">
        <v>8</v>
      </c>
      <c r="FY147" s="12">
        <v>1</v>
      </c>
      <c r="FZ147" s="12">
        <v>1</v>
      </c>
      <c r="GA147" s="12">
        <v>0</v>
      </c>
      <c r="GB147" s="12">
        <v>0</v>
      </c>
      <c r="GC147" s="12">
        <v>0</v>
      </c>
      <c r="GD147" s="12">
        <v>0</v>
      </c>
      <c r="GE147" s="12">
        <v>0</v>
      </c>
      <c r="GF147" s="12">
        <v>14</v>
      </c>
      <c r="GG147" s="12">
        <v>16</v>
      </c>
      <c r="GH147" s="12">
        <v>0</v>
      </c>
      <c r="GI147" s="12">
        <v>0</v>
      </c>
      <c r="GJ147" s="12">
        <v>0</v>
      </c>
      <c r="GK147" s="12">
        <v>0</v>
      </c>
      <c r="GL147" s="12">
        <v>5</v>
      </c>
      <c r="GM147" s="12">
        <v>9</v>
      </c>
      <c r="GN147" s="12">
        <v>18</v>
      </c>
      <c r="GO147" s="12">
        <v>40</v>
      </c>
      <c r="GP147" s="12">
        <v>1</v>
      </c>
      <c r="GQ147" s="12">
        <v>3</v>
      </c>
      <c r="GR147" s="12">
        <v>0</v>
      </c>
      <c r="GS147" s="12">
        <v>0</v>
      </c>
      <c r="GT147" s="12">
        <v>5</v>
      </c>
      <c r="GU147" s="12">
        <v>24</v>
      </c>
      <c r="GV147" s="12">
        <v>0</v>
      </c>
      <c r="GW147" s="12">
        <v>0</v>
      </c>
    </row>
    <row r="148" spans="2:205" ht="15" customHeight="1" x14ac:dyDescent="0.2">
      <c r="B148" s="12">
        <v>9</v>
      </c>
      <c r="C148" s="12" t="s">
        <v>264</v>
      </c>
      <c r="D148" s="12" t="s">
        <v>293</v>
      </c>
      <c r="E148" s="14" t="s">
        <v>266</v>
      </c>
      <c r="F148" s="14" t="s">
        <v>295</v>
      </c>
      <c r="G148" s="15">
        <v>45246</v>
      </c>
      <c r="H148" s="15" t="s">
        <v>271</v>
      </c>
      <c r="I148" s="12" t="s">
        <v>269</v>
      </c>
      <c r="J148" s="12" t="s">
        <v>272</v>
      </c>
      <c r="K148" s="12">
        <v>200</v>
      </c>
      <c r="L148" s="12">
        <v>88</v>
      </c>
      <c r="M148" s="12">
        <v>17</v>
      </c>
      <c r="N148" s="12">
        <v>30</v>
      </c>
      <c r="O148" s="16">
        <v>0.56666666666666665</v>
      </c>
      <c r="P148" s="12">
        <v>13</v>
      </c>
      <c r="Q148" s="12">
        <v>30</v>
      </c>
      <c r="R148" s="16">
        <v>0.43333333333333335</v>
      </c>
      <c r="S148" s="12">
        <v>30</v>
      </c>
      <c r="T148" s="12">
        <v>60</v>
      </c>
      <c r="U148" s="16">
        <v>0.5</v>
      </c>
      <c r="V148" s="12">
        <v>15</v>
      </c>
      <c r="W148" s="12">
        <v>24</v>
      </c>
      <c r="X148" s="16">
        <v>0.625</v>
      </c>
      <c r="Y148" s="12">
        <v>12</v>
      </c>
      <c r="Z148" s="12">
        <v>27</v>
      </c>
      <c r="AA148" s="12">
        <v>39</v>
      </c>
      <c r="AB148" s="12">
        <v>26</v>
      </c>
      <c r="AC148" s="12">
        <v>11</v>
      </c>
      <c r="AD148" s="12">
        <v>3</v>
      </c>
      <c r="AE148" s="12">
        <v>5</v>
      </c>
      <c r="AF148" s="12">
        <v>2</v>
      </c>
      <c r="AG148" s="12">
        <v>18</v>
      </c>
      <c r="AH148" s="12">
        <v>24</v>
      </c>
      <c r="AI148" s="17">
        <v>115</v>
      </c>
      <c r="AJ148" s="12">
        <v>5</v>
      </c>
      <c r="AK148" s="12">
        <v>68</v>
      </c>
      <c r="AL148" s="12">
        <v>80.333333333333329</v>
      </c>
      <c r="AM148" s="19">
        <v>1.095435684647303</v>
      </c>
      <c r="AN148" s="19">
        <v>1.0375000000000001</v>
      </c>
      <c r="AO148" s="18">
        <v>129.41176470588235</v>
      </c>
      <c r="AP148" s="18">
        <v>120.28985507246377</v>
      </c>
      <c r="AQ148" s="18">
        <v>9.1219096334185821</v>
      </c>
      <c r="AR148" s="53">
        <v>0.60833333333333328</v>
      </c>
      <c r="AS148" s="53">
        <v>0.63461538461538469</v>
      </c>
      <c r="AT148" s="16">
        <v>0.19917012448132781</v>
      </c>
      <c r="AU148" s="19">
        <v>1.625</v>
      </c>
      <c r="AV148" s="16">
        <v>0.11203319502074689</v>
      </c>
      <c r="AW148" s="19">
        <v>0.44444444444444442</v>
      </c>
      <c r="AX148" s="16">
        <v>6.2240663900414939E-2</v>
      </c>
      <c r="AY148" s="19">
        <v>0.8</v>
      </c>
      <c r="AZ148" s="16">
        <v>8.7136929460580922E-2</v>
      </c>
      <c r="BA148" s="19">
        <v>1.7142857142857142</v>
      </c>
      <c r="BB148" s="16">
        <v>0.28630705394190875</v>
      </c>
      <c r="BC148" s="21">
        <v>1.173913043478261</v>
      </c>
      <c r="BD148" s="16">
        <v>0.1161825726141079</v>
      </c>
      <c r="BE148" s="16">
        <v>0.13750000000000001</v>
      </c>
      <c r="BF148" s="16">
        <v>0.67826086956521736</v>
      </c>
      <c r="BG148" s="16">
        <v>0.6470588235294118</v>
      </c>
      <c r="BH148" s="16">
        <v>0.92307692307692313</v>
      </c>
      <c r="BI148" s="16">
        <v>0.36</v>
      </c>
      <c r="BJ148" s="16">
        <v>0.32500000000000001</v>
      </c>
      <c r="BK148" s="21">
        <v>2.3636363636363638</v>
      </c>
      <c r="BL148" s="16">
        <v>0.375</v>
      </c>
      <c r="BM148" s="16">
        <v>0.61538461538461542</v>
      </c>
      <c r="BN148" s="16">
        <v>0.16666666666666666</v>
      </c>
      <c r="BO148" s="16">
        <v>0.25</v>
      </c>
      <c r="BP148" s="16">
        <v>0.71052631578947367</v>
      </c>
      <c r="BQ148" s="16">
        <v>0.52173913043478259</v>
      </c>
      <c r="BR148" s="16">
        <v>0.80952380952380953</v>
      </c>
      <c r="BS148" s="16">
        <v>1</v>
      </c>
      <c r="BT148" s="16">
        <v>0.55714285714285716</v>
      </c>
      <c r="BU148" s="16">
        <v>4.3478260869565216E-2</v>
      </c>
      <c r="BV148" s="16">
        <v>7.575757575757576E-2</v>
      </c>
      <c r="BW148" s="16">
        <v>5</v>
      </c>
      <c r="BX148" s="16">
        <v>0.3888888888888889</v>
      </c>
      <c r="BY148" s="16">
        <v>0.55555555555555558</v>
      </c>
      <c r="BZ148" s="12">
        <v>11</v>
      </c>
      <c r="CA148" s="12">
        <v>12</v>
      </c>
      <c r="CB148" s="12">
        <v>3</v>
      </c>
      <c r="CC148" s="12">
        <v>4</v>
      </c>
      <c r="CD148" s="12">
        <v>3</v>
      </c>
      <c r="CE148" s="12">
        <v>0</v>
      </c>
      <c r="CF148" s="12">
        <v>4</v>
      </c>
      <c r="CG148" s="12">
        <v>0</v>
      </c>
      <c r="CH148" s="12">
        <v>1</v>
      </c>
      <c r="CI148" s="12">
        <v>0</v>
      </c>
      <c r="CJ148" s="12">
        <v>0</v>
      </c>
      <c r="CK148" s="12">
        <v>0</v>
      </c>
      <c r="CL148" s="12">
        <v>3</v>
      </c>
      <c r="CM148" s="12">
        <v>0</v>
      </c>
      <c r="CN148" s="12">
        <v>1</v>
      </c>
      <c r="CO148" s="12">
        <v>0</v>
      </c>
      <c r="CP148" s="12">
        <v>4</v>
      </c>
      <c r="CQ148" s="12">
        <v>0</v>
      </c>
      <c r="CR148" s="12">
        <v>7</v>
      </c>
      <c r="CS148" s="12">
        <v>1</v>
      </c>
      <c r="CT148" s="12">
        <v>0</v>
      </c>
      <c r="CU148" s="12">
        <v>0</v>
      </c>
      <c r="CV148" s="12">
        <v>0</v>
      </c>
      <c r="CW148" s="12">
        <v>0</v>
      </c>
      <c r="CX148" s="12">
        <v>14</v>
      </c>
      <c r="CY148" s="12">
        <v>3</v>
      </c>
      <c r="CZ148" s="12">
        <v>2</v>
      </c>
      <c r="DA148" s="12">
        <v>0</v>
      </c>
      <c r="DB148" s="12">
        <v>0</v>
      </c>
      <c r="DC148" s="12">
        <v>1</v>
      </c>
      <c r="DD148" s="12">
        <v>3</v>
      </c>
      <c r="DE148" s="12">
        <v>4</v>
      </c>
      <c r="DF148" s="12">
        <v>11</v>
      </c>
      <c r="DG148" s="12">
        <v>18</v>
      </c>
      <c r="DH148" s="12">
        <v>1</v>
      </c>
      <c r="DI148" s="12">
        <v>1</v>
      </c>
      <c r="DJ148" s="12">
        <v>1</v>
      </c>
      <c r="DK148" s="12">
        <v>0</v>
      </c>
      <c r="DL148" s="12">
        <v>13</v>
      </c>
      <c r="DM148" s="12">
        <v>16</v>
      </c>
      <c r="DN148" s="12">
        <v>2</v>
      </c>
      <c r="DO148" s="12">
        <v>9</v>
      </c>
      <c r="DP148" s="12">
        <v>2</v>
      </c>
      <c r="DQ148" s="12">
        <v>5</v>
      </c>
      <c r="DR148" s="12">
        <v>4</v>
      </c>
      <c r="DS148" s="12">
        <v>7</v>
      </c>
      <c r="DT148" s="12">
        <v>9</v>
      </c>
      <c r="DU148" s="12">
        <v>23</v>
      </c>
      <c r="DV148" s="12">
        <v>0</v>
      </c>
      <c r="DW148" s="12">
        <v>0</v>
      </c>
      <c r="DX148" s="12">
        <v>83</v>
      </c>
      <c r="DY148" s="12">
        <v>15</v>
      </c>
      <c r="DZ148" s="12">
        <v>33</v>
      </c>
      <c r="EA148" s="16">
        <v>0.45454545454545453</v>
      </c>
      <c r="EB148" s="12">
        <v>15</v>
      </c>
      <c r="EC148" s="12">
        <v>33</v>
      </c>
      <c r="ED148" s="16">
        <v>0.45454545454545453</v>
      </c>
      <c r="EE148" s="12">
        <v>30</v>
      </c>
      <c r="EF148" s="12">
        <v>66</v>
      </c>
      <c r="EG148" s="16">
        <v>0.45454545454545453</v>
      </c>
      <c r="EH148" s="12">
        <v>8</v>
      </c>
      <c r="EI148" s="12">
        <v>11</v>
      </c>
      <c r="EJ148" s="16">
        <v>0.72727272727272729</v>
      </c>
      <c r="EK148" s="12">
        <v>11</v>
      </c>
      <c r="EL148" s="12">
        <v>20</v>
      </c>
      <c r="EM148" s="12">
        <v>31</v>
      </c>
      <c r="EN148" s="12">
        <v>14</v>
      </c>
      <c r="EO148" s="12">
        <v>25</v>
      </c>
      <c r="EP148" s="12">
        <v>18</v>
      </c>
      <c r="EQ148" s="12">
        <v>7</v>
      </c>
      <c r="ER148" s="12">
        <v>10</v>
      </c>
      <c r="ES148" s="12">
        <v>2</v>
      </c>
      <c r="ET148" s="12">
        <v>5</v>
      </c>
      <c r="EU148" s="12">
        <v>76</v>
      </c>
      <c r="EV148" s="12">
        <v>-5</v>
      </c>
      <c r="EW148" s="12">
        <v>69</v>
      </c>
      <c r="EX148" s="12">
        <v>80</v>
      </c>
      <c r="EY148" s="12">
        <v>3</v>
      </c>
      <c r="EZ148" s="12">
        <v>7</v>
      </c>
      <c r="FA148" s="12">
        <v>7</v>
      </c>
      <c r="FB148" s="12">
        <v>0</v>
      </c>
      <c r="FC148" s="12">
        <v>0</v>
      </c>
      <c r="FD148" s="12">
        <v>0</v>
      </c>
      <c r="FE148" s="12">
        <v>0</v>
      </c>
      <c r="FF148" s="12">
        <v>7</v>
      </c>
      <c r="FG148" s="12">
        <v>4</v>
      </c>
      <c r="FH148" s="12">
        <v>0</v>
      </c>
      <c r="FI148" s="12">
        <v>0</v>
      </c>
      <c r="FJ148" s="12">
        <v>0</v>
      </c>
      <c r="FK148" s="12">
        <v>0</v>
      </c>
      <c r="FL148" s="12">
        <v>4</v>
      </c>
      <c r="FM148" s="12">
        <v>0</v>
      </c>
      <c r="FN148" s="12">
        <v>0</v>
      </c>
      <c r="FO148" s="12">
        <v>0</v>
      </c>
      <c r="FP148" s="12">
        <v>0</v>
      </c>
      <c r="FQ148" s="12">
        <v>0</v>
      </c>
      <c r="FR148" s="12">
        <v>3</v>
      </c>
      <c r="FS148" s="12">
        <v>0</v>
      </c>
      <c r="FT148" s="12">
        <v>2</v>
      </c>
      <c r="FU148" s="12">
        <v>0</v>
      </c>
      <c r="FV148" s="12">
        <v>3</v>
      </c>
      <c r="FW148" s="12">
        <v>0</v>
      </c>
      <c r="FX148" s="12">
        <v>9</v>
      </c>
      <c r="FY148" s="12">
        <v>3</v>
      </c>
      <c r="FZ148" s="12">
        <v>3</v>
      </c>
      <c r="GA148" s="12">
        <v>0</v>
      </c>
      <c r="GB148" s="12">
        <v>0</v>
      </c>
      <c r="GC148" s="12">
        <v>0</v>
      </c>
      <c r="GD148" s="12">
        <v>3</v>
      </c>
      <c r="GE148" s="12">
        <v>3</v>
      </c>
      <c r="GF148" s="12">
        <v>5</v>
      </c>
      <c r="GG148" s="12">
        <v>8</v>
      </c>
      <c r="GH148" s="12">
        <v>1</v>
      </c>
      <c r="GI148" s="12">
        <v>0</v>
      </c>
      <c r="GJ148" s="12">
        <v>0</v>
      </c>
      <c r="GK148" s="12">
        <v>0</v>
      </c>
      <c r="GL148" s="12">
        <v>7</v>
      </c>
      <c r="GM148" s="12">
        <v>11</v>
      </c>
      <c r="GN148" s="12">
        <v>8</v>
      </c>
      <c r="GO148" s="12">
        <v>22</v>
      </c>
      <c r="GP148" s="12">
        <v>0</v>
      </c>
      <c r="GQ148" s="12">
        <v>0</v>
      </c>
      <c r="GR148" s="12">
        <v>4</v>
      </c>
      <c r="GS148" s="12">
        <v>4</v>
      </c>
      <c r="GT148" s="12">
        <v>11</v>
      </c>
      <c r="GU148" s="12">
        <v>29</v>
      </c>
      <c r="GV148" s="12">
        <v>0</v>
      </c>
      <c r="GW148" s="12">
        <v>0</v>
      </c>
    </row>
    <row r="149" spans="2:205" ht="15" customHeight="1" x14ac:dyDescent="0.2">
      <c r="B149" s="12">
        <v>9</v>
      </c>
      <c r="C149" s="12" t="s">
        <v>293</v>
      </c>
      <c r="D149" s="12" t="s">
        <v>264</v>
      </c>
      <c r="E149" s="14" t="s">
        <v>295</v>
      </c>
      <c r="F149" s="14" t="s">
        <v>266</v>
      </c>
      <c r="G149" s="15">
        <v>45246</v>
      </c>
      <c r="H149" s="15" t="s">
        <v>268</v>
      </c>
      <c r="I149" s="12" t="s">
        <v>269</v>
      </c>
      <c r="J149" s="12" t="s">
        <v>270</v>
      </c>
      <c r="K149" s="12">
        <v>200</v>
      </c>
      <c r="L149" s="12">
        <v>83</v>
      </c>
      <c r="M149" s="12">
        <v>15</v>
      </c>
      <c r="N149" s="12">
        <v>33</v>
      </c>
      <c r="O149" s="16">
        <v>0.45454545454545453</v>
      </c>
      <c r="P149" s="12">
        <v>15</v>
      </c>
      <c r="Q149" s="12">
        <v>33</v>
      </c>
      <c r="R149" s="16">
        <v>0.45454545454545453</v>
      </c>
      <c r="S149" s="12">
        <v>30</v>
      </c>
      <c r="T149" s="12">
        <v>66</v>
      </c>
      <c r="U149" s="16">
        <v>0.45454545454545453</v>
      </c>
      <c r="V149" s="12">
        <v>8</v>
      </c>
      <c r="W149" s="12">
        <v>11</v>
      </c>
      <c r="X149" s="16">
        <v>0.72727272727272729</v>
      </c>
      <c r="Y149" s="12">
        <v>11</v>
      </c>
      <c r="Z149" s="12">
        <v>20</v>
      </c>
      <c r="AA149" s="12">
        <v>31</v>
      </c>
      <c r="AB149" s="12">
        <v>14</v>
      </c>
      <c r="AC149" s="12">
        <v>10</v>
      </c>
      <c r="AD149" s="12">
        <v>7</v>
      </c>
      <c r="AE149" s="12">
        <v>2</v>
      </c>
      <c r="AF149" s="12">
        <v>5</v>
      </c>
      <c r="AG149" s="12">
        <v>25</v>
      </c>
      <c r="AH149" s="12">
        <v>18</v>
      </c>
      <c r="AI149" s="17">
        <v>76</v>
      </c>
      <c r="AJ149" s="12">
        <v>-5</v>
      </c>
      <c r="AK149" s="12">
        <v>69</v>
      </c>
      <c r="AL149" s="12">
        <v>80</v>
      </c>
      <c r="AM149" s="19">
        <v>1.0375000000000001</v>
      </c>
      <c r="AN149" s="19">
        <v>1.095435684647303</v>
      </c>
      <c r="AO149" s="18">
        <v>120.28985507246377</v>
      </c>
      <c r="AP149" s="18">
        <v>129.41176470588235</v>
      </c>
      <c r="AQ149" s="18">
        <v>-9.1219096334185821</v>
      </c>
      <c r="AR149" s="53">
        <v>0.56818181818181823</v>
      </c>
      <c r="AS149" s="53">
        <v>0.59285714285714286</v>
      </c>
      <c r="AT149" s="16">
        <v>0.13750000000000001</v>
      </c>
      <c r="AU149" s="19">
        <v>1.2727272727272727</v>
      </c>
      <c r="AV149" s="16">
        <v>0.27500000000000002</v>
      </c>
      <c r="AW149" s="19">
        <v>0.72727272727272729</v>
      </c>
      <c r="AX149" s="16">
        <v>0</v>
      </c>
      <c r="AY149" s="19" t="s">
        <v>269</v>
      </c>
      <c r="AZ149" s="16">
        <v>0.05</v>
      </c>
      <c r="BA149" s="19">
        <v>3</v>
      </c>
      <c r="BB149" s="16">
        <v>0.36249999999999999</v>
      </c>
      <c r="BC149" s="21">
        <v>1.1379310344827587</v>
      </c>
      <c r="BD149" s="16">
        <v>0.05</v>
      </c>
      <c r="BE149" s="16">
        <v>0.125</v>
      </c>
      <c r="BF149" s="16">
        <v>0.42424242424242425</v>
      </c>
      <c r="BG149" s="16">
        <v>0.46666666666666667</v>
      </c>
      <c r="BH149" s="16">
        <v>0.46666666666666667</v>
      </c>
      <c r="BI149" s="16">
        <v>0</v>
      </c>
      <c r="BJ149" s="16">
        <v>0.17499999999999999</v>
      </c>
      <c r="BK149" s="21">
        <v>1.4</v>
      </c>
      <c r="BL149" s="16">
        <v>0.28947368421052633</v>
      </c>
      <c r="BM149" s="16">
        <v>0.47826086956521741</v>
      </c>
      <c r="BN149" s="16">
        <v>0.19047619047619047</v>
      </c>
      <c r="BO149" s="16">
        <v>0</v>
      </c>
      <c r="BP149" s="16">
        <v>0.625</v>
      </c>
      <c r="BQ149" s="16">
        <v>0.38461538461538464</v>
      </c>
      <c r="BR149" s="16">
        <v>0.83333333333333337</v>
      </c>
      <c r="BS149" s="16">
        <v>0.75</v>
      </c>
      <c r="BT149" s="16">
        <v>0.44285714285714284</v>
      </c>
      <c r="BU149" s="16">
        <v>0.10294117647058823</v>
      </c>
      <c r="BV149" s="16">
        <v>3.3333333333333333E-2</v>
      </c>
      <c r="BW149" s="16">
        <v>3</v>
      </c>
      <c r="BX149" s="16">
        <v>0.49333333333333335</v>
      </c>
      <c r="BY149" s="16">
        <v>0.3888888888888889</v>
      </c>
      <c r="BZ149" s="12">
        <v>7</v>
      </c>
      <c r="CA149" s="12">
        <v>7</v>
      </c>
      <c r="CB149" s="12">
        <v>0</v>
      </c>
      <c r="CC149" s="12">
        <v>0</v>
      </c>
      <c r="CD149" s="12">
        <v>0</v>
      </c>
      <c r="CE149" s="12">
        <v>0</v>
      </c>
      <c r="CF149" s="12">
        <v>7</v>
      </c>
      <c r="CG149" s="12">
        <v>4</v>
      </c>
      <c r="CH149" s="12">
        <v>0</v>
      </c>
      <c r="CI149" s="12">
        <v>0</v>
      </c>
      <c r="CJ149" s="12">
        <v>0</v>
      </c>
      <c r="CK149" s="12">
        <v>0</v>
      </c>
      <c r="CL149" s="12">
        <v>4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3</v>
      </c>
      <c r="CS149" s="12">
        <v>0</v>
      </c>
      <c r="CT149" s="12">
        <v>2</v>
      </c>
      <c r="CU149" s="12">
        <v>0</v>
      </c>
      <c r="CV149" s="12">
        <v>3</v>
      </c>
      <c r="CW149" s="12">
        <v>0</v>
      </c>
      <c r="CX149" s="12">
        <v>9</v>
      </c>
      <c r="CY149" s="12">
        <v>3</v>
      </c>
      <c r="CZ149" s="12">
        <v>3</v>
      </c>
      <c r="DA149" s="12">
        <v>0</v>
      </c>
      <c r="DB149" s="12">
        <v>0</v>
      </c>
      <c r="DC149" s="12">
        <v>0</v>
      </c>
      <c r="DD149" s="12">
        <v>3</v>
      </c>
      <c r="DE149" s="12">
        <v>3</v>
      </c>
      <c r="DF149" s="12">
        <v>5</v>
      </c>
      <c r="DG149" s="12">
        <v>8</v>
      </c>
      <c r="DH149" s="12">
        <v>1</v>
      </c>
      <c r="DI149" s="12">
        <v>0</v>
      </c>
      <c r="DJ149" s="12">
        <v>0</v>
      </c>
      <c r="DK149" s="12">
        <v>0</v>
      </c>
      <c r="DL149" s="12">
        <v>7</v>
      </c>
      <c r="DM149" s="12">
        <v>11</v>
      </c>
      <c r="DN149" s="12">
        <v>8</v>
      </c>
      <c r="DO149" s="12">
        <v>22</v>
      </c>
      <c r="DP149" s="12">
        <v>0</v>
      </c>
      <c r="DQ149" s="12">
        <v>0</v>
      </c>
      <c r="DR149" s="12">
        <v>4</v>
      </c>
      <c r="DS149" s="12">
        <v>4</v>
      </c>
      <c r="DT149" s="12">
        <v>11</v>
      </c>
      <c r="DU149" s="12">
        <v>29</v>
      </c>
      <c r="DV149" s="12">
        <v>0</v>
      </c>
      <c r="DW149" s="12">
        <v>0</v>
      </c>
      <c r="DX149" s="12">
        <v>88</v>
      </c>
      <c r="DY149" s="12">
        <v>17</v>
      </c>
      <c r="DZ149" s="12">
        <v>30</v>
      </c>
      <c r="EA149" s="16">
        <v>0.56666666666666665</v>
      </c>
      <c r="EB149" s="12">
        <v>13</v>
      </c>
      <c r="EC149" s="12">
        <v>30</v>
      </c>
      <c r="ED149" s="16">
        <v>0.43333333333333335</v>
      </c>
      <c r="EE149" s="12">
        <v>30</v>
      </c>
      <c r="EF149" s="12">
        <v>60</v>
      </c>
      <c r="EG149" s="16">
        <v>0.5</v>
      </c>
      <c r="EH149" s="12">
        <v>15</v>
      </c>
      <c r="EI149" s="12">
        <v>24</v>
      </c>
      <c r="EJ149" s="16">
        <v>0.625</v>
      </c>
      <c r="EK149" s="12">
        <v>12</v>
      </c>
      <c r="EL149" s="12">
        <v>27</v>
      </c>
      <c r="EM149" s="12">
        <v>39</v>
      </c>
      <c r="EN149" s="12">
        <v>26</v>
      </c>
      <c r="EO149" s="12">
        <v>18</v>
      </c>
      <c r="EP149" s="12">
        <v>24</v>
      </c>
      <c r="EQ149" s="12">
        <v>3</v>
      </c>
      <c r="ER149" s="12">
        <v>11</v>
      </c>
      <c r="ES149" s="12">
        <v>5</v>
      </c>
      <c r="ET149" s="12">
        <v>2</v>
      </c>
      <c r="EU149" s="12">
        <v>115</v>
      </c>
      <c r="EV149" s="12">
        <v>5</v>
      </c>
      <c r="EW149" s="12">
        <v>68</v>
      </c>
      <c r="EX149" s="12">
        <v>80.333333333333329</v>
      </c>
      <c r="EY149" s="12">
        <v>5</v>
      </c>
      <c r="EZ149" s="12">
        <v>11</v>
      </c>
      <c r="FA149" s="12">
        <v>12</v>
      </c>
      <c r="FB149" s="12">
        <v>3</v>
      </c>
      <c r="FC149" s="12">
        <v>4</v>
      </c>
      <c r="FD149" s="12">
        <v>3</v>
      </c>
      <c r="FE149" s="12">
        <v>0</v>
      </c>
      <c r="FF149" s="12">
        <v>4</v>
      </c>
      <c r="FG149" s="12">
        <v>0</v>
      </c>
      <c r="FH149" s="12">
        <v>1</v>
      </c>
      <c r="FI149" s="12">
        <v>0</v>
      </c>
      <c r="FJ149" s="12">
        <v>0</v>
      </c>
      <c r="FK149" s="12">
        <v>0</v>
      </c>
      <c r="FL149" s="12">
        <v>3</v>
      </c>
      <c r="FM149" s="12">
        <v>0</v>
      </c>
      <c r="FN149" s="12">
        <v>1</v>
      </c>
      <c r="FO149" s="12">
        <v>0</v>
      </c>
      <c r="FP149" s="12">
        <v>4</v>
      </c>
      <c r="FQ149" s="12">
        <v>0</v>
      </c>
      <c r="FR149" s="12">
        <v>7</v>
      </c>
      <c r="FS149" s="12">
        <v>1</v>
      </c>
      <c r="FT149" s="12">
        <v>0</v>
      </c>
      <c r="FU149" s="12">
        <v>0</v>
      </c>
      <c r="FV149" s="12">
        <v>0</v>
      </c>
      <c r="FW149" s="12">
        <v>0</v>
      </c>
      <c r="FX149" s="12">
        <v>14</v>
      </c>
      <c r="FY149" s="12">
        <v>3</v>
      </c>
      <c r="FZ149" s="12">
        <v>2</v>
      </c>
      <c r="GA149" s="12">
        <v>0</v>
      </c>
      <c r="GB149" s="12">
        <v>0</v>
      </c>
      <c r="GC149" s="12">
        <v>1</v>
      </c>
      <c r="GD149" s="12">
        <v>2</v>
      </c>
      <c r="GE149" s="12">
        <v>3</v>
      </c>
      <c r="GF149" s="12">
        <v>11</v>
      </c>
      <c r="GG149" s="12">
        <v>18</v>
      </c>
      <c r="GH149" s="12">
        <v>1</v>
      </c>
      <c r="GI149" s="12">
        <v>1</v>
      </c>
      <c r="GJ149" s="12">
        <v>1</v>
      </c>
      <c r="GK149" s="12">
        <v>0</v>
      </c>
      <c r="GL149" s="12">
        <v>13</v>
      </c>
      <c r="GM149" s="12">
        <v>16</v>
      </c>
      <c r="GN149" s="12">
        <v>2</v>
      </c>
      <c r="GO149" s="12">
        <v>9</v>
      </c>
      <c r="GP149" s="12">
        <v>2</v>
      </c>
      <c r="GQ149" s="12">
        <v>5</v>
      </c>
      <c r="GR149" s="12">
        <v>4</v>
      </c>
      <c r="GS149" s="12">
        <v>7</v>
      </c>
      <c r="GT149" s="12">
        <v>9</v>
      </c>
      <c r="GU149" s="12">
        <v>23</v>
      </c>
      <c r="GV149" s="12">
        <v>0</v>
      </c>
      <c r="GW149" s="12">
        <v>0</v>
      </c>
    </row>
    <row r="150" spans="2:205" ht="15" customHeight="1" x14ac:dyDescent="0.2">
      <c r="B150" s="12">
        <v>9</v>
      </c>
      <c r="C150" s="12" t="s">
        <v>277</v>
      </c>
      <c r="D150" s="12" t="s">
        <v>289</v>
      </c>
      <c r="E150" s="14" t="s">
        <v>279</v>
      </c>
      <c r="F150" s="14" t="s">
        <v>291</v>
      </c>
      <c r="G150" s="15">
        <v>45246</v>
      </c>
      <c r="H150" s="15" t="s">
        <v>271</v>
      </c>
      <c r="I150" s="12" t="s">
        <v>269</v>
      </c>
      <c r="J150" s="12" t="s">
        <v>272</v>
      </c>
      <c r="K150" s="12">
        <v>200</v>
      </c>
      <c r="L150" s="12">
        <v>92</v>
      </c>
      <c r="M150" s="12">
        <v>20</v>
      </c>
      <c r="N150" s="12">
        <v>31</v>
      </c>
      <c r="O150" s="16">
        <v>0.64516129032258063</v>
      </c>
      <c r="P150" s="12">
        <v>13</v>
      </c>
      <c r="Q150" s="12">
        <v>24</v>
      </c>
      <c r="R150" s="16">
        <v>0.54166666666666663</v>
      </c>
      <c r="S150" s="12">
        <v>33</v>
      </c>
      <c r="T150" s="12">
        <v>55</v>
      </c>
      <c r="U150" s="16">
        <v>0.6</v>
      </c>
      <c r="V150" s="12">
        <v>13</v>
      </c>
      <c r="W150" s="12">
        <v>17</v>
      </c>
      <c r="X150" s="16">
        <v>0.76470588235294112</v>
      </c>
      <c r="Y150" s="12">
        <v>5</v>
      </c>
      <c r="Z150" s="12">
        <v>27</v>
      </c>
      <c r="AA150" s="12">
        <v>32</v>
      </c>
      <c r="AB150" s="12">
        <v>21</v>
      </c>
      <c r="AC150" s="12">
        <v>10</v>
      </c>
      <c r="AD150" s="12">
        <v>1</v>
      </c>
      <c r="AE150" s="12">
        <v>0</v>
      </c>
      <c r="AF150" s="12">
        <v>1</v>
      </c>
      <c r="AG150" s="12">
        <v>23</v>
      </c>
      <c r="AH150" s="12">
        <v>19</v>
      </c>
      <c r="AI150" s="17">
        <v>105</v>
      </c>
      <c r="AJ150" s="12">
        <v>16</v>
      </c>
      <c r="AK150" s="12">
        <v>67</v>
      </c>
      <c r="AL150" s="12">
        <v>72</v>
      </c>
      <c r="AM150" s="19">
        <v>1.2777777777777777</v>
      </c>
      <c r="AN150" s="19">
        <v>1.0410958904109588</v>
      </c>
      <c r="AO150" s="18">
        <v>137.31343283582089</v>
      </c>
      <c r="AP150" s="18">
        <v>113.43283582089552</v>
      </c>
      <c r="AQ150" s="18">
        <v>23.880597014925371</v>
      </c>
      <c r="AR150" s="53">
        <v>0.71818181818181814</v>
      </c>
      <c r="AS150" s="53">
        <v>0.74193548387096775</v>
      </c>
      <c r="AT150" s="16">
        <v>0.18055555555555555</v>
      </c>
      <c r="AU150" s="19">
        <v>1.5384615384615385</v>
      </c>
      <c r="AV150" s="16">
        <v>0.1388888888888889</v>
      </c>
      <c r="AW150" s="19">
        <v>0.8</v>
      </c>
      <c r="AX150" s="16">
        <v>0.1111111111111111</v>
      </c>
      <c r="AY150" s="19">
        <v>1.5</v>
      </c>
      <c r="AZ150" s="16">
        <v>5.5555555555555552E-2</v>
      </c>
      <c r="BA150" s="19">
        <v>2.25</v>
      </c>
      <c r="BB150" s="16">
        <v>0.27777777777777779</v>
      </c>
      <c r="BC150" s="21">
        <v>1.5</v>
      </c>
      <c r="BD150" s="16">
        <v>9.7222222222222224E-2</v>
      </c>
      <c r="BE150" s="16">
        <v>0.1388888888888889</v>
      </c>
      <c r="BF150" s="16">
        <v>0.52500000000000002</v>
      </c>
      <c r="BG150" s="16">
        <v>0.45</v>
      </c>
      <c r="BH150" s="16">
        <v>0.84615384615384615</v>
      </c>
      <c r="BI150" s="16">
        <v>0.14285714285714285</v>
      </c>
      <c r="BJ150" s="16">
        <v>0.29166666666666669</v>
      </c>
      <c r="BK150" s="21">
        <v>2.1</v>
      </c>
      <c r="BL150" s="16">
        <v>0.20833333333333334</v>
      </c>
      <c r="BM150" s="16">
        <v>0.3</v>
      </c>
      <c r="BN150" s="16">
        <v>0.14285714285714285</v>
      </c>
      <c r="BO150" s="16">
        <v>0</v>
      </c>
      <c r="BP150" s="16">
        <v>0.84375</v>
      </c>
      <c r="BQ150" s="16">
        <v>0.9</v>
      </c>
      <c r="BR150" s="16">
        <v>0.7</v>
      </c>
      <c r="BS150" s="16">
        <v>1</v>
      </c>
      <c r="BT150" s="16">
        <v>0.5714285714285714</v>
      </c>
      <c r="BU150" s="16">
        <v>1.4925373134328358E-2</v>
      </c>
      <c r="BV150" s="16">
        <v>0</v>
      </c>
      <c r="BW150" s="16">
        <v>5</v>
      </c>
      <c r="BX150" s="16">
        <v>0.52173913043478259</v>
      </c>
      <c r="BY150" s="16">
        <v>0.47368421052631576</v>
      </c>
      <c r="BZ150" s="12">
        <v>9</v>
      </c>
      <c r="CA150" s="12">
        <v>11</v>
      </c>
      <c r="CB150" s="12">
        <v>1</v>
      </c>
      <c r="CC150" s="12">
        <v>0</v>
      </c>
      <c r="CD150" s="12">
        <v>1</v>
      </c>
      <c r="CE150" s="12">
        <v>0</v>
      </c>
      <c r="CF150" s="12">
        <v>2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2</v>
      </c>
      <c r="CM150" s="12">
        <v>0</v>
      </c>
      <c r="CN150" s="12">
        <v>0</v>
      </c>
      <c r="CO150" s="12">
        <v>0</v>
      </c>
      <c r="CP150" s="12">
        <v>1</v>
      </c>
      <c r="CQ150" s="12">
        <v>0</v>
      </c>
      <c r="CR150" s="12">
        <v>5</v>
      </c>
      <c r="CS150" s="12">
        <v>0</v>
      </c>
      <c r="CT150" s="12">
        <v>3</v>
      </c>
      <c r="CU150" s="12">
        <v>0</v>
      </c>
      <c r="CV150" s="12">
        <v>0</v>
      </c>
      <c r="CW150" s="12">
        <v>0</v>
      </c>
      <c r="CX150" s="12">
        <v>14</v>
      </c>
      <c r="CY150" s="12">
        <v>0</v>
      </c>
      <c r="CZ150" s="12">
        <v>4</v>
      </c>
      <c r="DA150" s="12">
        <v>0</v>
      </c>
      <c r="DB150" s="12">
        <v>0</v>
      </c>
      <c r="DC150" s="12">
        <v>0</v>
      </c>
      <c r="DD150" s="12">
        <v>2</v>
      </c>
      <c r="DE150" s="12">
        <v>2</v>
      </c>
      <c r="DF150" s="12">
        <v>9</v>
      </c>
      <c r="DG150" s="12">
        <v>12</v>
      </c>
      <c r="DH150" s="12">
        <v>0</v>
      </c>
      <c r="DI150" s="12">
        <v>2</v>
      </c>
      <c r="DJ150" s="12">
        <v>3</v>
      </c>
      <c r="DK150" s="12">
        <v>0</v>
      </c>
      <c r="DL150" s="12">
        <v>10</v>
      </c>
      <c r="DM150" s="12">
        <v>13</v>
      </c>
      <c r="DN150" s="12">
        <v>4</v>
      </c>
      <c r="DO150" s="12">
        <v>10</v>
      </c>
      <c r="DP150" s="12">
        <v>6</v>
      </c>
      <c r="DQ150" s="12">
        <v>8</v>
      </c>
      <c r="DR150" s="12">
        <v>3</v>
      </c>
      <c r="DS150" s="12">
        <v>4</v>
      </c>
      <c r="DT150" s="12">
        <v>10</v>
      </c>
      <c r="DU150" s="12">
        <v>20</v>
      </c>
      <c r="DV150" s="12">
        <v>0</v>
      </c>
      <c r="DW150" s="12">
        <v>0</v>
      </c>
      <c r="DX150" s="12">
        <v>76</v>
      </c>
      <c r="DY150" s="12">
        <v>20</v>
      </c>
      <c r="DZ150" s="12">
        <v>31</v>
      </c>
      <c r="EA150" s="16">
        <v>0.64516129032258063</v>
      </c>
      <c r="EB150" s="12">
        <v>7</v>
      </c>
      <c r="EC150" s="12">
        <v>25</v>
      </c>
      <c r="ED150" s="16">
        <v>0.28000000000000003</v>
      </c>
      <c r="EE150" s="12">
        <v>27</v>
      </c>
      <c r="EF150" s="12">
        <v>56</v>
      </c>
      <c r="EG150" s="16">
        <v>0.48214285714285715</v>
      </c>
      <c r="EH150" s="12">
        <v>15</v>
      </c>
      <c r="EI150" s="12">
        <v>21</v>
      </c>
      <c r="EJ150" s="16">
        <v>0.7142857142857143</v>
      </c>
      <c r="EK150" s="12">
        <v>5</v>
      </c>
      <c r="EL150" s="12">
        <v>19</v>
      </c>
      <c r="EM150" s="12">
        <v>24</v>
      </c>
      <c r="EN150" s="12">
        <v>16</v>
      </c>
      <c r="EO150" s="12">
        <v>19</v>
      </c>
      <c r="EP150" s="12">
        <v>23</v>
      </c>
      <c r="EQ150" s="12">
        <v>6</v>
      </c>
      <c r="ER150" s="12">
        <v>8</v>
      </c>
      <c r="ES150" s="12">
        <v>1</v>
      </c>
      <c r="ET150" s="12">
        <v>0</v>
      </c>
      <c r="EU150" s="12">
        <v>84</v>
      </c>
      <c r="EV150" s="12">
        <v>-16</v>
      </c>
      <c r="EW150" s="12">
        <v>67</v>
      </c>
      <c r="EX150" s="12">
        <v>73</v>
      </c>
      <c r="EY150" s="12">
        <v>4</v>
      </c>
      <c r="EZ150" s="12">
        <v>9</v>
      </c>
      <c r="FA150" s="12">
        <v>6</v>
      </c>
      <c r="FB150" s="12">
        <v>1</v>
      </c>
      <c r="FC150" s="12">
        <v>2</v>
      </c>
      <c r="FD150" s="12">
        <v>0</v>
      </c>
      <c r="FE150" s="12">
        <v>0</v>
      </c>
      <c r="FF150" s="12">
        <v>1</v>
      </c>
      <c r="FG150" s="12">
        <v>0</v>
      </c>
      <c r="FH150" s="12">
        <v>0</v>
      </c>
      <c r="FI150" s="12">
        <v>0</v>
      </c>
      <c r="FJ150" s="12">
        <v>0</v>
      </c>
      <c r="FK150" s="12">
        <v>0</v>
      </c>
      <c r="FL150" s="12">
        <v>4</v>
      </c>
      <c r="FM150" s="12">
        <v>2</v>
      </c>
      <c r="FN150" s="12">
        <v>0</v>
      </c>
      <c r="FO150" s="12">
        <v>0</v>
      </c>
      <c r="FP150" s="12">
        <v>2</v>
      </c>
      <c r="FQ150" s="12">
        <v>0</v>
      </c>
      <c r="FR150" s="12">
        <v>3</v>
      </c>
      <c r="FS150" s="12">
        <v>0</v>
      </c>
      <c r="FT150" s="12">
        <v>2</v>
      </c>
      <c r="FU150" s="12">
        <v>0</v>
      </c>
      <c r="FV150" s="12">
        <v>1</v>
      </c>
      <c r="FW150" s="12">
        <v>1</v>
      </c>
      <c r="FX150" s="12">
        <v>8</v>
      </c>
      <c r="FY150" s="12">
        <v>2</v>
      </c>
      <c r="FZ150" s="12">
        <v>3</v>
      </c>
      <c r="GA150" s="12">
        <v>0</v>
      </c>
      <c r="GB150" s="12">
        <v>0</v>
      </c>
      <c r="GC150" s="12">
        <v>0</v>
      </c>
      <c r="GD150" s="12">
        <v>3</v>
      </c>
      <c r="GE150" s="12">
        <v>3</v>
      </c>
      <c r="GF150" s="12">
        <v>12</v>
      </c>
      <c r="GG150" s="12">
        <v>18</v>
      </c>
      <c r="GH150" s="12">
        <v>1</v>
      </c>
      <c r="GI150" s="12">
        <v>0</v>
      </c>
      <c r="GJ150" s="12">
        <v>0</v>
      </c>
      <c r="GK150" s="12">
        <v>0</v>
      </c>
      <c r="GL150" s="12">
        <v>7</v>
      </c>
      <c r="GM150" s="12">
        <v>8</v>
      </c>
      <c r="GN150" s="12">
        <v>11</v>
      </c>
      <c r="GO150" s="12">
        <v>18</v>
      </c>
      <c r="GP150" s="12">
        <v>2</v>
      </c>
      <c r="GQ150" s="12">
        <v>5</v>
      </c>
      <c r="GR150" s="12">
        <v>1</v>
      </c>
      <c r="GS150" s="12">
        <v>1</v>
      </c>
      <c r="GT150" s="12">
        <v>6</v>
      </c>
      <c r="GU150" s="12">
        <v>24</v>
      </c>
      <c r="GV150" s="12">
        <v>0</v>
      </c>
      <c r="GW150" s="12">
        <v>0</v>
      </c>
    </row>
    <row r="151" spans="2:205" ht="15" customHeight="1" x14ac:dyDescent="0.2">
      <c r="B151" s="12">
        <v>9</v>
      </c>
      <c r="C151" s="12" t="s">
        <v>289</v>
      </c>
      <c r="D151" s="12" t="s">
        <v>277</v>
      </c>
      <c r="E151" s="14" t="s">
        <v>291</v>
      </c>
      <c r="F151" s="14" t="s">
        <v>279</v>
      </c>
      <c r="G151" s="15">
        <v>45246</v>
      </c>
      <c r="H151" s="15" t="s">
        <v>268</v>
      </c>
      <c r="I151" s="12" t="s">
        <v>269</v>
      </c>
      <c r="J151" s="12" t="s">
        <v>270</v>
      </c>
      <c r="K151" s="12">
        <v>200</v>
      </c>
      <c r="L151" s="12">
        <v>76</v>
      </c>
      <c r="M151" s="12">
        <v>20</v>
      </c>
      <c r="N151" s="12">
        <v>31</v>
      </c>
      <c r="O151" s="16">
        <v>0.64516129032258063</v>
      </c>
      <c r="P151" s="12">
        <v>7</v>
      </c>
      <c r="Q151" s="12">
        <v>25</v>
      </c>
      <c r="R151" s="16">
        <v>0.28000000000000003</v>
      </c>
      <c r="S151" s="12">
        <v>27</v>
      </c>
      <c r="T151" s="12">
        <v>56</v>
      </c>
      <c r="U151" s="16">
        <v>0.48214285714285715</v>
      </c>
      <c r="V151" s="12">
        <v>15</v>
      </c>
      <c r="W151" s="12">
        <v>21</v>
      </c>
      <c r="X151" s="16">
        <v>0.7142857142857143</v>
      </c>
      <c r="Y151" s="12">
        <v>5</v>
      </c>
      <c r="Z151" s="12">
        <v>19</v>
      </c>
      <c r="AA151" s="12">
        <v>24</v>
      </c>
      <c r="AB151" s="12">
        <v>16</v>
      </c>
      <c r="AC151" s="12">
        <v>8</v>
      </c>
      <c r="AD151" s="12">
        <v>6</v>
      </c>
      <c r="AE151" s="12">
        <v>1</v>
      </c>
      <c r="AF151" s="12">
        <v>0</v>
      </c>
      <c r="AG151" s="12">
        <v>19</v>
      </c>
      <c r="AH151" s="12">
        <v>23</v>
      </c>
      <c r="AI151" s="17">
        <v>84</v>
      </c>
      <c r="AJ151" s="12">
        <v>-16</v>
      </c>
      <c r="AK151" s="12">
        <v>67</v>
      </c>
      <c r="AL151" s="12">
        <v>73</v>
      </c>
      <c r="AM151" s="19">
        <v>1.0410958904109588</v>
      </c>
      <c r="AN151" s="19">
        <v>1.2777777777777777</v>
      </c>
      <c r="AO151" s="18">
        <v>113.43283582089552</v>
      </c>
      <c r="AP151" s="18">
        <v>137.31343283582089</v>
      </c>
      <c r="AQ151" s="18">
        <v>-23.880597014925371</v>
      </c>
      <c r="AR151" s="53">
        <v>0.5446428571428571</v>
      </c>
      <c r="AS151" s="53">
        <v>0.58461538461538465</v>
      </c>
      <c r="AT151" s="16">
        <v>0.1095890410958904</v>
      </c>
      <c r="AU151" s="19">
        <v>1.75</v>
      </c>
      <c r="AV151" s="16">
        <v>0.24657534246575341</v>
      </c>
      <c r="AW151" s="19">
        <v>1.2222222222222223</v>
      </c>
      <c r="AX151" s="16">
        <v>6.8493150684931503E-2</v>
      </c>
      <c r="AY151" s="19">
        <v>0.8</v>
      </c>
      <c r="AZ151" s="16">
        <v>1.3698630136986301E-2</v>
      </c>
      <c r="BA151" s="19">
        <v>3</v>
      </c>
      <c r="BB151" s="16">
        <v>0.32876712328767121</v>
      </c>
      <c r="BC151" s="21">
        <v>0.75</v>
      </c>
      <c r="BD151" s="16">
        <v>0.12328767123287671</v>
      </c>
      <c r="BE151" s="16">
        <v>0.1111111111111111</v>
      </c>
      <c r="BF151" s="16">
        <v>0.45714285714285713</v>
      </c>
      <c r="BG151" s="16">
        <v>0.45</v>
      </c>
      <c r="BH151" s="16">
        <v>0.8571428571428571</v>
      </c>
      <c r="BI151" s="16">
        <v>0.125</v>
      </c>
      <c r="BJ151" s="16">
        <v>0.22222222222222221</v>
      </c>
      <c r="BK151" s="21">
        <v>2</v>
      </c>
      <c r="BL151" s="16">
        <v>0.15625</v>
      </c>
      <c r="BM151" s="16">
        <v>0.1</v>
      </c>
      <c r="BN151" s="16">
        <v>0.3</v>
      </c>
      <c r="BO151" s="16">
        <v>0</v>
      </c>
      <c r="BP151" s="16">
        <v>0.79166666666666663</v>
      </c>
      <c r="BQ151" s="16">
        <v>0.7</v>
      </c>
      <c r="BR151" s="16">
        <v>0.8571428571428571</v>
      </c>
      <c r="BS151" s="16">
        <v>1</v>
      </c>
      <c r="BT151" s="16">
        <v>0.42857142857142855</v>
      </c>
      <c r="BU151" s="16">
        <v>8.9552238805970144E-2</v>
      </c>
      <c r="BV151" s="16">
        <v>1.8181818181818181E-2</v>
      </c>
      <c r="BW151" s="16">
        <v>4</v>
      </c>
      <c r="BX151" s="16">
        <v>0.47368421052631576</v>
      </c>
      <c r="BY151" s="16">
        <v>0.52173913043478259</v>
      </c>
      <c r="BZ151" s="12">
        <v>9</v>
      </c>
      <c r="CA151" s="12">
        <v>6</v>
      </c>
      <c r="CB151" s="12">
        <v>1</v>
      </c>
      <c r="CC151" s="12">
        <v>2</v>
      </c>
      <c r="CD151" s="12">
        <v>0</v>
      </c>
      <c r="CE151" s="12">
        <v>0</v>
      </c>
      <c r="CF151" s="12">
        <v>1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4</v>
      </c>
      <c r="CM151" s="12">
        <v>2</v>
      </c>
      <c r="CN151" s="12">
        <v>0</v>
      </c>
      <c r="CO151" s="12">
        <v>0</v>
      </c>
      <c r="CP151" s="12">
        <v>2</v>
      </c>
      <c r="CQ151" s="12">
        <v>0</v>
      </c>
      <c r="CR151" s="12">
        <v>3</v>
      </c>
      <c r="CS151" s="12">
        <v>0</v>
      </c>
      <c r="CT151" s="12">
        <v>2</v>
      </c>
      <c r="CU151" s="12">
        <v>0</v>
      </c>
      <c r="CV151" s="12">
        <v>1</v>
      </c>
      <c r="CW151" s="12">
        <v>1</v>
      </c>
      <c r="CX151" s="12">
        <v>8</v>
      </c>
      <c r="CY151" s="12">
        <v>2</v>
      </c>
      <c r="CZ151" s="12">
        <v>3</v>
      </c>
      <c r="DA151" s="12">
        <v>0</v>
      </c>
      <c r="DB151" s="12">
        <v>0</v>
      </c>
      <c r="DC151" s="12">
        <v>0</v>
      </c>
      <c r="DD151" s="12">
        <v>3</v>
      </c>
      <c r="DE151" s="12">
        <v>3</v>
      </c>
      <c r="DF151" s="12">
        <v>12</v>
      </c>
      <c r="DG151" s="12">
        <v>18</v>
      </c>
      <c r="DH151" s="12">
        <v>1</v>
      </c>
      <c r="DI151" s="12">
        <v>0</v>
      </c>
      <c r="DJ151" s="12">
        <v>0</v>
      </c>
      <c r="DK151" s="12">
        <v>0</v>
      </c>
      <c r="DL151" s="12">
        <v>7</v>
      </c>
      <c r="DM151" s="12">
        <v>8</v>
      </c>
      <c r="DN151" s="12">
        <v>11</v>
      </c>
      <c r="DO151" s="12">
        <v>18</v>
      </c>
      <c r="DP151" s="12">
        <v>2</v>
      </c>
      <c r="DQ151" s="12">
        <v>5</v>
      </c>
      <c r="DR151" s="12">
        <v>1</v>
      </c>
      <c r="DS151" s="12">
        <v>1</v>
      </c>
      <c r="DT151" s="12">
        <v>6</v>
      </c>
      <c r="DU151" s="12">
        <v>24</v>
      </c>
      <c r="DV151" s="12">
        <v>0</v>
      </c>
      <c r="DW151" s="12">
        <v>0</v>
      </c>
      <c r="DX151" s="12">
        <v>92</v>
      </c>
      <c r="DY151" s="12">
        <v>20</v>
      </c>
      <c r="DZ151" s="12">
        <v>31</v>
      </c>
      <c r="EA151" s="16">
        <v>0.64516129032258063</v>
      </c>
      <c r="EB151" s="12">
        <v>13</v>
      </c>
      <c r="EC151" s="12">
        <v>24</v>
      </c>
      <c r="ED151" s="16">
        <v>0.54166666666666663</v>
      </c>
      <c r="EE151" s="12">
        <v>33</v>
      </c>
      <c r="EF151" s="12">
        <v>55</v>
      </c>
      <c r="EG151" s="16">
        <v>0.6</v>
      </c>
      <c r="EH151" s="12">
        <v>13</v>
      </c>
      <c r="EI151" s="12">
        <v>17</v>
      </c>
      <c r="EJ151" s="16">
        <v>0.76470588235294112</v>
      </c>
      <c r="EK151" s="12">
        <v>5</v>
      </c>
      <c r="EL151" s="12">
        <v>27</v>
      </c>
      <c r="EM151" s="12">
        <v>32</v>
      </c>
      <c r="EN151" s="12">
        <v>21</v>
      </c>
      <c r="EO151" s="12">
        <v>23</v>
      </c>
      <c r="EP151" s="12">
        <v>19</v>
      </c>
      <c r="EQ151" s="12">
        <v>1</v>
      </c>
      <c r="ER151" s="12">
        <v>10</v>
      </c>
      <c r="ES151" s="12">
        <v>0</v>
      </c>
      <c r="ET151" s="12">
        <v>1</v>
      </c>
      <c r="EU151" s="12">
        <v>105</v>
      </c>
      <c r="EV151" s="12">
        <v>16</v>
      </c>
      <c r="EW151" s="12">
        <v>67</v>
      </c>
      <c r="EX151" s="12">
        <v>72</v>
      </c>
      <c r="EY151" s="12">
        <v>5</v>
      </c>
      <c r="EZ151" s="12">
        <v>9</v>
      </c>
      <c r="FA151" s="12">
        <v>11</v>
      </c>
      <c r="FB151" s="12">
        <v>1</v>
      </c>
      <c r="FC151" s="12">
        <v>0</v>
      </c>
      <c r="FD151" s="12">
        <v>1</v>
      </c>
      <c r="FE151" s="12">
        <v>0</v>
      </c>
      <c r="FF151" s="12">
        <v>2</v>
      </c>
      <c r="FG151" s="12">
        <v>0</v>
      </c>
      <c r="FH151" s="12">
        <v>0</v>
      </c>
      <c r="FI151" s="12">
        <v>0</v>
      </c>
      <c r="FJ151" s="12">
        <v>0</v>
      </c>
      <c r="FK151" s="12">
        <v>0</v>
      </c>
      <c r="FL151" s="12">
        <v>2</v>
      </c>
      <c r="FM151" s="12">
        <v>0</v>
      </c>
      <c r="FN151" s="12">
        <v>0</v>
      </c>
      <c r="FO151" s="12">
        <v>0</v>
      </c>
      <c r="FP151" s="12">
        <v>1</v>
      </c>
      <c r="FQ151" s="12">
        <v>0</v>
      </c>
      <c r="FR151" s="12">
        <v>5</v>
      </c>
      <c r="FS151" s="12">
        <v>0</v>
      </c>
      <c r="FT151" s="12">
        <v>3</v>
      </c>
      <c r="FU151" s="12">
        <v>0</v>
      </c>
      <c r="FV151" s="12">
        <v>0</v>
      </c>
      <c r="FW151" s="12">
        <v>0</v>
      </c>
      <c r="FX151" s="12">
        <v>14</v>
      </c>
      <c r="FY151" s="12">
        <v>0</v>
      </c>
      <c r="FZ151" s="12">
        <v>4</v>
      </c>
      <c r="GA151" s="12">
        <v>0</v>
      </c>
      <c r="GB151" s="12">
        <v>0</v>
      </c>
      <c r="GC151" s="12">
        <v>0</v>
      </c>
      <c r="GD151" s="12">
        <v>2</v>
      </c>
      <c r="GE151" s="12">
        <v>2</v>
      </c>
      <c r="GF151" s="12">
        <v>9</v>
      </c>
      <c r="GG151" s="12">
        <v>12</v>
      </c>
      <c r="GH151" s="12">
        <v>0</v>
      </c>
      <c r="GI151" s="12">
        <v>2</v>
      </c>
      <c r="GJ151" s="12">
        <v>3</v>
      </c>
      <c r="GK151" s="12">
        <v>0</v>
      </c>
      <c r="GL151" s="12">
        <v>10</v>
      </c>
      <c r="GM151" s="12">
        <v>13</v>
      </c>
      <c r="GN151" s="12">
        <v>4</v>
      </c>
      <c r="GO151" s="12">
        <v>10</v>
      </c>
      <c r="GP151" s="12">
        <v>6</v>
      </c>
      <c r="GQ151" s="12">
        <v>8</v>
      </c>
      <c r="GR151" s="12">
        <v>3</v>
      </c>
      <c r="GS151" s="12">
        <v>4</v>
      </c>
      <c r="GT151" s="12">
        <v>10</v>
      </c>
      <c r="GU151" s="12">
        <v>20</v>
      </c>
      <c r="GV151" s="12">
        <v>0</v>
      </c>
      <c r="GW151" s="12">
        <v>0</v>
      </c>
    </row>
    <row r="152" spans="2:205" ht="15" customHeight="1" x14ac:dyDescent="0.2">
      <c r="B152" s="12">
        <v>9</v>
      </c>
      <c r="C152" s="12" t="s">
        <v>301</v>
      </c>
      <c r="D152" s="12" t="s">
        <v>298</v>
      </c>
      <c r="E152" s="14" t="s">
        <v>302</v>
      </c>
      <c r="F152" s="14" t="s">
        <v>300</v>
      </c>
      <c r="G152" s="15">
        <v>45246</v>
      </c>
      <c r="H152" s="15" t="s">
        <v>271</v>
      </c>
      <c r="I152" s="12" t="s">
        <v>269</v>
      </c>
      <c r="J152" s="12" t="s">
        <v>272</v>
      </c>
      <c r="K152" s="12">
        <v>200</v>
      </c>
      <c r="L152" s="12">
        <v>91</v>
      </c>
      <c r="M152" s="12">
        <v>18</v>
      </c>
      <c r="N152" s="12">
        <v>21</v>
      </c>
      <c r="O152" s="16">
        <v>0.8571428571428571</v>
      </c>
      <c r="P152" s="12">
        <v>12</v>
      </c>
      <c r="Q152" s="12">
        <v>34</v>
      </c>
      <c r="R152" s="16">
        <v>0.35294117647058826</v>
      </c>
      <c r="S152" s="12">
        <v>30</v>
      </c>
      <c r="T152" s="12">
        <v>55</v>
      </c>
      <c r="U152" s="16">
        <v>0.54545454545454541</v>
      </c>
      <c r="V152" s="12">
        <v>19</v>
      </c>
      <c r="W152" s="12">
        <v>20</v>
      </c>
      <c r="X152" s="16">
        <v>0.95</v>
      </c>
      <c r="Y152" s="12">
        <v>5</v>
      </c>
      <c r="Z152" s="12">
        <v>34</v>
      </c>
      <c r="AA152" s="12">
        <v>39</v>
      </c>
      <c r="AB152" s="12">
        <v>27</v>
      </c>
      <c r="AC152" s="12">
        <v>12</v>
      </c>
      <c r="AD152" s="12">
        <v>3</v>
      </c>
      <c r="AE152" s="12">
        <v>8</v>
      </c>
      <c r="AF152" s="12">
        <v>0</v>
      </c>
      <c r="AG152" s="12">
        <v>18</v>
      </c>
      <c r="AH152" s="12">
        <v>21</v>
      </c>
      <c r="AI152" s="17">
        <v>133</v>
      </c>
      <c r="AJ152" s="12">
        <v>18</v>
      </c>
      <c r="AK152" s="12">
        <v>71</v>
      </c>
      <c r="AL152" s="12">
        <v>76</v>
      </c>
      <c r="AM152" s="19">
        <v>1.1973684210526316</v>
      </c>
      <c r="AN152" s="19">
        <v>0.85882352941176465</v>
      </c>
      <c r="AO152" s="18">
        <v>128.16901408450704</v>
      </c>
      <c r="AP152" s="18">
        <v>100</v>
      </c>
      <c r="AQ152" s="18">
        <v>28.16901408450704</v>
      </c>
      <c r="AR152" s="53">
        <v>0.65454545454545454</v>
      </c>
      <c r="AS152" s="53">
        <v>0.7109375</v>
      </c>
      <c r="AT152" s="16">
        <v>0.22368421052631579</v>
      </c>
      <c r="AU152" s="19">
        <v>1.8823529411764706</v>
      </c>
      <c r="AV152" s="16">
        <v>5.2631578947368418E-2</v>
      </c>
      <c r="AW152" s="19">
        <v>1</v>
      </c>
      <c r="AX152" s="16">
        <v>0</v>
      </c>
      <c r="AY152" s="19" t="s">
        <v>269</v>
      </c>
      <c r="AZ152" s="16">
        <v>0.11842105263157894</v>
      </c>
      <c r="BA152" s="19">
        <v>1.6666666666666667</v>
      </c>
      <c r="BB152" s="16">
        <v>0.32894736842105265</v>
      </c>
      <c r="BC152" s="21">
        <v>0.84</v>
      </c>
      <c r="BD152" s="16">
        <v>0.11842105263157894</v>
      </c>
      <c r="BE152" s="16">
        <v>0.15789473684210525</v>
      </c>
      <c r="BF152" s="16">
        <v>0.69230769230769229</v>
      </c>
      <c r="BG152" s="16">
        <v>0.61111111111111116</v>
      </c>
      <c r="BH152" s="16">
        <v>0.91666666666666663</v>
      </c>
      <c r="BI152" s="16">
        <v>0.55555555555555558</v>
      </c>
      <c r="BJ152" s="16">
        <v>0.35526315789473684</v>
      </c>
      <c r="BK152" s="21">
        <v>2.25</v>
      </c>
      <c r="BL152" s="16">
        <v>0.18518518518518517</v>
      </c>
      <c r="BM152" s="16">
        <v>0.25</v>
      </c>
      <c r="BN152" s="16">
        <v>0.19230769230769232</v>
      </c>
      <c r="BO152" s="16">
        <v>0</v>
      </c>
      <c r="BP152" s="16">
        <v>0.75555555555555554</v>
      </c>
      <c r="BQ152" s="16">
        <v>0.72413793103448276</v>
      </c>
      <c r="BR152" s="16">
        <v>0.72222222222222221</v>
      </c>
      <c r="BS152" s="16" t="s">
        <v>269</v>
      </c>
      <c r="BT152" s="16">
        <v>0.54166666666666663</v>
      </c>
      <c r="BU152" s="16">
        <v>4.1095890410958902E-2</v>
      </c>
      <c r="BV152" s="16">
        <v>0.1095890410958904</v>
      </c>
      <c r="BW152" s="16">
        <v>6</v>
      </c>
      <c r="BX152" s="16">
        <v>0.3888888888888889</v>
      </c>
      <c r="BY152" s="16">
        <v>0.52380952380952384</v>
      </c>
      <c r="BZ152" s="12">
        <v>11</v>
      </c>
      <c r="CA152" s="12">
        <v>11</v>
      </c>
      <c r="CB152" s="12">
        <v>5</v>
      </c>
      <c r="CC152" s="12">
        <v>10</v>
      </c>
      <c r="CD152" s="12">
        <v>0</v>
      </c>
      <c r="CE152" s="12">
        <v>0</v>
      </c>
      <c r="CF152" s="12">
        <v>1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4</v>
      </c>
      <c r="CM152" s="12">
        <v>1</v>
      </c>
      <c r="CN152" s="12">
        <v>0</v>
      </c>
      <c r="CO152" s="12">
        <v>0</v>
      </c>
      <c r="CP152" s="12">
        <v>7</v>
      </c>
      <c r="CQ152" s="12">
        <v>0</v>
      </c>
      <c r="CR152" s="12">
        <v>12</v>
      </c>
      <c r="CS152" s="12">
        <v>0</v>
      </c>
      <c r="CT152" s="12">
        <v>2</v>
      </c>
      <c r="CU152" s="12">
        <v>0</v>
      </c>
      <c r="CV152" s="12">
        <v>0</v>
      </c>
      <c r="CW152" s="12">
        <v>0</v>
      </c>
      <c r="CX152" s="12">
        <v>12</v>
      </c>
      <c r="CY152" s="12">
        <v>1</v>
      </c>
      <c r="CZ152" s="12">
        <v>0</v>
      </c>
      <c r="DA152" s="12">
        <v>0</v>
      </c>
      <c r="DB152" s="12">
        <v>0</v>
      </c>
      <c r="DC152" s="12">
        <v>0</v>
      </c>
      <c r="DD152" s="12">
        <v>1</v>
      </c>
      <c r="DE152" s="12">
        <v>2</v>
      </c>
      <c r="DF152" s="12">
        <v>18</v>
      </c>
      <c r="DG152" s="12">
        <v>18</v>
      </c>
      <c r="DH152" s="12">
        <v>0</v>
      </c>
      <c r="DI152" s="12">
        <v>0</v>
      </c>
      <c r="DJ152" s="12">
        <v>0</v>
      </c>
      <c r="DK152" s="12">
        <v>0</v>
      </c>
      <c r="DL152" s="12">
        <v>16</v>
      </c>
      <c r="DM152" s="12">
        <v>17</v>
      </c>
      <c r="DN152" s="12">
        <v>2</v>
      </c>
      <c r="DO152" s="12">
        <v>4</v>
      </c>
      <c r="DP152" s="12">
        <v>0</v>
      </c>
      <c r="DQ152" s="12">
        <v>0</v>
      </c>
      <c r="DR152" s="12">
        <v>5</v>
      </c>
      <c r="DS152" s="12">
        <v>9</v>
      </c>
      <c r="DT152" s="12">
        <v>7</v>
      </c>
      <c r="DU152" s="12">
        <v>25</v>
      </c>
      <c r="DV152" s="12">
        <v>0</v>
      </c>
      <c r="DW152" s="12">
        <v>0</v>
      </c>
      <c r="DX152" s="12">
        <v>73</v>
      </c>
      <c r="DY152" s="12">
        <v>19</v>
      </c>
      <c r="DZ152" s="12">
        <v>49</v>
      </c>
      <c r="EA152" s="16">
        <v>0.38775510204081631</v>
      </c>
      <c r="EB152" s="12">
        <v>8</v>
      </c>
      <c r="EC152" s="12">
        <v>24</v>
      </c>
      <c r="ED152" s="16">
        <v>0.33333333333333331</v>
      </c>
      <c r="EE152" s="12">
        <v>27</v>
      </c>
      <c r="EF152" s="12">
        <v>73</v>
      </c>
      <c r="EG152" s="16">
        <v>0.36986301369863012</v>
      </c>
      <c r="EH152" s="12">
        <v>11</v>
      </c>
      <c r="EI152" s="12">
        <v>11</v>
      </c>
      <c r="EJ152" s="16">
        <v>1</v>
      </c>
      <c r="EK152" s="12">
        <v>11</v>
      </c>
      <c r="EL152" s="12">
        <v>22</v>
      </c>
      <c r="EM152" s="12">
        <v>33</v>
      </c>
      <c r="EN152" s="12">
        <v>17</v>
      </c>
      <c r="EO152" s="12">
        <v>21</v>
      </c>
      <c r="EP152" s="12">
        <v>18</v>
      </c>
      <c r="EQ152" s="12">
        <v>8</v>
      </c>
      <c r="ER152" s="12">
        <v>8</v>
      </c>
      <c r="ES152" s="12">
        <v>0</v>
      </c>
      <c r="ET152" s="12">
        <v>8</v>
      </c>
      <c r="EU152" s="12">
        <v>66</v>
      </c>
      <c r="EV152" s="12">
        <v>-18</v>
      </c>
      <c r="EW152" s="12">
        <v>73</v>
      </c>
      <c r="EX152" s="12">
        <v>85</v>
      </c>
      <c r="EY152" s="12">
        <v>5</v>
      </c>
      <c r="EZ152" s="12">
        <v>9</v>
      </c>
      <c r="FA152" s="12">
        <v>7</v>
      </c>
      <c r="FB152" s="12">
        <v>1</v>
      </c>
      <c r="FC152" s="12">
        <v>2</v>
      </c>
      <c r="FD152" s="12">
        <v>2</v>
      </c>
      <c r="FE152" s="12">
        <v>0</v>
      </c>
      <c r="FF152" s="12">
        <v>3</v>
      </c>
      <c r="FG152" s="12">
        <v>1</v>
      </c>
      <c r="FH152" s="12">
        <v>2</v>
      </c>
      <c r="FI152" s="12">
        <v>0</v>
      </c>
      <c r="FJ152" s="12">
        <v>2</v>
      </c>
      <c r="FK152" s="12">
        <v>1</v>
      </c>
      <c r="FL152" s="12">
        <v>2</v>
      </c>
      <c r="FM152" s="12">
        <v>0</v>
      </c>
      <c r="FN152" s="12">
        <v>0</v>
      </c>
      <c r="FO152" s="12">
        <v>0</v>
      </c>
      <c r="FP152" s="12">
        <v>2</v>
      </c>
      <c r="FQ152" s="12">
        <v>0</v>
      </c>
      <c r="FR152" s="12">
        <v>1</v>
      </c>
      <c r="FS152" s="12">
        <v>0</v>
      </c>
      <c r="FT152" s="12">
        <v>0</v>
      </c>
      <c r="FU152" s="12">
        <v>0</v>
      </c>
      <c r="FV152" s="12">
        <v>4</v>
      </c>
      <c r="FW152" s="12">
        <v>1</v>
      </c>
      <c r="FX152" s="12">
        <v>14</v>
      </c>
      <c r="FY152" s="12">
        <v>2</v>
      </c>
      <c r="FZ152" s="12">
        <v>1</v>
      </c>
      <c r="GA152" s="12">
        <v>0</v>
      </c>
      <c r="GB152" s="12">
        <v>0</v>
      </c>
      <c r="GC152" s="12">
        <v>0</v>
      </c>
      <c r="GD152" s="12">
        <v>3</v>
      </c>
      <c r="GE152" s="12">
        <v>3</v>
      </c>
      <c r="GF152" s="12">
        <v>8</v>
      </c>
      <c r="GG152" s="12">
        <v>8</v>
      </c>
      <c r="GH152" s="12">
        <v>0</v>
      </c>
      <c r="GI152" s="12">
        <v>0</v>
      </c>
      <c r="GJ152" s="12">
        <v>0</v>
      </c>
      <c r="GK152" s="12">
        <v>0</v>
      </c>
      <c r="GL152" s="12">
        <v>15</v>
      </c>
      <c r="GM152" s="12">
        <v>25</v>
      </c>
      <c r="GN152" s="12">
        <v>4</v>
      </c>
      <c r="GO152" s="12">
        <v>19</v>
      </c>
      <c r="GP152" s="12">
        <v>0</v>
      </c>
      <c r="GQ152" s="12">
        <v>5</v>
      </c>
      <c r="GR152" s="12">
        <v>0</v>
      </c>
      <c r="GS152" s="12">
        <v>2</v>
      </c>
      <c r="GT152" s="12">
        <v>8</v>
      </c>
      <c r="GU152" s="12">
        <v>22</v>
      </c>
      <c r="GV152" s="12">
        <v>0</v>
      </c>
      <c r="GW152" s="12">
        <v>0</v>
      </c>
    </row>
    <row r="153" spans="2:205" ht="15" customHeight="1" x14ac:dyDescent="0.2">
      <c r="B153" s="12">
        <v>9</v>
      </c>
      <c r="C153" s="12" t="s">
        <v>298</v>
      </c>
      <c r="D153" s="12" t="s">
        <v>301</v>
      </c>
      <c r="E153" s="14" t="s">
        <v>300</v>
      </c>
      <c r="F153" s="14" t="s">
        <v>302</v>
      </c>
      <c r="G153" s="15">
        <v>45246</v>
      </c>
      <c r="H153" s="15" t="s">
        <v>268</v>
      </c>
      <c r="I153" s="12" t="s">
        <v>269</v>
      </c>
      <c r="J153" s="12" t="s">
        <v>270</v>
      </c>
      <c r="K153" s="12">
        <v>200</v>
      </c>
      <c r="L153" s="12">
        <v>73</v>
      </c>
      <c r="M153" s="12">
        <v>19</v>
      </c>
      <c r="N153" s="12">
        <v>49</v>
      </c>
      <c r="O153" s="16">
        <v>0.38775510204081631</v>
      </c>
      <c r="P153" s="12">
        <v>8</v>
      </c>
      <c r="Q153" s="12">
        <v>24</v>
      </c>
      <c r="R153" s="16">
        <v>0.33333333333333331</v>
      </c>
      <c r="S153" s="12">
        <v>27</v>
      </c>
      <c r="T153" s="12">
        <v>73</v>
      </c>
      <c r="U153" s="16">
        <v>0.36986301369863012</v>
      </c>
      <c r="V153" s="12">
        <v>11</v>
      </c>
      <c r="W153" s="12">
        <v>11</v>
      </c>
      <c r="X153" s="16">
        <v>1</v>
      </c>
      <c r="Y153" s="12">
        <v>11</v>
      </c>
      <c r="Z153" s="12">
        <v>22</v>
      </c>
      <c r="AA153" s="12">
        <v>33</v>
      </c>
      <c r="AB153" s="12">
        <v>17</v>
      </c>
      <c r="AC153" s="12">
        <v>8</v>
      </c>
      <c r="AD153" s="12">
        <v>8</v>
      </c>
      <c r="AE153" s="12">
        <v>0</v>
      </c>
      <c r="AF153" s="12">
        <v>8</v>
      </c>
      <c r="AG153" s="12">
        <v>21</v>
      </c>
      <c r="AH153" s="12">
        <v>18</v>
      </c>
      <c r="AI153" s="17">
        <v>66</v>
      </c>
      <c r="AJ153" s="12">
        <v>-18</v>
      </c>
      <c r="AK153" s="12">
        <v>73</v>
      </c>
      <c r="AL153" s="12">
        <v>85</v>
      </c>
      <c r="AM153" s="19">
        <v>0.85882352941176465</v>
      </c>
      <c r="AN153" s="19">
        <v>1.1973684210526316</v>
      </c>
      <c r="AO153" s="18">
        <v>100</v>
      </c>
      <c r="AP153" s="18">
        <v>128.16901408450704</v>
      </c>
      <c r="AQ153" s="18">
        <v>-28.16901408450704</v>
      </c>
      <c r="AR153" s="53">
        <v>0.42465753424657532</v>
      </c>
      <c r="AS153" s="53">
        <v>0.47402597402597402</v>
      </c>
      <c r="AT153" s="16">
        <v>0.29411764705882354</v>
      </c>
      <c r="AU153" s="19">
        <v>1.2</v>
      </c>
      <c r="AV153" s="16">
        <v>0.22352941176470589</v>
      </c>
      <c r="AW153" s="19">
        <v>0.42105263157894735</v>
      </c>
      <c r="AX153" s="16">
        <v>5.8823529411764705E-2</v>
      </c>
      <c r="AY153" s="19">
        <v>0</v>
      </c>
      <c r="AZ153" s="16">
        <v>2.3529411764705882E-2</v>
      </c>
      <c r="BA153" s="19">
        <v>0</v>
      </c>
      <c r="BB153" s="16">
        <v>0.25882352941176473</v>
      </c>
      <c r="BC153" s="21">
        <v>1.0909090909090908</v>
      </c>
      <c r="BD153" s="16">
        <v>4.7058823529411764E-2</v>
      </c>
      <c r="BE153" s="16">
        <v>9.5238095238095233E-2</v>
      </c>
      <c r="BF153" s="16">
        <v>0.54838709677419351</v>
      </c>
      <c r="BG153" s="16">
        <v>0.47368421052631576</v>
      </c>
      <c r="BH153" s="16">
        <v>0.875</v>
      </c>
      <c r="BI153" s="16">
        <v>0.25</v>
      </c>
      <c r="BJ153" s="16">
        <v>0.20238095238095238</v>
      </c>
      <c r="BK153" s="21">
        <v>2.125</v>
      </c>
      <c r="BL153" s="16">
        <v>0.24444444444444444</v>
      </c>
      <c r="BM153" s="16">
        <v>0.27586206896551724</v>
      </c>
      <c r="BN153" s="16">
        <v>0.27777777777777779</v>
      </c>
      <c r="BO153" s="16" t="s">
        <v>269</v>
      </c>
      <c r="BP153" s="16">
        <v>0.81481481481481477</v>
      </c>
      <c r="BQ153" s="16">
        <v>0.75</v>
      </c>
      <c r="BR153" s="16">
        <v>0.80769230769230771</v>
      </c>
      <c r="BS153" s="16">
        <v>1</v>
      </c>
      <c r="BT153" s="16">
        <v>0.45833333333333331</v>
      </c>
      <c r="BU153" s="16">
        <v>0.11267605633802817</v>
      </c>
      <c r="BV153" s="16">
        <v>0</v>
      </c>
      <c r="BW153" s="16">
        <v>5</v>
      </c>
      <c r="BX153" s="16">
        <v>0.47619047619047616</v>
      </c>
      <c r="BY153" s="16">
        <v>0.3888888888888889</v>
      </c>
      <c r="BZ153" s="12">
        <v>9</v>
      </c>
      <c r="CA153" s="12">
        <v>7</v>
      </c>
      <c r="CB153" s="12">
        <v>1</v>
      </c>
      <c r="CC153" s="12">
        <v>2</v>
      </c>
      <c r="CD153" s="12">
        <v>2</v>
      </c>
      <c r="CE153" s="12">
        <v>0</v>
      </c>
      <c r="CF153" s="12">
        <v>3</v>
      </c>
      <c r="CG153" s="12">
        <v>1</v>
      </c>
      <c r="CH153" s="12">
        <v>2</v>
      </c>
      <c r="CI153" s="12">
        <v>0</v>
      </c>
      <c r="CJ153" s="12">
        <v>2</v>
      </c>
      <c r="CK153" s="12">
        <v>1</v>
      </c>
      <c r="CL153" s="12">
        <v>2</v>
      </c>
      <c r="CM153" s="12">
        <v>0</v>
      </c>
      <c r="CN153" s="12">
        <v>0</v>
      </c>
      <c r="CO153" s="12">
        <v>0</v>
      </c>
      <c r="CP153" s="12">
        <v>2</v>
      </c>
      <c r="CQ153" s="12">
        <v>0</v>
      </c>
      <c r="CR153" s="12">
        <v>1</v>
      </c>
      <c r="CS153" s="12">
        <v>0</v>
      </c>
      <c r="CT153" s="12">
        <v>0</v>
      </c>
      <c r="CU153" s="12">
        <v>0</v>
      </c>
      <c r="CV153" s="12">
        <v>4</v>
      </c>
      <c r="CW153" s="12">
        <v>1</v>
      </c>
      <c r="CX153" s="12">
        <v>14</v>
      </c>
      <c r="CY153" s="12">
        <v>2</v>
      </c>
      <c r="CZ153" s="12">
        <v>1</v>
      </c>
      <c r="DA153" s="12">
        <v>0</v>
      </c>
      <c r="DB153" s="12">
        <v>0</v>
      </c>
      <c r="DC153" s="12">
        <v>0</v>
      </c>
      <c r="DD153" s="12">
        <v>3</v>
      </c>
      <c r="DE153" s="12">
        <v>3</v>
      </c>
      <c r="DF153" s="12">
        <v>8</v>
      </c>
      <c r="DG153" s="12">
        <v>8</v>
      </c>
      <c r="DH153" s="12">
        <v>0</v>
      </c>
      <c r="DI153" s="12">
        <v>0</v>
      </c>
      <c r="DJ153" s="12">
        <v>0</v>
      </c>
      <c r="DK153" s="12">
        <v>0</v>
      </c>
      <c r="DL153" s="12">
        <v>15</v>
      </c>
      <c r="DM153" s="12">
        <v>25</v>
      </c>
      <c r="DN153" s="12">
        <v>4</v>
      </c>
      <c r="DO153" s="12">
        <v>19</v>
      </c>
      <c r="DP153" s="12">
        <v>0</v>
      </c>
      <c r="DQ153" s="12">
        <v>5</v>
      </c>
      <c r="DR153" s="12">
        <v>0</v>
      </c>
      <c r="DS153" s="12">
        <v>2</v>
      </c>
      <c r="DT153" s="12">
        <v>8</v>
      </c>
      <c r="DU153" s="12">
        <v>22</v>
      </c>
      <c r="DV153" s="12">
        <v>0</v>
      </c>
      <c r="DW153" s="12">
        <v>0</v>
      </c>
      <c r="DX153" s="12">
        <v>91</v>
      </c>
      <c r="DY153" s="12">
        <v>18</v>
      </c>
      <c r="DZ153" s="12">
        <v>21</v>
      </c>
      <c r="EA153" s="16">
        <v>0.8571428571428571</v>
      </c>
      <c r="EB153" s="12">
        <v>12</v>
      </c>
      <c r="EC153" s="12">
        <v>34</v>
      </c>
      <c r="ED153" s="16">
        <v>0.35294117647058826</v>
      </c>
      <c r="EE153" s="12">
        <v>30</v>
      </c>
      <c r="EF153" s="12">
        <v>55</v>
      </c>
      <c r="EG153" s="16">
        <v>0.54545454545454541</v>
      </c>
      <c r="EH153" s="12">
        <v>19</v>
      </c>
      <c r="EI153" s="12">
        <v>20</v>
      </c>
      <c r="EJ153" s="16">
        <v>0.95</v>
      </c>
      <c r="EK153" s="12">
        <v>5</v>
      </c>
      <c r="EL153" s="12">
        <v>34</v>
      </c>
      <c r="EM153" s="12">
        <v>39</v>
      </c>
      <c r="EN153" s="12">
        <v>27</v>
      </c>
      <c r="EO153" s="12">
        <v>18</v>
      </c>
      <c r="EP153" s="12">
        <v>21</v>
      </c>
      <c r="EQ153" s="12">
        <v>3</v>
      </c>
      <c r="ER153" s="12">
        <v>12</v>
      </c>
      <c r="ES153" s="12">
        <v>8</v>
      </c>
      <c r="ET153" s="12">
        <v>0</v>
      </c>
      <c r="EU153" s="12">
        <v>133</v>
      </c>
      <c r="EV153" s="12">
        <v>18</v>
      </c>
      <c r="EW153" s="12">
        <v>71</v>
      </c>
      <c r="EX153" s="12">
        <v>76</v>
      </c>
      <c r="EY153" s="12">
        <v>6</v>
      </c>
      <c r="EZ153" s="12">
        <v>11</v>
      </c>
      <c r="FA153" s="12">
        <v>11</v>
      </c>
      <c r="FB153" s="12">
        <v>5</v>
      </c>
      <c r="FC153" s="12">
        <v>10</v>
      </c>
      <c r="FD153" s="12">
        <v>0</v>
      </c>
      <c r="FE153" s="12">
        <v>0</v>
      </c>
      <c r="FF153" s="12">
        <v>1</v>
      </c>
      <c r="FG153" s="12">
        <v>0</v>
      </c>
      <c r="FH153" s="12">
        <v>0</v>
      </c>
      <c r="FI153" s="12">
        <v>0</v>
      </c>
      <c r="FJ153" s="12">
        <v>0</v>
      </c>
      <c r="FK153" s="12">
        <v>0</v>
      </c>
      <c r="FL153" s="12">
        <v>4</v>
      </c>
      <c r="FM153" s="12">
        <v>1</v>
      </c>
      <c r="FN153" s="12">
        <v>0</v>
      </c>
      <c r="FO153" s="12">
        <v>0</v>
      </c>
      <c r="FP153" s="12">
        <v>7</v>
      </c>
      <c r="FQ153" s="12">
        <v>0</v>
      </c>
      <c r="FR153" s="12">
        <v>12</v>
      </c>
      <c r="FS153" s="12">
        <v>0</v>
      </c>
      <c r="FT153" s="12">
        <v>2</v>
      </c>
      <c r="FU153" s="12">
        <v>0</v>
      </c>
      <c r="FV153" s="12">
        <v>0</v>
      </c>
      <c r="FW153" s="12">
        <v>0</v>
      </c>
      <c r="FX153" s="12">
        <v>12</v>
      </c>
      <c r="FY153" s="12">
        <v>1</v>
      </c>
      <c r="FZ153" s="12">
        <v>0</v>
      </c>
      <c r="GA153" s="12">
        <v>0</v>
      </c>
      <c r="GB153" s="12">
        <v>0</v>
      </c>
      <c r="GC153" s="12">
        <v>0</v>
      </c>
      <c r="GD153" s="12">
        <v>0</v>
      </c>
      <c r="GE153" s="12">
        <v>1</v>
      </c>
      <c r="GF153" s="12">
        <v>18</v>
      </c>
      <c r="GG153" s="12">
        <v>18</v>
      </c>
      <c r="GH153" s="12">
        <v>0</v>
      </c>
      <c r="GI153" s="12">
        <v>0</v>
      </c>
      <c r="GJ153" s="12">
        <v>0</v>
      </c>
      <c r="GK153" s="12">
        <v>0</v>
      </c>
      <c r="GL153" s="12">
        <v>16</v>
      </c>
      <c r="GM153" s="12">
        <v>17</v>
      </c>
      <c r="GN153" s="12">
        <v>2</v>
      </c>
      <c r="GO153" s="12">
        <v>4</v>
      </c>
      <c r="GP153" s="12">
        <v>0</v>
      </c>
      <c r="GQ153" s="12">
        <v>0</v>
      </c>
      <c r="GR153" s="12">
        <v>5</v>
      </c>
      <c r="GS153" s="12">
        <v>9</v>
      </c>
      <c r="GT153" s="12">
        <v>7</v>
      </c>
      <c r="GU153" s="12">
        <v>25</v>
      </c>
      <c r="GV153" s="12">
        <v>0</v>
      </c>
      <c r="GW153" s="12">
        <v>0</v>
      </c>
    </row>
    <row r="154" spans="2:205" ht="15" customHeight="1" x14ac:dyDescent="0.2">
      <c r="B154" s="12">
        <v>9</v>
      </c>
      <c r="C154" s="12" t="s">
        <v>282</v>
      </c>
      <c r="D154" s="12" t="s">
        <v>286</v>
      </c>
      <c r="E154" s="14" t="s">
        <v>284</v>
      </c>
      <c r="F154" s="14" t="s">
        <v>288</v>
      </c>
      <c r="G154" s="15">
        <v>45247</v>
      </c>
      <c r="H154" s="15" t="s">
        <v>271</v>
      </c>
      <c r="I154" s="12" t="s">
        <v>269</v>
      </c>
      <c r="J154" s="12" t="s">
        <v>272</v>
      </c>
      <c r="K154" s="12">
        <v>200</v>
      </c>
      <c r="L154" s="12">
        <v>74</v>
      </c>
      <c r="M154" s="12">
        <v>14</v>
      </c>
      <c r="N154" s="12">
        <v>30</v>
      </c>
      <c r="O154" s="16">
        <v>0.46666666666666667</v>
      </c>
      <c r="P154" s="12">
        <v>13</v>
      </c>
      <c r="Q154" s="12">
        <v>30</v>
      </c>
      <c r="R154" s="16">
        <v>0.43333333333333335</v>
      </c>
      <c r="S154" s="12">
        <v>27</v>
      </c>
      <c r="T154" s="12">
        <v>60</v>
      </c>
      <c r="U154" s="16">
        <v>0.45</v>
      </c>
      <c r="V154" s="12">
        <v>7</v>
      </c>
      <c r="W154" s="12">
        <v>13</v>
      </c>
      <c r="X154" s="16">
        <v>0.53846153846153844</v>
      </c>
      <c r="Y154" s="12">
        <v>6</v>
      </c>
      <c r="Z154" s="12">
        <v>26</v>
      </c>
      <c r="AA154" s="12">
        <v>32</v>
      </c>
      <c r="AB154" s="12">
        <v>14</v>
      </c>
      <c r="AC154" s="12">
        <v>9</v>
      </c>
      <c r="AD154" s="12">
        <v>5</v>
      </c>
      <c r="AE154" s="12">
        <v>1</v>
      </c>
      <c r="AF154" s="12">
        <v>4</v>
      </c>
      <c r="AG154" s="12">
        <v>12</v>
      </c>
      <c r="AH154" s="12">
        <v>11</v>
      </c>
      <c r="AI154" s="17">
        <v>73</v>
      </c>
      <c r="AJ154" s="12">
        <v>1</v>
      </c>
      <c r="AK154" s="12">
        <v>69</v>
      </c>
      <c r="AL154" s="12">
        <v>75</v>
      </c>
      <c r="AM154" s="19">
        <v>0.98666666666666669</v>
      </c>
      <c r="AN154" s="19">
        <v>0.92405063291139244</v>
      </c>
      <c r="AO154" s="18">
        <v>107.24637681159422</v>
      </c>
      <c r="AP154" s="18">
        <v>107.35294117647058</v>
      </c>
      <c r="AQ154" s="18">
        <v>-0.10656436487636256</v>
      </c>
      <c r="AR154" s="53">
        <v>0.55833333333333335</v>
      </c>
      <c r="AS154" s="53">
        <v>0.56060606060606055</v>
      </c>
      <c r="AT154" s="16">
        <v>0.17333333333333334</v>
      </c>
      <c r="AU154" s="19">
        <v>1.5384615384615385</v>
      </c>
      <c r="AV154" s="16">
        <v>0.16</v>
      </c>
      <c r="AW154" s="19">
        <v>0.5</v>
      </c>
      <c r="AX154" s="16">
        <v>6.6666666666666666E-2</v>
      </c>
      <c r="AY154" s="19">
        <v>0.4</v>
      </c>
      <c r="AZ154" s="16">
        <v>5.3333333333333337E-2</v>
      </c>
      <c r="BA154" s="19">
        <v>1.5</v>
      </c>
      <c r="BB154" s="16">
        <v>0.33333333333333331</v>
      </c>
      <c r="BC154" s="21">
        <v>1.32</v>
      </c>
      <c r="BD154" s="16">
        <v>0.08</v>
      </c>
      <c r="BE154" s="16">
        <v>0.12</v>
      </c>
      <c r="BF154" s="16">
        <v>0.4375</v>
      </c>
      <c r="BG154" s="16">
        <v>0.2857142857142857</v>
      </c>
      <c r="BH154" s="16">
        <v>0.61538461538461542</v>
      </c>
      <c r="BI154" s="16">
        <v>0.4</v>
      </c>
      <c r="BJ154" s="16">
        <v>0.18666666666666668</v>
      </c>
      <c r="BK154" s="21">
        <v>1.5555555555555556</v>
      </c>
      <c r="BL154" s="16">
        <v>0.17647058823529413</v>
      </c>
      <c r="BM154" s="16">
        <v>0.23529411764705882</v>
      </c>
      <c r="BN154" s="16">
        <v>0.16666666666666666</v>
      </c>
      <c r="BO154" s="16">
        <v>0</v>
      </c>
      <c r="BP154" s="16">
        <v>0.70270270270270274</v>
      </c>
      <c r="BQ154" s="16">
        <v>0.69565217391304346</v>
      </c>
      <c r="BR154" s="16">
        <v>0.7142857142857143</v>
      </c>
      <c r="BS154" s="16">
        <v>1</v>
      </c>
      <c r="BT154" s="16">
        <v>0.45070422535211269</v>
      </c>
      <c r="BU154" s="16">
        <v>7.3529411764705885E-2</v>
      </c>
      <c r="BV154" s="16">
        <v>1.4705882352941176E-2</v>
      </c>
      <c r="BW154" s="16">
        <v>8</v>
      </c>
      <c r="BX154" s="16">
        <v>0.25</v>
      </c>
      <c r="BY154" s="16">
        <v>0.54545454545454541</v>
      </c>
      <c r="BZ154" s="12">
        <v>4</v>
      </c>
      <c r="CA154" s="12">
        <v>8</v>
      </c>
      <c r="CB154" s="12">
        <v>2</v>
      </c>
      <c r="CC154" s="12">
        <v>5</v>
      </c>
      <c r="CD154" s="12">
        <v>2</v>
      </c>
      <c r="CE154" s="12">
        <v>0</v>
      </c>
      <c r="CF154" s="12">
        <v>1</v>
      </c>
      <c r="CG154" s="12">
        <v>0</v>
      </c>
      <c r="CH154" s="12">
        <v>1</v>
      </c>
      <c r="CI154" s="12">
        <v>0</v>
      </c>
      <c r="CJ154" s="12">
        <v>0</v>
      </c>
      <c r="CK154" s="12">
        <v>0</v>
      </c>
      <c r="CL154" s="12">
        <v>2</v>
      </c>
      <c r="CM154" s="12">
        <v>1</v>
      </c>
      <c r="CN154" s="12">
        <v>0</v>
      </c>
      <c r="CO154" s="12">
        <v>0</v>
      </c>
      <c r="CP154" s="12">
        <v>0</v>
      </c>
      <c r="CQ154" s="12">
        <v>0</v>
      </c>
      <c r="CR154" s="12">
        <v>8</v>
      </c>
      <c r="CS154" s="12">
        <v>0</v>
      </c>
      <c r="CT154" s="12">
        <v>8</v>
      </c>
      <c r="CU154" s="12">
        <v>0</v>
      </c>
      <c r="CV154" s="12">
        <v>2</v>
      </c>
      <c r="CW154" s="12">
        <v>1</v>
      </c>
      <c r="CX154" s="12">
        <v>7</v>
      </c>
      <c r="CY154" s="12">
        <v>0</v>
      </c>
      <c r="CZ154" s="12">
        <v>1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5</v>
      </c>
      <c r="DG154" s="12">
        <v>10</v>
      </c>
      <c r="DH154" s="12">
        <v>1</v>
      </c>
      <c r="DI154" s="12">
        <v>2</v>
      </c>
      <c r="DJ154" s="12">
        <v>3</v>
      </c>
      <c r="DK154" s="12">
        <v>0</v>
      </c>
      <c r="DL154" s="12">
        <v>10</v>
      </c>
      <c r="DM154" s="12">
        <v>13</v>
      </c>
      <c r="DN154" s="12">
        <v>3</v>
      </c>
      <c r="DO154" s="12">
        <v>12</v>
      </c>
      <c r="DP154" s="12">
        <v>1</v>
      </c>
      <c r="DQ154" s="12">
        <v>5</v>
      </c>
      <c r="DR154" s="12">
        <v>2</v>
      </c>
      <c r="DS154" s="12">
        <v>4</v>
      </c>
      <c r="DT154" s="12">
        <v>11</v>
      </c>
      <c r="DU154" s="12">
        <v>25</v>
      </c>
      <c r="DV154" s="12">
        <v>0</v>
      </c>
      <c r="DW154" s="12">
        <v>1</v>
      </c>
      <c r="DX154" s="12">
        <v>73</v>
      </c>
      <c r="DY154" s="12">
        <v>23</v>
      </c>
      <c r="DZ154" s="12">
        <v>47</v>
      </c>
      <c r="EA154" s="16">
        <v>0.48936170212765956</v>
      </c>
      <c r="EB154" s="12">
        <v>8</v>
      </c>
      <c r="EC154" s="12">
        <v>21</v>
      </c>
      <c r="ED154" s="16">
        <v>0.38095238095238093</v>
      </c>
      <c r="EE154" s="12">
        <v>31</v>
      </c>
      <c r="EF154" s="12">
        <v>68</v>
      </c>
      <c r="EG154" s="16">
        <v>0.45588235294117646</v>
      </c>
      <c r="EH154" s="12">
        <v>3</v>
      </c>
      <c r="EI154" s="12">
        <v>4</v>
      </c>
      <c r="EJ154" s="16">
        <v>0.75</v>
      </c>
      <c r="EK154" s="12">
        <v>11</v>
      </c>
      <c r="EL154" s="12">
        <v>28</v>
      </c>
      <c r="EM154" s="12">
        <v>39</v>
      </c>
      <c r="EN154" s="12">
        <v>17</v>
      </c>
      <c r="EO154" s="12">
        <v>11</v>
      </c>
      <c r="EP154" s="12">
        <v>12</v>
      </c>
      <c r="EQ154" s="12">
        <v>5</v>
      </c>
      <c r="ER154" s="12">
        <v>10</v>
      </c>
      <c r="ES154" s="12">
        <v>4</v>
      </c>
      <c r="ET154" s="12">
        <v>1</v>
      </c>
      <c r="EU154" s="12">
        <v>90</v>
      </c>
      <c r="EV154" s="12">
        <v>-1</v>
      </c>
      <c r="EW154" s="12">
        <v>68</v>
      </c>
      <c r="EX154" s="12">
        <v>79</v>
      </c>
      <c r="EY154" s="12">
        <v>7</v>
      </c>
      <c r="EZ154" s="12">
        <v>12</v>
      </c>
      <c r="FA154" s="12">
        <v>5</v>
      </c>
      <c r="FB154" s="12">
        <v>0</v>
      </c>
      <c r="FC154" s="12">
        <v>0</v>
      </c>
      <c r="FD154" s="12">
        <v>0</v>
      </c>
      <c r="FE154" s="12">
        <v>0</v>
      </c>
      <c r="FF154" s="12">
        <v>4</v>
      </c>
      <c r="FG154" s="12">
        <v>0</v>
      </c>
      <c r="FH154" s="12">
        <v>3</v>
      </c>
      <c r="FI154" s="12">
        <v>0</v>
      </c>
      <c r="FJ154" s="12">
        <v>3</v>
      </c>
      <c r="FK154" s="12">
        <v>0</v>
      </c>
      <c r="FL154" s="12">
        <v>1</v>
      </c>
      <c r="FM154" s="12">
        <v>0</v>
      </c>
      <c r="FN154" s="12">
        <v>0</v>
      </c>
      <c r="FO154" s="12">
        <v>0</v>
      </c>
      <c r="FP154" s="12">
        <v>1</v>
      </c>
      <c r="FQ154" s="12">
        <v>0</v>
      </c>
      <c r="FR154" s="12">
        <v>8</v>
      </c>
      <c r="FS154" s="12">
        <v>1</v>
      </c>
      <c r="FT154" s="12">
        <v>3</v>
      </c>
      <c r="FU154" s="12">
        <v>0</v>
      </c>
      <c r="FV154" s="12">
        <v>2</v>
      </c>
      <c r="FW154" s="12">
        <v>0</v>
      </c>
      <c r="FX154" s="12">
        <v>12</v>
      </c>
      <c r="FY154" s="12">
        <v>1</v>
      </c>
      <c r="FZ154" s="12">
        <v>2</v>
      </c>
      <c r="GA154" s="12">
        <v>0</v>
      </c>
      <c r="GB154" s="12">
        <v>0</v>
      </c>
      <c r="GC154" s="12">
        <v>0</v>
      </c>
      <c r="GD154" s="12">
        <v>1</v>
      </c>
      <c r="GE154" s="12">
        <v>2</v>
      </c>
      <c r="GF154" s="12">
        <v>2</v>
      </c>
      <c r="GG154" s="12">
        <v>2</v>
      </c>
      <c r="GH154" s="12">
        <v>0</v>
      </c>
      <c r="GI154" s="12">
        <v>0</v>
      </c>
      <c r="GJ154" s="12">
        <v>0</v>
      </c>
      <c r="GK154" s="12">
        <v>0</v>
      </c>
      <c r="GL154" s="12">
        <v>11</v>
      </c>
      <c r="GM154" s="12">
        <v>11</v>
      </c>
      <c r="GN154" s="12">
        <v>3</v>
      </c>
      <c r="GO154" s="12">
        <v>15</v>
      </c>
      <c r="GP154" s="12">
        <v>9</v>
      </c>
      <c r="GQ154" s="12">
        <v>21</v>
      </c>
      <c r="GR154" s="12">
        <v>0</v>
      </c>
      <c r="GS154" s="12">
        <v>5</v>
      </c>
      <c r="GT154" s="12">
        <v>8</v>
      </c>
      <c r="GU154" s="12">
        <v>16</v>
      </c>
      <c r="GV154" s="12">
        <v>0</v>
      </c>
      <c r="GW154" s="12">
        <v>0</v>
      </c>
    </row>
    <row r="155" spans="2:205" ht="15" customHeight="1" x14ac:dyDescent="0.2">
      <c r="B155" s="12">
        <v>9</v>
      </c>
      <c r="C155" s="12" t="s">
        <v>286</v>
      </c>
      <c r="D155" s="12" t="s">
        <v>282</v>
      </c>
      <c r="E155" s="14" t="s">
        <v>288</v>
      </c>
      <c r="F155" s="14" t="s">
        <v>284</v>
      </c>
      <c r="G155" s="15">
        <v>45247</v>
      </c>
      <c r="H155" s="15" t="s">
        <v>268</v>
      </c>
      <c r="I155" s="12" t="s">
        <v>269</v>
      </c>
      <c r="J155" s="12" t="s">
        <v>270</v>
      </c>
      <c r="K155" s="12">
        <v>200</v>
      </c>
      <c r="L155" s="12">
        <v>73</v>
      </c>
      <c r="M155" s="12">
        <v>23</v>
      </c>
      <c r="N155" s="12">
        <v>47</v>
      </c>
      <c r="O155" s="16">
        <v>0.48936170212765956</v>
      </c>
      <c r="P155" s="12">
        <v>8</v>
      </c>
      <c r="Q155" s="12">
        <v>21</v>
      </c>
      <c r="R155" s="16">
        <v>0.38095238095238093</v>
      </c>
      <c r="S155" s="12">
        <v>31</v>
      </c>
      <c r="T155" s="12">
        <v>68</v>
      </c>
      <c r="U155" s="16">
        <v>0.45588235294117646</v>
      </c>
      <c r="V155" s="12">
        <v>3</v>
      </c>
      <c r="W155" s="12">
        <v>4</v>
      </c>
      <c r="X155" s="16">
        <v>0.75</v>
      </c>
      <c r="Y155" s="12">
        <v>11</v>
      </c>
      <c r="Z155" s="12">
        <v>28</v>
      </c>
      <c r="AA155" s="12">
        <v>39</v>
      </c>
      <c r="AB155" s="12">
        <v>17</v>
      </c>
      <c r="AC155" s="12">
        <v>10</v>
      </c>
      <c r="AD155" s="12">
        <v>5</v>
      </c>
      <c r="AE155" s="12">
        <v>4</v>
      </c>
      <c r="AF155" s="12">
        <v>1</v>
      </c>
      <c r="AG155" s="12">
        <v>11</v>
      </c>
      <c r="AH155" s="12">
        <v>12</v>
      </c>
      <c r="AI155" s="17">
        <v>90</v>
      </c>
      <c r="AJ155" s="12">
        <v>-1</v>
      </c>
      <c r="AK155" s="12">
        <v>68</v>
      </c>
      <c r="AL155" s="12">
        <v>79</v>
      </c>
      <c r="AM155" s="19">
        <v>0.92405063291139244</v>
      </c>
      <c r="AN155" s="19">
        <v>0.98666666666666669</v>
      </c>
      <c r="AO155" s="18">
        <v>107.35294117647058</v>
      </c>
      <c r="AP155" s="18">
        <v>107.24637681159422</v>
      </c>
      <c r="AQ155" s="18">
        <v>0.10656436487636256</v>
      </c>
      <c r="AR155" s="53">
        <v>0.51470588235294112</v>
      </c>
      <c r="AS155" s="53">
        <v>0.52898550724637683</v>
      </c>
      <c r="AT155" s="16">
        <v>0.13924050632911392</v>
      </c>
      <c r="AU155" s="19">
        <v>2</v>
      </c>
      <c r="AV155" s="16">
        <v>0.189873417721519</v>
      </c>
      <c r="AW155" s="19">
        <v>0.4</v>
      </c>
      <c r="AX155" s="16">
        <v>0.26582278481012656</v>
      </c>
      <c r="AY155" s="19">
        <v>0.8571428571428571</v>
      </c>
      <c r="AZ155" s="16">
        <v>6.3291139240506333E-2</v>
      </c>
      <c r="BA155" s="19">
        <v>0</v>
      </c>
      <c r="BB155" s="16">
        <v>0.20253164556962025</v>
      </c>
      <c r="BC155" s="21">
        <v>1.5</v>
      </c>
      <c r="BD155" s="16">
        <v>1.2658227848101266E-2</v>
      </c>
      <c r="BE155" s="16">
        <v>0.12658227848101267</v>
      </c>
      <c r="BF155" s="16">
        <v>0.53125</v>
      </c>
      <c r="BG155" s="16">
        <v>0.52173913043478259</v>
      </c>
      <c r="BH155" s="16">
        <v>0.625</v>
      </c>
      <c r="BI155" s="16">
        <v>0</v>
      </c>
      <c r="BJ155" s="16">
        <v>0.21518987341772153</v>
      </c>
      <c r="BK155" s="21">
        <v>1.7</v>
      </c>
      <c r="BL155" s="16">
        <v>0.29729729729729731</v>
      </c>
      <c r="BM155" s="16">
        <v>0.30434782608695654</v>
      </c>
      <c r="BN155" s="16">
        <v>0.2857142857142857</v>
      </c>
      <c r="BO155" s="16">
        <v>0</v>
      </c>
      <c r="BP155" s="16">
        <v>0.82352941176470584</v>
      </c>
      <c r="BQ155" s="16">
        <v>0.76470588235294112</v>
      </c>
      <c r="BR155" s="16">
        <v>0.83333333333333337</v>
      </c>
      <c r="BS155" s="16">
        <v>1</v>
      </c>
      <c r="BT155" s="16">
        <v>0.54929577464788737</v>
      </c>
      <c r="BU155" s="16">
        <v>7.2463768115942032E-2</v>
      </c>
      <c r="BV155" s="16">
        <v>6.6666666666666666E-2</v>
      </c>
      <c r="BW155" s="16">
        <v>7</v>
      </c>
      <c r="BX155" s="16">
        <v>0.54545454545454541</v>
      </c>
      <c r="BY155" s="16">
        <v>0.25</v>
      </c>
      <c r="BZ155" s="12">
        <v>12</v>
      </c>
      <c r="CA155" s="12">
        <v>5</v>
      </c>
      <c r="CB155" s="12">
        <v>0</v>
      </c>
      <c r="CC155" s="12">
        <v>0</v>
      </c>
      <c r="CD155" s="12">
        <v>0</v>
      </c>
      <c r="CE155" s="12">
        <v>0</v>
      </c>
      <c r="CF155" s="12">
        <v>4</v>
      </c>
      <c r="CG155" s="12">
        <v>0</v>
      </c>
      <c r="CH155" s="12">
        <v>3</v>
      </c>
      <c r="CI155" s="12">
        <v>0</v>
      </c>
      <c r="CJ155" s="12">
        <v>3</v>
      </c>
      <c r="CK155" s="12">
        <v>0</v>
      </c>
      <c r="CL155" s="12">
        <v>1</v>
      </c>
      <c r="CM155" s="12">
        <v>0</v>
      </c>
      <c r="CN155" s="12">
        <v>0</v>
      </c>
      <c r="CO155" s="12">
        <v>0</v>
      </c>
      <c r="CP155" s="12">
        <v>1</v>
      </c>
      <c r="CQ155" s="12">
        <v>0</v>
      </c>
      <c r="CR155" s="12">
        <v>8</v>
      </c>
      <c r="CS155" s="12">
        <v>1</v>
      </c>
      <c r="CT155" s="12">
        <v>3</v>
      </c>
      <c r="CU155" s="12">
        <v>0</v>
      </c>
      <c r="CV155" s="12">
        <v>2</v>
      </c>
      <c r="CW155" s="12">
        <v>0</v>
      </c>
      <c r="CX155" s="12">
        <v>12</v>
      </c>
      <c r="CY155" s="12">
        <v>1</v>
      </c>
      <c r="CZ155" s="12">
        <v>2</v>
      </c>
      <c r="DA155" s="12">
        <v>0</v>
      </c>
      <c r="DB155" s="12">
        <v>0</v>
      </c>
      <c r="DC155" s="12">
        <v>0</v>
      </c>
      <c r="DD155" s="12">
        <v>1</v>
      </c>
      <c r="DE155" s="12">
        <v>2</v>
      </c>
      <c r="DF155" s="12">
        <v>2</v>
      </c>
      <c r="DG155" s="12">
        <v>2</v>
      </c>
      <c r="DH155" s="12">
        <v>0</v>
      </c>
      <c r="DI155" s="12">
        <v>0</v>
      </c>
      <c r="DJ155" s="12">
        <v>0</v>
      </c>
      <c r="DK155" s="12">
        <v>0</v>
      </c>
      <c r="DL155" s="12">
        <v>11</v>
      </c>
      <c r="DM155" s="12">
        <v>11</v>
      </c>
      <c r="DN155" s="12">
        <v>3</v>
      </c>
      <c r="DO155" s="12">
        <v>15</v>
      </c>
      <c r="DP155" s="12">
        <v>9</v>
      </c>
      <c r="DQ155" s="12">
        <v>21</v>
      </c>
      <c r="DR155" s="12">
        <v>0</v>
      </c>
      <c r="DS155" s="12">
        <v>5</v>
      </c>
      <c r="DT155" s="12">
        <v>8</v>
      </c>
      <c r="DU155" s="12">
        <v>16</v>
      </c>
      <c r="DV155" s="12">
        <v>0</v>
      </c>
      <c r="DW155" s="12">
        <v>0</v>
      </c>
      <c r="DX155" s="12">
        <v>74</v>
      </c>
      <c r="DY155" s="12">
        <v>14</v>
      </c>
      <c r="DZ155" s="12">
        <v>30</v>
      </c>
      <c r="EA155" s="16">
        <v>0.46666666666666667</v>
      </c>
      <c r="EB155" s="12">
        <v>13</v>
      </c>
      <c r="EC155" s="12">
        <v>30</v>
      </c>
      <c r="ED155" s="16">
        <v>0.43333333333333335</v>
      </c>
      <c r="EE155" s="12">
        <v>27</v>
      </c>
      <c r="EF155" s="12">
        <v>60</v>
      </c>
      <c r="EG155" s="16">
        <v>0.45</v>
      </c>
      <c r="EH155" s="12">
        <v>7</v>
      </c>
      <c r="EI155" s="12">
        <v>13</v>
      </c>
      <c r="EJ155" s="16">
        <v>0.53846153846153844</v>
      </c>
      <c r="EK155" s="12">
        <v>6</v>
      </c>
      <c r="EL155" s="12">
        <v>26</v>
      </c>
      <c r="EM155" s="12">
        <v>32</v>
      </c>
      <c r="EN155" s="12">
        <v>14</v>
      </c>
      <c r="EO155" s="12">
        <v>12</v>
      </c>
      <c r="EP155" s="12">
        <v>11</v>
      </c>
      <c r="EQ155" s="12">
        <v>5</v>
      </c>
      <c r="ER155" s="12">
        <v>9</v>
      </c>
      <c r="ES155" s="12">
        <v>1</v>
      </c>
      <c r="ET155" s="12">
        <v>4</v>
      </c>
      <c r="EU155" s="12">
        <v>73</v>
      </c>
      <c r="EV155" s="12">
        <v>1</v>
      </c>
      <c r="EW155" s="12">
        <v>69</v>
      </c>
      <c r="EX155" s="12">
        <v>75</v>
      </c>
      <c r="EY155" s="12">
        <v>8</v>
      </c>
      <c r="EZ155" s="12">
        <v>4</v>
      </c>
      <c r="FA155" s="12">
        <v>8</v>
      </c>
      <c r="FB155" s="12">
        <v>2</v>
      </c>
      <c r="FC155" s="12">
        <v>5</v>
      </c>
      <c r="FD155" s="12">
        <v>2</v>
      </c>
      <c r="FE155" s="12">
        <v>0</v>
      </c>
      <c r="FF155" s="12">
        <v>1</v>
      </c>
      <c r="FG155" s="12">
        <v>0</v>
      </c>
      <c r="FH155" s="12">
        <v>1</v>
      </c>
      <c r="FI155" s="12">
        <v>0</v>
      </c>
      <c r="FJ155" s="12">
        <v>0</v>
      </c>
      <c r="FK155" s="12">
        <v>0</v>
      </c>
      <c r="FL155" s="12">
        <v>2</v>
      </c>
      <c r="FM155" s="12">
        <v>1</v>
      </c>
      <c r="FN155" s="12">
        <v>0</v>
      </c>
      <c r="FO155" s="12">
        <v>0</v>
      </c>
      <c r="FP155" s="12">
        <v>0</v>
      </c>
      <c r="FQ155" s="12">
        <v>0</v>
      </c>
      <c r="FR155" s="12">
        <v>8</v>
      </c>
      <c r="FS155" s="12">
        <v>0</v>
      </c>
      <c r="FT155" s="12">
        <v>8</v>
      </c>
      <c r="FU155" s="12">
        <v>0</v>
      </c>
      <c r="FV155" s="12">
        <v>2</v>
      </c>
      <c r="FW155" s="12">
        <v>1</v>
      </c>
      <c r="FX155" s="12">
        <v>7</v>
      </c>
      <c r="FY155" s="12">
        <v>0</v>
      </c>
      <c r="FZ155" s="12">
        <v>1</v>
      </c>
      <c r="GA155" s="12">
        <v>0</v>
      </c>
      <c r="GB155" s="12">
        <v>0</v>
      </c>
      <c r="GC155" s="12">
        <v>0</v>
      </c>
      <c r="GD155" s="12">
        <v>0</v>
      </c>
      <c r="GE155" s="12">
        <v>0</v>
      </c>
      <c r="GF155" s="12">
        <v>5</v>
      </c>
      <c r="GG155" s="12">
        <v>10</v>
      </c>
      <c r="GH155" s="12">
        <v>1</v>
      </c>
      <c r="GI155" s="12">
        <v>2</v>
      </c>
      <c r="GJ155" s="12">
        <v>3</v>
      </c>
      <c r="GK155" s="12">
        <v>0</v>
      </c>
      <c r="GL155" s="12">
        <v>10</v>
      </c>
      <c r="GM155" s="12">
        <v>13</v>
      </c>
      <c r="GN155" s="12">
        <v>3</v>
      </c>
      <c r="GO155" s="12">
        <v>12</v>
      </c>
      <c r="GP155" s="12">
        <v>1</v>
      </c>
      <c r="GQ155" s="12">
        <v>5</v>
      </c>
      <c r="GR155" s="12">
        <v>2</v>
      </c>
      <c r="GS155" s="12">
        <v>4</v>
      </c>
      <c r="GT155" s="12">
        <v>11</v>
      </c>
      <c r="GU155" s="12">
        <v>25</v>
      </c>
      <c r="GV155" s="12">
        <v>0</v>
      </c>
      <c r="GW155" s="12">
        <v>1</v>
      </c>
    </row>
    <row r="156" spans="2:205" ht="15" customHeight="1" x14ac:dyDescent="0.2">
      <c r="B156" s="12">
        <v>9</v>
      </c>
      <c r="C156" s="12" t="s">
        <v>297</v>
      </c>
      <c r="D156" s="12" t="s">
        <v>265</v>
      </c>
      <c r="E156" s="14" t="s">
        <v>299</v>
      </c>
      <c r="F156" s="14" t="s">
        <v>267</v>
      </c>
      <c r="G156" s="15">
        <v>45247</v>
      </c>
      <c r="H156" s="15" t="s">
        <v>271</v>
      </c>
      <c r="I156" s="12" t="s">
        <v>269</v>
      </c>
      <c r="J156" s="12" t="s">
        <v>270</v>
      </c>
      <c r="K156" s="12">
        <v>200</v>
      </c>
      <c r="L156" s="12">
        <v>81</v>
      </c>
      <c r="M156" s="12">
        <v>22</v>
      </c>
      <c r="N156" s="12">
        <v>47</v>
      </c>
      <c r="O156" s="16">
        <v>0.46808510638297873</v>
      </c>
      <c r="P156" s="12">
        <v>9</v>
      </c>
      <c r="Q156" s="12">
        <v>19</v>
      </c>
      <c r="R156" s="16">
        <v>0.47368421052631576</v>
      </c>
      <c r="S156" s="12">
        <v>31</v>
      </c>
      <c r="T156" s="12">
        <v>66</v>
      </c>
      <c r="U156" s="16">
        <v>0.46969696969696972</v>
      </c>
      <c r="V156" s="12">
        <v>10</v>
      </c>
      <c r="W156" s="12">
        <v>15</v>
      </c>
      <c r="X156" s="16">
        <v>0.66666666666666663</v>
      </c>
      <c r="Y156" s="12">
        <v>9</v>
      </c>
      <c r="Z156" s="12">
        <v>28</v>
      </c>
      <c r="AA156" s="12">
        <v>37</v>
      </c>
      <c r="AB156" s="12">
        <v>18</v>
      </c>
      <c r="AC156" s="12">
        <v>7</v>
      </c>
      <c r="AD156" s="12">
        <v>3</v>
      </c>
      <c r="AE156" s="12">
        <v>0</v>
      </c>
      <c r="AF156" s="12">
        <v>2</v>
      </c>
      <c r="AG156" s="12">
        <v>16</v>
      </c>
      <c r="AH156" s="12">
        <v>19</v>
      </c>
      <c r="AI156" s="17">
        <v>93</v>
      </c>
      <c r="AJ156" s="12">
        <v>-7</v>
      </c>
      <c r="AK156" s="12">
        <v>70</v>
      </c>
      <c r="AL156" s="12">
        <v>79</v>
      </c>
      <c r="AM156" s="19">
        <v>1.0253164556962024</v>
      </c>
      <c r="AN156" s="19">
        <v>1.1578947368421053</v>
      </c>
      <c r="AO156" s="18">
        <v>115.71428571428572</v>
      </c>
      <c r="AP156" s="18">
        <v>125.71428571428571</v>
      </c>
      <c r="AQ156" s="18">
        <v>-9.9999999999999858</v>
      </c>
      <c r="AR156" s="53">
        <v>0.53787878787878785</v>
      </c>
      <c r="AS156" s="53">
        <v>0.5625</v>
      </c>
      <c r="AT156" s="16">
        <v>0.189873417721519</v>
      </c>
      <c r="AU156" s="19">
        <v>1.6</v>
      </c>
      <c r="AV156" s="16">
        <v>0.29113924050632911</v>
      </c>
      <c r="AW156" s="19">
        <v>0.78260869565217395</v>
      </c>
      <c r="AX156" s="16">
        <v>0.11392405063291139</v>
      </c>
      <c r="AY156" s="19">
        <v>0.22222222222222221</v>
      </c>
      <c r="AZ156" s="16">
        <v>7.5949367088607597E-2</v>
      </c>
      <c r="BA156" s="19">
        <v>2.5</v>
      </c>
      <c r="BB156" s="16">
        <v>0.16455696202531644</v>
      </c>
      <c r="BC156" s="21">
        <v>0.92307692307692313</v>
      </c>
      <c r="BD156" s="16">
        <v>7.5949367088607597E-2</v>
      </c>
      <c r="BE156" s="16">
        <v>8.8607594936708861E-2</v>
      </c>
      <c r="BF156" s="16">
        <v>0.5</v>
      </c>
      <c r="BG156" s="16">
        <v>0.45454545454545453</v>
      </c>
      <c r="BH156" s="16">
        <v>0.77777777777777779</v>
      </c>
      <c r="BI156" s="16">
        <v>0.2</v>
      </c>
      <c r="BJ156" s="16">
        <v>0.22784810126582278</v>
      </c>
      <c r="BK156" s="21">
        <v>2.5714285714285716</v>
      </c>
      <c r="BL156" s="16">
        <v>0.23684210526315788</v>
      </c>
      <c r="BM156" s="16">
        <v>0.15384615384615385</v>
      </c>
      <c r="BN156" s="16">
        <v>0.45454545454545453</v>
      </c>
      <c r="BO156" s="16">
        <v>0.33333333333333331</v>
      </c>
      <c r="BP156" s="16">
        <v>0.82352941176470584</v>
      </c>
      <c r="BQ156" s="16">
        <v>0.84615384615384615</v>
      </c>
      <c r="BR156" s="16">
        <v>0.79166666666666663</v>
      </c>
      <c r="BS156" s="16">
        <v>1</v>
      </c>
      <c r="BT156" s="16">
        <v>0.51388888888888884</v>
      </c>
      <c r="BU156" s="16">
        <v>4.2857142857142858E-2</v>
      </c>
      <c r="BV156" s="16">
        <v>0</v>
      </c>
      <c r="BW156" s="16">
        <v>4</v>
      </c>
      <c r="BX156" s="16">
        <v>0.4375</v>
      </c>
      <c r="BY156" s="16">
        <v>0.42105263157894735</v>
      </c>
      <c r="BZ156" s="12">
        <v>10</v>
      </c>
      <c r="CA156" s="12">
        <v>7</v>
      </c>
      <c r="CB156" s="12">
        <v>1</v>
      </c>
      <c r="CC156" s="12">
        <v>2</v>
      </c>
      <c r="CD156" s="12">
        <v>0</v>
      </c>
      <c r="CE156" s="12">
        <v>0</v>
      </c>
      <c r="CF156" s="12">
        <v>3</v>
      </c>
      <c r="CG156" s="12">
        <v>0</v>
      </c>
      <c r="CH156" s="12">
        <v>1</v>
      </c>
      <c r="CI156" s="12">
        <v>0</v>
      </c>
      <c r="CJ156" s="12">
        <v>1</v>
      </c>
      <c r="CK156" s="12">
        <v>1</v>
      </c>
      <c r="CL156" s="12">
        <v>3</v>
      </c>
      <c r="CM156" s="12">
        <v>0</v>
      </c>
      <c r="CN156" s="12">
        <v>1</v>
      </c>
      <c r="CO156" s="12">
        <v>0</v>
      </c>
      <c r="CP156" s="12">
        <v>3</v>
      </c>
      <c r="CQ156" s="12">
        <v>0</v>
      </c>
      <c r="CR156" s="12">
        <v>5</v>
      </c>
      <c r="CS156" s="12">
        <v>1</v>
      </c>
      <c r="CT156" s="12">
        <v>2</v>
      </c>
      <c r="CU156" s="12">
        <v>0</v>
      </c>
      <c r="CV156" s="12">
        <v>2</v>
      </c>
      <c r="CW156" s="12">
        <v>0</v>
      </c>
      <c r="CX156" s="12">
        <v>14</v>
      </c>
      <c r="CY156" s="12">
        <v>3</v>
      </c>
      <c r="CZ156" s="12">
        <v>2</v>
      </c>
      <c r="DA156" s="12">
        <v>0</v>
      </c>
      <c r="DB156" s="12">
        <v>1</v>
      </c>
      <c r="DC156" s="12">
        <v>1</v>
      </c>
      <c r="DD156" s="12">
        <v>1</v>
      </c>
      <c r="DE156" s="12">
        <v>2</v>
      </c>
      <c r="DF156" s="12">
        <v>8</v>
      </c>
      <c r="DG156" s="12">
        <v>12</v>
      </c>
      <c r="DH156" s="12">
        <v>1</v>
      </c>
      <c r="DI156" s="12">
        <v>0</v>
      </c>
      <c r="DJ156" s="12">
        <v>0</v>
      </c>
      <c r="DK156" s="12">
        <v>0</v>
      </c>
      <c r="DL156" s="12">
        <v>12</v>
      </c>
      <c r="DM156" s="12">
        <v>15</v>
      </c>
      <c r="DN156" s="12">
        <v>9</v>
      </c>
      <c r="DO156" s="12">
        <v>23</v>
      </c>
      <c r="DP156" s="12">
        <v>1</v>
      </c>
      <c r="DQ156" s="12">
        <v>9</v>
      </c>
      <c r="DR156" s="12">
        <v>5</v>
      </c>
      <c r="DS156" s="12">
        <v>6</v>
      </c>
      <c r="DT156" s="12">
        <v>4</v>
      </c>
      <c r="DU156" s="12">
        <v>13</v>
      </c>
      <c r="DV156" s="12">
        <v>0</v>
      </c>
      <c r="DW156" s="12">
        <v>0</v>
      </c>
      <c r="DX156" s="12">
        <v>88</v>
      </c>
      <c r="DY156" s="12">
        <v>12</v>
      </c>
      <c r="DZ156" s="12">
        <v>25</v>
      </c>
      <c r="EA156" s="16">
        <v>0.48</v>
      </c>
      <c r="EB156" s="12">
        <v>16</v>
      </c>
      <c r="EC156" s="12">
        <v>36</v>
      </c>
      <c r="ED156" s="16">
        <v>0.44444444444444442</v>
      </c>
      <c r="EE156" s="12">
        <v>28</v>
      </c>
      <c r="EF156" s="12">
        <v>61</v>
      </c>
      <c r="EG156" s="16">
        <v>0.45901639344262296</v>
      </c>
      <c r="EH156" s="12">
        <v>16</v>
      </c>
      <c r="EI156" s="12">
        <v>18</v>
      </c>
      <c r="EJ156" s="16">
        <v>0.88888888888888884</v>
      </c>
      <c r="EK156" s="12">
        <v>6</v>
      </c>
      <c r="EL156" s="12">
        <v>29</v>
      </c>
      <c r="EM156" s="12">
        <v>35</v>
      </c>
      <c r="EN156" s="12">
        <v>23</v>
      </c>
      <c r="EO156" s="12">
        <v>20</v>
      </c>
      <c r="EP156" s="12">
        <v>16</v>
      </c>
      <c r="EQ156" s="12">
        <v>2</v>
      </c>
      <c r="ER156" s="12">
        <v>8</v>
      </c>
      <c r="ES156" s="12">
        <v>2</v>
      </c>
      <c r="ET156" s="12">
        <v>0</v>
      </c>
      <c r="EU156" s="12">
        <v>103</v>
      </c>
      <c r="EV156" s="12">
        <v>7</v>
      </c>
      <c r="EW156" s="12">
        <v>70</v>
      </c>
      <c r="EX156" s="12">
        <v>76</v>
      </c>
      <c r="EY156" s="12">
        <v>5</v>
      </c>
      <c r="EZ156" s="12">
        <v>6</v>
      </c>
      <c r="FA156" s="12">
        <v>13</v>
      </c>
      <c r="FB156" s="12">
        <v>4</v>
      </c>
      <c r="FC156" s="12">
        <v>6</v>
      </c>
      <c r="FD156" s="12">
        <v>0</v>
      </c>
      <c r="FE156" s="12">
        <v>0</v>
      </c>
      <c r="FF156" s="12">
        <v>1</v>
      </c>
      <c r="FG156" s="12">
        <v>0</v>
      </c>
      <c r="FH156" s="12">
        <v>1</v>
      </c>
      <c r="FI156" s="12">
        <v>0</v>
      </c>
      <c r="FJ156" s="12">
        <v>1</v>
      </c>
      <c r="FK156" s="12">
        <v>0</v>
      </c>
      <c r="FL156" s="12">
        <v>3</v>
      </c>
      <c r="FM156" s="12">
        <v>1</v>
      </c>
      <c r="FN156" s="12">
        <v>0</v>
      </c>
      <c r="FO156" s="12">
        <v>0</v>
      </c>
      <c r="FP156" s="12">
        <v>3</v>
      </c>
      <c r="FQ156" s="12">
        <v>0</v>
      </c>
      <c r="FR156" s="12">
        <v>11</v>
      </c>
      <c r="FS156" s="12">
        <v>1</v>
      </c>
      <c r="FT156" s="12">
        <v>7</v>
      </c>
      <c r="FU156" s="12">
        <v>0</v>
      </c>
      <c r="FV156" s="12">
        <v>0</v>
      </c>
      <c r="FW156" s="12">
        <v>0</v>
      </c>
      <c r="FX156" s="12">
        <v>6</v>
      </c>
      <c r="FY156" s="12">
        <v>0</v>
      </c>
      <c r="FZ156" s="12">
        <v>2</v>
      </c>
      <c r="GA156" s="12">
        <v>0</v>
      </c>
      <c r="GB156" s="12">
        <v>2</v>
      </c>
      <c r="GC156" s="12">
        <v>2</v>
      </c>
      <c r="GD156" s="12">
        <v>0</v>
      </c>
      <c r="GE156" s="12">
        <v>0</v>
      </c>
      <c r="GF156" s="12">
        <v>10</v>
      </c>
      <c r="GG156" s="12">
        <v>12</v>
      </c>
      <c r="GH156" s="12">
        <v>0</v>
      </c>
      <c r="GI156" s="12">
        <v>3</v>
      </c>
      <c r="GJ156" s="12">
        <v>3</v>
      </c>
      <c r="GK156" s="12">
        <v>0</v>
      </c>
      <c r="GL156" s="12">
        <v>6</v>
      </c>
      <c r="GM156" s="12">
        <v>9</v>
      </c>
      <c r="GN156" s="12">
        <v>3</v>
      </c>
      <c r="GO156" s="12">
        <v>10</v>
      </c>
      <c r="GP156" s="12">
        <v>3</v>
      </c>
      <c r="GQ156" s="12">
        <v>6</v>
      </c>
      <c r="GR156" s="12">
        <v>3</v>
      </c>
      <c r="GS156" s="12">
        <v>6</v>
      </c>
      <c r="GT156" s="12">
        <v>13</v>
      </c>
      <c r="GU156" s="12">
        <v>30</v>
      </c>
      <c r="GV156" s="12">
        <v>0</v>
      </c>
      <c r="GW156" s="12">
        <v>0</v>
      </c>
    </row>
    <row r="157" spans="2:205" ht="15" customHeight="1" x14ac:dyDescent="0.2">
      <c r="B157" s="12">
        <v>9</v>
      </c>
      <c r="C157" s="12" t="s">
        <v>265</v>
      </c>
      <c r="D157" s="12" t="s">
        <v>297</v>
      </c>
      <c r="E157" s="14" t="s">
        <v>267</v>
      </c>
      <c r="F157" s="14" t="s">
        <v>299</v>
      </c>
      <c r="G157" s="15">
        <v>45247</v>
      </c>
      <c r="H157" s="15" t="s">
        <v>268</v>
      </c>
      <c r="I157" s="12" t="s">
        <v>269</v>
      </c>
      <c r="J157" s="12" t="s">
        <v>272</v>
      </c>
      <c r="K157" s="12">
        <v>200</v>
      </c>
      <c r="L157" s="12">
        <v>88</v>
      </c>
      <c r="M157" s="12">
        <v>12</v>
      </c>
      <c r="N157" s="12">
        <v>25</v>
      </c>
      <c r="O157" s="16">
        <v>0.48</v>
      </c>
      <c r="P157" s="12">
        <v>16</v>
      </c>
      <c r="Q157" s="12">
        <v>36</v>
      </c>
      <c r="R157" s="16">
        <v>0.44444444444444442</v>
      </c>
      <c r="S157" s="12">
        <v>28</v>
      </c>
      <c r="T157" s="12">
        <v>61</v>
      </c>
      <c r="U157" s="16">
        <v>0.45901639344262296</v>
      </c>
      <c r="V157" s="12">
        <v>16</v>
      </c>
      <c r="W157" s="12">
        <v>18</v>
      </c>
      <c r="X157" s="16">
        <v>0.88888888888888884</v>
      </c>
      <c r="Y157" s="12">
        <v>6</v>
      </c>
      <c r="Z157" s="12">
        <v>29</v>
      </c>
      <c r="AA157" s="12">
        <v>35</v>
      </c>
      <c r="AB157" s="12">
        <v>23</v>
      </c>
      <c r="AC157" s="12">
        <v>8</v>
      </c>
      <c r="AD157" s="12">
        <v>2</v>
      </c>
      <c r="AE157" s="12">
        <v>2</v>
      </c>
      <c r="AF157" s="12">
        <v>0</v>
      </c>
      <c r="AG157" s="12">
        <v>20</v>
      </c>
      <c r="AH157" s="12">
        <v>16</v>
      </c>
      <c r="AI157" s="17">
        <v>103</v>
      </c>
      <c r="AJ157" s="12">
        <v>7</v>
      </c>
      <c r="AK157" s="12">
        <v>70</v>
      </c>
      <c r="AL157" s="12">
        <v>76</v>
      </c>
      <c r="AM157" s="19">
        <v>1.1578947368421053</v>
      </c>
      <c r="AN157" s="19">
        <v>1.0253164556962024</v>
      </c>
      <c r="AO157" s="18">
        <v>125.71428571428571</v>
      </c>
      <c r="AP157" s="18">
        <v>115.71428571428572</v>
      </c>
      <c r="AQ157" s="18">
        <v>9.9999999999999858</v>
      </c>
      <c r="AR157" s="53">
        <v>0.5901639344262295</v>
      </c>
      <c r="AS157" s="53">
        <v>0.6470588235294118</v>
      </c>
      <c r="AT157" s="16">
        <v>0.11842105263157894</v>
      </c>
      <c r="AU157" s="19">
        <v>1.3333333333333333</v>
      </c>
      <c r="AV157" s="16">
        <v>0.13157894736842105</v>
      </c>
      <c r="AW157" s="19">
        <v>0.6</v>
      </c>
      <c r="AX157" s="16">
        <v>7.8947368421052627E-2</v>
      </c>
      <c r="AY157" s="19">
        <v>1</v>
      </c>
      <c r="AZ157" s="16">
        <v>7.8947368421052627E-2</v>
      </c>
      <c r="BA157" s="19">
        <v>1.5</v>
      </c>
      <c r="BB157" s="16">
        <v>0.39473684210526316</v>
      </c>
      <c r="BC157" s="21">
        <v>1.3</v>
      </c>
      <c r="BD157" s="16">
        <v>9.2105263157894732E-2</v>
      </c>
      <c r="BE157" s="16">
        <v>0.10526315789473684</v>
      </c>
      <c r="BF157" s="16">
        <v>0.65714285714285714</v>
      </c>
      <c r="BG157" s="16">
        <v>0.5</v>
      </c>
      <c r="BH157" s="16">
        <v>0.8125</v>
      </c>
      <c r="BI157" s="16">
        <v>0.5714285714285714</v>
      </c>
      <c r="BJ157" s="16">
        <v>0.30263157894736842</v>
      </c>
      <c r="BK157" s="21">
        <v>2.875</v>
      </c>
      <c r="BL157" s="16">
        <v>0.17647058823529413</v>
      </c>
      <c r="BM157" s="16">
        <v>0.15384615384615385</v>
      </c>
      <c r="BN157" s="16">
        <v>0.20833333333333334</v>
      </c>
      <c r="BO157" s="16">
        <v>0</v>
      </c>
      <c r="BP157" s="16">
        <v>0.76315789473684215</v>
      </c>
      <c r="BQ157" s="16">
        <v>0.84615384615384615</v>
      </c>
      <c r="BR157" s="16">
        <v>0.54545454545454541</v>
      </c>
      <c r="BS157" s="16">
        <v>0.66666666666666663</v>
      </c>
      <c r="BT157" s="16">
        <v>0.4861111111111111</v>
      </c>
      <c r="BU157" s="16">
        <v>2.8571428571428571E-2</v>
      </c>
      <c r="BV157" s="16">
        <v>3.0303030303030304E-2</v>
      </c>
      <c r="BW157" s="16">
        <v>5</v>
      </c>
      <c r="BX157" s="16">
        <v>0.4</v>
      </c>
      <c r="BY157" s="16">
        <v>0.5</v>
      </c>
      <c r="BZ157" s="12">
        <v>6</v>
      </c>
      <c r="CA157" s="12">
        <v>13</v>
      </c>
      <c r="CB157" s="12">
        <v>4</v>
      </c>
      <c r="CC157" s="12">
        <v>6</v>
      </c>
      <c r="CD157" s="12">
        <v>0</v>
      </c>
      <c r="CE157" s="12">
        <v>0</v>
      </c>
      <c r="CF157" s="12">
        <v>1</v>
      </c>
      <c r="CG157" s="12">
        <v>0</v>
      </c>
      <c r="CH157" s="12">
        <v>1</v>
      </c>
      <c r="CI157" s="12">
        <v>0</v>
      </c>
      <c r="CJ157" s="12">
        <v>1</v>
      </c>
      <c r="CK157" s="12">
        <v>0</v>
      </c>
      <c r="CL157" s="12">
        <v>3</v>
      </c>
      <c r="CM157" s="12">
        <v>1</v>
      </c>
      <c r="CN157" s="12">
        <v>0</v>
      </c>
      <c r="CO157" s="12">
        <v>0</v>
      </c>
      <c r="CP157" s="12">
        <v>3</v>
      </c>
      <c r="CQ157" s="12">
        <v>0</v>
      </c>
      <c r="CR157" s="12">
        <v>11</v>
      </c>
      <c r="CS157" s="12">
        <v>1</v>
      </c>
      <c r="CT157" s="12">
        <v>7</v>
      </c>
      <c r="CU157" s="12">
        <v>0</v>
      </c>
      <c r="CV157" s="12">
        <v>0</v>
      </c>
      <c r="CW157" s="12">
        <v>0</v>
      </c>
      <c r="CX157" s="12">
        <v>6</v>
      </c>
      <c r="CY157" s="12">
        <v>0</v>
      </c>
      <c r="CZ157" s="12">
        <v>2</v>
      </c>
      <c r="DA157" s="12">
        <v>0</v>
      </c>
      <c r="DB157" s="12">
        <v>2</v>
      </c>
      <c r="DC157" s="12">
        <v>2</v>
      </c>
      <c r="DD157" s="12">
        <v>1</v>
      </c>
      <c r="DE157" s="12">
        <v>1</v>
      </c>
      <c r="DF157" s="12">
        <v>10</v>
      </c>
      <c r="DG157" s="12">
        <v>12</v>
      </c>
      <c r="DH157" s="12">
        <v>0</v>
      </c>
      <c r="DI157" s="12">
        <v>3</v>
      </c>
      <c r="DJ157" s="12">
        <v>3</v>
      </c>
      <c r="DK157" s="12">
        <v>0</v>
      </c>
      <c r="DL157" s="12">
        <v>6</v>
      </c>
      <c r="DM157" s="12">
        <v>9</v>
      </c>
      <c r="DN157" s="12">
        <v>3</v>
      </c>
      <c r="DO157" s="12">
        <v>10</v>
      </c>
      <c r="DP157" s="12">
        <v>3</v>
      </c>
      <c r="DQ157" s="12">
        <v>6</v>
      </c>
      <c r="DR157" s="12">
        <v>3</v>
      </c>
      <c r="DS157" s="12">
        <v>6</v>
      </c>
      <c r="DT157" s="12">
        <v>13</v>
      </c>
      <c r="DU157" s="12">
        <v>30</v>
      </c>
      <c r="DV157" s="12">
        <v>0</v>
      </c>
      <c r="DW157" s="12">
        <v>0</v>
      </c>
      <c r="DX157" s="12">
        <v>81</v>
      </c>
      <c r="DY157" s="12">
        <v>22</v>
      </c>
      <c r="DZ157" s="12">
        <v>47</v>
      </c>
      <c r="EA157" s="16">
        <v>0.46808510638297873</v>
      </c>
      <c r="EB157" s="12">
        <v>9</v>
      </c>
      <c r="EC157" s="12">
        <v>19</v>
      </c>
      <c r="ED157" s="16">
        <v>0.47368421052631576</v>
      </c>
      <c r="EE157" s="12">
        <v>31</v>
      </c>
      <c r="EF157" s="12">
        <v>66</v>
      </c>
      <c r="EG157" s="16">
        <v>0.46969696969696972</v>
      </c>
      <c r="EH157" s="12">
        <v>10</v>
      </c>
      <c r="EI157" s="12">
        <v>15</v>
      </c>
      <c r="EJ157" s="16">
        <v>0.66666666666666663</v>
      </c>
      <c r="EK157" s="12">
        <v>9</v>
      </c>
      <c r="EL157" s="12">
        <v>28</v>
      </c>
      <c r="EM157" s="12">
        <v>37</v>
      </c>
      <c r="EN157" s="12">
        <v>18</v>
      </c>
      <c r="EO157" s="12">
        <v>18</v>
      </c>
      <c r="EP157" s="12">
        <v>19</v>
      </c>
      <c r="EQ157" s="12">
        <v>3</v>
      </c>
      <c r="ER157" s="12">
        <v>7</v>
      </c>
      <c r="ES157" s="12">
        <v>0</v>
      </c>
      <c r="ET157" s="12">
        <v>2</v>
      </c>
      <c r="EU157" s="12">
        <v>91</v>
      </c>
      <c r="EV157" s="12">
        <v>-7</v>
      </c>
      <c r="EW157" s="12">
        <v>70</v>
      </c>
      <c r="EX157" s="12">
        <v>79</v>
      </c>
      <c r="EY157" s="12">
        <v>4</v>
      </c>
      <c r="EZ157" s="12">
        <v>10</v>
      </c>
      <c r="FA157" s="12">
        <v>7</v>
      </c>
      <c r="FB157" s="12">
        <v>1</v>
      </c>
      <c r="FC157" s="12">
        <v>2</v>
      </c>
      <c r="FD157" s="12">
        <v>0</v>
      </c>
      <c r="FE157" s="12">
        <v>0</v>
      </c>
      <c r="FF157" s="12">
        <v>3</v>
      </c>
      <c r="FG157" s="12">
        <v>0</v>
      </c>
      <c r="FH157" s="12">
        <v>1</v>
      </c>
      <c r="FI157" s="12">
        <v>0</v>
      </c>
      <c r="FJ157" s="12">
        <v>1</v>
      </c>
      <c r="FK157" s="12">
        <v>1</v>
      </c>
      <c r="FL157" s="12">
        <v>3</v>
      </c>
      <c r="FM157" s="12">
        <v>0</v>
      </c>
      <c r="FN157" s="12">
        <v>1</v>
      </c>
      <c r="FO157" s="12">
        <v>0</v>
      </c>
      <c r="FP157" s="12">
        <v>3</v>
      </c>
      <c r="FQ157" s="12">
        <v>0</v>
      </c>
      <c r="FR157" s="12">
        <v>5</v>
      </c>
      <c r="FS157" s="12">
        <v>1</v>
      </c>
      <c r="FT157" s="12">
        <v>2</v>
      </c>
      <c r="FU157" s="12">
        <v>0</v>
      </c>
      <c r="FV157" s="12">
        <v>2</v>
      </c>
      <c r="FW157" s="12">
        <v>0</v>
      </c>
      <c r="FX157" s="12">
        <v>14</v>
      </c>
      <c r="FY157" s="12">
        <v>3</v>
      </c>
      <c r="FZ157" s="12">
        <v>2</v>
      </c>
      <c r="GA157" s="12">
        <v>0</v>
      </c>
      <c r="GB157" s="12">
        <v>1</v>
      </c>
      <c r="GC157" s="12">
        <v>1</v>
      </c>
      <c r="GD157" s="12">
        <v>1</v>
      </c>
      <c r="GE157" s="12">
        <v>2</v>
      </c>
      <c r="GF157" s="12">
        <v>8</v>
      </c>
      <c r="GG157" s="12">
        <v>12</v>
      </c>
      <c r="GH157" s="12">
        <v>1</v>
      </c>
      <c r="GI157" s="12">
        <v>0</v>
      </c>
      <c r="GJ157" s="12">
        <v>0</v>
      </c>
      <c r="GK157" s="12">
        <v>0</v>
      </c>
      <c r="GL157" s="12">
        <v>12</v>
      </c>
      <c r="GM157" s="12">
        <v>15</v>
      </c>
      <c r="GN157" s="12">
        <v>9</v>
      </c>
      <c r="GO157" s="12">
        <v>23</v>
      </c>
      <c r="GP157" s="12">
        <v>1</v>
      </c>
      <c r="GQ157" s="12">
        <v>9</v>
      </c>
      <c r="GR157" s="12">
        <v>5</v>
      </c>
      <c r="GS157" s="12">
        <v>6</v>
      </c>
      <c r="GT157" s="12">
        <v>4</v>
      </c>
      <c r="GU157" s="12">
        <v>13</v>
      </c>
      <c r="GV157" s="12">
        <v>0</v>
      </c>
      <c r="GW157" s="12">
        <v>0</v>
      </c>
    </row>
    <row r="158" spans="2:205" ht="15" customHeight="1" x14ac:dyDescent="0.2">
      <c r="B158" s="12">
        <v>9</v>
      </c>
      <c r="C158" s="12" t="s">
        <v>294</v>
      </c>
      <c r="D158" s="12" t="s">
        <v>285</v>
      </c>
      <c r="E158" s="14" t="s">
        <v>296</v>
      </c>
      <c r="F158" s="14" t="s">
        <v>287</v>
      </c>
      <c r="G158" s="15">
        <v>45247</v>
      </c>
      <c r="H158" s="15" t="s">
        <v>268</v>
      </c>
      <c r="I158" s="12" t="s">
        <v>269</v>
      </c>
      <c r="J158" s="12" t="s">
        <v>270</v>
      </c>
      <c r="K158" s="12">
        <v>200</v>
      </c>
      <c r="L158" s="12">
        <v>76</v>
      </c>
      <c r="M158" s="12">
        <v>21</v>
      </c>
      <c r="N158" s="12">
        <v>36</v>
      </c>
      <c r="O158" s="16">
        <v>0.58333333333333337</v>
      </c>
      <c r="P158" s="12">
        <v>8</v>
      </c>
      <c r="Q158" s="12">
        <v>29</v>
      </c>
      <c r="R158" s="16">
        <v>0.27586206896551724</v>
      </c>
      <c r="S158" s="12">
        <v>29</v>
      </c>
      <c r="T158" s="12">
        <v>65</v>
      </c>
      <c r="U158" s="16">
        <v>0.44615384615384618</v>
      </c>
      <c r="V158" s="12">
        <v>10</v>
      </c>
      <c r="W158" s="12">
        <v>16</v>
      </c>
      <c r="X158" s="16">
        <v>0.625</v>
      </c>
      <c r="Y158" s="12">
        <v>11</v>
      </c>
      <c r="Z158" s="12">
        <v>22</v>
      </c>
      <c r="AA158" s="12">
        <v>33</v>
      </c>
      <c r="AB158" s="12">
        <v>14</v>
      </c>
      <c r="AC158" s="12">
        <v>11</v>
      </c>
      <c r="AD158" s="12">
        <v>3</v>
      </c>
      <c r="AE158" s="12">
        <v>6</v>
      </c>
      <c r="AF158" s="12">
        <v>2</v>
      </c>
      <c r="AG158" s="12">
        <v>25</v>
      </c>
      <c r="AH158" s="12">
        <v>17</v>
      </c>
      <c r="AI158" s="17">
        <v>69</v>
      </c>
      <c r="AJ158" s="12">
        <v>-14</v>
      </c>
      <c r="AK158" s="12">
        <v>71</v>
      </c>
      <c r="AL158" s="12">
        <v>82</v>
      </c>
      <c r="AM158" s="19">
        <v>0.92682926829268297</v>
      </c>
      <c r="AN158" s="19">
        <v>1.1111111111111112</v>
      </c>
      <c r="AO158" s="18">
        <v>107.04225352112675</v>
      </c>
      <c r="AP158" s="18">
        <v>128.57142857142858</v>
      </c>
      <c r="AQ158" s="18">
        <v>-21.529175050301831</v>
      </c>
      <c r="AR158" s="53">
        <v>0.50769230769230766</v>
      </c>
      <c r="AS158" s="53">
        <v>0.53521126760563376</v>
      </c>
      <c r="AT158" s="16">
        <v>0.24390243902439024</v>
      </c>
      <c r="AU158" s="19">
        <v>1.5</v>
      </c>
      <c r="AV158" s="16">
        <v>8.5365853658536592E-2</v>
      </c>
      <c r="AW158" s="19">
        <v>0.5714285714285714</v>
      </c>
      <c r="AX158" s="16">
        <v>0.10975609756097561</v>
      </c>
      <c r="AY158" s="19">
        <v>0.88888888888888884</v>
      </c>
      <c r="AZ158" s="16">
        <v>3.6585365853658534E-2</v>
      </c>
      <c r="BA158" s="19">
        <v>0</v>
      </c>
      <c r="BB158" s="16">
        <v>0.31707317073170732</v>
      </c>
      <c r="BC158" s="21">
        <v>0.92307692307692313</v>
      </c>
      <c r="BD158" s="16">
        <v>7.3170731707317069E-2</v>
      </c>
      <c r="BE158" s="16">
        <v>0.13414634146341464</v>
      </c>
      <c r="BF158" s="16">
        <v>0.41176470588235292</v>
      </c>
      <c r="BG158" s="16">
        <v>0.38095238095238093</v>
      </c>
      <c r="BH158" s="16">
        <v>0.75</v>
      </c>
      <c r="BI158" s="16">
        <v>0</v>
      </c>
      <c r="BJ158" s="16">
        <v>0.17073170731707318</v>
      </c>
      <c r="BK158" s="21">
        <v>1.2727272727272727</v>
      </c>
      <c r="BL158" s="16">
        <v>0.29729729729729731</v>
      </c>
      <c r="BM158" s="16">
        <v>0.5</v>
      </c>
      <c r="BN158" s="16">
        <v>0.25</v>
      </c>
      <c r="BO158" s="16">
        <v>0</v>
      </c>
      <c r="BP158" s="16">
        <v>0.66666666666666663</v>
      </c>
      <c r="BQ158" s="16">
        <v>0.52631578947368418</v>
      </c>
      <c r="BR158" s="16">
        <v>0.73684210526315785</v>
      </c>
      <c r="BS158" s="16" t="s">
        <v>269</v>
      </c>
      <c r="BT158" s="16">
        <v>0.47142857142857142</v>
      </c>
      <c r="BU158" s="16">
        <v>4.2857142857142858E-2</v>
      </c>
      <c r="BV158" s="16">
        <v>9.6774193548387094E-2</v>
      </c>
      <c r="BW158" s="16">
        <v>2</v>
      </c>
      <c r="BX158" s="16">
        <v>0.6</v>
      </c>
      <c r="BY158" s="16">
        <v>0.52941176470588236</v>
      </c>
      <c r="BZ158" s="12">
        <v>8</v>
      </c>
      <c r="CA158" s="12">
        <v>6</v>
      </c>
      <c r="CB158" s="12">
        <v>0</v>
      </c>
      <c r="CC158" s="12">
        <v>0</v>
      </c>
      <c r="CD158" s="12">
        <v>3</v>
      </c>
      <c r="CE158" s="12">
        <v>1</v>
      </c>
      <c r="CF158" s="12">
        <v>1</v>
      </c>
      <c r="CG158" s="12">
        <v>1</v>
      </c>
      <c r="CH158" s="12">
        <v>2</v>
      </c>
      <c r="CI158" s="12">
        <v>0</v>
      </c>
      <c r="CJ158" s="12">
        <v>0</v>
      </c>
      <c r="CK158" s="12">
        <v>0</v>
      </c>
      <c r="CL158" s="12">
        <v>5</v>
      </c>
      <c r="CM158" s="12">
        <v>0</v>
      </c>
      <c r="CN158" s="12">
        <v>0</v>
      </c>
      <c r="CO158" s="12">
        <v>0</v>
      </c>
      <c r="CP158" s="12">
        <v>1</v>
      </c>
      <c r="CQ158" s="12">
        <v>0</v>
      </c>
      <c r="CR158" s="12">
        <v>6</v>
      </c>
      <c r="CS158" s="12">
        <v>0</v>
      </c>
      <c r="CT158" s="12">
        <v>2</v>
      </c>
      <c r="CU158" s="12">
        <v>1</v>
      </c>
      <c r="CV158" s="12">
        <v>2</v>
      </c>
      <c r="CW158" s="12">
        <v>0</v>
      </c>
      <c r="CX158" s="12">
        <v>11</v>
      </c>
      <c r="CY158" s="12">
        <v>1</v>
      </c>
      <c r="CZ158" s="12">
        <v>0</v>
      </c>
      <c r="DA158" s="12">
        <v>0</v>
      </c>
      <c r="DB158" s="12">
        <v>1</v>
      </c>
      <c r="DC158" s="12">
        <v>1</v>
      </c>
      <c r="DD158" s="12">
        <v>1</v>
      </c>
      <c r="DE158" s="12">
        <v>3</v>
      </c>
      <c r="DF158" s="12">
        <v>8</v>
      </c>
      <c r="DG158" s="12">
        <v>12</v>
      </c>
      <c r="DH158" s="12">
        <v>1</v>
      </c>
      <c r="DI158" s="12">
        <v>0</v>
      </c>
      <c r="DJ158" s="12">
        <v>0</v>
      </c>
      <c r="DK158" s="12">
        <v>0</v>
      </c>
      <c r="DL158" s="12">
        <v>15</v>
      </c>
      <c r="DM158" s="12">
        <v>20</v>
      </c>
      <c r="DN158" s="12">
        <v>2</v>
      </c>
      <c r="DO158" s="12">
        <v>7</v>
      </c>
      <c r="DP158" s="12">
        <v>4</v>
      </c>
      <c r="DQ158" s="12">
        <v>9</v>
      </c>
      <c r="DR158" s="12">
        <v>0</v>
      </c>
      <c r="DS158" s="12">
        <v>3</v>
      </c>
      <c r="DT158" s="12">
        <v>8</v>
      </c>
      <c r="DU158" s="12">
        <v>26</v>
      </c>
      <c r="DV158" s="12">
        <v>0</v>
      </c>
      <c r="DW158" s="12">
        <v>0</v>
      </c>
      <c r="DX158" s="12">
        <v>90</v>
      </c>
      <c r="DY158" s="12">
        <v>22</v>
      </c>
      <c r="DZ158" s="12">
        <v>38</v>
      </c>
      <c r="EA158" s="16">
        <v>0.57894736842105265</v>
      </c>
      <c r="EB158" s="12">
        <v>7</v>
      </c>
      <c r="EC158" s="12">
        <v>24</v>
      </c>
      <c r="ED158" s="16">
        <v>0.29166666666666669</v>
      </c>
      <c r="EE158" s="12">
        <v>29</v>
      </c>
      <c r="EF158" s="12">
        <v>62</v>
      </c>
      <c r="EG158" s="16">
        <v>0.46774193548387094</v>
      </c>
      <c r="EH158" s="12">
        <v>25</v>
      </c>
      <c r="EI158" s="12">
        <v>27</v>
      </c>
      <c r="EJ158" s="16">
        <v>0.92592592592592593</v>
      </c>
      <c r="EK158" s="12">
        <v>11</v>
      </c>
      <c r="EL158" s="12">
        <v>26</v>
      </c>
      <c r="EM158" s="12">
        <v>37</v>
      </c>
      <c r="EN158" s="12">
        <v>17</v>
      </c>
      <c r="EO158" s="12">
        <v>18</v>
      </c>
      <c r="EP158" s="12">
        <v>24</v>
      </c>
      <c r="EQ158" s="12">
        <v>8</v>
      </c>
      <c r="ER158" s="12">
        <v>8</v>
      </c>
      <c r="ES158" s="12">
        <v>2</v>
      </c>
      <c r="ET158" s="12">
        <v>6</v>
      </c>
      <c r="EU158" s="12">
        <v>111</v>
      </c>
      <c r="EV158" s="12">
        <v>14</v>
      </c>
      <c r="EW158" s="12">
        <v>70</v>
      </c>
      <c r="EX158" s="12">
        <v>81</v>
      </c>
      <c r="EY158" s="12">
        <v>4</v>
      </c>
      <c r="EZ158" s="12">
        <v>9</v>
      </c>
      <c r="FA158" s="12">
        <v>5</v>
      </c>
      <c r="FB158" s="12">
        <v>3</v>
      </c>
      <c r="FC158" s="12">
        <v>6</v>
      </c>
      <c r="FD158" s="12">
        <v>3</v>
      </c>
      <c r="FE158" s="12">
        <v>0</v>
      </c>
      <c r="FF158" s="12">
        <v>4</v>
      </c>
      <c r="FG158" s="12">
        <v>2</v>
      </c>
      <c r="FH158" s="12">
        <v>0</v>
      </c>
      <c r="FI158" s="12">
        <v>0</v>
      </c>
      <c r="FJ158" s="12">
        <v>0</v>
      </c>
      <c r="FK158" s="12">
        <v>0</v>
      </c>
      <c r="FL158" s="12">
        <v>4</v>
      </c>
      <c r="FM158" s="12">
        <v>1</v>
      </c>
      <c r="FN158" s="12">
        <v>0</v>
      </c>
      <c r="FO158" s="12">
        <v>0</v>
      </c>
      <c r="FP158" s="12">
        <v>2</v>
      </c>
      <c r="FQ158" s="12">
        <v>0</v>
      </c>
      <c r="FR158" s="12">
        <v>4</v>
      </c>
      <c r="FS158" s="12">
        <v>0</v>
      </c>
      <c r="FT158" s="12">
        <v>2</v>
      </c>
      <c r="FU158" s="12">
        <v>0</v>
      </c>
      <c r="FV158" s="12">
        <v>3</v>
      </c>
      <c r="FW158" s="12">
        <v>0</v>
      </c>
      <c r="FX158" s="12">
        <v>12</v>
      </c>
      <c r="FY158" s="12">
        <v>0</v>
      </c>
      <c r="FZ158" s="12">
        <v>3</v>
      </c>
      <c r="GA158" s="12">
        <v>0</v>
      </c>
      <c r="GB158" s="12">
        <v>1</v>
      </c>
      <c r="GC158" s="12">
        <v>1</v>
      </c>
      <c r="GD158" s="12">
        <v>4</v>
      </c>
      <c r="GE158" s="12">
        <v>4</v>
      </c>
      <c r="GF158" s="12">
        <v>20</v>
      </c>
      <c r="GG158" s="12">
        <v>22</v>
      </c>
      <c r="GH158" s="12">
        <v>0</v>
      </c>
      <c r="GI158" s="12">
        <v>0</v>
      </c>
      <c r="GJ158" s="12">
        <v>0</v>
      </c>
      <c r="GK158" s="12">
        <v>0</v>
      </c>
      <c r="GL158" s="12">
        <v>14</v>
      </c>
      <c r="GM158" s="12">
        <v>18</v>
      </c>
      <c r="GN158" s="12">
        <v>4</v>
      </c>
      <c r="GO158" s="12">
        <v>14</v>
      </c>
      <c r="GP158" s="12">
        <v>4</v>
      </c>
      <c r="GQ158" s="12">
        <v>6</v>
      </c>
      <c r="GR158" s="12">
        <v>2</v>
      </c>
      <c r="GS158" s="12">
        <v>4</v>
      </c>
      <c r="GT158" s="12">
        <v>5</v>
      </c>
      <c r="GU158" s="12">
        <v>20</v>
      </c>
      <c r="GV158" s="12">
        <v>0</v>
      </c>
      <c r="GW158" s="12">
        <v>0</v>
      </c>
    </row>
    <row r="159" spans="2:205" ht="15" customHeight="1" x14ac:dyDescent="0.2">
      <c r="B159" s="12">
        <v>9</v>
      </c>
      <c r="C159" s="12" t="s">
        <v>285</v>
      </c>
      <c r="D159" s="12" t="s">
        <v>294</v>
      </c>
      <c r="E159" s="14" t="s">
        <v>287</v>
      </c>
      <c r="F159" s="14" t="s">
        <v>296</v>
      </c>
      <c r="G159" s="15">
        <v>45247</v>
      </c>
      <c r="H159" s="15" t="s">
        <v>271</v>
      </c>
      <c r="I159" s="12" t="s">
        <v>269</v>
      </c>
      <c r="J159" s="12" t="s">
        <v>272</v>
      </c>
      <c r="K159" s="12">
        <v>200</v>
      </c>
      <c r="L159" s="12">
        <v>90</v>
      </c>
      <c r="M159" s="12">
        <v>22</v>
      </c>
      <c r="N159" s="12">
        <v>38</v>
      </c>
      <c r="O159" s="16">
        <v>0.57894736842105265</v>
      </c>
      <c r="P159" s="12">
        <v>7</v>
      </c>
      <c r="Q159" s="12">
        <v>24</v>
      </c>
      <c r="R159" s="16">
        <v>0.29166666666666669</v>
      </c>
      <c r="S159" s="12">
        <v>29</v>
      </c>
      <c r="T159" s="12">
        <v>62</v>
      </c>
      <c r="U159" s="16">
        <v>0.46774193548387094</v>
      </c>
      <c r="V159" s="12">
        <v>25</v>
      </c>
      <c r="W159" s="12">
        <v>27</v>
      </c>
      <c r="X159" s="16">
        <v>0.92592592592592593</v>
      </c>
      <c r="Y159" s="12">
        <v>11</v>
      </c>
      <c r="Z159" s="12">
        <v>26</v>
      </c>
      <c r="AA159" s="12">
        <v>37</v>
      </c>
      <c r="AB159" s="12">
        <v>17</v>
      </c>
      <c r="AC159" s="12">
        <v>8</v>
      </c>
      <c r="AD159" s="12">
        <v>8</v>
      </c>
      <c r="AE159" s="12">
        <v>2</v>
      </c>
      <c r="AF159" s="12">
        <v>6</v>
      </c>
      <c r="AG159" s="12">
        <v>17</v>
      </c>
      <c r="AH159" s="12">
        <v>24</v>
      </c>
      <c r="AI159" s="17">
        <v>112</v>
      </c>
      <c r="AJ159" s="12">
        <v>14</v>
      </c>
      <c r="AK159" s="12">
        <v>70</v>
      </c>
      <c r="AL159" s="12">
        <v>81</v>
      </c>
      <c r="AM159" s="19">
        <v>1.1111111111111112</v>
      </c>
      <c r="AN159" s="19">
        <v>0.92682926829268297</v>
      </c>
      <c r="AO159" s="18">
        <v>128.57142857142858</v>
      </c>
      <c r="AP159" s="18">
        <v>107.04225352112675</v>
      </c>
      <c r="AQ159" s="18">
        <v>21.529175050301831</v>
      </c>
      <c r="AR159" s="53">
        <v>0.52419354838709675</v>
      </c>
      <c r="AS159" s="53">
        <v>0.61643835616438358</v>
      </c>
      <c r="AT159" s="16">
        <v>0.22222222222222221</v>
      </c>
      <c r="AU159" s="19">
        <v>1.5555555555555556</v>
      </c>
      <c r="AV159" s="16">
        <v>0.1728395061728395</v>
      </c>
      <c r="AW159" s="19">
        <v>0.5714285714285714</v>
      </c>
      <c r="AX159" s="16">
        <v>7.407407407407407E-2</v>
      </c>
      <c r="AY159" s="19">
        <v>1.3333333333333333</v>
      </c>
      <c r="AZ159" s="16">
        <v>4.9382716049382713E-2</v>
      </c>
      <c r="BA159" s="19">
        <v>1.5</v>
      </c>
      <c r="BB159" s="16">
        <v>0.24691358024691357</v>
      </c>
      <c r="BC159" s="21">
        <v>0.75</v>
      </c>
      <c r="BD159" s="16">
        <v>0.13580246913580246</v>
      </c>
      <c r="BE159" s="16">
        <v>9.8765432098765427E-2</v>
      </c>
      <c r="BF159" s="16">
        <v>0.42499999999999999</v>
      </c>
      <c r="BG159" s="16">
        <v>0.40909090909090912</v>
      </c>
      <c r="BH159" s="16">
        <v>0.7142857142857143</v>
      </c>
      <c r="BI159" s="16">
        <v>0.27272727272727271</v>
      </c>
      <c r="BJ159" s="16">
        <v>0.20987654320987653</v>
      </c>
      <c r="BK159" s="21">
        <v>2.125</v>
      </c>
      <c r="BL159" s="16">
        <v>0.33333333333333331</v>
      </c>
      <c r="BM159" s="16">
        <v>0.47368421052631576</v>
      </c>
      <c r="BN159" s="16">
        <v>0.26315789473684209</v>
      </c>
      <c r="BO159" s="16" t="s">
        <v>269</v>
      </c>
      <c r="BP159" s="16">
        <v>0.70270270270270274</v>
      </c>
      <c r="BQ159" s="16">
        <v>0.5</v>
      </c>
      <c r="BR159" s="16">
        <v>0.75</v>
      </c>
      <c r="BS159" s="16">
        <v>1</v>
      </c>
      <c r="BT159" s="16">
        <v>0.52857142857142858</v>
      </c>
      <c r="BU159" s="16">
        <v>0.11267605633802817</v>
      </c>
      <c r="BV159" s="16">
        <v>3.0769230769230771E-2</v>
      </c>
      <c r="BW159" s="16">
        <v>4</v>
      </c>
      <c r="BX159" s="16">
        <v>0.52941176470588236</v>
      </c>
      <c r="BY159" s="16">
        <v>0.625</v>
      </c>
      <c r="BZ159" s="12">
        <v>9</v>
      </c>
      <c r="CA159" s="12">
        <v>5</v>
      </c>
      <c r="CB159" s="12">
        <v>3</v>
      </c>
      <c r="CC159" s="12">
        <v>6</v>
      </c>
      <c r="CD159" s="12">
        <v>3</v>
      </c>
      <c r="CE159" s="12">
        <v>0</v>
      </c>
      <c r="CF159" s="12">
        <v>4</v>
      </c>
      <c r="CG159" s="12">
        <v>2</v>
      </c>
      <c r="CH159" s="12">
        <v>0</v>
      </c>
      <c r="CI159" s="12">
        <v>0</v>
      </c>
      <c r="CJ159" s="12">
        <v>0</v>
      </c>
      <c r="CK159" s="12">
        <v>0</v>
      </c>
      <c r="CL159" s="12">
        <v>4</v>
      </c>
      <c r="CM159" s="12">
        <v>1</v>
      </c>
      <c r="CN159" s="12">
        <v>0</v>
      </c>
      <c r="CO159" s="12">
        <v>0</v>
      </c>
      <c r="CP159" s="12">
        <v>2</v>
      </c>
      <c r="CQ159" s="12">
        <v>0</v>
      </c>
      <c r="CR159" s="12">
        <v>4</v>
      </c>
      <c r="CS159" s="12">
        <v>0</v>
      </c>
      <c r="CT159" s="12">
        <v>2</v>
      </c>
      <c r="CU159" s="12">
        <v>0</v>
      </c>
      <c r="CV159" s="12">
        <v>3</v>
      </c>
      <c r="CW159" s="12">
        <v>0</v>
      </c>
      <c r="CX159" s="12">
        <v>12</v>
      </c>
      <c r="CY159" s="12">
        <v>0</v>
      </c>
      <c r="CZ159" s="12">
        <v>3</v>
      </c>
      <c r="DA159" s="12">
        <v>0</v>
      </c>
      <c r="DB159" s="12">
        <v>1</v>
      </c>
      <c r="DC159" s="12">
        <v>1</v>
      </c>
      <c r="DD159" s="12">
        <v>4</v>
      </c>
      <c r="DE159" s="12">
        <v>4</v>
      </c>
      <c r="DF159" s="12">
        <v>20</v>
      </c>
      <c r="DG159" s="12">
        <v>22</v>
      </c>
      <c r="DH159" s="12">
        <v>0</v>
      </c>
      <c r="DI159" s="12">
        <v>0</v>
      </c>
      <c r="DJ159" s="12">
        <v>0</v>
      </c>
      <c r="DK159" s="12">
        <v>0</v>
      </c>
      <c r="DL159" s="12">
        <v>14</v>
      </c>
      <c r="DM159" s="12">
        <v>18</v>
      </c>
      <c r="DN159" s="12">
        <v>4</v>
      </c>
      <c r="DO159" s="12">
        <v>14</v>
      </c>
      <c r="DP159" s="12">
        <v>4</v>
      </c>
      <c r="DQ159" s="12">
        <v>6</v>
      </c>
      <c r="DR159" s="12">
        <v>2</v>
      </c>
      <c r="DS159" s="12">
        <v>4</v>
      </c>
      <c r="DT159" s="12">
        <v>5</v>
      </c>
      <c r="DU159" s="12">
        <v>20</v>
      </c>
      <c r="DV159" s="12">
        <v>0</v>
      </c>
      <c r="DW159" s="12">
        <v>0</v>
      </c>
      <c r="DX159" s="12">
        <v>76</v>
      </c>
      <c r="DY159" s="12">
        <v>21</v>
      </c>
      <c r="DZ159" s="12">
        <v>36</v>
      </c>
      <c r="EA159" s="16">
        <v>0.58333333333333337</v>
      </c>
      <c r="EB159" s="12">
        <v>8</v>
      </c>
      <c r="EC159" s="12">
        <v>29</v>
      </c>
      <c r="ED159" s="16">
        <v>0.27586206896551724</v>
      </c>
      <c r="EE159" s="12">
        <v>29</v>
      </c>
      <c r="EF159" s="12">
        <v>65</v>
      </c>
      <c r="EG159" s="16">
        <v>0.44615384615384618</v>
      </c>
      <c r="EH159" s="12">
        <v>10</v>
      </c>
      <c r="EI159" s="12">
        <v>16</v>
      </c>
      <c r="EJ159" s="16">
        <v>0.625</v>
      </c>
      <c r="EK159" s="12">
        <v>11</v>
      </c>
      <c r="EL159" s="12">
        <v>22</v>
      </c>
      <c r="EM159" s="12">
        <v>33</v>
      </c>
      <c r="EN159" s="12">
        <v>14</v>
      </c>
      <c r="EO159" s="12">
        <v>25</v>
      </c>
      <c r="EP159" s="12">
        <v>17</v>
      </c>
      <c r="EQ159" s="12">
        <v>3</v>
      </c>
      <c r="ER159" s="12">
        <v>11</v>
      </c>
      <c r="ES159" s="12">
        <v>6</v>
      </c>
      <c r="ET159" s="12">
        <v>2</v>
      </c>
      <c r="EU159" s="12">
        <v>69</v>
      </c>
      <c r="EV159" s="12">
        <v>-14</v>
      </c>
      <c r="EW159" s="12">
        <v>71</v>
      </c>
      <c r="EX159" s="12">
        <v>82</v>
      </c>
      <c r="EY159" s="12">
        <v>2</v>
      </c>
      <c r="EZ159" s="12">
        <v>8</v>
      </c>
      <c r="FA159" s="12">
        <v>6</v>
      </c>
      <c r="FB159" s="12">
        <v>0</v>
      </c>
      <c r="FC159" s="12">
        <v>0</v>
      </c>
      <c r="FD159" s="12">
        <v>3</v>
      </c>
      <c r="FE159" s="12">
        <v>1</v>
      </c>
      <c r="FF159" s="12">
        <v>1</v>
      </c>
      <c r="FG159" s="12">
        <v>1</v>
      </c>
      <c r="FH159" s="12">
        <v>2</v>
      </c>
      <c r="FI159" s="12">
        <v>0</v>
      </c>
      <c r="FJ159" s="12">
        <v>0</v>
      </c>
      <c r="FK159" s="12">
        <v>0</v>
      </c>
      <c r="FL159" s="12">
        <v>5</v>
      </c>
      <c r="FM159" s="12">
        <v>0</v>
      </c>
      <c r="FN159" s="12">
        <v>0</v>
      </c>
      <c r="FO159" s="12">
        <v>0</v>
      </c>
      <c r="FP159" s="12">
        <v>1</v>
      </c>
      <c r="FQ159" s="12">
        <v>0</v>
      </c>
      <c r="FR159" s="12">
        <v>6</v>
      </c>
      <c r="FS159" s="12">
        <v>0</v>
      </c>
      <c r="FT159" s="12">
        <v>2</v>
      </c>
      <c r="FU159" s="12">
        <v>1</v>
      </c>
      <c r="FV159" s="12">
        <v>2</v>
      </c>
      <c r="FW159" s="12">
        <v>0</v>
      </c>
      <c r="FX159" s="12">
        <v>11</v>
      </c>
      <c r="FY159" s="12">
        <v>1</v>
      </c>
      <c r="FZ159" s="12">
        <v>0</v>
      </c>
      <c r="GA159" s="12">
        <v>0</v>
      </c>
      <c r="GB159" s="12">
        <v>1</v>
      </c>
      <c r="GC159" s="12">
        <v>1</v>
      </c>
      <c r="GD159" s="12">
        <v>1</v>
      </c>
      <c r="GE159" s="12">
        <v>3</v>
      </c>
      <c r="GF159" s="12">
        <v>8</v>
      </c>
      <c r="GG159" s="12">
        <v>12</v>
      </c>
      <c r="GH159" s="12">
        <v>1</v>
      </c>
      <c r="GI159" s="12">
        <v>0</v>
      </c>
      <c r="GJ159" s="12">
        <v>0</v>
      </c>
      <c r="GK159" s="12">
        <v>0</v>
      </c>
      <c r="GL159" s="12">
        <v>15</v>
      </c>
      <c r="GM159" s="12">
        <v>20</v>
      </c>
      <c r="GN159" s="12">
        <v>2</v>
      </c>
      <c r="GO159" s="12">
        <v>7</v>
      </c>
      <c r="GP159" s="12">
        <v>4</v>
      </c>
      <c r="GQ159" s="12">
        <v>9</v>
      </c>
      <c r="GR159" s="12">
        <v>0</v>
      </c>
      <c r="GS159" s="12">
        <v>3</v>
      </c>
      <c r="GT159" s="12">
        <v>8</v>
      </c>
      <c r="GU159" s="12">
        <v>26</v>
      </c>
      <c r="GV159" s="12">
        <v>0</v>
      </c>
      <c r="GW159" s="12">
        <v>0</v>
      </c>
    </row>
    <row r="160" spans="2:205" ht="15" customHeight="1" x14ac:dyDescent="0.2">
      <c r="B160" s="12">
        <v>9</v>
      </c>
      <c r="C160" s="12" t="s">
        <v>278</v>
      </c>
      <c r="D160" s="12" t="s">
        <v>93</v>
      </c>
      <c r="E160" s="14" t="s">
        <v>280</v>
      </c>
      <c r="F160" s="14" t="s">
        <v>303</v>
      </c>
      <c r="G160" s="15">
        <v>45247</v>
      </c>
      <c r="H160" s="15" t="s">
        <v>268</v>
      </c>
      <c r="I160" s="12" t="s">
        <v>269</v>
      </c>
      <c r="J160" s="12" t="s">
        <v>270</v>
      </c>
      <c r="K160" s="12">
        <v>200</v>
      </c>
      <c r="L160" s="12">
        <v>70</v>
      </c>
      <c r="M160" s="12">
        <v>21</v>
      </c>
      <c r="N160" s="12">
        <v>48</v>
      </c>
      <c r="O160" s="16">
        <v>0.4375</v>
      </c>
      <c r="P160" s="12">
        <v>6</v>
      </c>
      <c r="Q160" s="12">
        <v>16</v>
      </c>
      <c r="R160" s="16">
        <v>0.375</v>
      </c>
      <c r="S160" s="12">
        <v>27</v>
      </c>
      <c r="T160" s="12">
        <v>64</v>
      </c>
      <c r="U160" s="16">
        <v>0.421875</v>
      </c>
      <c r="V160" s="12">
        <v>10</v>
      </c>
      <c r="W160" s="12">
        <v>17</v>
      </c>
      <c r="X160" s="16">
        <v>0.58823529411764708</v>
      </c>
      <c r="Y160" s="12">
        <v>15</v>
      </c>
      <c r="Z160" s="12">
        <v>24</v>
      </c>
      <c r="AA160" s="12">
        <v>39</v>
      </c>
      <c r="AB160" s="12">
        <v>8</v>
      </c>
      <c r="AC160" s="12">
        <v>12</v>
      </c>
      <c r="AD160" s="12">
        <v>4</v>
      </c>
      <c r="AE160" s="12">
        <v>0</v>
      </c>
      <c r="AF160" s="12">
        <v>4</v>
      </c>
      <c r="AG160" s="12">
        <v>23</v>
      </c>
      <c r="AH160" s="12">
        <v>22</v>
      </c>
      <c r="AI160" s="17">
        <v>60</v>
      </c>
      <c r="AJ160" s="12">
        <v>-4</v>
      </c>
      <c r="AK160" s="12">
        <v>67</v>
      </c>
      <c r="AL160" s="12">
        <v>82</v>
      </c>
      <c r="AM160" s="19">
        <v>0.85365853658536583</v>
      </c>
      <c r="AN160" s="19">
        <v>0.89156626506024095</v>
      </c>
      <c r="AO160" s="18">
        <v>104.4776119402985</v>
      </c>
      <c r="AP160" s="18">
        <v>108.8235294117647</v>
      </c>
      <c r="AQ160" s="18">
        <v>-4.3459174714661941</v>
      </c>
      <c r="AR160" s="53">
        <v>0.46875</v>
      </c>
      <c r="AS160" s="53">
        <v>0.5</v>
      </c>
      <c r="AT160" s="16">
        <v>3.6585365853658534E-2</v>
      </c>
      <c r="AU160" s="19">
        <v>2</v>
      </c>
      <c r="AV160" s="16">
        <v>0.52439024390243905</v>
      </c>
      <c r="AW160" s="19">
        <v>0.83720930232558144</v>
      </c>
      <c r="AX160" s="16">
        <v>2.4390243902439025E-2</v>
      </c>
      <c r="AY160" s="19">
        <v>0</v>
      </c>
      <c r="AZ160" s="16">
        <v>0</v>
      </c>
      <c r="BA160" s="19" t="s">
        <v>269</v>
      </c>
      <c r="BB160" s="16">
        <v>0.1951219512195122</v>
      </c>
      <c r="BC160" s="21">
        <v>1.125</v>
      </c>
      <c r="BD160" s="16">
        <v>7.3170731707317069E-2</v>
      </c>
      <c r="BE160" s="16">
        <v>0.14634146341463414</v>
      </c>
      <c r="BF160" s="16">
        <v>0.24242424242424243</v>
      </c>
      <c r="BG160" s="16">
        <v>0.14285714285714285</v>
      </c>
      <c r="BH160" s="16">
        <v>0.66666666666666663</v>
      </c>
      <c r="BI160" s="16">
        <v>0.16666666666666666</v>
      </c>
      <c r="BJ160" s="16">
        <v>9.7560975609756101E-2</v>
      </c>
      <c r="BK160" s="21">
        <v>0.66666666666666663</v>
      </c>
      <c r="BL160" s="16">
        <v>0.34883720930232559</v>
      </c>
      <c r="BM160" s="16">
        <v>0.41935483870967744</v>
      </c>
      <c r="BN160" s="16">
        <v>0.45454545454545453</v>
      </c>
      <c r="BO160" s="16">
        <v>0.2857142857142857</v>
      </c>
      <c r="BP160" s="16">
        <v>0.61538461538461542</v>
      </c>
      <c r="BQ160" s="16">
        <v>0.625</v>
      </c>
      <c r="BR160" s="16">
        <v>0.55555555555555558</v>
      </c>
      <c r="BS160" s="16">
        <v>1</v>
      </c>
      <c r="BT160" s="16">
        <v>0.47560975609756095</v>
      </c>
      <c r="BU160" s="16">
        <v>5.8823529411764705E-2</v>
      </c>
      <c r="BV160" s="16">
        <v>0</v>
      </c>
      <c r="BW160" s="16">
        <v>5</v>
      </c>
      <c r="BX160" s="16">
        <v>0.52173913043478259</v>
      </c>
      <c r="BY160" s="16">
        <v>0.45454545454545453</v>
      </c>
      <c r="BZ160" s="12">
        <v>3</v>
      </c>
      <c r="CA160" s="12">
        <v>4</v>
      </c>
      <c r="CB160" s="12">
        <v>1</v>
      </c>
      <c r="CC160" s="12">
        <v>0</v>
      </c>
      <c r="CD160" s="12">
        <v>0</v>
      </c>
      <c r="CE160" s="12">
        <v>0</v>
      </c>
      <c r="CF160" s="12">
        <v>10</v>
      </c>
      <c r="CG160" s="12">
        <v>3</v>
      </c>
      <c r="CH160" s="12">
        <v>0</v>
      </c>
      <c r="CI160" s="12">
        <v>0</v>
      </c>
      <c r="CJ160" s="12">
        <v>0</v>
      </c>
      <c r="CK160" s="12">
        <v>0</v>
      </c>
      <c r="CL160" s="12">
        <v>4</v>
      </c>
      <c r="CM160" s="12">
        <v>1</v>
      </c>
      <c r="CN160" s="12">
        <v>1</v>
      </c>
      <c r="CO160" s="12">
        <v>1</v>
      </c>
      <c r="CP160" s="12">
        <v>0</v>
      </c>
      <c r="CQ160" s="12">
        <v>0</v>
      </c>
      <c r="CR160" s="12">
        <v>9</v>
      </c>
      <c r="CS160" s="12">
        <v>1</v>
      </c>
      <c r="CT160" s="12">
        <v>0</v>
      </c>
      <c r="CU160" s="12">
        <v>0</v>
      </c>
      <c r="CV160" s="12">
        <v>0</v>
      </c>
      <c r="CW160" s="12">
        <v>0</v>
      </c>
      <c r="CX160" s="12">
        <v>14</v>
      </c>
      <c r="CY160" s="12">
        <v>1</v>
      </c>
      <c r="CZ160" s="12">
        <v>1</v>
      </c>
      <c r="DA160" s="12">
        <v>0</v>
      </c>
      <c r="DB160" s="12">
        <v>0</v>
      </c>
      <c r="DC160" s="12">
        <v>0</v>
      </c>
      <c r="DD160" s="12">
        <v>1</v>
      </c>
      <c r="DE160" s="12">
        <v>4</v>
      </c>
      <c r="DF160" s="12">
        <v>6</v>
      </c>
      <c r="DG160" s="12">
        <v>10</v>
      </c>
      <c r="DH160" s="12">
        <v>0</v>
      </c>
      <c r="DI160" s="12">
        <v>3</v>
      </c>
      <c r="DJ160" s="12">
        <v>3</v>
      </c>
      <c r="DK160" s="12">
        <v>0</v>
      </c>
      <c r="DL160" s="12">
        <v>3</v>
      </c>
      <c r="DM160" s="12">
        <v>3</v>
      </c>
      <c r="DN160" s="12">
        <v>18</v>
      </c>
      <c r="DO160" s="12">
        <v>43</v>
      </c>
      <c r="DP160" s="12">
        <v>0</v>
      </c>
      <c r="DQ160" s="12">
        <v>2</v>
      </c>
      <c r="DR160" s="12">
        <v>0</v>
      </c>
      <c r="DS160" s="12">
        <v>0</v>
      </c>
      <c r="DT160" s="12">
        <v>6</v>
      </c>
      <c r="DU160" s="12">
        <v>16</v>
      </c>
      <c r="DV160" s="12">
        <v>0</v>
      </c>
      <c r="DW160" s="12">
        <v>0</v>
      </c>
      <c r="DX160" s="12">
        <v>74</v>
      </c>
      <c r="DY160" s="12">
        <v>21</v>
      </c>
      <c r="DZ160" s="12">
        <v>36</v>
      </c>
      <c r="EA160" s="16">
        <v>0.58333333333333337</v>
      </c>
      <c r="EB160" s="12">
        <v>5</v>
      </c>
      <c r="EC160" s="12">
        <v>30</v>
      </c>
      <c r="ED160" s="16">
        <v>0.16666666666666666</v>
      </c>
      <c r="EE160" s="12">
        <v>26</v>
      </c>
      <c r="EF160" s="12">
        <v>66</v>
      </c>
      <c r="EG160" s="16">
        <v>0.39393939393939392</v>
      </c>
      <c r="EH160" s="12">
        <v>17</v>
      </c>
      <c r="EI160" s="12">
        <v>21</v>
      </c>
      <c r="EJ160" s="16">
        <v>0.80952380952380953</v>
      </c>
      <c r="EK160" s="12">
        <v>15</v>
      </c>
      <c r="EL160" s="12">
        <v>28</v>
      </c>
      <c r="EM160" s="12">
        <v>43</v>
      </c>
      <c r="EN160" s="12">
        <v>17</v>
      </c>
      <c r="EO160" s="12">
        <v>22</v>
      </c>
      <c r="EP160" s="12">
        <v>23</v>
      </c>
      <c r="EQ160" s="12">
        <v>5</v>
      </c>
      <c r="ER160" s="12">
        <v>8</v>
      </c>
      <c r="ES160" s="12">
        <v>4</v>
      </c>
      <c r="ET160" s="12">
        <v>0</v>
      </c>
      <c r="EU160" s="12">
        <v>92</v>
      </c>
      <c r="EV160" s="12">
        <v>4</v>
      </c>
      <c r="EW160" s="12">
        <v>68</v>
      </c>
      <c r="EX160" s="12">
        <v>83</v>
      </c>
      <c r="EY160" s="12">
        <v>5</v>
      </c>
      <c r="EZ160" s="12">
        <v>12</v>
      </c>
      <c r="FA160" s="12">
        <v>5</v>
      </c>
      <c r="FB160" s="12">
        <v>0</v>
      </c>
      <c r="FC160" s="12">
        <v>0</v>
      </c>
      <c r="FD160" s="12">
        <v>1</v>
      </c>
      <c r="FE160" s="12">
        <v>0</v>
      </c>
      <c r="FF160" s="12">
        <v>4</v>
      </c>
      <c r="FG160" s="12">
        <v>1</v>
      </c>
      <c r="FH160" s="12">
        <v>0</v>
      </c>
      <c r="FI160" s="12">
        <v>0</v>
      </c>
      <c r="FJ160" s="12">
        <v>0</v>
      </c>
      <c r="FK160" s="12">
        <v>0</v>
      </c>
      <c r="FL160" s="12">
        <v>10</v>
      </c>
      <c r="FM160" s="12">
        <v>2</v>
      </c>
      <c r="FN160" s="12">
        <v>0</v>
      </c>
      <c r="FO160" s="12">
        <v>0</v>
      </c>
      <c r="FP160" s="12">
        <v>0</v>
      </c>
      <c r="FQ160" s="12">
        <v>0</v>
      </c>
      <c r="FR160" s="12">
        <v>15</v>
      </c>
      <c r="FS160" s="12">
        <v>1</v>
      </c>
      <c r="FT160" s="12">
        <v>2</v>
      </c>
      <c r="FU160" s="12">
        <v>0</v>
      </c>
      <c r="FV160" s="12">
        <v>0</v>
      </c>
      <c r="FW160" s="12">
        <v>0</v>
      </c>
      <c r="FX160" s="12">
        <v>6</v>
      </c>
      <c r="FY160" s="12">
        <v>0</v>
      </c>
      <c r="FZ160" s="12">
        <v>4</v>
      </c>
      <c r="GA160" s="12">
        <v>1</v>
      </c>
      <c r="GB160" s="12">
        <v>0</v>
      </c>
      <c r="GC160" s="12">
        <v>0</v>
      </c>
      <c r="GD160" s="12">
        <v>2</v>
      </c>
      <c r="GE160" s="12">
        <v>3</v>
      </c>
      <c r="GF160" s="12">
        <v>15</v>
      </c>
      <c r="GG160" s="12">
        <v>18</v>
      </c>
      <c r="GH160" s="12">
        <v>0</v>
      </c>
      <c r="GI160" s="12">
        <v>0</v>
      </c>
      <c r="GJ160" s="12">
        <v>0</v>
      </c>
      <c r="GK160" s="12">
        <v>0</v>
      </c>
      <c r="GL160" s="12">
        <v>5</v>
      </c>
      <c r="GM160" s="12">
        <v>6</v>
      </c>
      <c r="GN160" s="12">
        <v>15</v>
      </c>
      <c r="GO160" s="12">
        <v>29</v>
      </c>
      <c r="GP160" s="12">
        <v>1</v>
      </c>
      <c r="GQ160" s="12">
        <v>1</v>
      </c>
      <c r="GR160" s="12">
        <v>0</v>
      </c>
      <c r="GS160" s="12">
        <v>0</v>
      </c>
      <c r="GT160" s="12">
        <v>5</v>
      </c>
      <c r="GU160" s="12">
        <v>29</v>
      </c>
      <c r="GV160" s="12">
        <v>0</v>
      </c>
      <c r="GW160" s="12">
        <v>1</v>
      </c>
    </row>
    <row r="161" spans="2:205" ht="15" customHeight="1" x14ac:dyDescent="0.2">
      <c r="B161" s="12">
        <v>9</v>
      </c>
      <c r="C161" s="12" t="s">
        <v>93</v>
      </c>
      <c r="D161" s="12" t="s">
        <v>278</v>
      </c>
      <c r="E161" s="14" t="s">
        <v>303</v>
      </c>
      <c r="F161" s="14" t="s">
        <v>280</v>
      </c>
      <c r="G161" s="15">
        <v>45247</v>
      </c>
      <c r="H161" s="15" t="s">
        <v>271</v>
      </c>
      <c r="I161" s="12" t="s">
        <v>269</v>
      </c>
      <c r="J161" s="12" t="s">
        <v>272</v>
      </c>
      <c r="K161" s="12">
        <v>200</v>
      </c>
      <c r="L161" s="12">
        <v>74</v>
      </c>
      <c r="M161" s="12">
        <v>21</v>
      </c>
      <c r="N161" s="12">
        <v>36</v>
      </c>
      <c r="O161" s="16">
        <v>0.58333333333333337</v>
      </c>
      <c r="P161" s="12">
        <v>5</v>
      </c>
      <c r="Q161" s="12">
        <v>30</v>
      </c>
      <c r="R161" s="16">
        <v>0.16666666666666666</v>
      </c>
      <c r="S161" s="12">
        <v>26</v>
      </c>
      <c r="T161" s="12">
        <v>66</v>
      </c>
      <c r="U161" s="16">
        <v>0.39393939393939392</v>
      </c>
      <c r="V161" s="12">
        <v>17</v>
      </c>
      <c r="W161" s="12">
        <v>21</v>
      </c>
      <c r="X161" s="16">
        <v>0.80952380952380953</v>
      </c>
      <c r="Y161" s="12">
        <v>15</v>
      </c>
      <c r="Z161" s="12">
        <v>28</v>
      </c>
      <c r="AA161" s="12">
        <v>43</v>
      </c>
      <c r="AB161" s="12">
        <v>17</v>
      </c>
      <c r="AC161" s="12">
        <v>8</v>
      </c>
      <c r="AD161" s="12">
        <v>5</v>
      </c>
      <c r="AE161" s="12">
        <v>4</v>
      </c>
      <c r="AF161" s="12">
        <v>0</v>
      </c>
      <c r="AG161" s="12">
        <v>22</v>
      </c>
      <c r="AH161" s="12">
        <v>23</v>
      </c>
      <c r="AI161" s="17">
        <v>92</v>
      </c>
      <c r="AJ161" s="12">
        <v>4</v>
      </c>
      <c r="AK161" s="12">
        <v>68</v>
      </c>
      <c r="AL161" s="12">
        <v>83</v>
      </c>
      <c r="AM161" s="19">
        <v>0.89156626506024095</v>
      </c>
      <c r="AN161" s="19">
        <v>0.85365853658536583</v>
      </c>
      <c r="AO161" s="18">
        <v>108.8235294117647</v>
      </c>
      <c r="AP161" s="18">
        <v>104.4776119402985</v>
      </c>
      <c r="AQ161" s="18">
        <v>4.3459174714661941</v>
      </c>
      <c r="AR161" s="53">
        <v>0.43181818181818182</v>
      </c>
      <c r="AS161" s="53">
        <v>0.49333333333333335</v>
      </c>
      <c r="AT161" s="16">
        <v>7.2289156626506021E-2</v>
      </c>
      <c r="AU161" s="19">
        <v>1.6666666666666667</v>
      </c>
      <c r="AV161" s="16">
        <v>0.3493975903614458</v>
      </c>
      <c r="AW161" s="19">
        <v>1.0344827586206897</v>
      </c>
      <c r="AX161" s="16">
        <v>1.2048192771084338E-2</v>
      </c>
      <c r="AY161" s="19">
        <v>2</v>
      </c>
      <c r="AZ161" s="16">
        <v>0</v>
      </c>
      <c r="BA161" s="19" t="s">
        <v>269</v>
      </c>
      <c r="BB161" s="16">
        <v>0.3493975903614458</v>
      </c>
      <c r="BC161" s="21">
        <v>0.51724137931034486</v>
      </c>
      <c r="BD161" s="16">
        <v>0.10843373493975904</v>
      </c>
      <c r="BE161" s="16">
        <v>9.6385542168674704E-2</v>
      </c>
      <c r="BF161" s="16">
        <v>0.48571428571428571</v>
      </c>
      <c r="BG161" s="16">
        <v>0.5714285714285714</v>
      </c>
      <c r="BH161" s="16">
        <v>1</v>
      </c>
      <c r="BI161" s="16">
        <v>0</v>
      </c>
      <c r="BJ161" s="16">
        <v>0.20481927710843373</v>
      </c>
      <c r="BK161" s="21">
        <v>2.125</v>
      </c>
      <c r="BL161" s="16">
        <v>0.38461538461538464</v>
      </c>
      <c r="BM161" s="16">
        <v>0.375</v>
      </c>
      <c r="BN161" s="16">
        <v>0.44444444444444442</v>
      </c>
      <c r="BO161" s="16">
        <v>0</v>
      </c>
      <c r="BP161" s="16">
        <v>0.65116279069767447</v>
      </c>
      <c r="BQ161" s="16">
        <v>0.58064516129032262</v>
      </c>
      <c r="BR161" s="16">
        <v>0.54545454545454541</v>
      </c>
      <c r="BS161" s="16">
        <v>0.7142857142857143</v>
      </c>
      <c r="BT161" s="16">
        <v>0.52439024390243905</v>
      </c>
      <c r="BU161" s="16">
        <v>7.4626865671641784E-2</v>
      </c>
      <c r="BV161" s="16">
        <v>6.25E-2</v>
      </c>
      <c r="BW161" s="16">
        <v>5</v>
      </c>
      <c r="BX161" s="16">
        <v>0.45454545454545453</v>
      </c>
      <c r="BY161" s="16">
        <v>0.52173913043478259</v>
      </c>
      <c r="BZ161" s="12">
        <v>12</v>
      </c>
      <c r="CA161" s="12">
        <v>5</v>
      </c>
      <c r="CB161" s="12">
        <v>0</v>
      </c>
      <c r="CC161" s="12">
        <v>0</v>
      </c>
      <c r="CD161" s="12">
        <v>1</v>
      </c>
      <c r="CE161" s="12">
        <v>0</v>
      </c>
      <c r="CF161" s="12">
        <v>4</v>
      </c>
      <c r="CG161" s="12">
        <v>1</v>
      </c>
      <c r="CH161" s="12">
        <v>0</v>
      </c>
      <c r="CI161" s="12">
        <v>0</v>
      </c>
      <c r="CJ161" s="12">
        <v>0</v>
      </c>
      <c r="CK161" s="12">
        <v>0</v>
      </c>
      <c r="CL161" s="12">
        <v>10</v>
      </c>
      <c r="CM161" s="12">
        <v>2</v>
      </c>
      <c r="CN161" s="12">
        <v>0</v>
      </c>
      <c r="CO161" s="12">
        <v>0</v>
      </c>
      <c r="CP161" s="12">
        <v>0</v>
      </c>
      <c r="CQ161" s="12">
        <v>0</v>
      </c>
      <c r="CR161" s="12">
        <v>15</v>
      </c>
      <c r="CS161" s="12">
        <v>1</v>
      </c>
      <c r="CT161" s="12">
        <v>2</v>
      </c>
      <c r="CU161" s="12">
        <v>0</v>
      </c>
      <c r="CV161" s="12">
        <v>0</v>
      </c>
      <c r="CW161" s="12">
        <v>0</v>
      </c>
      <c r="CX161" s="12">
        <v>6</v>
      </c>
      <c r="CY161" s="12">
        <v>0</v>
      </c>
      <c r="CZ161" s="12">
        <v>4</v>
      </c>
      <c r="DA161" s="12">
        <v>1</v>
      </c>
      <c r="DB161" s="12">
        <v>0</v>
      </c>
      <c r="DC161" s="12">
        <v>0</v>
      </c>
      <c r="DD161" s="12">
        <v>2</v>
      </c>
      <c r="DE161" s="12">
        <v>3</v>
      </c>
      <c r="DF161" s="12">
        <v>15</v>
      </c>
      <c r="DG161" s="12">
        <v>18</v>
      </c>
      <c r="DH161" s="12">
        <v>0</v>
      </c>
      <c r="DI161" s="12">
        <v>0</v>
      </c>
      <c r="DJ161" s="12">
        <v>0</v>
      </c>
      <c r="DK161" s="12">
        <v>0</v>
      </c>
      <c r="DL161" s="12">
        <v>5</v>
      </c>
      <c r="DM161" s="12">
        <v>6</v>
      </c>
      <c r="DN161" s="12">
        <v>15</v>
      </c>
      <c r="DO161" s="12">
        <v>29</v>
      </c>
      <c r="DP161" s="12">
        <v>1</v>
      </c>
      <c r="DQ161" s="12">
        <v>1</v>
      </c>
      <c r="DR161" s="12">
        <v>0</v>
      </c>
      <c r="DS161" s="12">
        <v>0</v>
      </c>
      <c r="DT161" s="12">
        <v>5</v>
      </c>
      <c r="DU161" s="12">
        <v>29</v>
      </c>
      <c r="DV161" s="12">
        <v>0</v>
      </c>
      <c r="DW161" s="12">
        <v>1</v>
      </c>
      <c r="DX161" s="12">
        <v>70</v>
      </c>
      <c r="DY161" s="12">
        <v>21</v>
      </c>
      <c r="DZ161" s="12">
        <v>48</v>
      </c>
      <c r="EA161" s="16">
        <v>0.4375</v>
      </c>
      <c r="EB161" s="12">
        <v>6</v>
      </c>
      <c r="EC161" s="12">
        <v>16</v>
      </c>
      <c r="ED161" s="16">
        <v>0.375</v>
      </c>
      <c r="EE161" s="12">
        <v>27</v>
      </c>
      <c r="EF161" s="12">
        <v>64</v>
      </c>
      <c r="EG161" s="16">
        <v>0.421875</v>
      </c>
      <c r="EH161" s="12">
        <v>10</v>
      </c>
      <c r="EI161" s="12">
        <v>17</v>
      </c>
      <c r="EJ161" s="16">
        <v>0.58823529411764708</v>
      </c>
      <c r="EK161" s="12">
        <v>15</v>
      </c>
      <c r="EL161" s="12">
        <v>24</v>
      </c>
      <c r="EM161" s="12">
        <v>39</v>
      </c>
      <c r="EN161" s="12">
        <v>8</v>
      </c>
      <c r="EO161" s="12">
        <v>23</v>
      </c>
      <c r="EP161" s="12">
        <v>22</v>
      </c>
      <c r="EQ161" s="12">
        <v>4</v>
      </c>
      <c r="ER161" s="12">
        <v>12</v>
      </c>
      <c r="ES161" s="12">
        <v>0</v>
      </c>
      <c r="ET161" s="12">
        <v>4</v>
      </c>
      <c r="EU161" s="12">
        <v>60</v>
      </c>
      <c r="EV161" s="12">
        <v>-4</v>
      </c>
      <c r="EW161" s="12">
        <v>67</v>
      </c>
      <c r="EX161" s="12">
        <v>82</v>
      </c>
      <c r="EY161" s="12">
        <v>5</v>
      </c>
      <c r="EZ161" s="12">
        <v>3</v>
      </c>
      <c r="FA161" s="12">
        <v>4</v>
      </c>
      <c r="FB161" s="12">
        <v>1</v>
      </c>
      <c r="FC161" s="12">
        <v>0</v>
      </c>
      <c r="FD161" s="12">
        <v>0</v>
      </c>
      <c r="FE161" s="12">
        <v>0</v>
      </c>
      <c r="FF161" s="12">
        <v>10</v>
      </c>
      <c r="FG161" s="12">
        <v>3</v>
      </c>
      <c r="FH161" s="12">
        <v>0</v>
      </c>
      <c r="FI161" s="12">
        <v>0</v>
      </c>
      <c r="FJ161" s="12">
        <v>0</v>
      </c>
      <c r="FK161" s="12">
        <v>0</v>
      </c>
      <c r="FL161" s="12">
        <v>4</v>
      </c>
      <c r="FM161" s="12">
        <v>1</v>
      </c>
      <c r="FN161" s="12">
        <v>1</v>
      </c>
      <c r="FO161" s="12">
        <v>1</v>
      </c>
      <c r="FP161" s="12">
        <v>0</v>
      </c>
      <c r="FQ161" s="12">
        <v>0</v>
      </c>
      <c r="FR161" s="12">
        <v>9</v>
      </c>
      <c r="FS161" s="12">
        <v>1</v>
      </c>
      <c r="FT161" s="12">
        <v>0</v>
      </c>
      <c r="FU161" s="12">
        <v>0</v>
      </c>
      <c r="FV161" s="12">
        <v>0</v>
      </c>
      <c r="FW161" s="12">
        <v>0</v>
      </c>
      <c r="FX161" s="12">
        <v>14</v>
      </c>
      <c r="FY161" s="12">
        <v>1</v>
      </c>
      <c r="FZ161" s="12">
        <v>1</v>
      </c>
      <c r="GA161" s="12">
        <v>0</v>
      </c>
      <c r="GB161" s="12">
        <v>0</v>
      </c>
      <c r="GC161" s="12">
        <v>0</v>
      </c>
      <c r="GD161" s="12">
        <v>1</v>
      </c>
      <c r="GE161" s="12">
        <v>4</v>
      </c>
      <c r="GF161" s="12">
        <v>6</v>
      </c>
      <c r="GG161" s="12">
        <v>10</v>
      </c>
      <c r="GH161" s="12">
        <v>0</v>
      </c>
      <c r="GI161" s="12">
        <v>3</v>
      </c>
      <c r="GJ161" s="12">
        <v>3</v>
      </c>
      <c r="GK161" s="12">
        <v>0</v>
      </c>
      <c r="GL161" s="12">
        <v>3</v>
      </c>
      <c r="GM161" s="12">
        <v>3</v>
      </c>
      <c r="GN161" s="12">
        <v>18</v>
      </c>
      <c r="GO161" s="12">
        <v>43</v>
      </c>
      <c r="GP161" s="12">
        <v>0</v>
      </c>
      <c r="GQ161" s="12">
        <v>2</v>
      </c>
      <c r="GR161" s="12">
        <v>0</v>
      </c>
      <c r="GS161" s="12">
        <v>0</v>
      </c>
      <c r="GT161" s="12">
        <v>6</v>
      </c>
      <c r="GU161" s="12">
        <v>16</v>
      </c>
      <c r="GV161" s="12">
        <v>0</v>
      </c>
      <c r="GW161" s="12">
        <v>0</v>
      </c>
    </row>
    <row r="162" spans="2:205" ht="15" customHeight="1" x14ac:dyDescent="0.2">
      <c r="B162" s="12">
        <v>9</v>
      </c>
      <c r="C162" s="12" t="s">
        <v>281</v>
      </c>
      <c r="D162" s="12" t="s">
        <v>274</v>
      </c>
      <c r="E162" s="14" t="s">
        <v>283</v>
      </c>
      <c r="F162" s="14" t="s">
        <v>276</v>
      </c>
      <c r="G162" s="15">
        <v>45247</v>
      </c>
      <c r="H162" s="15" t="s">
        <v>271</v>
      </c>
      <c r="I162" s="12" t="s">
        <v>269</v>
      </c>
      <c r="J162" s="12" t="s">
        <v>272</v>
      </c>
      <c r="K162" s="12">
        <v>200</v>
      </c>
      <c r="L162" s="12">
        <v>89</v>
      </c>
      <c r="M162" s="12">
        <v>19</v>
      </c>
      <c r="N162" s="12">
        <v>27</v>
      </c>
      <c r="O162" s="16">
        <v>0.70370370370370372</v>
      </c>
      <c r="P162" s="12">
        <v>11</v>
      </c>
      <c r="Q162" s="12">
        <v>31</v>
      </c>
      <c r="R162" s="16">
        <v>0.35483870967741937</v>
      </c>
      <c r="S162" s="12">
        <v>30</v>
      </c>
      <c r="T162" s="12">
        <v>58</v>
      </c>
      <c r="U162" s="16">
        <v>0.51724137931034486</v>
      </c>
      <c r="V162" s="12">
        <v>18</v>
      </c>
      <c r="W162" s="12">
        <v>19</v>
      </c>
      <c r="X162" s="16">
        <v>0.94736842105263153</v>
      </c>
      <c r="Y162" s="12">
        <v>8</v>
      </c>
      <c r="Z162" s="12">
        <v>21</v>
      </c>
      <c r="AA162" s="12">
        <v>29</v>
      </c>
      <c r="AB162" s="12">
        <v>19</v>
      </c>
      <c r="AC162" s="12">
        <v>13</v>
      </c>
      <c r="AD162" s="12">
        <v>6</v>
      </c>
      <c r="AE162" s="12">
        <v>3</v>
      </c>
      <c r="AF162" s="12">
        <v>0</v>
      </c>
      <c r="AG162" s="12">
        <v>17</v>
      </c>
      <c r="AH162" s="12">
        <v>19</v>
      </c>
      <c r="AI162" s="17">
        <v>106</v>
      </c>
      <c r="AJ162" s="12">
        <v>15</v>
      </c>
      <c r="AK162" s="12">
        <v>70</v>
      </c>
      <c r="AL162" s="12">
        <v>80</v>
      </c>
      <c r="AM162" s="19">
        <v>1.1125</v>
      </c>
      <c r="AN162" s="19">
        <v>0.88095238095238093</v>
      </c>
      <c r="AO162" s="18">
        <v>127.14285714285714</v>
      </c>
      <c r="AP162" s="18">
        <v>104.22535211267605</v>
      </c>
      <c r="AQ162" s="18">
        <v>22.91750503018109</v>
      </c>
      <c r="AR162" s="53">
        <v>0.61206896551724133</v>
      </c>
      <c r="AS162" s="53">
        <v>0.66417910447761197</v>
      </c>
      <c r="AT162" s="16">
        <v>0.125</v>
      </c>
      <c r="AU162" s="19">
        <v>1.8</v>
      </c>
      <c r="AV162" s="16">
        <v>0.16250000000000001</v>
      </c>
      <c r="AW162" s="19">
        <v>1.0769230769230769</v>
      </c>
      <c r="AX162" s="16">
        <v>0.05</v>
      </c>
      <c r="AY162" s="19">
        <v>1.5</v>
      </c>
      <c r="AZ162" s="16">
        <v>8.7499999999999994E-2</v>
      </c>
      <c r="BA162" s="19">
        <v>0.8571428571428571</v>
      </c>
      <c r="BB162" s="16">
        <v>0.28749999999999998</v>
      </c>
      <c r="BC162" s="21">
        <v>1.173913043478261</v>
      </c>
      <c r="BD162" s="16">
        <v>0.1125</v>
      </c>
      <c r="BE162" s="16">
        <v>0.16666666666666666</v>
      </c>
      <c r="BF162" s="16">
        <v>0.48717948717948717</v>
      </c>
      <c r="BG162" s="16">
        <v>0.47368421052631576</v>
      </c>
      <c r="BH162" s="16">
        <v>0.72727272727272729</v>
      </c>
      <c r="BI162" s="16">
        <v>0.22222222222222221</v>
      </c>
      <c r="BJ162" s="16">
        <v>0.24358974358974358</v>
      </c>
      <c r="BK162" s="21">
        <v>1.4615384615384615</v>
      </c>
      <c r="BL162" s="16">
        <v>0.30769230769230771</v>
      </c>
      <c r="BM162" s="16">
        <v>0.25</v>
      </c>
      <c r="BN162" s="16">
        <v>0.31578947368421051</v>
      </c>
      <c r="BO162" s="16" t="s">
        <v>269</v>
      </c>
      <c r="BP162" s="16">
        <v>0.65625</v>
      </c>
      <c r="BQ162" s="16">
        <v>0.58823529411764708</v>
      </c>
      <c r="BR162" s="16">
        <v>0.76190476190476186</v>
      </c>
      <c r="BS162" s="16">
        <v>0.33333333333333331</v>
      </c>
      <c r="BT162" s="16">
        <v>0.5</v>
      </c>
      <c r="BU162" s="16">
        <v>8.4507042253521125E-2</v>
      </c>
      <c r="BV162" s="16">
        <v>5.2631578947368418E-2</v>
      </c>
      <c r="BW162" s="16">
        <v>3</v>
      </c>
      <c r="BX162" s="16">
        <v>0.6470588235294118</v>
      </c>
      <c r="BY162" s="16">
        <v>0.52631578947368418</v>
      </c>
      <c r="BZ162" s="12">
        <v>9</v>
      </c>
      <c r="CA162" s="12">
        <v>8</v>
      </c>
      <c r="CB162" s="12">
        <v>2</v>
      </c>
      <c r="CC162" s="12">
        <v>4</v>
      </c>
      <c r="CD162" s="12">
        <v>0</v>
      </c>
      <c r="CE162" s="12">
        <v>0</v>
      </c>
      <c r="CF162" s="12">
        <v>2</v>
      </c>
      <c r="CG162" s="12">
        <v>0</v>
      </c>
      <c r="CH162" s="12">
        <v>0</v>
      </c>
      <c r="CI162" s="12">
        <v>0</v>
      </c>
      <c r="CJ162" s="12">
        <v>1</v>
      </c>
      <c r="CK162" s="12">
        <v>0</v>
      </c>
      <c r="CL162" s="12">
        <v>5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4</v>
      </c>
      <c r="CS162" s="12">
        <v>1</v>
      </c>
      <c r="CT162" s="12">
        <v>4</v>
      </c>
      <c r="CU162" s="12">
        <v>1</v>
      </c>
      <c r="CV162" s="12">
        <v>1</v>
      </c>
      <c r="CW162" s="12">
        <v>0</v>
      </c>
      <c r="CX162" s="12">
        <v>11</v>
      </c>
      <c r="CY162" s="12">
        <v>4</v>
      </c>
      <c r="CZ162" s="12">
        <v>1</v>
      </c>
      <c r="DA162" s="12">
        <v>0</v>
      </c>
      <c r="DB162" s="12">
        <v>0</v>
      </c>
      <c r="DC162" s="12">
        <v>0</v>
      </c>
      <c r="DD162" s="12">
        <v>1</v>
      </c>
      <c r="DE162" s="12">
        <v>1</v>
      </c>
      <c r="DF162" s="12">
        <v>17</v>
      </c>
      <c r="DG162" s="12">
        <v>18</v>
      </c>
      <c r="DH162" s="12">
        <v>0</v>
      </c>
      <c r="DI162" s="12">
        <v>0</v>
      </c>
      <c r="DJ162" s="12">
        <v>0</v>
      </c>
      <c r="DK162" s="12">
        <v>0</v>
      </c>
      <c r="DL162" s="12">
        <v>9</v>
      </c>
      <c r="DM162" s="12">
        <v>10</v>
      </c>
      <c r="DN162" s="12">
        <v>7</v>
      </c>
      <c r="DO162" s="12">
        <v>13</v>
      </c>
      <c r="DP162" s="12">
        <v>3</v>
      </c>
      <c r="DQ162" s="12">
        <v>4</v>
      </c>
      <c r="DR162" s="12">
        <v>2</v>
      </c>
      <c r="DS162" s="12">
        <v>7</v>
      </c>
      <c r="DT162" s="12">
        <v>9</v>
      </c>
      <c r="DU162" s="12">
        <v>23</v>
      </c>
      <c r="DV162" s="12">
        <v>0</v>
      </c>
      <c r="DW162" s="12">
        <v>1</v>
      </c>
      <c r="DX162" s="12">
        <v>74</v>
      </c>
      <c r="DY162" s="12">
        <v>16</v>
      </c>
      <c r="DZ162" s="12">
        <v>30</v>
      </c>
      <c r="EA162" s="16">
        <v>0.53333333333333333</v>
      </c>
      <c r="EB162" s="12">
        <v>8</v>
      </c>
      <c r="EC162" s="12">
        <v>27</v>
      </c>
      <c r="ED162" s="16">
        <v>0.29629629629629628</v>
      </c>
      <c r="EE162" s="12">
        <v>24</v>
      </c>
      <c r="EF162" s="12">
        <v>57</v>
      </c>
      <c r="EG162" s="16">
        <v>0.42105263157894735</v>
      </c>
      <c r="EH162" s="12">
        <v>18</v>
      </c>
      <c r="EI162" s="12">
        <v>21</v>
      </c>
      <c r="EJ162" s="16">
        <v>0.8571428571428571</v>
      </c>
      <c r="EK162" s="12">
        <v>11</v>
      </c>
      <c r="EL162" s="12">
        <v>18</v>
      </c>
      <c r="EM162" s="12">
        <v>29</v>
      </c>
      <c r="EN162" s="12">
        <v>19</v>
      </c>
      <c r="EO162" s="12">
        <v>19</v>
      </c>
      <c r="EP162" s="12">
        <v>17</v>
      </c>
      <c r="EQ162" s="12">
        <v>5</v>
      </c>
      <c r="ER162" s="12">
        <v>17</v>
      </c>
      <c r="ES162" s="12">
        <v>0</v>
      </c>
      <c r="ET162" s="12">
        <v>3</v>
      </c>
      <c r="EU162" s="12">
        <v>69</v>
      </c>
      <c r="EV162" s="12">
        <v>-15</v>
      </c>
      <c r="EW162" s="12">
        <v>71</v>
      </c>
      <c r="EX162" s="12">
        <v>84</v>
      </c>
      <c r="EY162" s="12">
        <v>2</v>
      </c>
      <c r="EZ162" s="12">
        <v>8</v>
      </c>
      <c r="FA162" s="12">
        <v>7</v>
      </c>
      <c r="FB162" s="12">
        <v>4</v>
      </c>
      <c r="FC162" s="12">
        <v>6</v>
      </c>
      <c r="FD162" s="12">
        <v>0</v>
      </c>
      <c r="FE162" s="12">
        <v>0</v>
      </c>
      <c r="FF162" s="12">
        <v>5</v>
      </c>
      <c r="FG162" s="12">
        <v>2</v>
      </c>
      <c r="FH162" s="12">
        <v>0</v>
      </c>
      <c r="FI162" s="12">
        <v>0</v>
      </c>
      <c r="FJ162" s="12">
        <v>0</v>
      </c>
      <c r="FK162" s="12">
        <v>0</v>
      </c>
      <c r="FL162" s="12">
        <v>5</v>
      </c>
      <c r="FM162" s="12">
        <v>0</v>
      </c>
      <c r="FN162" s="12">
        <v>1</v>
      </c>
      <c r="FO162" s="12">
        <v>1</v>
      </c>
      <c r="FP162" s="12">
        <v>1</v>
      </c>
      <c r="FQ162" s="12">
        <v>0</v>
      </c>
      <c r="FR162" s="12">
        <v>4</v>
      </c>
      <c r="FS162" s="12">
        <v>0</v>
      </c>
      <c r="FT162" s="12">
        <v>1</v>
      </c>
      <c r="FU162" s="12">
        <v>0</v>
      </c>
      <c r="FV162" s="12">
        <v>4</v>
      </c>
      <c r="FW162" s="12">
        <v>1</v>
      </c>
      <c r="FX162" s="12">
        <v>8</v>
      </c>
      <c r="FY162" s="12">
        <v>0</v>
      </c>
      <c r="FZ162" s="12">
        <v>0</v>
      </c>
      <c r="GA162" s="12">
        <v>0</v>
      </c>
      <c r="GB162" s="12">
        <v>0</v>
      </c>
      <c r="GC162" s="12">
        <v>0</v>
      </c>
      <c r="GD162" s="12">
        <v>1</v>
      </c>
      <c r="GE162" s="12">
        <v>1</v>
      </c>
      <c r="GF162" s="12">
        <v>17</v>
      </c>
      <c r="GG162" s="12">
        <v>20</v>
      </c>
      <c r="GH162" s="12">
        <v>1</v>
      </c>
      <c r="GI162" s="12">
        <v>0</v>
      </c>
      <c r="GJ162" s="12">
        <v>0</v>
      </c>
      <c r="GK162" s="12">
        <v>0</v>
      </c>
      <c r="GL162" s="12">
        <v>10</v>
      </c>
      <c r="GM162" s="12">
        <v>10</v>
      </c>
      <c r="GN162" s="12">
        <v>5</v>
      </c>
      <c r="GO162" s="12">
        <v>15</v>
      </c>
      <c r="GP162" s="12">
        <v>1</v>
      </c>
      <c r="GQ162" s="12">
        <v>5</v>
      </c>
      <c r="GR162" s="12">
        <v>2</v>
      </c>
      <c r="GS162" s="12">
        <v>3</v>
      </c>
      <c r="GT162" s="12">
        <v>6</v>
      </c>
      <c r="GU162" s="12">
        <v>24</v>
      </c>
      <c r="GV162" s="12">
        <v>0</v>
      </c>
      <c r="GW162" s="12">
        <v>0</v>
      </c>
    </row>
    <row r="163" spans="2:205" ht="15" customHeight="1" x14ac:dyDescent="0.2">
      <c r="B163" s="12">
        <v>9</v>
      </c>
      <c r="C163" s="12" t="s">
        <v>274</v>
      </c>
      <c r="D163" s="12" t="s">
        <v>281</v>
      </c>
      <c r="E163" s="14" t="s">
        <v>276</v>
      </c>
      <c r="F163" s="14" t="s">
        <v>283</v>
      </c>
      <c r="G163" s="15">
        <v>45247</v>
      </c>
      <c r="H163" s="15" t="s">
        <v>268</v>
      </c>
      <c r="I163" s="12" t="s">
        <v>269</v>
      </c>
      <c r="J163" s="12" t="s">
        <v>270</v>
      </c>
      <c r="K163" s="12">
        <v>200</v>
      </c>
      <c r="L163" s="12">
        <v>74</v>
      </c>
      <c r="M163" s="12">
        <v>16</v>
      </c>
      <c r="N163" s="12">
        <v>30</v>
      </c>
      <c r="O163" s="16">
        <v>0.53333333333333333</v>
      </c>
      <c r="P163" s="12">
        <v>8</v>
      </c>
      <c r="Q163" s="12">
        <v>27</v>
      </c>
      <c r="R163" s="16">
        <v>0.29629629629629628</v>
      </c>
      <c r="S163" s="12">
        <v>24</v>
      </c>
      <c r="T163" s="12">
        <v>57</v>
      </c>
      <c r="U163" s="16">
        <v>0.42105263157894735</v>
      </c>
      <c r="V163" s="12">
        <v>18</v>
      </c>
      <c r="W163" s="12">
        <v>21</v>
      </c>
      <c r="X163" s="16">
        <v>0.8571428571428571</v>
      </c>
      <c r="Y163" s="12">
        <v>11</v>
      </c>
      <c r="Z163" s="12">
        <v>18</v>
      </c>
      <c r="AA163" s="12">
        <v>29</v>
      </c>
      <c r="AB163" s="12">
        <v>19</v>
      </c>
      <c r="AC163" s="12">
        <v>17</v>
      </c>
      <c r="AD163" s="12">
        <v>5</v>
      </c>
      <c r="AE163" s="12">
        <v>0</v>
      </c>
      <c r="AF163" s="12">
        <v>3</v>
      </c>
      <c r="AG163" s="12">
        <v>19</v>
      </c>
      <c r="AH163" s="12">
        <v>17</v>
      </c>
      <c r="AI163" s="17">
        <v>69</v>
      </c>
      <c r="AJ163" s="12">
        <v>-15</v>
      </c>
      <c r="AK163" s="12">
        <v>71</v>
      </c>
      <c r="AL163" s="12">
        <v>84</v>
      </c>
      <c r="AM163" s="19">
        <v>0.88095238095238093</v>
      </c>
      <c r="AN163" s="19">
        <v>1.1125</v>
      </c>
      <c r="AO163" s="18">
        <v>104.22535211267605</v>
      </c>
      <c r="AP163" s="18">
        <v>127.14285714285714</v>
      </c>
      <c r="AQ163" s="18">
        <v>-22.91750503018109</v>
      </c>
      <c r="AR163" s="53">
        <v>0.49122807017543857</v>
      </c>
      <c r="AS163" s="53">
        <v>0.55223880597014929</v>
      </c>
      <c r="AT163" s="16">
        <v>0.11904761904761904</v>
      </c>
      <c r="AU163" s="19">
        <v>2</v>
      </c>
      <c r="AV163" s="16">
        <v>0.17857142857142858</v>
      </c>
      <c r="AW163" s="19">
        <v>0.66666666666666663</v>
      </c>
      <c r="AX163" s="16">
        <v>5.9523809523809521E-2</v>
      </c>
      <c r="AY163" s="19">
        <v>0.4</v>
      </c>
      <c r="AZ163" s="16">
        <v>3.5714285714285712E-2</v>
      </c>
      <c r="BA163" s="19">
        <v>2</v>
      </c>
      <c r="BB163" s="16">
        <v>0.2857142857142857</v>
      </c>
      <c r="BC163" s="21">
        <v>0.75</v>
      </c>
      <c r="BD163" s="16">
        <v>0.11904761904761904</v>
      </c>
      <c r="BE163" s="16">
        <v>0.2073170731707317</v>
      </c>
      <c r="BF163" s="16">
        <v>0.5757575757575758</v>
      </c>
      <c r="BG163" s="16">
        <v>0.5</v>
      </c>
      <c r="BH163" s="16">
        <v>0.875</v>
      </c>
      <c r="BI163" s="16">
        <v>0.44444444444444442</v>
      </c>
      <c r="BJ163" s="16">
        <v>0.23170731707317074</v>
      </c>
      <c r="BK163" s="21">
        <v>1.1176470588235294</v>
      </c>
      <c r="BL163" s="16">
        <v>0.34375</v>
      </c>
      <c r="BM163" s="16">
        <v>0.41176470588235292</v>
      </c>
      <c r="BN163" s="16">
        <v>0.23809523809523808</v>
      </c>
      <c r="BO163" s="16">
        <v>0.66666666666666663</v>
      </c>
      <c r="BP163" s="16">
        <v>0.69230769230769229</v>
      </c>
      <c r="BQ163" s="16">
        <v>0.75</v>
      </c>
      <c r="BR163" s="16">
        <v>0.68421052631578949</v>
      </c>
      <c r="BS163" s="16" t="s">
        <v>269</v>
      </c>
      <c r="BT163" s="16">
        <v>0.5</v>
      </c>
      <c r="BU163" s="16">
        <v>7.1428571428571425E-2</v>
      </c>
      <c r="BV163" s="16">
        <v>0</v>
      </c>
      <c r="BW163" s="16">
        <v>2</v>
      </c>
      <c r="BX163" s="16">
        <v>0.52631578947368418</v>
      </c>
      <c r="BY163" s="16">
        <v>0.6470588235294118</v>
      </c>
      <c r="BZ163" s="12">
        <v>8</v>
      </c>
      <c r="CA163" s="12">
        <v>7</v>
      </c>
      <c r="CB163" s="12">
        <v>4</v>
      </c>
      <c r="CC163" s="12">
        <v>6</v>
      </c>
      <c r="CD163" s="12">
        <v>0</v>
      </c>
      <c r="CE163" s="12">
        <v>0</v>
      </c>
      <c r="CF163" s="12">
        <v>5</v>
      </c>
      <c r="CG163" s="12">
        <v>2</v>
      </c>
      <c r="CH163" s="12">
        <v>0</v>
      </c>
      <c r="CI163" s="12">
        <v>0</v>
      </c>
      <c r="CJ163" s="12">
        <v>0</v>
      </c>
      <c r="CK163" s="12">
        <v>0</v>
      </c>
      <c r="CL163" s="12">
        <v>5</v>
      </c>
      <c r="CM163" s="12">
        <v>0</v>
      </c>
      <c r="CN163" s="12">
        <v>1</v>
      </c>
      <c r="CO163" s="12">
        <v>1</v>
      </c>
      <c r="CP163" s="12">
        <v>1</v>
      </c>
      <c r="CQ163" s="12">
        <v>0</v>
      </c>
      <c r="CR163" s="12">
        <v>4</v>
      </c>
      <c r="CS163" s="12">
        <v>0</v>
      </c>
      <c r="CT163" s="12">
        <v>1</v>
      </c>
      <c r="CU163" s="12">
        <v>0</v>
      </c>
      <c r="CV163" s="12">
        <v>4</v>
      </c>
      <c r="CW163" s="12">
        <v>1</v>
      </c>
      <c r="CX163" s="12">
        <v>8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1</v>
      </c>
      <c r="DE163" s="12">
        <v>1</v>
      </c>
      <c r="DF163" s="12">
        <v>17</v>
      </c>
      <c r="DG163" s="12">
        <v>20</v>
      </c>
      <c r="DH163" s="12">
        <v>1</v>
      </c>
      <c r="DI163" s="12">
        <v>0</v>
      </c>
      <c r="DJ163" s="12">
        <v>0</v>
      </c>
      <c r="DK163" s="12">
        <v>0</v>
      </c>
      <c r="DL163" s="12">
        <v>10</v>
      </c>
      <c r="DM163" s="12">
        <v>10</v>
      </c>
      <c r="DN163" s="12">
        <v>5</v>
      </c>
      <c r="DO163" s="12">
        <v>15</v>
      </c>
      <c r="DP163" s="12">
        <v>1</v>
      </c>
      <c r="DQ163" s="12">
        <v>5</v>
      </c>
      <c r="DR163" s="12">
        <v>2</v>
      </c>
      <c r="DS163" s="12">
        <v>3</v>
      </c>
      <c r="DT163" s="12">
        <v>6</v>
      </c>
      <c r="DU163" s="12">
        <v>24</v>
      </c>
      <c r="DV163" s="12">
        <v>0</v>
      </c>
      <c r="DW163" s="12">
        <v>0</v>
      </c>
      <c r="DX163" s="12">
        <v>89</v>
      </c>
      <c r="DY163" s="12">
        <v>19</v>
      </c>
      <c r="DZ163" s="12">
        <v>27</v>
      </c>
      <c r="EA163" s="16">
        <v>0.70370370370370372</v>
      </c>
      <c r="EB163" s="12">
        <v>11</v>
      </c>
      <c r="EC163" s="12">
        <v>31</v>
      </c>
      <c r="ED163" s="16">
        <v>0.35483870967741937</v>
      </c>
      <c r="EE163" s="12">
        <v>30</v>
      </c>
      <c r="EF163" s="12">
        <v>58</v>
      </c>
      <c r="EG163" s="16">
        <v>0.51724137931034486</v>
      </c>
      <c r="EH163" s="12">
        <v>18</v>
      </c>
      <c r="EI163" s="12">
        <v>19</v>
      </c>
      <c r="EJ163" s="16">
        <v>0.94736842105263153</v>
      </c>
      <c r="EK163" s="12">
        <v>8</v>
      </c>
      <c r="EL163" s="12">
        <v>21</v>
      </c>
      <c r="EM163" s="12">
        <v>29</v>
      </c>
      <c r="EN163" s="12">
        <v>19</v>
      </c>
      <c r="EO163" s="12">
        <v>17</v>
      </c>
      <c r="EP163" s="12">
        <v>19</v>
      </c>
      <c r="EQ163" s="12">
        <v>6</v>
      </c>
      <c r="ER163" s="12">
        <v>13</v>
      </c>
      <c r="ES163" s="12">
        <v>3</v>
      </c>
      <c r="ET163" s="12">
        <v>0</v>
      </c>
      <c r="EU163" s="12">
        <v>106</v>
      </c>
      <c r="EV163" s="12">
        <v>15</v>
      </c>
      <c r="EW163" s="12">
        <v>70</v>
      </c>
      <c r="EX163" s="12">
        <v>80</v>
      </c>
      <c r="EY163" s="12">
        <v>3</v>
      </c>
      <c r="EZ163" s="12">
        <v>9</v>
      </c>
      <c r="FA163" s="12">
        <v>8</v>
      </c>
      <c r="FB163" s="12">
        <v>2</v>
      </c>
      <c r="FC163" s="12">
        <v>4</v>
      </c>
      <c r="FD163" s="12">
        <v>0</v>
      </c>
      <c r="FE163" s="12">
        <v>0</v>
      </c>
      <c r="FF163" s="12">
        <v>2</v>
      </c>
      <c r="FG163" s="12">
        <v>0</v>
      </c>
      <c r="FH163" s="12">
        <v>0</v>
      </c>
      <c r="FI163" s="12">
        <v>0</v>
      </c>
      <c r="FJ163" s="12">
        <v>1</v>
      </c>
      <c r="FK163" s="12">
        <v>0</v>
      </c>
      <c r="FL163" s="12">
        <v>5</v>
      </c>
      <c r="FM163" s="12">
        <v>0</v>
      </c>
      <c r="FN163" s="12">
        <v>0</v>
      </c>
      <c r="FO163" s="12">
        <v>0</v>
      </c>
      <c r="FP163" s="12">
        <v>0</v>
      </c>
      <c r="FQ163" s="12">
        <v>0</v>
      </c>
      <c r="FR163" s="12">
        <v>4</v>
      </c>
      <c r="FS163" s="12">
        <v>1</v>
      </c>
      <c r="FT163" s="12">
        <v>4</v>
      </c>
      <c r="FU163" s="12">
        <v>1</v>
      </c>
      <c r="FV163" s="12">
        <v>1</v>
      </c>
      <c r="FW163" s="12">
        <v>0</v>
      </c>
      <c r="FX163" s="12">
        <v>11</v>
      </c>
      <c r="FY163" s="12">
        <v>4</v>
      </c>
      <c r="FZ163" s="12">
        <v>1</v>
      </c>
      <c r="GA163" s="12">
        <v>0</v>
      </c>
      <c r="GB163" s="12">
        <v>0</v>
      </c>
      <c r="GC163" s="12">
        <v>0</v>
      </c>
      <c r="GD163" s="12">
        <v>1</v>
      </c>
      <c r="GE163" s="12">
        <v>1</v>
      </c>
      <c r="GF163" s="12">
        <v>17</v>
      </c>
      <c r="GG163" s="12">
        <v>18</v>
      </c>
      <c r="GH163" s="12">
        <v>0</v>
      </c>
      <c r="GI163" s="12">
        <v>0</v>
      </c>
      <c r="GJ163" s="12">
        <v>0</v>
      </c>
      <c r="GK163" s="12">
        <v>0</v>
      </c>
      <c r="GL163" s="12">
        <v>9</v>
      </c>
      <c r="GM163" s="12">
        <v>10</v>
      </c>
      <c r="GN163" s="12">
        <v>7</v>
      </c>
      <c r="GO163" s="12">
        <v>13</v>
      </c>
      <c r="GP163" s="12">
        <v>3</v>
      </c>
      <c r="GQ163" s="12">
        <v>4</v>
      </c>
      <c r="GR163" s="12">
        <v>2</v>
      </c>
      <c r="GS163" s="12">
        <v>7</v>
      </c>
      <c r="GT163" s="12">
        <v>9</v>
      </c>
      <c r="GU163" s="12">
        <v>23</v>
      </c>
      <c r="GV163" s="12">
        <v>0</v>
      </c>
      <c r="GW163" s="12">
        <v>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5F938-B7E8-4242-B8AF-37E94E2D3589}">
  <dimension ref="B2:GU40"/>
  <sheetViews>
    <sheetView showGridLines="0" tabSelected="1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Q4" sqref="Q4"/>
    </sheetView>
  </sheetViews>
  <sheetFormatPr defaultColWidth="7.28515625" defaultRowHeight="15" customHeight="1" x14ac:dyDescent="0.25"/>
  <cols>
    <col min="1" max="1" width="9.140625" style="14" customWidth="1"/>
    <col min="2" max="2" width="7.28515625" style="14" customWidth="1"/>
    <col min="3" max="3" width="35.7109375" style="14" customWidth="1"/>
    <col min="4" max="34" width="7.28515625" style="14"/>
    <col min="35" max="40" width="7.28515625" style="14" customWidth="1"/>
    <col min="41" max="41" width="7.28515625" style="14"/>
    <col min="42" max="44" width="7.28515625" style="14" customWidth="1"/>
    <col min="45" max="45" width="7.28515625" style="14"/>
    <col min="46" max="48" width="7.28515625" style="14" customWidth="1"/>
    <col min="49" max="50" width="7.28515625" style="14"/>
    <col min="51" max="55" width="7.28515625" style="14" customWidth="1"/>
    <col min="56" max="57" width="7.28515625" style="14"/>
    <col min="58" max="59" width="7.28515625" style="14" customWidth="1"/>
    <col min="60" max="62" width="7.28515625" style="14"/>
    <col min="63" max="74" width="7.28515625" style="14" customWidth="1"/>
    <col min="75" max="202" width="7.28515625" style="14" hidden="1" customWidth="1"/>
    <col min="203" max="16384" width="7.28515625" style="14"/>
  </cols>
  <sheetData>
    <row r="2" spans="2:203" ht="15" customHeight="1" x14ac:dyDescent="0.25">
      <c r="D2" s="55" t="s">
        <v>304</v>
      </c>
      <c r="E2" s="56"/>
      <c r="F2" s="55" t="s">
        <v>58</v>
      </c>
      <c r="G2" s="56"/>
      <c r="H2" s="55" t="s">
        <v>305</v>
      </c>
      <c r="I2" s="56"/>
      <c r="J2" s="55" t="s">
        <v>306</v>
      </c>
      <c r="K2" s="56"/>
      <c r="M2" s="14" t="s">
        <v>316</v>
      </c>
    </row>
    <row r="3" spans="2:203" ht="15" customHeight="1" x14ac:dyDescent="0.25">
      <c r="D3" s="57" t="s">
        <v>14</v>
      </c>
      <c r="E3" s="58"/>
      <c r="F3" s="57" t="s">
        <v>11</v>
      </c>
      <c r="G3" s="58"/>
      <c r="H3" s="57" t="s">
        <v>10</v>
      </c>
      <c r="I3" s="58"/>
      <c r="J3" s="57" t="s">
        <v>9</v>
      </c>
      <c r="K3" s="58"/>
    </row>
    <row r="4" spans="2:203" ht="15" customHeight="1" x14ac:dyDescent="0.25">
      <c r="D4" s="55" t="s">
        <v>59</v>
      </c>
      <c r="E4" s="56"/>
      <c r="F4" s="55" t="s">
        <v>60</v>
      </c>
      <c r="G4" s="56"/>
      <c r="H4" s="55" t="s">
        <v>61</v>
      </c>
      <c r="I4" s="56"/>
      <c r="J4" s="55" t="s">
        <v>62</v>
      </c>
      <c r="K4" s="56"/>
    </row>
    <row r="5" spans="2:203" ht="15" customHeight="1" x14ac:dyDescent="0.25">
      <c r="D5" s="57"/>
      <c r="E5" s="58"/>
      <c r="F5" s="57"/>
      <c r="G5" s="58"/>
      <c r="H5" s="57"/>
      <c r="I5" s="58"/>
      <c r="J5" s="59"/>
      <c r="K5" s="58"/>
    </row>
    <row r="6" spans="2:203" s="12" customFormat="1" ht="15" customHeight="1" x14ac:dyDescent="0.25">
      <c r="AG6" s="55" t="s">
        <v>307</v>
      </c>
      <c r="AH6" s="60"/>
      <c r="AI6" s="60"/>
      <c r="AJ6" s="60"/>
      <c r="AK6" s="60"/>
      <c r="AL6" s="60"/>
      <c r="AM6" s="60"/>
      <c r="AN6" s="60"/>
      <c r="AO6" s="60"/>
      <c r="AP6" s="56"/>
      <c r="AQ6" s="55" t="s">
        <v>308</v>
      </c>
      <c r="AR6" s="60"/>
      <c r="AS6" s="60"/>
      <c r="AT6" s="60"/>
      <c r="AU6" s="60"/>
      <c r="AV6" s="60"/>
      <c r="AW6" s="60"/>
      <c r="AX6" s="60"/>
      <c r="AY6" s="60"/>
      <c r="AZ6" s="60"/>
      <c r="BA6" s="56"/>
      <c r="BB6" s="55" t="s">
        <v>309</v>
      </c>
      <c r="BC6" s="60"/>
      <c r="BD6" s="60"/>
      <c r="BE6" s="60"/>
      <c r="BF6" s="60"/>
      <c r="BG6" s="60"/>
      <c r="BH6" s="56"/>
      <c r="BI6" s="55" t="s">
        <v>310</v>
      </c>
      <c r="BJ6" s="60"/>
      <c r="BK6" s="60"/>
      <c r="BL6" s="60"/>
      <c r="BM6" s="60"/>
      <c r="BN6" s="60"/>
      <c r="BO6" s="60"/>
      <c r="BP6" s="60"/>
      <c r="BQ6" s="56"/>
      <c r="BR6" s="55" t="s">
        <v>311</v>
      </c>
      <c r="BS6" s="60"/>
      <c r="BT6" s="56"/>
      <c r="BU6" s="55" t="s">
        <v>312</v>
      </c>
      <c r="BV6" s="56"/>
    </row>
    <row r="7" spans="2:203" s="13" customFormat="1" ht="45" customHeight="1" x14ac:dyDescent="0.25">
      <c r="B7" s="13" t="s">
        <v>313</v>
      </c>
      <c r="C7" s="13" t="s">
        <v>2</v>
      </c>
      <c r="D7" s="13" t="s">
        <v>314</v>
      </c>
      <c r="E7" s="13" t="s">
        <v>270</v>
      </c>
      <c r="F7" s="13" t="s">
        <v>272</v>
      </c>
      <c r="G7" s="13" t="s">
        <v>70</v>
      </c>
      <c r="H7" s="13" t="s">
        <v>71</v>
      </c>
      <c r="I7" s="13" t="s">
        <v>72</v>
      </c>
      <c r="J7" s="13" t="s">
        <v>73</v>
      </c>
      <c r="K7" s="13" t="s">
        <v>74</v>
      </c>
      <c r="L7" s="13" t="s">
        <v>75</v>
      </c>
      <c r="M7" s="13" t="s">
        <v>76</v>
      </c>
      <c r="N7" s="13" t="s">
        <v>77</v>
      </c>
      <c r="O7" s="13" t="s">
        <v>78</v>
      </c>
      <c r="P7" s="13" t="s">
        <v>79</v>
      </c>
      <c r="Q7" s="13" t="s">
        <v>80</v>
      </c>
      <c r="R7" s="13" t="s">
        <v>81</v>
      </c>
      <c r="S7" s="13" t="s">
        <v>82</v>
      </c>
      <c r="T7" s="13" t="s">
        <v>83</v>
      </c>
      <c r="U7" s="13" t="s">
        <v>84</v>
      </c>
      <c r="V7" s="13" t="s">
        <v>85</v>
      </c>
      <c r="W7" s="13" t="s">
        <v>86</v>
      </c>
      <c r="X7" s="13" t="s">
        <v>87</v>
      </c>
      <c r="Y7" s="13" t="s">
        <v>88</v>
      </c>
      <c r="Z7" s="13" t="s">
        <v>89</v>
      </c>
      <c r="AA7" s="13" t="s">
        <v>90</v>
      </c>
      <c r="AB7" s="13" t="s">
        <v>91</v>
      </c>
      <c r="AC7" s="13" t="s">
        <v>30</v>
      </c>
      <c r="AD7" s="13" t="s">
        <v>92</v>
      </c>
      <c r="AE7" s="13" t="s">
        <v>93</v>
      </c>
      <c r="AF7" s="13" t="s">
        <v>94</v>
      </c>
      <c r="AG7" s="24" t="s">
        <v>315</v>
      </c>
      <c r="AH7" s="13" t="s">
        <v>95</v>
      </c>
      <c r="AI7" s="13" t="s">
        <v>96</v>
      </c>
      <c r="AJ7" s="13" t="s">
        <v>97</v>
      </c>
      <c r="AK7" s="13" t="s">
        <v>98</v>
      </c>
      <c r="AL7" s="13" t="s">
        <v>99</v>
      </c>
      <c r="AM7" s="13" t="s">
        <v>100</v>
      </c>
      <c r="AN7" s="13" t="s">
        <v>101</v>
      </c>
      <c r="AO7" s="13" t="s">
        <v>102</v>
      </c>
      <c r="AP7" s="25" t="s">
        <v>103</v>
      </c>
      <c r="AQ7" s="24" t="s">
        <v>104</v>
      </c>
      <c r="AR7" s="13" t="s">
        <v>105</v>
      </c>
      <c r="AS7" s="13" t="s">
        <v>106</v>
      </c>
      <c r="AT7" s="13" t="s">
        <v>107</v>
      </c>
      <c r="AU7" s="13" t="s">
        <v>108</v>
      </c>
      <c r="AV7" s="13" t="s">
        <v>109</v>
      </c>
      <c r="AW7" s="13" t="s">
        <v>110</v>
      </c>
      <c r="AX7" s="13" t="s">
        <v>111</v>
      </c>
      <c r="AY7" s="13" t="s">
        <v>112</v>
      </c>
      <c r="AZ7" s="13" t="s">
        <v>113</v>
      </c>
      <c r="BA7" s="25" t="s">
        <v>114</v>
      </c>
      <c r="BB7" s="24" t="s">
        <v>115</v>
      </c>
      <c r="BC7" s="13" t="s">
        <v>116</v>
      </c>
      <c r="BD7" s="13" t="s">
        <v>117</v>
      </c>
      <c r="BE7" s="13" t="s">
        <v>118</v>
      </c>
      <c r="BF7" s="13" t="s">
        <v>119</v>
      </c>
      <c r="BG7" s="13" t="s">
        <v>120</v>
      </c>
      <c r="BH7" s="25" t="s">
        <v>121</v>
      </c>
      <c r="BI7" s="24" t="s">
        <v>122</v>
      </c>
      <c r="BJ7" s="13" t="s">
        <v>123</v>
      </c>
      <c r="BK7" s="13" t="s">
        <v>124</v>
      </c>
      <c r="BL7" s="13" t="s">
        <v>125</v>
      </c>
      <c r="BM7" s="13" t="s">
        <v>126</v>
      </c>
      <c r="BN7" s="13" t="s">
        <v>127</v>
      </c>
      <c r="BO7" s="13" t="s">
        <v>128</v>
      </c>
      <c r="BP7" s="13" t="s">
        <v>129</v>
      </c>
      <c r="BQ7" s="25" t="s">
        <v>130</v>
      </c>
      <c r="BR7" s="24" t="s">
        <v>131</v>
      </c>
      <c r="BS7" s="13" t="s">
        <v>132</v>
      </c>
      <c r="BT7" s="25" t="s">
        <v>133</v>
      </c>
      <c r="BU7" s="42" t="s">
        <v>134</v>
      </c>
      <c r="BV7" s="43" t="s">
        <v>135</v>
      </c>
      <c r="BW7" s="13" t="s">
        <v>136</v>
      </c>
      <c r="BX7" s="13" t="s">
        <v>137</v>
      </c>
      <c r="BY7" s="13" t="s">
        <v>138</v>
      </c>
      <c r="BZ7" s="13" t="s">
        <v>139</v>
      </c>
      <c r="CA7" s="13" t="s">
        <v>140</v>
      </c>
      <c r="CB7" s="13" t="s">
        <v>141</v>
      </c>
      <c r="CC7" s="13" t="s">
        <v>142</v>
      </c>
      <c r="CD7" s="13" t="s">
        <v>143</v>
      </c>
      <c r="CE7" s="13" t="s">
        <v>144</v>
      </c>
      <c r="CF7" s="13" t="s">
        <v>145</v>
      </c>
      <c r="CG7" s="13" t="s">
        <v>146</v>
      </c>
      <c r="CH7" s="13" t="s">
        <v>147</v>
      </c>
      <c r="CI7" s="13" t="s">
        <v>148</v>
      </c>
      <c r="CJ7" s="13" t="s">
        <v>149</v>
      </c>
      <c r="CK7" s="13" t="s">
        <v>150</v>
      </c>
      <c r="CL7" s="13" t="s">
        <v>151</v>
      </c>
      <c r="CM7" s="13" t="s">
        <v>152</v>
      </c>
      <c r="CN7" s="13" t="s">
        <v>153</v>
      </c>
      <c r="CO7" s="13" t="s">
        <v>154</v>
      </c>
      <c r="CP7" s="13" t="s">
        <v>155</v>
      </c>
      <c r="CQ7" s="13" t="s">
        <v>156</v>
      </c>
      <c r="CR7" s="13" t="s">
        <v>157</v>
      </c>
      <c r="CS7" s="13" t="s">
        <v>158</v>
      </c>
      <c r="CT7" s="13" t="s">
        <v>159</v>
      </c>
      <c r="CU7" s="13" t="s">
        <v>160</v>
      </c>
      <c r="CV7" s="13" t="s">
        <v>161</v>
      </c>
      <c r="CW7" s="13" t="s">
        <v>162</v>
      </c>
      <c r="CX7" s="13" t="s">
        <v>163</v>
      </c>
      <c r="CY7" s="13" t="s">
        <v>164</v>
      </c>
      <c r="CZ7" s="13" t="s">
        <v>165</v>
      </c>
      <c r="DA7" s="13" t="s">
        <v>166</v>
      </c>
      <c r="DB7" s="13" t="s">
        <v>167</v>
      </c>
      <c r="DC7" s="13" t="s">
        <v>168</v>
      </c>
      <c r="DD7" s="13" t="s">
        <v>169</v>
      </c>
      <c r="DE7" s="13" t="s">
        <v>170</v>
      </c>
      <c r="DF7" s="13" t="s">
        <v>171</v>
      </c>
      <c r="DG7" s="13" t="s">
        <v>172</v>
      </c>
      <c r="DH7" s="13" t="s">
        <v>173</v>
      </c>
      <c r="DI7" s="13" t="s">
        <v>174</v>
      </c>
      <c r="DJ7" s="13" t="s">
        <v>175</v>
      </c>
      <c r="DK7" s="13" t="s">
        <v>176</v>
      </c>
      <c r="DL7" s="13" t="s">
        <v>177</v>
      </c>
      <c r="DM7" s="13" t="s">
        <v>178</v>
      </c>
      <c r="DN7" s="13" t="s">
        <v>179</v>
      </c>
      <c r="DO7" s="13" t="s">
        <v>180</v>
      </c>
      <c r="DP7" s="13" t="s">
        <v>181</v>
      </c>
      <c r="DQ7" s="13" t="s">
        <v>182</v>
      </c>
      <c r="DR7" s="13" t="s">
        <v>183</v>
      </c>
      <c r="DS7" s="13" t="s">
        <v>184</v>
      </c>
      <c r="DT7" s="13" t="s">
        <v>185</v>
      </c>
      <c r="DU7" s="13" t="s">
        <v>186</v>
      </c>
      <c r="DV7" s="13" t="s">
        <v>187</v>
      </c>
      <c r="DW7" s="13" t="s">
        <v>188</v>
      </c>
      <c r="DX7" s="13" t="s">
        <v>189</v>
      </c>
      <c r="DY7" s="13" t="s">
        <v>190</v>
      </c>
      <c r="DZ7" s="13" t="s">
        <v>191</v>
      </c>
      <c r="EA7" s="13" t="s">
        <v>192</v>
      </c>
      <c r="EB7" s="13" t="s">
        <v>193</v>
      </c>
      <c r="EC7" s="13" t="s">
        <v>194</v>
      </c>
      <c r="ED7" s="13" t="s">
        <v>195</v>
      </c>
      <c r="EE7" s="13" t="s">
        <v>196</v>
      </c>
      <c r="EF7" s="13" t="s">
        <v>197</v>
      </c>
      <c r="EG7" s="13" t="s">
        <v>198</v>
      </c>
      <c r="EH7" s="13" t="s">
        <v>199</v>
      </c>
      <c r="EI7" s="13" t="s">
        <v>200</v>
      </c>
      <c r="EJ7" s="13" t="s">
        <v>201</v>
      </c>
      <c r="EK7" s="13" t="s">
        <v>202</v>
      </c>
      <c r="EL7" s="13" t="s">
        <v>203</v>
      </c>
      <c r="EM7" s="13" t="s">
        <v>204</v>
      </c>
      <c r="EN7" s="13" t="s">
        <v>205</v>
      </c>
      <c r="EO7" s="13" t="s">
        <v>206</v>
      </c>
      <c r="EP7" s="13" t="s">
        <v>207</v>
      </c>
      <c r="EQ7" s="13" t="s">
        <v>208</v>
      </c>
      <c r="ER7" s="13" t="s">
        <v>209</v>
      </c>
      <c r="ES7" s="13" t="s">
        <v>210</v>
      </c>
      <c r="ET7" s="13" t="s">
        <v>211</v>
      </c>
      <c r="EU7" s="13" t="s">
        <v>212</v>
      </c>
      <c r="EV7" s="13" t="s">
        <v>213</v>
      </c>
      <c r="EW7" s="13" t="s">
        <v>214</v>
      </c>
      <c r="EX7" s="13" t="s">
        <v>215</v>
      </c>
      <c r="EY7" s="13" t="s">
        <v>216</v>
      </c>
      <c r="EZ7" s="13" t="s">
        <v>217</v>
      </c>
      <c r="FA7" s="13" t="s">
        <v>218</v>
      </c>
      <c r="FB7" s="13" t="s">
        <v>219</v>
      </c>
      <c r="FC7" s="13" t="s">
        <v>220</v>
      </c>
      <c r="FD7" s="13" t="s">
        <v>221</v>
      </c>
      <c r="FE7" s="13" t="s">
        <v>222</v>
      </c>
      <c r="FF7" s="13" t="s">
        <v>223</v>
      </c>
      <c r="FG7" s="13" t="s">
        <v>224</v>
      </c>
      <c r="FH7" s="13" t="s">
        <v>225</v>
      </c>
      <c r="FI7" s="13" t="s">
        <v>226</v>
      </c>
      <c r="FJ7" s="13" t="s">
        <v>227</v>
      </c>
      <c r="FK7" s="13" t="s">
        <v>228</v>
      </c>
      <c r="FL7" s="13" t="s">
        <v>229</v>
      </c>
      <c r="FM7" s="13" t="s">
        <v>230</v>
      </c>
      <c r="FN7" s="13" t="s">
        <v>231</v>
      </c>
      <c r="FO7" s="13" t="s">
        <v>232</v>
      </c>
      <c r="FP7" s="13" t="s">
        <v>233</v>
      </c>
      <c r="FQ7" s="13" t="s">
        <v>234</v>
      </c>
      <c r="FR7" s="13" t="s">
        <v>235</v>
      </c>
      <c r="FS7" s="13" t="s">
        <v>236</v>
      </c>
      <c r="FT7" s="13" t="s">
        <v>237</v>
      </c>
      <c r="FU7" s="13" t="s">
        <v>238</v>
      </c>
      <c r="FV7" s="13" t="s">
        <v>239</v>
      </c>
      <c r="FW7" s="13" t="s">
        <v>240</v>
      </c>
      <c r="FX7" s="13" t="s">
        <v>241</v>
      </c>
      <c r="FY7" s="13" t="s">
        <v>242</v>
      </c>
      <c r="FZ7" s="13" t="s">
        <v>243</v>
      </c>
      <c r="GA7" s="13" t="s">
        <v>244</v>
      </c>
      <c r="GB7" s="13" t="s">
        <v>245</v>
      </c>
      <c r="GC7" s="13" t="s">
        <v>246</v>
      </c>
      <c r="GD7" s="13" t="s">
        <v>247</v>
      </c>
      <c r="GE7" s="13" t="s">
        <v>248</v>
      </c>
      <c r="GF7" s="13" t="s">
        <v>249</v>
      </c>
      <c r="GG7" s="13" t="s">
        <v>250</v>
      </c>
      <c r="GH7" s="13" t="s">
        <v>251</v>
      </c>
      <c r="GI7" s="13" t="s">
        <v>252</v>
      </c>
      <c r="GJ7" s="13" t="s">
        <v>253</v>
      </c>
      <c r="GK7" s="13" t="s">
        <v>254</v>
      </c>
      <c r="GL7" s="13" t="s">
        <v>255</v>
      </c>
      <c r="GM7" s="13" t="s">
        <v>256</v>
      </c>
      <c r="GN7" s="13" t="s">
        <v>257</v>
      </c>
      <c r="GO7" s="13" t="s">
        <v>258</v>
      </c>
      <c r="GP7" s="13" t="s">
        <v>259</v>
      </c>
      <c r="GQ7" s="13" t="s">
        <v>260</v>
      </c>
      <c r="GR7" s="13" t="s">
        <v>261</v>
      </c>
      <c r="GS7" s="13" t="s">
        <v>262</v>
      </c>
      <c r="GT7" s="13" t="s">
        <v>263</v>
      </c>
      <c r="GU7" s="13" t="s">
        <v>66</v>
      </c>
    </row>
    <row r="8" spans="2:203" ht="15" customHeight="1" x14ac:dyDescent="0.25">
      <c r="B8" s="12">
        <f>_xlfn.AGGREGATE(3,5,$C$7:C7)</f>
        <v>1</v>
      </c>
      <c r="C8" s="14" t="str">
        <f>BASIS_INFO!F3</f>
        <v>ALBA Berlin</v>
      </c>
      <c r="D8" s="20">
        <f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8" s="20">
        <f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1</v>
      </c>
      <c r="F8" s="20">
        <f>COUNTIFS(TEAMS_GbG[[TM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8</v>
      </c>
      <c r="G8" s="18">
        <f>IF($D8=0,"DNP",SUMIFS(TEAMS_GbG[MIN],TEAMS_GbG[[TM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200</v>
      </c>
      <c r="H8" s="18">
        <f>IF($D8=0,"DNP",SUMIFS(TEAMS_GbG[PTS],TEAMS_GbG[[TM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76.444444444444443</v>
      </c>
      <c r="I8" s="18">
        <f>IF($D8=0,"DNP",SUMIFS(TEAMS_GbG[2PTM],TEAMS_GbG[[TM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17.222222222222221</v>
      </c>
      <c r="J8" s="18">
        <f>IF($D8=0,"DNP",SUMIFS(TEAMS_GbG[2PTA],TEAMS_GbG[[TM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33.111111111111114</v>
      </c>
      <c r="K8" s="16">
        <f>IF($D8=0,"DNP",IF(J8=0,"-",I8/J8))</f>
        <v>0.52013422818791943</v>
      </c>
      <c r="L8" s="18">
        <f>IF($D8=0,"DNP",SUMIFS(TEAMS_GbG[3PTM],TEAMS_GbG[[TM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9.2222222222222214</v>
      </c>
      <c r="M8" s="18">
        <f>IF($D8=0,"DNP",SUMIFS(TEAMS_GbG[3PTA],TEAMS_GbG[[TM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28</v>
      </c>
      <c r="N8" s="16">
        <f>IF($D8=0,"DNP",IF(M8=0,"-",L8/M8))</f>
        <v>0.32936507936507936</v>
      </c>
      <c r="O8" s="18">
        <f>IF($D8=0,"DNP",SUMIFS(TEAMS_GbG[FGM],TEAMS_GbG[[TM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26.444444444444443</v>
      </c>
      <c r="P8" s="18">
        <f>IF($D8=0,"DNP",SUMIFS(TEAMS_GbG[FGA],TEAMS_GbG[[TM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61.111111111111114</v>
      </c>
      <c r="Q8" s="16">
        <f>IF($D8=0,"DNP",IF(P8=0,"-",O8/P8))</f>
        <v>0.43272727272727268</v>
      </c>
      <c r="R8" s="18">
        <f>IF($D8=0,"DNP",SUMIFS(TEAMS_GbG[FTM],TEAMS_GbG[[TM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14.333333333333334</v>
      </c>
      <c r="S8" s="18">
        <f>IF($D8=0,"DNP",SUMIFS(TEAMS_GbG[FTA],TEAMS_GbG[[TM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16.777777777777779</v>
      </c>
      <c r="T8" s="16">
        <f>IF($D8=0,"DNP",IF(S8=0,"-",R8/S8))</f>
        <v>0.85430463576158944</v>
      </c>
      <c r="U8" s="18">
        <f>IF($D8=0,"DNP",SUMIFS(TEAMS_GbG[OR],TEAMS_GbG[[TM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10.333333333333334</v>
      </c>
      <c r="V8" s="18">
        <f>IF($D8=0,"DNP",SUMIFS(TEAMS_GbG[DR],TEAMS_GbG[[TM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20.777777777777779</v>
      </c>
      <c r="W8" s="18">
        <f>IF($D8=0,"DNP",SUMIFS(TEAMS_GbG[TR],TEAMS_GbG[[TM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31.111111111111111</v>
      </c>
      <c r="X8" s="18">
        <f>IF($D8=0,"DNP",SUMIFS(TEAMS_GbG[AST],TEAMS_GbG[[TM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16.111111111111111</v>
      </c>
      <c r="Y8" s="18">
        <f>IF($D8=0,"DNP",SUMIFS(TEAMS_GbG[TO],TEAMS_GbG[[TM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14.777777777777779</v>
      </c>
      <c r="Z8" s="18">
        <f>IF($D8=0,"DNP",SUMIFS(TEAMS_GbG[ST],TEAMS_GbG[[TM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8.1111111111111107</v>
      </c>
      <c r="AA8" s="18">
        <f>IF($D8=0,"DNP",SUMIFS(TEAMS_GbG[BLK],TEAMS_GbG[[TM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</v>
      </c>
      <c r="AB8" s="18">
        <f>IF($D8=0,"DNP",SUMIFS(TEAMS_GbG[BLKA],TEAMS_GbG[[TM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2.2222222222222223</v>
      </c>
      <c r="AC8" s="18">
        <f>IF($D8=0,"DNP",SUMIFS(TEAMS_GbG[PF],TEAMS_GbG[[TM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18.333333333333332</v>
      </c>
      <c r="AD8" s="18">
        <f>IF($D8=0,"DNP",SUMIFS(TEAMS_GbG[DF],TEAMS_GbG[[TM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17.666666666666668</v>
      </c>
      <c r="AE8" s="18">
        <f>IF($D8=0,"DNP",SUMIFS(TEAMS_GbG[VAL],TEAMS_GbG[[TM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79</v>
      </c>
      <c r="AF8" s="18">
        <f>IF($D8=0,"DNP",SUMIFS(TEAMS_GbG[+ / -],TEAMS_GbG[[TM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-8.6666666666666661</v>
      </c>
      <c r="AG8" s="26">
        <f t="shared" ref="AG8:AG39" si="0">IF($D8=0,"DNP",AH8/G8*200)</f>
        <v>72.888888888888886</v>
      </c>
      <c r="AH8" s="18">
        <f>IF($D8=0,"DNP",SUMIFS(TEAMS_GbG[POSS],TEAMS_GbG[[TM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72.888888888888886</v>
      </c>
      <c r="AI8" s="18">
        <f>IF($D8=0,"DNP",SUMIFS(TEAMS_GbG[SHOOTING CHANCES],TEAMS_GbG[[TM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83.444444444444443</v>
      </c>
      <c r="AJ8" s="19">
        <f t="shared" ref="AJ8:AJ39" si="1">IF($D8=0,"DNP",H8/AI8)</f>
        <v>0.91611185086551261</v>
      </c>
      <c r="AK8" s="19">
        <f t="shared" ref="AK8:AK39" si="2">IF($D8=0,"DNP",DU8/EU8)</f>
        <v>1.0065703022339028</v>
      </c>
      <c r="AL8" s="18">
        <f t="shared" ref="AL8:AL39" si="3">IF($D8=0,"DNP",H8/AH8*100)</f>
        <v>104.8780487804878</v>
      </c>
      <c r="AM8" s="18">
        <f t="shared" ref="AM8:AM39" si="4">IF($D8=0,"DNP",DU8/ET8*100)</f>
        <v>116.06060606060606</v>
      </c>
      <c r="AN8" s="18">
        <f>IF($D8=0,"DNP",AL8-AM8)</f>
        <v>-11.18255728011826</v>
      </c>
      <c r="AO8" s="27">
        <f t="shared" ref="AO8:AO39" si="5">IF($D8=0,"DNP",(I8+1.5*L8)/P8)</f>
        <v>0.50818181818181807</v>
      </c>
      <c r="AP8" s="28">
        <f t="shared" ref="AP8:AP39" si="6">IF($D8=0,"DNP",H8/(2*(P8+DD8/2+DG8/3)))</f>
        <v>0.55663430420711968</v>
      </c>
      <c r="AQ8" s="34">
        <f t="shared" ref="AQ8:AQ39" si="7">IF($D8=0,"DNP",IF($AI8=0,"-",DJ8/$AI8))</f>
        <v>0.13182423435419441</v>
      </c>
      <c r="AR8" s="38">
        <f t="shared" ref="AR8:AR39" si="8">IF($D8=0,"DNP",IF(DJ8=0,"-",2*DI8/DJ8))</f>
        <v>1.4343434343434345</v>
      </c>
      <c r="AS8" s="27">
        <f t="shared" ref="AS8:AS39" si="9">IF($D8=0,"DNP",IF($AI8=0,"-",DL8/$AI8))</f>
        <v>0.17842876165113183</v>
      </c>
      <c r="AT8" s="38">
        <f t="shared" ref="AT8:AT39" si="10">IF($D8=0,"DNP",IF(DL8=0,"-",2*DK8/DL8))</f>
        <v>0.91044776119402981</v>
      </c>
      <c r="AU8" s="27">
        <f t="shared" ref="AU8:AU39" si="11">IF($D8=0,"DNP",IF($AI8=0,"-",DN8/$AI8))</f>
        <v>8.6551264980026632E-2</v>
      </c>
      <c r="AV8" s="38">
        <f t="shared" ref="AV8:AV39" si="12">IF($D8=0,"DNP",IF(DN8=0,"-",2*DM8/DN8))</f>
        <v>0.70769230769230762</v>
      </c>
      <c r="AW8" s="27">
        <f t="shared" ref="AW8:AW39" si="13">IF($D8=0,"DNP",IF($AI8=0,"-",DP8/$AI8))</f>
        <v>4.3941411451398134E-2</v>
      </c>
      <c r="AX8" s="38">
        <f t="shared" ref="AX8:AX39" si="14">IF($D8=0,"DNP",IF(DP8=0,"-",3*DO8/DP8))</f>
        <v>1.3636363636363638</v>
      </c>
      <c r="AY8" s="27">
        <f t="shared" ref="AY8:AY39" si="15">IF($D8=0,"DNP",IF($AI8=0,"-",DR8/$AI8))</f>
        <v>0.28761651131824234</v>
      </c>
      <c r="AZ8" s="38">
        <f t="shared" ref="AZ8:AZ39" si="16">IF($D8=0,"DNP",IF(DR8=0,"-",3*DQ8/DR8))</f>
        <v>0.94444444444444431</v>
      </c>
      <c r="BA8" s="28">
        <f t="shared" ref="BA8:BA39" si="17">IF($D8=0,"DNP",(DD8/2+DG8/3)/AI8)</f>
        <v>9.0545938748335553E-2</v>
      </c>
      <c r="BB8" s="34">
        <f t="shared" ref="BB8:BB39" si="18">IF($D8=0,"DNP",Y8/(AH8+U8))</f>
        <v>0.17757009345794394</v>
      </c>
      <c r="BC8" s="27">
        <f t="shared" ref="BC8:BC39" si="19">IF($D8=0,"DNP",(BW8+BX8+BY8)/(O8+DD8/2-DE8+DG8/3-DH8))</f>
        <v>0.47854785478547857</v>
      </c>
      <c r="BD8" s="27">
        <f t="shared" ref="BD8:BD39" si="20">IF($D8=0,"DNP",(BW8/I8))</f>
        <v>0.41290322580645161</v>
      </c>
      <c r="BE8" s="27">
        <f t="shared" ref="BE8:BE39" si="21">IF($D8=0,"DNP",IFERROR(BX8/L8,"-"))</f>
        <v>0.77108433734939763</v>
      </c>
      <c r="BF8" s="27">
        <f t="shared" ref="BF8:BF39" si="22">IF($D8=0,"DNP",(BY8/(DD8/2-DE8+DG8/3-DH8)))</f>
        <v>0.26153846153846155</v>
      </c>
      <c r="BG8" s="27">
        <f t="shared" ref="BG8:BG39" si="23">IF($D8=0,"DNP",X8/(AH8+U8))</f>
        <v>0.19359145527369828</v>
      </c>
      <c r="BH8" s="35">
        <f t="shared" ref="BH8:BH39" si="24">IF($D8=0,"DNP",X8/Y8)</f>
        <v>1.0902255639097744</v>
      </c>
      <c r="BI8" s="49">
        <f t="shared" ref="BI8:BI39" si="25">IF($D8=0,"DNP",U8/(U8+EI8))</f>
        <v>0.29617834394904458</v>
      </c>
      <c r="BJ8" s="45">
        <f t="shared" ref="BJ8:BJ39" si="26">IF($D8=0,"DNP",(CA8+CB8+CC8+CD8+CE8+CF8)/(CA8+CB8+CC8+CD8+CE8+CF8+FM8+FN8+FO8+FP8+FQ8+FR8))</f>
        <v>0.33544303797468356</v>
      </c>
      <c r="BK8" s="45">
        <f t="shared" ref="BK8:BK39" si="27">IF($D8=0,"DNP",(CG8+CH8+CI8+CJ8)/(CG8+CH8+CI8+CJ8+FS8+FT8+FU8+FV8))</f>
        <v>0.27173913043478259</v>
      </c>
      <c r="BL8" s="45">
        <f t="shared" ref="BL8:BL39" si="28">IF($D8=0,"DNP",IF(CK8+CL8+FW8+FX8=0,"-",(CK8+CL8)/(CK8+CL8+FW8+FX8)))</f>
        <v>0.27272727272727276</v>
      </c>
      <c r="BM8" s="45">
        <f t="shared" ref="BM8:BM39" si="29">IF($D8=0,"DNP",V8/(V8+EH8))</f>
        <v>0.65384615384615385</v>
      </c>
      <c r="BN8" s="45">
        <f t="shared" ref="BN8:BN39" si="30">IF($D8=0,"DNP",(CM8+CN8+CO8+CP8+CQ8+CR8)/(CM8+CN8+CO8+CP8+CQ8+CR8+FA8+FB8+FC8+FD8+FE8+FF8))</f>
        <v>0.63194444444444453</v>
      </c>
      <c r="BO8" s="45">
        <f t="shared" ref="BO8:BO39" si="31">IF($D8=0,"DNP",(CS8+CT8+CU8+CV8)/(CS8+CT8+CU8+CV8+FG8+FH8+FI8+FJ8))</f>
        <v>0.62745098039215685</v>
      </c>
      <c r="BP8" s="45">
        <f t="shared" ref="BP8:BP39" si="32">IF($D8=0,"DNP",IF(CW8+CX8+FK8+FL8=0,"-",(CW8+CX8)/(CW8+CX8+FK8+FL8)))</f>
        <v>0.90909090909090906</v>
      </c>
      <c r="BQ8" s="46">
        <f t="shared" ref="BQ8:BQ39" si="33">IF($D8=0,"DNP",W8/(W8+EJ8))</f>
        <v>0.46666666666666662</v>
      </c>
      <c r="BR8" s="49">
        <f t="shared" ref="BR8:BR39" si="34">IF($D8=0,"DNP",Z8/ET8)</f>
        <v>0.11060606060606061</v>
      </c>
      <c r="BS8" s="45">
        <f t="shared" ref="BS8:BS39" si="35">IF($D8=0,"DNP",AA8/EC8)</f>
        <v>3.1690140845070422E-2</v>
      </c>
      <c r="BT8" s="39">
        <f>IF($D8=0,"DNP",SUMIFS(TEAMS_GbG[KILLS],TEAMS_GbG[[TM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4.333333333333333</v>
      </c>
      <c r="BU8" s="34">
        <f t="shared" ref="BU8:BU39" si="36">IF($D8=0,"DNP",(GB8+GD8/2+GG8/3)/AC8)</f>
        <v>0.47272727272727272</v>
      </c>
      <c r="BV8" s="28">
        <f t="shared" ref="BV8:BV39" si="37">IF($D8=0,"DNP",IFERROR((DB8+DD8/2+DG8/3)/AD8,"-"))</f>
        <v>0.490566037735849</v>
      </c>
      <c r="BW8" s="18">
        <f>IF($D8=0,"DNP",SUMIFS(TEAMS_GbG[ASTED_2FG],TEAMS_GbG[[TM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7.1111111111111107</v>
      </c>
      <c r="BX8" s="18">
        <f>IF($D8=0,"DNP",SUMIFS(TEAMS_GbG[ASTED_3FG],TEAMS_GbG[[TM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7.1111111111111107</v>
      </c>
      <c r="BY8" s="18">
        <f>IF($D8=0,"DNP",SUMIFS(TEAMS_GbG[ASTED_FT],TEAMS_GbG[[TM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1.8888888888888888</v>
      </c>
      <c r="BZ8" s="18">
        <f>IF($D8=0,"DNP",SUMIFS(TEAMS_GbG[ASTED_FT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3.6666666666666665</v>
      </c>
      <c r="CA8" s="18">
        <f>IF($D8=0,"DNP",SUMIFS(TEAMS_GbG[OR_RIM],TEAMS_GbG[[TM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1.2222222222222223</v>
      </c>
      <c r="CB8" s="18">
        <f>IF($D8=0,"DNP",SUMIFS(TEAMS_GbG[TM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CC8" s="18">
        <f>IF($D8=0,"DNP",SUMIFS(TEAMS_GbG[OR_PAINT],TEAMS_GbG[[TM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2.5555555555555554</v>
      </c>
      <c r="CD8" s="18">
        <f>IF($D8=0,"DNP",SUMIFS(TEAMS_GbG[TM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CE8" s="18">
        <f>IF($D8=0,"DNP",SUMIFS(TEAMS_GbG[OR_NP2],TEAMS_GbG[[TM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1.3333333333333333</v>
      </c>
      <c r="CF8" s="18">
        <f>IF($D8=0,"DNP",SUMIFS(TEAMS_GbG[TM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CG8" s="18">
        <f>IF($D8=0,"DNP",SUMIFS(TEAMS_GbG[OR_3C],TEAMS_GbG[[TM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0.44444444444444442</v>
      </c>
      <c r="CH8" s="18">
        <f>IF($D8=0,"DNP",SUMIFS(TEAMS_GbG[TM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CI8" s="18">
        <f>IF($D8=0,"DNP",SUMIFS(TEAMS_GbG[OR_3L],TEAMS_GbG[[TM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4.4444444444444446</v>
      </c>
      <c r="CJ8" s="18">
        <f>IF($D8=0,"DNP",SUMIFS(TEAMS_GbG[TM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0.55555555555555558</v>
      </c>
      <c r="CK8" s="18">
        <f>IF($D8=0,"DNP",SUMIFS(TEAMS_GbG[OR_FT],TEAMS_GbG[[TM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CL8" s="18">
        <f>IF($D8=0,"DNP",SUMIFS(TEAMS_GbG[TM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CM8" s="18">
        <f>IF($D8=0,"DNP",SUMIFS(TEAMS_GbG[DR_RIM],TEAMS_GbG[[TM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1.5555555555555556</v>
      </c>
      <c r="CN8" s="18">
        <f>IF($D8=0,"DNP",SUMIFS(TEAMS_GbG[TM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CO8" s="18">
        <f>IF($D8=0,"DNP",SUMIFS(TEAMS_GbG[DR_PAINT],TEAMS_GbG[[TM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5</v>
      </c>
      <c r="CP8" s="18">
        <f>IF($D8=0,"DNP",SUMIFS(TEAMS_GbG[TM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CQ8" s="18">
        <f>IF($D8=0,"DNP",SUMIFS(TEAMS_GbG[DR_NP2],TEAMS_GbG[[TM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2.6666666666666665</v>
      </c>
      <c r="CR8" s="18">
        <f>IF($D8=0,"DNP",SUMIFS(TEAMS_GbG[TM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CS8" s="18">
        <f>IF($D8=0,"DNP",SUMIFS(TEAMS_GbG[DR_3C],TEAMS_GbG[[TM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2.1111111111111112</v>
      </c>
      <c r="CT8" s="18">
        <f>IF($D8=0,"DNP",SUMIFS(TEAMS_GbG[TM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CU8" s="18">
        <f>IF($D8=0,"DNP",SUMIFS(TEAMS_GbG[DR_3L],TEAMS_GbG[[TM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</v>
      </c>
      <c r="CV8" s="18">
        <f>IF($D8=0,"DNP",SUMIFS(TEAMS_GbG[TM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CW8" s="18">
        <f>IF($D8=0,"DNP",SUMIFS(TEAMS_GbG[DR_FT],TEAMS_GbG[[TM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1.1111111111111112</v>
      </c>
      <c r="CX8" s="18">
        <f>IF($D8=0,"DNP",SUMIFS(TEAMS_GbG[TM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CY8" s="18">
        <f>IF($D8=0,"DNP",SUMIFS(TEAMS_GbG[FTM_T],TEAMS_GbG[[TM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CZ8" s="18">
        <f>IF($D8=0,"DNP",SUMIFS(TEAMS_GbG[FTA_T],TEAMS_GbG[[TM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DA8" s="18">
        <f>IF($D8=0,"DNP",SUMIFS(TEAMS_GbG[FTM_1],TEAMS_GbG[[TM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0.88888888888888884</v>
      </c>
      <c r="DB8" s="18">
        <f>IF($D8=0,"DNP",SUMIFS(TEAMS_GbG[FTA_1],TEAMS_GbG[[TM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1.1111111111111112</v>
      </c>
      <c r="DC8" s="18">
        <f>IF($D8=0,"DNP",SUMIFS(TEAMS_GbG[FTM_2],TEAMS_GbG[[TM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12.333333333333334</v>
      </c>
      <c r="DD8" s="18">
        <f>IF($D8=0,"DNP",SUMIFS(TEAMS_GbG[FTA_2],TEAMS_GbG[[TM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14.222222222222221</v>
      </c>
      <c r="DE8" s="18">
        <f>IF($D8=0,"DNP",SUMIFS(TEAMS_GbG[FT 0/2],TEAMS_GbG[[TM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DF8" s="18">
        <f>IF($D8=0,"DNP",SUMIFS(TEAMS_GbG[FTM_3],TEAMS_GbG[[TM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</v>
      </c>
      <c r="DG8" s="18">
        <f>IF($D8=0,"DNP",SUMIFS(TEAMS_GbG[FTA_3],TEAMS_GbG[[TM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1.3333333333333333</v>
      </c>
      <c r="DH8" s="18">
        <f>IF($D8=0,"DNP",SUMIFS(TEAMS_GbG[FT 0/3],TEAMS_GbG[[TM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DI8" s="18">
        <f>IF($D8=0,"DNP",SUMIFS(TEAMS_GbG[RIM_M],TEAMS_GbG[[TM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7.8888888888888893</v>
      </c>
      <c r="DJ8" s="18">
        <f>IF($D8=0,"DNP",SUMIFS(TEAMS_GbG[RIM_A],TEAMS_GbG[[TM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11</v>
      </c>
      <c r="DK8" s="18">
        <f>IF($D8=0,"DNP",SUMIFS(TEAMS_GbG[PAINT_M],TEAMS_GbG[[TM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6.7777777777777777</v>
      </c>
      <c r="DL8" s="18">
        <f>IF($D8=0,"DNP",SUMIFS(TEAMS_GbG[PAINT_A],TEAMS_GbG[[TM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14.888888888888889</v>
      </c>
      <c r="DM8" s="18">
        <f>IF($D8=0,"DNP",SUMIFS(TEAMS_GbG[MID_M],TEAMS_GbG[[TM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2.5555555555555554</v>
      </c>
      <c r="DN8" s="18">
        <f>IF($D8=0,"DNP",SUMIFS(TEAMS_GbG[MID_A],TEAMS_GbG[[TM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7.2222222222222223</v>
      </c>
      <c r="DO8" s="18">
        <f>IF($D8=0,"DNP",SUMIFS(TEAMS_GbG[3C_M],TEAMS_GbG[[TM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1.6666666666666667</v>
      </c>
      <c r="DP8" s="18">
        <f>IF($D8=0,"DNP",SUMIFS(TEAMS_GbG[3C_A],TEAMS_GbG[[TM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3.6666666666666665</v>
      </c>
      <c r="DQ8" s="18">
        <f>IF($D8=0,"DNP",SUMIFS(TEAMS_GbG[3L_M],TEAMS_GbG[[TM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7.5555555555555554</v>
      </c>
      <c r="DR8" s="18">
        <f>IF($D8=0,"DNP",SUMIFS(TEAMS_GbG[3L_A],TEAMS_GbG[[TM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24</v>
      </c>
      <c r="DS8" s="18">
        <f>IF($D8=0,"DNP",SUMIFS(TEAMS_GbG[3H_M],TEAMS_GbG[[TM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DT8" s="18">
        <f>IF($D8=0,"DNP",SUMIFS(TEAMS_GbG[3H_A],TEAMS_GbG[[TM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DU8" s="18">
        <f>IF($D8=0,"DNP",SUMIFS(TEAMS_GbG[OPP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85.111111111111114</v>
      </c>
      <c r="DV8" s="18">
        <f>IF($D8=0,"DNP",SUMIFS(TEAMS_GbG[OPP 2PTM],TEAMS_GbG[[TM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21.333333333333332</v>
      </c>
      <c r="DW8" s="18">
        <f>IF($D8=0,"DNP",SUMIFS(TEAMS_GbG[OPP 2PTA],TEAMS_GbG[[TM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36</v>
      </c>
      <c r="DX8" s="16">
        <f>IF($D8=0,"DNP",IF(DW8=0,"-",DV8/DW8))</f>
        <v>0.59259259259259256</v>
      </c>
      <c r="DY8" s="18">
        <f>IF($D8=0,"DNP",SUMIFS(TEAMS_GbG[OPP 3PTM],TEAMS_GbG[[TM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10</v>
      </c>
      <c r="DZ8" s="18">
        <f>IF($D8=0,"DNP",SUMIFS(TEAMS_GbG[OPP 3PTA],TEAMS_GbG[[TM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27.111111111111111</v>
      </c>
      <c r="EA8" s="16">
        <f>IF($D8=0,"DNP",IF(DZ8=0,"-",DY8/DZ8))</f>
        <v>0.36885245901639346</v>
      </c>
      <c r="EB8" s="18">
        <f>IF($D8=0,"DNP",SUMIFS(TEAMS_GbG[OPP FGM],TEAMS_GbG[[TM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31.333333333333332</v>
      </c>
      <c r="EC8" s="18">
        <f>IF($D8=0,"DNP",SUMIFS(TEAMS_GbG[OPP FGA],TEAMS_GbG[[TM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63.111111111111114</v>
      </c>
      <c r="ED8" s="16">
        <f>IF($D8=0,"DNP",IF(EC8=0,"-",EB8/EC8))</f>
        <v>0.49647887323943657</v>
      </c>
      <c r="EE8" s="18">
        <f>IF($D8=0,"DNP",SUMIFS(TEAMS_GbG[OPP FTM],TEAMS_GbG[[TM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12.444444444444445</v>
      </c>
      <c r="EF8" s="18">
        <f>IF($D8=0,"DNP",SUMIFS(TEAMS_GbG[OPP FTA],TEAMS_GbG[[TM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16.333333333333332</v>
      </c>
      <c r="EG8" s="16">
        <f>IF($D8=0,"DNP",IF(EF8=0,"-",EE8/EF8))</f>
        <v>0.76190476190476197</v>
      </c>
      <c r="EH8" s="18">
        <f>IF($D8=0,"DNP",SUMIFS(TEAMS_GbG[OPP OR],TEAMS_GbG[[TM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11</v>
      </c>
      <c r="EI8" s="18">
        <f>IF($D8=0,"DNP",SUMIFS(TEAMS_GbG[OPP DR],TEAMS_GbG[[TM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24.555555555555557</v>
      </c>
      <c r="EJ8" s="18">
        <f>IF($D8=0,"DNP",SUMIFS(TEAMS_GbG[OPP TR],TEAMS_GbG[[TM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35.555555555555557</v>
      </c>
      <c r="EK8" s="18">
        <f>IF($D8=0,"DNP",SUMIFS(TEAMS_GbG[OPP AST],TEAMS_GbG[[TM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18.777777777777779</v>
      </c>
      <c r="EL8" s="18">
        <f>IF($D8=0,"DNP",SUMIFS(TEAMS_GbG[OPP PF],TEAMS_GbG[[TM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17.777777777777779</v>
      </c>
      <c r="EM8" s="18">
        <f>IF($D8=0,"DNP",SUMIFS(TEAMS_GbG[OPP DF],TEAMS_GbG[[TM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18.222222222222221</v>
      </c>
      <c r="EN8" s="18">
        <f>IF($D8=0,"DNP",SUMIFS(TEAMS_GbG[OPP ST],TEAMS_GbG[[TM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7.2222222222222223</v>
      </c>
      <c r="EO8" s="18">
        <f>IF($D8=0,"DNP",SUMIFS(TEAMS_GbG[OPP TO],TEAMS_GbG[[TM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14.222222222222221</v>
      </c>
      <c r="EP8" s="18">
        <f>IF($D8=0,"DNP",SUMIFS(TEAMS_GbG[OPP BLK],TEAMS_GbG[[TM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2.2222222222222223</v>
      </c>
      <c r="EQ8" s="18">
        <f>IF($D8=0,"DNP",SUMIFS(TEAMS_GbG[OPP BLKA],TEAMS_GbG[[TM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</v>
      </c>
      <c r="ER8" s="18">
        <f>IF($D8=0,"DNP",SUMIFS(TEAMS_GbG[OPP VAL],TEAMS_GbG[[TM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97.444444444444443</v>
      </c>
      <c r="ES8" s="18">
        <f>IF($D8=0,"DNP",SUMIFS(TEAMS_GbG[OPP + / -],TEAMS_GbG[[TM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8.6666666666666661</v>
      </c>
      <c r="ET8" s="18">
        <f>IF($D8=0,"DNP",SUMIFS(TEAMS_GbG[OPP POSS],TEAMS_GbG[[TM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73.333333333333329</v>
      </c>
      <c r="EU8" s="18">
        <f>IF($D8=0,"DNP",SUMIFS(TEAMS_GbG[OPP SHOOTING CHANCES],TEAMS_GbG[[TM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84.555555555555557</v>
      </c>
      <c r="EV8" s="18">
        <f>IF($D8=0,"DNP",SUMIFS(TEAMS_GbG[OPP KILLS],TEAMS_GbG[[TM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5.8888888888888893</v>
      </c>
      <c r="EW8" s="18">
        <f>IF($D8=0,"DNP",SUMIFS(TEAMS_GbG[OPP ASTED_2FG],TEAMS_GbG[[TM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9.4444444444444446</v>
      </c>
      <c r="EX8" s="18">
        <f>IF($D8=0,"DNP",SUMIFS(TEAMS_GbG[OPP ASTED_3FG],TEAMS_GbG[[TM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7.666666666666667</v>
      </c>
      <c r="EY8" s="18">
        <f>IF($D8=0,"DNP",SUMIFS(TEAMS_GbG[OPP ASTED_FT],TEAMS_GbG[[TM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1.6666666666666667</v>
      </c>
      <c r="EZ8" s="18">
        <f>IF($D8=0,"DNP",SUMIFS(TEAMS_GbG[OPP ASTED_FT PTS],TEAMS_GbG[[TM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3.3333333333333335</v>
      </c>
      <c r="FA8" s="18">
        <f>IF($D8=0,"DNP",SUMIFS(TEAMS_GbG[OPP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1.5555555555555556</v>
      </c>
      <c r="FB8" s="18">
        <f>IF($D8=0,"DNP",SUMIFS(TEAMS_GbG[OPP TM OR_RIM],TEAMS_GbG[[TM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FC8" s="18">
        <f>IF($D8=0,"DNP",SUMIFS(TEAMS_GbG[OPP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</v>
      </c>
      <c r="FD8" s="18">
        <f>IF($D8=0,"DNP",SUMIFS(TEAMS_GbG[OPP TM OR_PAINT],TEAMS_GbG[[TM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FE8" s="18">
        <f>IF($D8=0,"DNP",SUMIFS(TEAMS_GbG[OPP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0.66666666666666663</v>
      </c>
      <c r="FF8" s="18">
        <f>IF($D8=0,"DNP",SUMIFS(TEAMS_GbG[OPP TM OR_NP2],TEAMS_GbG[[TM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FG8" s="18">
        <f>IF($D8=0,"DNP",SUMIFS(TEAMS_GbG[OPP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0.55555555555555558</v>
      </c>
      <c r="FH8" s="18">
        <f>IF($D8=0,"DNP",SUMIFS(TEAMS_GbG[OPP TM OR_3C],TEAMS_GbG[[TM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FI8" s="18">
        <f>IF($D8=0,"DNP",SUMIFS(TEAMS_GbG[OPP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5</v>
      </c>
      <c r="FJ8" s="18">
        <f>IF($D8=0,"DNP",SUMIFS(TEAMS_GbG[OPP TM OR_3L],TEAMS_GbG[[TM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0.66666666666666663</v>
      </c>
      <c r="FK8" s="18">
        <f>IF($D8=0,"DNP",SUMIFS(TEAMS_GbG[OPP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FL8" s="18">
        <f>IF($D8=0,"DNP",SUMIFS(TEAMS_GbG[OPP TM OR_FT],TEAMS_GbG[[TM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FM8" s="18">
        <f>IF($D8=0,"DNP",SUMIFS(TEAMS_GbG[OPP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</v>
      </c>
      <c r="FN8" s="18">
        <f>IF($D8=0,"DNP",SUMIFS(TEAMS_GbG[OPP TM DR_RIM],TEAMS_GbG[[TM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FO8" s="18">
        <f>IF($D8=0,"DNP",SUMIFS(TEAMS_GbG[OPP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5.2222222222222223</v>
      </c>
      <c r="FP8" s="18">
        <f>IF($D8=0,"DNP",SUMIFS(TEAMS_GbG[OPP TM DR_PAINT],TEAMS_GbG[[TM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0.55555555555555558</v>
      </c>
      <c r="FQ8" s="18">
        <f>IF($D8=0,"DNP",SUMIFS(TEAMS_GbG[OPP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3.3333333333333335</v>
      </c>
      <c r="FR8" s="18">
        <f>IF($D8=0,"DNP",SUMIFS(TEAMS_GbG[OPP TM DR_NP2],TEAMS_GbG[[TM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0.44444444444444442</v>
      </c>
      <c r="FS8" s="18">
        <f>IF($D8=0,"DNP",SUMIFS(TEAMS_GbG[OPP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1.5555555555555556</v>
      </c>
      <c r="FT8" s="18">
        <f>IF($D8=0,"DNP",SUMIFS(TEAMS_GbG[OPP TM DR_3C],TEAMS_GbG[[TM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FU8" s="18">
        <f>IF($D8=0,"DNP",SUMIFS(TEAMS_GbG[OPP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11.555555555555555</v>
      </c>
      <c r="FV8" s="18">
        <f>IF($D8=0,"DNP",SUMIFS(TEAMS_GbG[OPP TM DR_3L],TEAMS_GbG[[TM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1.7777777777777777</v>
      </c>
      <c r="FW8" s="18">
        <f>IF($D8=0,"DNP",SUMIFS(TEAMS_GbG[OPP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0.88888888888888884</v>
      </c>
      <c r="FX8" s="18">
        <f>IF($D8=0,"DNP",SUMIFS(TEAMS_GbG[OPP TM DR_FT],TEAMS_GbG[[TM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FY8" s="18">
        <f>IF($D8=0,"DNP",SUMIFS(TEAMS_GbG[OPP FTM_T],TEAMS_GbG[[TM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FZ8" s="18">
        <f>IF($D8=0,"DNP",SUMIFS(TEAMS_GbG[OPP FTA_T],TEAMS_GbG[[TM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GA8" s="18">
        <f>IF($D8=0,"DNP",SUMIFS(TEAMS_GbG[OPP FTM_1],TEAMS_GbG[[TM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1.2222222222222223</v>
      </c>
      <c r="GB8" s="18">
        <f>IF($D8=0,"DNP",SUMIFS(TEAMS_GbG[OPP FTA_1],TEAMS_GbG[[TM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1.4444444444444444</v>
      </c>
      <c r="GC8" s="18">
        <f>IF($D8=0,"DNP",SUMIFS(TEAMS_GbG[OPP FTM_2],TEAMS_GbG[[TM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10.444444444444445</v>
      </c>
      <c r="GD8" s="18">
        <f>IF($D8=0,"DNP",SUMIFS(TEAMS_GbG[OPP FTA_2],TEAMS_GbG[[TM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</v>
      </c>
      <c r="GE8" s="18">
        <f>IF($D8=0,"DNP",SUMIFS(TEAMS_GbG[OPP FT 0/2],TEAMS_GbG[[TM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0.77777777777777779</v>
      </c>
      <c r="GF8" s="18">
        <f>IF($D8=0,"DNP",SUMIFS(TEAMS_GbG[OPP FTM_3],TEAMS_GbG[[TM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0.66666666666666663</v>
      </c>
      <c r="GG8" s="18">
        <f>IF($D8=0,"DNP",SUMIFS(TEAMS_GbG[OPP FTA_3],TEAMS_GbG[[TM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0.66666666666666663</v>
      </c>
      <c r="GH8" s="18">
        <f>IF($D8=0,"DNP",SUMIFS(TEAMS_GbG[OPP FT 0/3],TEAMS_GbG[[TM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GI8" s="18">
        <f>IF($D8=0,"DNP",SUMIFS(TEAMS_GbG[OPP RIM_M],TEAMS_GbG[[TM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9.4444444444444446</v>
      </c>
      <c r="GJ8" s="18">
        <f>IF($D8=0,"DNP",SUMIFS(TEAMS_GbG[OPP RIM_A],TEAMS_GbG[[TM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12.666666666666666</v>
      </c>
      <c r="GK8" s="18">
        <f>IF($D8=0,"DNP",SUMIFS(TEAMS_GbG[OPP PAINT_M],TEAMS_GbG[[TM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8.7777777777777786</v>
      </c>
      <c r="GL8" s="18">
        <f>IF($D8=0,"DNP",SUMIFS(TEAMS_GbG[OPP PAINT_A],TEAMS_GbG[[TM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16.777777777777779</v>
      </c>
      <c r="GM8" s="18">
        <f>IF($D8=0,"DNP",SUMIFS(TEAMS_GbG[OPP MID_M],TEAMS_GbG[[TM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3.1111111111111112</v>
      </c>
      <c r="GN8" s="18">
        <f>IF($D8=0,"DNP",SUMIFS(TEAMS_GbG[OPP MID_A],TEAMS_GbG[[TM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6.5555555555555554</v>
      </c>
      <c r="GO8" s="18">
        <f>IF($D8=0,"DNP",SUMIFS(TEAMS_GbG[OPP 3C_M],TEAMS_GbG[[TM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1.8888888888888888</v>
      </c>
      <c r="GP8" s="18">
        <f>IF($D8=0,"DNP",SUMIFS(TEAMS_GbG[OPP 3C_A],TEAMS_GbG[[TM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4.5555555555555554</v>
      </c>
      <c r="GQ8" s="18">
        <f>IF($D8=0,"DNP",SUMIFS(TEAMS_GbG[OPP 3L_M],TEAMS_GbG[[TM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8.1111111111111107</v>
      </c>
      <c r="GR8" s="18">
        <f>IF($D8=0,"DNP",SUMIFS(TEAMS_GbG[OPP 3L_A],TEAMS_GbG[[TM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22.444444444444443</v>
      </c>
      <c r="GS8" s="18">
        <f>IF($D8=0,"DNP",SUMIFS(TEAMS_GbG[OPP 3H_M],TEAMS_GbG[[TM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GT8" s="18">
        <f>IF($D8=0,"DNP",SUMIFS(TEAMS_GbG[OPP 3H_A],TEAMS_GbG[[TM NAME]:[TM NAME]],$C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GU8" s="16">
        <f ca="1">IF(TEAMS_STATS[[#This Row],[TM NAME]]="","",INDEX(SoS!$C$113:$C$144,MATCH(TEAMS_STATS[[#This Row],[TM NAME]],SoS!$B$113:$B$144,0)))</f>
        <v>0.44018224573780129</v>
      </c>
    </row>
    <row r="9" spans="2:203" ht="15" customHeight="1" x14ac:dyDescent="0.25">
      <c r="B9" s="12">
        <f>_xlfn.AGGREGATE(3,5,$C$7:C8)</f>
        <v>2</v>
      </c>
      <c r="C9" s="14" t="str">
        <f>BASIS_INFO!F4</f>
        <v>Anadolu Efes Istanbul</v>
      </c>
      <c r="D9" s="20">
        <f>COUNTIFS(TEAMS_GbG[[TM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9" s="20">
        <f>COUNTIFS(TEAMS_GbG[[TM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4</v>
      </c>
      <c r="F9" s="20">
        <f>COUNTIFS(TEAMS_GbG[[TM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5</v>
      </c>
      <c r="G9" s="18">
        <f>IF($D9=0,"DNP",SUMIFS(TEAMS_GbG[MIN],TEAMS_GbG[[TM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202.77777777777777</v>
      </c>
      <c r="H9" s="18">
        <f>IF($D9=0,"DNP",SUMIFS(TEAMS_GbG[PTS],TEAMS_GbG[[TM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78.777777777777771</v>
      </c>
      <c r="I9" s="18">
        <f>IF($D9=0,"DNP",SUMIFS(TEAMS_GbG[2PTM],TEAMS_GbG[[TM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20.777777777777779</v>
      </c>
      <c r="J9" s="18">
        <f>IF($D9=0,"DNP",SUMIFS(TEAMS_GbG[2PTA],TEAMS_GbG[[TM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36.111111111111114</v>
      </c>
      <c r="K9" s="16">
        <f t="shared" ref="K9:K23" si="38">IF($D9=0,"DNP",IF(J9=0,"-",I9/J9))</f>
        <v>0.57538461538461538</v>
      </c>
      <c r="L9" s="18">
        <f>IF($D9=0,"DNP",SUMIFS(TEAMS_GbG[3PTM],TEAMS_GbG[[TM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8.6666666666666661</v>
      </c>
      <c r="M9" s="18">
        <f>IF($D9=0,"DNP",SUMIFS(TEAMS_GbG[3PTA],TEAMS_GbG[[TM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25</v>
      </c>
      <c r="N9" s="16">
        <f t="shared" ref="N9:N23" si="39">IF($D9=0,"DNP",IF(M9=0,"-",L9/M9))</f>
        <v>0.34666666666666662</v>
      </c>
      <c r="O9" s="18">
        <f>IF($D9=0,"DNP",SUMIFS(TEAMS_GbG[FGM],TEAMS_GbG[[TM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29.444444444444443</v>
      </c>
      <c r="P9" s="18">
        <f>IF($D9=0,"DNP",SUMIFS(TEAMS_GbG[FGA],TEAMS_GbG[[TM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61.111111111111114</v>
      </c>
      <c r="Q9" s="16">
        <f t="shared" ref="Q9:Q23" si="40">IF($D9=0,"DNP",IF(P9=0,"-",O9/P9))</f>
        <v>0.48181818181818176</v>
      </c>
      <c r="R9" s="18">
        <f>IF($D9=0,"DNP",SUMIFS(TEAMS_GbG[FTM],TEAMS_GbG[[TM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11.222222222222221</v>
      </c>
      <c r="S9" s="18">
        <f>IF($D9=0,"DNP",SUMIFS(TEAMS_GbG[FTA],TEAMS_GbG[[TM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15</v>
      </c>
      <c r="T9" s="16">
        <f t="shared" ref="T9:T23" si="41">IF($D9=0,"DNP",IF(S9=0,"-",R9/S9))</f>
        <v>0.74814814814814812</v>
      </c>
      <c r="U9" s="18">
        <f>IF($D9=0,"DNP",SUMIFS(TEAMS_GbG[OR],TEAMS_GbG[[TM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8.4444444444444446</v>
      </c>
      <c r="V9" s="18">
        <f>IF($D9=0,"DNP",SUMIFS(TEAMS_GbG[DR],TEAMS_GbG[[TM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22</v>
      </c>
      <c r="W9" s="18">
        <f>IF($D9=0,"DNP",SUMIFS(TEAMS_GbG[TR],TEAMS_GbG[[TM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30.444444444444443</v>
      </c>
      <c r="X9" s="18">
        <f>IF($D9=0,"DNP",SUMIFS(TEAMS_GbG[AST],TEAMS_GbG[[TM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</v>
      </c>
      <c r="Y9" s="18">
        <f>IF($D9=0,"DNP",SUMIFS(TEAMS_GbG[TO],TEAMS_GbG[[TM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10.555555555555555</v>
      </c>
      <c r="Z9" s="18">
        <f>IF($D9=0,"DNP",SUMIFS(TEAMS_GbG[ST],TEAMS_GbG[[TM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6.333333333333333</v>
      </c>
      <c r="AA9" s="18">
        <f>IF($D9=0,"DNP",SUMIFS(TEAMS_GbG[BLK],TEAMS_GbG[[TM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2.2222222222222223</v>
      </c>
      <c r="AB9" s="18">
        <f>IF($D9=0,"DNP",SUMIFS(TEAMS_GbG[BLKA],TEAMS_GbG[[TM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1.7777777777777777</v>
      </c>
      <c r="AC9" s="18">
        <f>IF($D9=0,"DNP",SUMIFS(TEAMS_GbG[PF],TEAMS_GbG[[TM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18.666666666666668</v>
      </c>
      <c r="AD9" s="18">
        <f>IF($D9=0,"DNP",SUMIFS(TEAMS_GbG[DF],TEAMS_GbG[[TM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18.888888888888889</v>
      </c>
      <c r="AE9" s="18">
        <f>IF($D9=0,"DNP",SUMIFS(TEAMS_GbG[VAL],TEAMS_GbG[[TM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88.222222222222229</v>
      </c>
      <c r="AF9" s="18">
        <f>IF($D9=0,"DNP",SUMIFS(TEAMS_GbG[+ / -],TEAMS_GbG[[TM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-7.333333333333333</v>
      </c>
      <c r="AG9" s="26">
        <f t="shared" si="0"/>
        <v>68.602739726027409</v>
      </c>
      <c r="AH9" s="18">
        <f>IF($D9=0,"DNP",SUMIFS(TEAMS_GbG[POSS],TEAMS_GbG[[TM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69.555555555555557</v>
      </c>
      <c r="AI9" s="18">
        <f>IF($D9=0,"DNP",SUMIFS(TEAMS_GbG[SHOOTING CHANCES],TEAMS_GbG[[TM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78.111111111111114</v>
      </c>
      <c r="AJ9" s="19">
        <f t="shared" si="1"/>
        <v>1.0085348506401137</v>
      </c>
      <c r="AK9" s="19">
        <f t="shared" si="2"/>
        <v>1.0689655172413792</v>
      </c>
      <c r="AL9" s="18">
        <f t="shared" si="3"/>
        <v>113.258785942492</v>
      </c>
      <c r="AM9" s="18">
        <f t="shared" si="4"/>
        <v>121.66405023547881</v>
      </c>
      <c r="AN9" s="18">
        <f t="shared" ref="AN9:AN23" si="42">IF($D9=0,"DNP",AL9-AM9)</f>
        <v>-8.4052642929868142</v>
      </c>
      <c r="AO9" s="27">
        <f t="shared" si="5"/>
        <v>0.55272727272727273</v>
      </c>
      <c r="AP9" s="28">
        <f t="shared" si="6"/>
        <v>0.58305921052631571</v>
      </c>
      <c r="AQ9" s="34">
        <f t="shared" si="7"/>
        <v>0.12233285917496443</v>
      </c>
      <c r="AR9" s="38">
        <f t="shared" si="8"/>
        <v>1.6744186046511629</v>
      </c>
      <c r="AS9" s="27">
        <f t="shared" si="9"/>
        <v>0.25177809388335703</v>
      </c>
      <c r="AT9" s="38">
        <f t="shared" si="10"/>
        <v>1.0169491525423728</v>
      </c>
      <c r="AU9" s="27">
        <f t="shared" si="11"/>
        <v>8.8193456614509252E-2</v>
      </c>
      <c r="AV9" s="38">
        <f t="shared" si="12"/>
        <v>0.80645161290322576</v>
      </c>
      <c r="AW9" s="27">
        <f t="shared" si="13"/>
        <v>4.1251778093883355E-2</v>
      </c>
      <c r="AX9" s="38">
        <f t="shared" si="14"/>
        <v>1.4482758620689655</v>
      </c>
      <c r="AY9" s="27">
        <f t="shared" si="15"/>
        <v>0.27880512091038406</v>
      </c>
      <c r="AZ9" s="38">
        <f t="shared" si="16"/>
        <v>0.97959183673469374</v>
      </c>
      <c r="BA9" s="28">
        <f t="shared" si="17"/>
        <v>8.2503556187766697E-2</v>
      </c>
      <c r="BB9" s="34">
        <f t="shared" si="18"/>
        <v>0.13532763532763534</v>
      </c>
      <c r="BC9" s="27">
        <f t="shared" si="19"/>
        <v>0.50783699059561116</v>
      </c>
      <c r="BD9" s="27">
        <f t="shared" si="20"/>
        <v>0.4866310160427807</v>
      </c>
      <c r="BE9" s="27">
        <f t="shared" si="21"/>
        <v>0.80769230769230771</v>
      </c>
      <c r="BF9" s="27">
        <f t="shared" si="22"/>
        <v>0.14814814814814817</v>
      </c>
      <c r="BG9" s="27">
        <f t="shared" si="23"/>
        <v>0.23076923076923078</v>
      </c>
      <c r="BH9" s="35">
        <f t="shared" si="24"/>
        <v>1.7052631578947368</v>
      </c>
      <c r="BI9" s="49">
        <f t="shared" si="25"/>
        <v>0.25850340136054423</v>
      </c>
      <c r="BJ9" s="45">
        <f t="shared" si="26"/>
        <v>0.3241379310344828</v>
      </c>
      <c r="BK9" s="45">
        <f t="shared" si="27"/>
        <v>0.24342105263157898</v>
      </c>
      <c r="BL9" s="45">
        <f t="shared" si="28"/>
        <v>0.25</v>
      </c>
      <c r="BM9" s="45">
        <f t="shared" si="29"/>
        <v>0.69473684210526321</v>
      </c>
      <c r="BN9" s="45">
        <f t="shared" si="30"/>
        <v>0.69178082191780821</v>
      </c>
      <c r="BO9" s="45">
        <f t="shared" si="31"/>
        <v>0.69172932330827064</v>
      </c>
      <c r="BP9" s="45">
        <f t="shared" si="32"/>
        <v>0.7142857142857143</v>
      </c>
      <c r="BQ9" s="46">
        <f t="shared" si="33"/>
        <v>0.47322970639032819</v>
      </c>
      <c r="BR9" s="49">
        <f t="shared" si="34"/>
        <v>8.9481946624803771E-2</v>
      </c>
      <c r="BS9" s="45">
        <f t="shared" si="35"/>
        <v>3.5523978685612786E-2</v>
      </c>
      <c r="BT9" s="39">
        <f>IF($D9=0,"DNP",SUMIFS(TEAMS_GbG[KILLS],TEAMS_GbG[[TM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3.5555555555555554</v>
      </c>
      <c r="BU9" s="34">
        <f t="shared" si="36"/>
        <v>0.4821428571428571</v>
      </c>
      <c r="BV9" s="28">
        <f t="shared" si="37"/>
        <v>0.44117647058823523</v>
      </c>
      <c r="BW9" s="18">
        <f>IF($D9=0,"DNP",SUMIFS(TEAMS_GbG[ASTED_2FG],TEAMS_GbG[[TM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10.111111111111111</v>
      </c>
      <c r="BX9" s="18">
        <f>IF($D9=0,"DNP",SUMIFS(TEAMS_GbG[ASTED_3FG],TEAMS_GbG[[TM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</v>
      </c>
      <c r="BY9" s="18">
        <f>IF($D9=0,"DNP",SUMIFS(TEAMS_GbG[ASTED_FT],TEAMS_GbG[[TM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0.88888888888888884</v>
      </c>
      <c r="BZ9" s="18">
        <f>IF($D9=0,"DNP",SUMIFS(TEAMS_GbG[ASTED_FT PTS],TEAMS_GbG[[TM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1.5555555555555556</v>
      </c>
      <c r="CA9" s="18">
        <f>IF($D9=0,"DNP",SUMIFS(TEAMS_GbG[OR_RIM],TEAMS_GbG[[TM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0.66666666666666663</v>
      </c>
      <c r="CB9" s="18">
        <f>IF($D9=0,"DNP",SUMIFS(TEAMS_GbG[TM OR_RIM],TEAMS_GbG[[TM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0.22222222222222221</v>
      </c>
      <c r="CC9" s="18">
        <f>IF($D9=0,"DNP",SUMIFS(TEAMS_GbG[OR_PAINT],TEAMS_GbG[[TM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</v>
      </c>
      <c r="CD9" s="18">
        <f>IF($D9=0,"DNP",SUMIFS(TEAMS_GbG[TM OR_PAINT],TEAMS_GbG[[TM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CE9" s="18">
        <f>IF($D9=0,"DNP",SUMIFS(TEAMS_GbG[OR_NP2],TEAMS_GbG[[TM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</v>
      </c>
      <c r="CF9" s="18">
        <f>IF($D9=0,"DNP",SUMIFS(TEAMS_GbG[TM OR_NP2],TEAMS_GbG[[TM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CG9" s="18">
        <f>IF($D9=0,"DNP",SUMIFS(TEAMS_GbG[OR_3C],TEAMS_GbG[[TM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H9" s="18">
        <f>IF($D9=0,"DNP",SUMIFS(TEAMS_GbG[TM OR_3C],TEAMS_GbG[[TM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CI9" s="18">
        <f>IF($D9=0,"DNP",SUMIFS(TEAMS_GbG[OR_3L],TEAMS_GbG[[TM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3.2222222222222223</v>
      </c>
      <c r="CJ9" s="18">
        <f>IF($D9=0,"DNP",SUMIFS(TEAMS_GbG[TM OR_3L],TEAMS_GbG[[TM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0.77777777777777779</v>
      </c>
      <c r="CK9" s="18">
        <f>IF($D9=0,"DNP",SUMIFS(TEAMS_GbG[OR_FT],TEAMS_GbG[[TM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CL9" s="18">
        <f>IF($D9=0,"DNP",SUMIFS(TEAMS_GbG[TM OR_FT],TEAMS_GbG[[TM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M9" s="18">
        <f>IF($D9=0,"DNP",SUMIFS(TEAMS_GbG[DR_RIM],TEAMS_GbG[[TM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1.1111111111111112</v>
      </c>
      <c r="CN9" s="18">
        <f>IF($D9=0,"DNP",SUMIFS(TEAMS_GbG[TM DR_RIM],TEAMS_GbG[[TM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CO9" s="18">
        <f>IF($D9=0,"DNP",SUMIFS(TEAMS_GbG[DR_PAINT],TEAMS_GbG[[TM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7.2222222222222223</v>
      </c>
      <c r="CP9" s="18">
        <f>IF($D9=0,"DNP",SUMIFS(TEAMS_GbG[TM DR_PAINT],TEAMS_GbG[[TM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Q9" s="18">
        <f>IF($D9=0,"DNP",SUMIFS(TEAMS_GbG[DR_NP2],TEAMS_GbG[[TM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2.6666666666666665</v>
      </c>
      <c r="CR9" s="18">
        <f>IF($D9=0,"DNP",SUMIFS(TEAMS_GbG[TM DR_NP2],TEAMS_GbG[[TM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S9" s="18">
        <f>IF($D9=0,"DNP",SUMIFS(TEAMS_GbG[DR_3C],TEAMS_GbG[[TM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0.77777777777777779</v>
      </c>
      <c r="CT9" s="18">
        <f>IF($D9=0,"DNP",SUMIFS(TEAMS_GbG[TM DR_3C],TEAMS_GbG[[TM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0.22222222222222221</v>
      </c>
      <c r="CU9" s="18">
        <f>IF($D9=0,"DNP",SUMIFS(TEAMS_GbG[DR_3L],TEAMS_GbG[[TM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8.5555555555555554</v>
      </c>
      <c r="CV9" s="18">
        <f>IF($D9=0,"DNP",SUMIFS(TEAMS_GbG[TM DR_3L],TEAMS_GbG[[TM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0.66666666666666663</v>
      </c>
      <c r="CW9" s="18">
        <f>IF($D9=0,"DNP",SUMIFS(TEAMS_GbG[DR_FT],TEAMS_GbG[[TM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1.5555555555555556</v>
      </c>
      <c r="CX9" s="18">
        <f>IF($D9=0,"DNP",SUMIFS(TEAMS_GbG[TM DR_FT],TEAMS_GbG[[TM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Y9" s="18">
        <f>IF($D9=0,"DNP",SUMIFS(TEAMS_GbG[FTM_T],TEAMS_GbG[[TM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Z9" s="18">
        <f>IF($D9=0,"DNP",SUMIFS(TEAMS_GbG[FTA_T],TEAMS_GbG[[TM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DA9" s="18">
        <f>IF($D9=0,"DNP",SUMIFS(TEAMS_GbG[FTM_1],TEAMS_GbG[[TM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1.4444444444444444</v>
      </c>
      <c r="DB9" s="18">
        <f>IF($D9=0,"DNP",SUMIFS(TEAMS_GbG[FTA_1],TEAMS_GbG[[TM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1.8888888888888888</v>
      </c>
      <c r="DC9" s="18">
        <f>IF($D9=0,"DNP",SUMIFS(TEAMS_GbG[FTM_2],TEAMS_GbG[[TM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9.5555555555555554</v>
      </c>
      <c r="DD9" s="18">
        <f>IF($D9=0,"DNP",SUMIFS(TEAMS_GbG[FTA_2],TEAMS_GbG[[TM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12.666666666666666</v>
      </c>
      <c r="DE9" s="18">
        <f>IF($D9=0,"DNP",SUMIFS(TEAMS_GbG[FT 0/2],TEAMS_GbG[[TM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0.44444444444444442</v>
      </c>
      <c r="DF9" s="18">
        <f>IF($D9=0,"DNP",SUMIFS(TEAMS_GbG[FTM_3],TEAMS_GbG[[TM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DG9" s="18">
        <f>IF($D9=0,"DNP",SUMIFS(TEAMS_GbG[FTA_3],TEAMS_GbG[[TM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DH9" s="18">
        <f>IF($D9=0,"DNP",SUMIFS(TEAMS_GbG[FT 0/3],TEAMS_GbG[[TM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DI9" s="18">
        <f>IF($D9=0,"DNP",SUMIFS(TEAMS_GbG[RIM_M],TEAMS_GbG[[TM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</v>
      </c>
      <c r="DJ9" s="18">
        <f>IF($D9=0,"DNP",SUMIFS(TEAMS_GbG[RIM_A],TEAMS_GbG[[TM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9.5555555555555554</v>
      </c>
      <c r="DK9" s="18">
        <f>IF($D9=0,"DNP",SUMIFS(TEAMS_GbG[PAINT_M],TEAMS_GbG[[TM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</v>
      </c>
      <c r="DL9" s="18">
        <f>IF($D9=0,"DNP",SUMIFS(TEAMS_GbG[PAINT_A],TEAMS_GbG[[TM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19.666666666666668</v>
      </c>
      <c r="DM9" s="18">
        <f>IF($D9=0,"DNP",SUMIFS(TEAMS_GbG[MID_M],TEAMS_GbG[[TM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2.7777777777777777</v>
      </c>
      <c r="DN9" s="18">
        <f>IF($D9=0,"DNP",SUMIFS(TEAMS_GbG[MID_A],TEAMS_GbG[[TM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6.8888888888888893</v>
      </c>
      <c r="DO9" s="18">
        <f>IF($D9=0,"DNP",SUMIFS(TEAMS_GbG[3C_M],TEAMS_GbG[[TM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1.5555555555555556</v>
      </c>
      <c r="DP9" s="18">
        <f>IF($D9=0,"DNP",SUMIFS(TEAMS_GbG[3C_A],TEAMS_GbG[[TM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3.2222222222222223</v>
      </c>
      <c r="DQ9" s="18">
        <f>IF($D9=0,"DNP",SUMIFS(TEAMS_GbG[3L_M],TEAMS_GbG[[TM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7.1111111111111107</v>
      </c>
      <c r="DR9" s="18">
        <f>IF($D9=0,"DNP",SUMIFS(TEAMS_GbG[3L_A],TEAMS_GbG[[TM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21.777777777777779</v>
      </c>
      <c r="DS9" s="18">
        <f>IF($D9=0,"DNP",SUMIFS(TEAMS_GbG[3H_M],TEAMS_GbG[[TM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DT9" s="18">
        <f>IF($D9=0,"DNP",SUMIFS(TEAMS_GbG[3H_A],TEAMS_GbG[[TM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DU9" s="18">
        <f>IF($D9=0,"DNP",SUMIFS(TEAMS_GbG[OPP PTS],TEAMS_GbG[[TM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86.111111111111114</v>
      </c>
      <c r="DV9" s="18">
        <f>IF($D9=0,"DNP",SUMIFS(TEAMS_GbG[OPP 2PTM],TEAMS_GbG[[TM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22.222222222222221</v>
      </c>
      <c r="DW9" s="18">
        <f>IF($D9=0,"DNP",SUMIFS(TEAMS_GbG[OPP 2PTA],TEAMS_GbG[[TM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38.222222222222221</v>
      </c>
      <c r="DX9" s="16">
        <f t="shared" ref="DX9:DX23" si="43">IF($D9=0,"DNP",IF(DW9=0,"-",DV9/DW9))</f>
        <v>0.58139534883720934</v>
      </c>
      <c r="DY9" s="18">
        <f>IF($D9=0,"DNP",SUMIFS(TEAMS_GbG[OPP 3PTM],TEAMS_GbG[[TM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9.2222222222222214</v>
      </c>
      <c r="DZ9" s="18">
        <f>IF($D9=0,"DNP",SUMIFS(TEAMS_GbG[OPP 3PTA],TEAMS_GbG[[TM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24.333333333333332</v>
      </c>
      <c r="EA9" s="16">
        <f t="shared" ref="EA9:EA23" si="44">IF($D9=0,"DNP",IF(DZ9=0,"-",DY9/DZ9))</f>
        <v>0.37899543378995432</v>
      </c>
      <c r="EB9" s="18">
        <f>IF($D9=0,"DNP",SUMIFS(TEAMS_GbG[OPP FGM],TEAMS_GbG[[TM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31.444444444444443</v>
      </c>
      <c r="EC9" s="18">
        <f>IF($D9=0,"DNP",SUMIFS(TEAMS_GbG[OPP FGA],TEAMS_GbG[[TM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62.555555555555557</v>
      </c>
      <c r="ED9" s="16">
        <f t="shared" ref="ED9:ED23" si="45">IF($D9=0,"DNP",IF(EC9=0,"-",EB9/EC9))</f>
        <v>0.50266429840142091</v>
      </c>
      <c r="EE9" s="18">
        <f>IF($D9=0,"DNP",SUMIFS(TEAMS_GbG[OPP FTM],TEAMS_GbG[[TM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14</v>
      </c>
      <c r="EF9" s="18">
        <f>IF($D9=0,"DNP",SUMIFS(TEAMS_GbG[OPP FTA],TEAMS_GbG[[TM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17.444444444444443</v>
      </c>
      <c r="EG9" s="16">
        <f t="shared" ref="EG9:EG23" si="46">IF($D9=0,"DNP",IF(EF9=0,"-",EE9/EF9))</f>
        <v>0.80254777070063699</v>
      </c>
      <c r="EH9" s="18">
        <f>IF($D9=0,"DNP",SUMIFS(TEAMS_GbG[OPP OR],TEAMS_GbG[[TM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9.6666666666666661</v>
      </c>
      <c r="EI9" s="18">
        <f>IF($D9=0,"DNP",SUMIFS(TEAMS_GbG[OPP DR],TEAMS_GbG[[TM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24.222222222222221</v>
      </c>
      <c r="EJ9" s="18">
        <f>IF($D9=0,"DNP",SUMIFS(TEAMS_GbG[OPP TR],TEAMS_GbG[[TM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33.888888888888886</v>
      </c>
      <c r="EK9" s="18">
        <f>IF($D9=0,"DNP",SUMIFS(TEAMS_GbG[OPP AST],TEAMS_GbG[[TM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18.777777777777779</v>
      </c>
      <c r="EL9" s="18">
        <f>IF($D9=0,"DNP",SUMIFS(TEAMS_GbG[OPP PF],TEAMS_GbG[[TM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19</v>
      </c>
      <c r="EM9" s="18">
        <f>IF($D9=0,"DNP",SUMIFS(TEAMS_GbG[OPP DF],TEAMS_GbG[[TM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18.666666666666668</v>
      </c>
      <c r="EN9" s="18">
        <f>IF($D9=0,"DNP",SUMIFS(TEAMS_GbG[OPP ST],TEAMS_GbG[[TM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5.2222222222222223</v>
      </c>
      <c r="EO9" s="18">
        <f>IF($D9=0,"DNP",SUMIFS(TEAMS_GbG[OPP TO],TEAMS_GbG[[TM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10.333333333333334</v>
      </c>
      <c r="EP9" s="18">
        <f>IF($D9=0,"DNP",SUMIFS(TEAMS_GbG[OPP BLK],TEAMS_GbG[[TM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1.7777777777777777</v>
      </c>
      <c r="EQ9" s="18">
        <f>IF($D9=0,"DNP",SUMIFS(TEAMS_GbG[OPP BLKA],TEAMS_GbG[[TM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2.2222222222222223</v>
      </c>
      <c r="ER9" s="18">
        <f>IF($D9=0,"DNP",SUMIFS(TEAMS_GbG[OPP VAL],TEAMS_GbG[[TM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98.333333333333329</v>
      </c>
      <c r="ES9" s="18">
        <f>IF($D9=0,"DNP",SUMIFS(TEAMS_GbG[OPP + / -],TEAMS_GbG[[TM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7.333333333333333</v>
      </c>
      <c r="ET9" s="18">
        <f>IF($D9=0,"DNP",SUMIFS(TEAMS_GbG[OPP POSS],TEAMS_GbG[[TM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70.777777777777771</v>
      </c>
      <c r="EU9" s="18">
        <f>IF($D9=0,"DNP",SUMIFS(TEAMS_GbG[OPP SHOOTING CHANCES],TEAMS_GbG[[TM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80.555555555555557</v>
      </c>
      <c r="EV9" s="18">
        <f>IF($D9=0,"DNP",SUMIFS(TEAMS_GbG[OPP KILLS],TEAMS_GbG[[TM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4</v>
      </c>
      <c r="EW9" s="18">
        <f>IF($D9=0,"DNP",SUMIFS(TEAMS_GbG[OPP ASTED_2FG],TEAMS_GbG[[TM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</v>
      </c>
      <c r="EX9" s="18">
        <f>IF($D9=0,"DNP",SUMIFS(TEAMS_GbG[OPP ASTED_3FG],TEAMS_GbG[[TM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6.8888888888888893</v>
      </c>
      <c r="EY9" s="18">
        <f>IF($D9=0,"DNP",SUMIFS(TEAMS_GbG[OPP ASTED_FT],TEAMS_GbG[[TM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1.6666666666666667</v>
      </c>
      <c r="EZ9" s="18">
        <f>IF($D9=0,"DNP",SUMIFS(TEAMS_GbG[OPP ASTED_FT PTS],TEAMS_GbG[[TM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2.6666666666666665</v>
      </c>
      <c r="FA9" s="18">
        <f>IF($D9=0,"DNP",SUMIFS(TEAMS_GbG[OPP OR_RIM],TEAMS_GbG[[TM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0.66666666666666663</v>
      </c>
      <c r="FB9" s="18">
        <f>IF($D9=0,"DNP",SUMIFS(TEAMS_GbG[OPP TM OR_RIM],TEAMS_GbG[[TM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C9" s="18">
        <f>IF($D9=0,"DNP",SUMIFS(TEAMS_GbG[OPP OR_PAINT],TEAMS_GbG[[TM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3.4444444444444446</v>
      </c>
      <c r="FD9" s="18">
        <f>IF($D9=0,"DNP",SUMIFS(TEAMS_GbG[OPP TM OR_PAINT],TEAMS_GbG[[TM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FE9" s="18">
        <f>IF($D9=0,"DNP",SUMIFS(TEAMS_GbG[OPP OR_NP2],TEAMS_GbG[[TM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0.44444444444444442</v>
      </c>
      <c r="FF9" s="18">
        <f>IF($D9=0,"DNP",SUMIFS(TEAMS_GbG[OPP TM OR_NP2],TEAMS_GbG[[TM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FG9" s="18">
        <f>IF($D9=0,"DNP",SUMIFS(TEAMS_GbG[OPP OR_3C],TEAMS_GbG[[TM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FH9" s="18">
        <f>IF($D9=0,"DNP",SUMIFS(TEAMS_GbG[OPP TM OR_3C],TEAMS_GbG[[TM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FI9" s="18">
        <f>IF($D9=0,"DNP",SUMIFS(TEAMS_GbG[OPP OR_3L],TEAMS_GbG[[TM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4.1111111111111107</v>
      </c>
      <c r="FJ9" s="18">
        <f>IF($D9=0,"DNP",SUMIFS(TEAMS_GbG[OPP TM OR_3L],TEAMS_GbG[[TM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K9" s="18">
        <f>IF($D9=0,"DNP",SUMIFS(TEAMS_GbG[OPP OR_FT],TEAMS_GbG[[TM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0.55555555555555558</v>
      </c>
      <c r="FL9" s="18">
        <f>IF($D9=0,"DNP",SUMIFS(TEAMS_GbG[OPP TM OR_FT],TEAMS_GbG[[TM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M9" s="18">
        <f>IF($D9=0,"DNP",SUMIFS(TEAMS_GbG[OPP DR_RIM],TEAMS_GbG[[TM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0.77777777777777779</v>
      </c>
      <c r="FN9" s="18">
        <f>IF($D9=0,"DNP",SUMIFS(TEAMS_GbG[OPP TM DR_RIM],TEAMS_GbG[[TM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O9" s="18">
        <f>IF($D9=0,"DNP",SUMIFS(TEAMS_GbG[OPP DR_PAINT],TEAMS_GbG[[TM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6.5555555555555554</v>
      </c>
      <c r="FP9" s="18">
        <f>IF($D9=0,"DNP",SUMIFS(TEAMS_GbG[OPP TM DR_PAINT],TEAMS_GbG[[TM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0.44444444444444442</v>
      </c>
      <c r="FQ9" s="18">
        <f>IF($D9=0,"DNP",SUMIFS(TEAMS_GbG[OPP DR_NP2],TEAMS_GbG[[TM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</v>
      </c>
      <c r="FR9" s="18">
        <f>IF($D9=0,"DNP",SUMIFS(TEAMS_GbG[OPP TM DR_NP2],TEAMS_GbG[[TM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FS9" s="18">
        <f>IF($D9=0,"DNP",SUMIFS(TEAMS_GbG[OPP DR_3C],TEAMS_GbG[[TM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1.5555555555555556</v>
      </c>
      <c r="FT9" s="18">
        <f>IF($D9=0,"DNP",SUMIFS(TEAMS_GbG[OPP TM DR_3C],TEAMS_GbG[[TM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FU9" s="18">
        <f>IF($D9=0,"DNP",SUMIFS(TEAMS_GbG[OPP DR_3L],TEAMS_GbG[[TM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10.888888888888889</v>
      </c>
      <c r="FV9" s="18">
        <f>IF($D9=0,"DNP",SUMIFS(TEAMS_GbG[OPP TM DR_3L],TEAMS_GbG[[TM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FW9" s="18">
        <f>IF($D9=0,"DNP",SUMIFS(TEAMS_GbG[OPP DR_FT],TEAMS_GbG[[TM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1.3333333333333333</v>
      </c>
      <c r="FX9" s="18">
        <f>IF($D9=0,"DNP",SUMIFS(TEAMS_GbG[OPP TM DR_FT],TEAMS_GbG[[TM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FY9" s="18">
        <f>IF($D9=0,"DNP",SUMIFS(TEAMS_GbG[OPP FTM_T],TEAMS_GbG[[TM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FZ9" s="18">
        <f>IF($D9=0,"DNP",SUMIFS(TEAMS_GbG[OPP FTA_T],TEAMS_GbG[[TM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GA9" s="18">
        <f>IF($D9=0,"DNP",SUMIFS(TEAMS_GbG[OPP FTM_1],TEAMS_GbG[[TM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0.77777777777777779</v>
      </c>
      <c r="GB9" s="18">
        <f>IF($D9=0,"DNP",SUMIFS(TEAMS_GbG[OPP FTA_1],TEAMS_GbG[[TM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1.3333333333333333</v>
      </c>
      <c r="GC9" s="18">
        <f>IF($D9=0,"DNP",SUMIFS(TEAMS_GbG[OPP FTM_2],TEAMS_GbG[[TM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11.666666666666666</v>
      </c>
      <c r="GD9" s="18">
        <f>IF($D9=0,"DNP",SUMIFS(TEAMS_GbG[OPP FTA_2],TEAMS_GbG[[TM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14.444444444444445</v>
      </c>
      <c r="GE9" s="18">
        <f>IF($D9=0,"DNP",SUMIFS(TEAMS_GbG[OPP FT 0/2],TEAMS_GbG[[TM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GF9" s="18">
        <f>IF($D9=0,"DNP",SUMIFS(TEAMS_GbG[OPP FTM_3],TEAMS_GbG[[TM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1.2222222222222223</v>
      </c>
      <c r="GG9" s="18">
        <f>IF($D9=0,"DNP",SUMIFS(TEAMS_GbG[OPP FTA_3],TEAMS_GbG[[TM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1.3333333333333333</v>
      </c>
      <c r="GH9" s="18">
        <f>IF($D9=0,"DNP",SUMIFS(TEAMS_GbG[OPP FT 0/3],TEAMS_GbG[[TM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GI9" s="18">
        <f>IF($D9=0,"DNP",SUMIFS(TEAMS_GbG[OPP RIM_M],TEAMS_GbG[[TM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9.2222222222222214</v>
      </c>
      <c r="GJ9" s="18">
        <f>IF($D9=0,"DNP",SUMIFS(TEAMS_GbG[OPP RIM_A],TEAMS_GbG[[TM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11.111111111111111</v>
      </c>
      <c r="GK9" s="18">
        <f>IF($D9=0,"DNP",SUMIFS(TEAMS_GbG[OPP PAINT_M],TEAMS_GbG[[TM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10.777777777777779</v>
      </c>
      <c r="GL9" s="18">
        <f>IF($D9=0,"DNP",SUMIFS(TEAMS_GbG[OPP PAINT_A],TEAMS_GbG[[TM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21.666666666666668</v>
      </c>
      <c r="GM9" s="18">
        <f>IF($D9=0,"DNP",SUMIFS(TEAMS_GbG[OPP MID_M],TEAMS_GbG[[TM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2.2222222222222223</v>
      </c>
      <c r="GN9" s="18">
        <f>IF($D9=0,"DNP",SUMIFS(TEAMS_GbG[OPP MID_A],TEAMS_GbG[[TM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5.4444444444444446</v>
      </c>
      <c r="GO9" s="18">
        <f>IF($D9=0,"DNP",SUMIFS(TEAMS_GbG[OPP 3C_M],TEAMS_GbG[[TM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1.6666666666666667</v>
      </c>
      <c r="GP9" s="18">
        <f>IF($D9=0,"DNP",SUMIFS(TEAMS_GbG[OPP 3C_A],TEAMS_GbG[[TM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2.7777777777777777</v>
      </c>
      <c r="GQ9" s="18">
        <f>IF($D9=0,"DNP",SUMIFS(TEAMS_GbG[OPP 3L_M],TEAMS_GbG[[TM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7.5555555555555554</v>
      </c>
      <c r="GR9" s="18">
        <f>IF($D9=0,"DNP",SUMIFS(TEAMS_GbG[OPP 3L_A],TEAMS_GbG[[TM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21.111111111111111</v>
      </c>
      <c r="GS9" s="18">
        <f>IF($D9=0,"DNP",SUMIFS(TEAMS_GbG[OPP 3H_M],TEAMS_GbG[[TM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GT9" s="18">
        <f>IF($D9=0,"DNP",SUMIFS(TEAMS_GbG[OPP 3H_A],TEAMS_GbG[[TM NAME]:[TM NAME]],$C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0.44444444444444442</v>
      </c>
      <c r="GU9" s="16">
        <f ca="1">IF(TEAMS_STATS[[#This Row],[TM NAME]]="","",INDEX(SoS!$C$113:$C$144,MATCH(TEAMS_STATS[[#This Row],[TM NAME]],SoS!$B$113:$B$144,0)))</f>
        <v>0.55277226631393295</v>
      </c>
    </row>
    <row r="10" spans="2:203" ht="15" customHeight="1" x14ac:dyDescent="0.25">
      <c r="B10" s="12">
        <f>_xlfn.AGGREGATE(3,5,$C$7:C9)</f>
        <v>3</v>
      </c>
      <c r="C10" s="14" t="str">
        <f>BASIS_INFO!F5</f>
        <v>AS Monaco</v>
      </c>
      <c r="D10" s="20">
        <f>COUNTIFS(TEAMS_GbG[[TM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0" s="20">
        <f>COUNTIFS(TEAMS_GbG[[TM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5</v>
      </c>
      <c r="F10" s="20">
        <f>COUNTIFS(TEAMS_GbG[[TM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4</v>
      </c>
      <c r="G10" s="18">
        <f>IF($D10=0,"DNP",SUMIFS(TEAMS_GbG[MIN],TEAMS_GbG[[TM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200</v>
      </c>
      <c r="H10" s="18">
        <f>IF($D10=0,"DNP",SUMIFS(TEAMS_GbG[PTS],TEAMS_GbG[[TM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78.444444444444443</v>
      </c>
      <c r="I10" s="18">
        <f>IF($D10=0,"DNP",SUMIFS(TEAMS_GbG[2PTM],TEAMS_GbG[[TM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20.333333333333332</v>
      </c>
      <c r="J10" s="18">
        <f>IF($D10=0,"DNP",SUMIFS(TEAMS_GbG[2PTA],TEAMS_GbG[[TM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40.666666666666664</v>
      </c>
      <c r="K10" s="16">
        <f t="shared" si="38"/>
        <v>0.5</v>
      </c>
      <c r="L10" s="18">
        <f>IF($D10=0,"DNP",SUMIFS(TEAMS_GbG[3PTM],TEAMS_GbG[[TM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8.5555555555555554</v>
      </c>
      <c r="M10" s="18">
        <f>IF($D10=0,"DNP",SUMIFS(TEAMS_GbG[3PTA],TEAMS_GbG[[TM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22.666666666666668</v>
      </c>
      <c r="N10" s="16">
        <f t="shared" si="39"/>
        <v>0.37745098039215685</v>
      </c>
      <c r="O10" s="18">
        <f>IF($D10=0,"DNP",SUMIFS(TEAMS_GbG[FGM],TEAMS_GbG[[TM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28.888888888888889</v>
      </c>
      <c r="P10" s="18">
        <f>IF($D10=0,"DNP",SUMIFS(TEAMS_GbG[FGA],TEAMS_GbG[[TM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63.333333333333336</v>
      </c>
      <c r="Q10" s="16">
        <f t="shared" si="40"/>
        <v>0.45614035087719296</v>
      </c>
      <c r="R10" s="18">
        <f>IF($D10=0,"DNP",SUMIFS(TEAMS_GbG[FTM],TEAMS_GbG[[TM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12.111111111111111</v>
      </c>
      <c r="S10" s="18">
        <f>IF($D10=0,"DNP",SUMIFS(TEAMS_GbG[FTA],TEAMS_GbG[[TM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16</v>
      </c>
      <c r="T10" s="16">
        <f t="shared" si="41"/>
        <v>0.75694444444444442</v>
      </c>
      <c r="U10" s="18">
        <f>IF($D10=0,"DNP",SUMIFS(TEAMS_GbG[OR],TEAMS_GbG[[TM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12</v>
      </c>
      <c r="V10" s="18">
        <f>IF($D10=0,"DNP",SUMIFS(TEAMS_GbG[DR],TEAMS_GbG[[TM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21.888888888888889</v>
      </c>
      <c r="W10" s="18">
        <f>IF($D10=0,"DNP",SUMIFS(TEAMS_GbG[TR],TEAMS_GbG[[TM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33.888888888888886</v>
      </c>
      <c r="X10" s="18">
        <f>IF($D10=0,"DNP",SUMIFS(TEAMS_GbG[AST],TEAMS_GbG[[TM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16.555555555555557</v>
      </c>
      <c r="Y10" s="18">
        <f>IF($D10=0,"DNP",SUMIFS(TEAMS_GbG[TO],TEAMS_GbG[[TM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10.888888888888889</v>
      </c>
      <c r="Z10" s="18">
        <f>IF($D10=0,"DNP",SUMIFS(TEAMS_GbG[ST],TEAMS_GbG[[TM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7.2222222222222223</v>
      </c>
      <c r="AA10" s="18">
        <f>IF($D10=0,"DNP",SUMIFS(TEAMS_GbG[BLK],TEAMS_GbG[[TM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1.2222222222222223</v>
      </c>
      <c r="AB10" s="18">
        <f>IF($D10=0,"DNP",SUMIFS(TEAMS_GbG[BLKA],TEAMS_GbG[[TM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2.4444444444444446</v>
      </c>
      <c r="AC10" s="18">
        <f>IF($D10=0,"DNP",SUMIFS(TEAMS_GbG[PF],TEAMS_GbG[[TM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18.777777777777779</v>
      </c>
      <c r="AD10" s="18">
        <f>IF($D10=0,"DNP",SUMIFS(TEAMS_GbG[DF],TEAMS_GbG[[TM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19.555555555555557</v>
      </c>
      <c r="AE10" s="18">
        <f>IF($D10=0,"DNP",SUMIFS(TEAMS_GbG[VAL],TEAMS_GbG[[TM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86.444444444444443</v>
      </c>
      <c r="AF10" s="18">
        <f>IF($D10=0,"DNP",SUMIFS(TEAMS_GbG[+ / -],TEAMS_GbG[[TM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0.77777777777777779</v>
      </c>
      <c r="AG10" s="26">
        <f t="shared" si="0"/>
        <v>68.666666666666671</v>
      </c>
      <c r="AH10" s="18">
        <f>IF($D10=0,"DNP",SUMIFS(TEAMS_GbG[POSS],TEAMS_GbG[[TM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68.666666666666671</v>
      </c>
      <c r="AI10" s="18">
        <f>IF($D10=0,"DNP",SUMIFS(TEAMS_GbG[SHOOTING CHANCES],TEAMS_GbG[[TM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81</v>
      </c>
      <c r="AJ10" s="19">
        <f t="shared" si="1"/>
        <v>0.96844993141289437</v>
      </c>
      <c r="AK10" s="19">
        <f t="shared" si="2"/>
        <v>0.95884773662551448</v>
      </c>
      <c r="AL10" s="18">
        <f t="shared" si="3"/>
        <v>114.23948220064723</v>
      </c>
      <c r="AM10" s="18">
        <f t="shared" si="4"/>
        <v>113.290113452188</v>
      </c>
      <c r="AN10" s="18">
        <f t="shared" si="42"/>
        <v>0.94936874845923569</v>
      </c>
      <c r="AO10" s="27">
        <f t="shared" si="5"/>
        <v>0.52368421052631575</v>
      </c>
      <c r="AP10" s="28">
        <f t="shared" si="6"/>
        <v>0.55942947702060219</v>
      </c>
      <c r="AQ10" s="34">
        <f t="shared" si="7"/>
        <v>0.1111111111111111</v>
      </c>
      <c r="AR10" s="38">
        <f t="shared" si="8"/>
        <v>1.308641975308642</v>
      </c>
      <c r="AS10" s="27">
        <f t="shared" si="9"/>
        <v>0.25925925925925924</v>
      </c>
      <c r="AT10" s="38">
        <f t="shared" si="10"/>
        <v>0.96296296296296291</v>
      </c>
      <c r="AU10" s="27">
        <f t="shared" si="11"/>
        <v>0.13168724279835389</v>
      </c>
      <c r="AV10" s="38">
        <f t="shared" si="12"/>
        <v>0.8125</v>
      </c>
      <c r="AW10" s="27">
        <f t="shared" si="13"/>
        <v>9.6021947873799734E-3</v>
      </c>
      <c r="AX10" s="38">
        <f t="shared" si="14"/>
        <v>0.8571428571428571</v>
      </c>
      <c r="AY10" s="27">
        <f t="shared" si="15"/>
        <v>0.27023319615912211</v>
      </c>
      <c r="AZ10" s="38">
        <f t="shared" si="16"/>
        <v>1.1421319796954315</v>
      </c>
      <c r="BA10" s="28">
        <f t="shared" si="17"/>
        <v>8.3676268861454045E-2</v>
      </c>
      <c r="BB10" s="34">
        <f t="shared" si="18"/>
        <v>0.13498622589531681</v>
      </c>
      <c r="BC10" s="27">
        <f t="shared" si="19"/>
        <v>0.47301587301587295</v>
      </c>
      <c r="BD10" s="27">
        <f t="shared" si="20"/>
        <v>0.45901639344262302</v>
      </c>
      <c r="BE10" s="27">
        <f t="shared" si="21"/>
        <v>0.76623376623376627</v>
      </c>
      <c r="BF10" s="27">
        <f t="shared" si="22"/>
        <v>0.10909090909090909</v>
      </c>
      <c r="BG10" s="27">
        <f t="shared" si="23"/>
        <v>0.20523415977961434</v>
      </c>
      <c r="BH10" s="35">
        <f t="shared" si="24"/>
        <v>1.5204081632653061</v>
      </c>
      <c r="BI10" s="49">
        <f t="shared" si="25"/>
        <v>0.34069400630914826</v>
      </c>
      <c r="BJ10" s="45">
        <f t="shared" si="26"/>
        <v>0.34871794871794881</v>
      </c>
      <c r="BK10" s="45">
        <f t="shared" si="27"/>
        <v>0.41007194244604322</v>
      </c>
      <c r="BL10" s="45">
        <f t="shared" si="28"/>
        <v>0.36842105263157887</v>
      </c>
      <c r="BM10" s="45">
        <f t="shared" si="29"/>
        <v>0.63754045307443363</v>
      </c>
      <c r="BN10" s="45">
        <f t="shared" si="30"/>
        <v>0.60130718954248374</v>
      </c>
      <c r="BO10" s="45">
        <f t="shared" si="31"/>
        <v>0.62643678160919547</v>
      </c>
      <c r="BP10" s="45">
        <f t="shared" si="32"/>
        <v>0.7142857142857143</v>
      </c>
      <c r="BQ10" s="46">
        <f t="shared" si="33"/>
        <v>0.4872204472843451</v>
      </c>
      <c r="BR10" s="49">
        <f t="shared" si="34"/>
        <v>0.1053484602917342</v>
      </c>
      <c r="BS10" s="45">
        <f t="shared" si="35"/>
        <v>2.0036429872495449E-2</v>
      </c>
      <c r="BT10" s="39">
        <f>IF($D10=0,"DNP",SUMIFS(TEAMS_GbG[KILLS],TEAMS_GbG[[TM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</v>
      </c>
      <c r="BU10" s="34">
        <f t="shared" si="36"/>
        <v>0.40236686390532539</v>
      </c>
      <c r="BV10" s="28">
        <f t="shared" si="37"/>
        <v>0.43181818181818177</v>
      </c>
      <c r="BW10" s="18">
        <f>IF($D10=0,"DNP",SUMIFS(TEAMS_GbG[ASTED_2FG],TEAMS_GbG[[TM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9.3333333333333339</v>
      </c>
      <c r="BX10" s="18">
        <f>IF($D10=0,"DNP",SUMIFS(TEAMS_GbG[ASTED_3FG],TEAMS_GbG[[TM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6.5555555555555554</v>
      </c>
      <c r="BY10" s="18">
        <f>IF($D10=0,"DNP",SUMIFS(TEAMS_GbG[ASTED_FT],TEAMS_GbG[[TM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BZ10" s="18">
        <f>IF($D10=0,"DNP",SUMIFS(TEAMS_GbG[ASTED_FT PTS],TEAMS_GbG[[TM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1.3333333333333333</v>
      </c>
      <c r="CA10" s="18">
        <f>IF($D10=0,"DNP",SUMIFS(TEAMS_GbG[OR_RIM],TEAMS_GbG[[TM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1.2222222222222223</v>
      </c>
      <c r="CB10" s="18">
        <f>IF($D10=0,"DNP",SUMIFS(TEAMS_GbG[TM OR_RIM],TEAMS_GbG[[TM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CC10" s="18">
        <f>IF($D10=0,"DNP",SUMIFS(TEAMS_GbG[OR_PAINT],TEAMS_GbG[[TM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3.5555555555555554</v>
      </c>
      <c r="CD10" s="18">
        <f>IF($D10=0,"DNP",SUMIFS(TEAMS_GbG[TM OR_PAINT],TEAMS_GbG[[TM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CE10" s="18">
        <f>IF($D10=0,"DNP",SUMIFS(TEAMS_GbG[OR_NP2],TEAMS_GbG[[TM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CF10" s="18">
        <f>IF($D10=0,"DNP",SUMIFS(TEAMS_GbG[TM OR_NP2],TEAMS_GbG[[TM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CG10" s="18">
        <f>IF($D10=0,"DNP",SUMIFS(TEAMS_GbG[OR_3C],TEAMS_GbG[[TM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CH10" s="18">
        <f>IF($D10=0,"DNP",SUMIFS(TEAMS_GbG[TM OR_3C],TEAMS_GbG[[TM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CI10" s="18">
        <f>IF($D10=0,"DNP",SUMIFS(TEAMS_GbG[OR_3L],TEAMS_GbG[[TM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4.666666666666667</v>
      </c>
      <c r="CJ10" s="18">
        <f>IF($D10=0,"DNP",SUMIFS(TEAMS_GbG[TM OR_3L],TEAMS_GbG[[TM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1.1111111111111112</v>
      </c>
      <c r="CK10" s="18">
        <f>IF($D10=0,"DNP",SUMIFS(TEAMS_GbG[OR_FT],TEAMS_GbG[[TM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CL10" s="18">
        <f>IF($D10=0,"DNP",SUMIFS(TEAMS_GbG[TM OR_FT],TEAMS_GbG[[TM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CM10" s="18">
        <f>IF($D10=0,"DNP",SUMIFS(TEAMS_GbG[DR_RIM],TEAMS_GbG[[TM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1.3333333333333333</v>
      </c>
      <c r="CN10" s="18">
        <f>IF($D10=0,"DNP",SUMIFS(TEAMS_GbG[TM DR_RIM],TEAMS_GbG[[TM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CO10" s="18">
        <f>IF($D10=0,"DNP",SUMIFS(TEAMS_GbG[DR_PAINT],TEAMS_GbG[[TM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5.2222222222222223</v>
      </c>
      <c r="CP10" s="18">
        <f>IF($D10=0,"DNP",SUMIFS(TEAMS_GbG[TM DR_PAINT],TEAMS_GbG[[TM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CQ10" s="18">
        <f>IF($D10=0,"DNP",SUMIFS(TEAMS_GbG[DR_NP2],TEAMS_GbG[[TM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2.8888888888888888</v>
      </c>
      <c r="CR10" s="18">
        <f>IF($D10=0,"DNP",SUMIFS(TEAMS_GbG[TM DR_NP2],TEAMS_GbG[[TM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CS10" s="18">
        <f>IF($D10=0,"DNP",SUMIFS(TEAMS_GbG[DR_3C],TEAMS_GbG[[TM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0.88888888888888884</v>
      </c>
      <c r="CT10" s="18">
        <f>IF($D10=0,"DNP",SUMIFS(TEAMS_GbG[TM DR_3C],TEAMS_GbG[[TM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CU10" s="18">
        <f>IF($D10=0,"DNP",SUMIFS(TEAMS_GbG[DR_3L],TEAMS_GbG[[TM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10.444444444444445</v>
      </c>
      <c r="CV10" s="18">
        <f>IF($D10=0,"DNP",SUMIFS(TEAMS_GbG[TM DR_3L],TEAMS_GbG[[TM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CW10" s="18">
        <f>IF($D10=0,"DNP",SUMIFS(TEAMS_GbG[DR_FT],TEAMS_GbG[[TM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1.1111111111111112</v>
      </c>
      <c r="CX10" s="18">
        <f>IF($D10=0,"DNP",SUMIFS(TEAMS_GbG[TM DR_FT],TEAMS_GbG[[TM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CY10" s="18">
        <f>IF($D10=0,"DNP",SUMIFS(TEAMS_GbG[FTM_T],TEAMS_GbG[[TM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0.55555555555555558</v>
      </c>
      <c r="CZ10" s="18">
        <f>IF($D10=0,"DNP",SUMIFS(TEAMS_GbG[FTA_T],TEAMS_GbG[[TM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DA10" s="18">
        <f>IF($D10=0,"DNP",SUMIFS(TEAMS_GbG[FTM_1],TEAMS_GbG[[TM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1.3333333333333333</v>
      </c>
      <c r="DB10" s="18">
        <f>IF($D10=0,"DNP",SUMIFS(TEAMS_GbG[FTA_1],TEAMS_GbG[[TM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DC10" s="18">
        <f>IF($D10=0,"DNP",SUMIFS(TEAMS_GbG[FTM_2],TEAMS_GbG[[TM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10.111111111111111</v>
      </c>
      <c r="DD10" s="18">
        <f>IF($D10=0,"DNP",SUMIFS(TEAMS_GbG[FTA_2],TEAMS_GbG[[TM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13.333333333333334</v>
      </c>
      <c r="DE10" s="18">
        <f>IF($D10=0,"DNP",SUMIFS(TEAMS_GbG[FT 0/2],TEAMS_GbG[[TM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DF10" s="18">
        <f>IF($D10=0,"DNP",SUMIFS(TEAMS_GbG[FTM_3],TEAMS_GbG[[TM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DG10" s="18">
        <f>IF($D10=0,"DNP",SUMIFS(TEAMS_GbG[FTA_3],TEAMS_GbG[[TM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DH10" s="18">
        <f>IF($D10=0,"DNP",SUMIFS(TEAMS_GbG[FT 0/3],TEAMS_GbG[[TM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DI10" s="18">
        <f>IF($D10=0,"DNP",SUMIFS(TEAMS_GbG[RIM_M],TEAMS_GbG[[TM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5.8888888888888893</v>
      </c>
      <c r="DJ10" s="18">
        <f>IF($D10=0,"DNP",SUMIFS(TEAMS_GbG[RIM_A],TEAMS_GbG[[TM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9</v>
      </c>
      <c r="DK10" s="18">
        <f>IF($D10=0,"DNP",SUMIFS(TEAMS_GbG[PAINT_M],TEAMS_GbG[[TM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10.111111111111111</v>
      </c>
      <c r="DL10" s="18">
        <f>IF($D10=0,"DNP",SUMIFS(TEAMS_GbG[PAINT_A],TEAMS_GbG[[TM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21</v>
      </c>
      <c r="DM10" s="18">
        <f>IF($D10=0,"DNP",SUMIFS(TEAMS_GbG[MID_M],TEAMS_GbG[[TM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4.333333333333333</v>
      </c>
      <c r="DN10" s="18">
        <f>IF($D10=0,"DNP",SUMIFS(TEAMS_GbG[MID_A],TEAMS_GbG[[TM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10.666666666666666</v>
      </c>
      <c r="DO10" s="18">
        <f>IF($D10=0,"DNP",SUMIFS(TEAMS_GbG[3C_M],TEAMS_GbG[[TM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DP10" s="18">
        <f>IF($D10=0,"DNP",SUMIFS(TEAMS_GbG[3C_A],TEAMS_GbG[[TM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0.77777777777777779</v>
      </c>
      <c r="DQ10" s="18">
        <f>IF($D10=0,"DNP",SUMIFS(TEAMS_GbG[3L_M],TEAMS_GbG[[TM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8.3333333333333339</v>
      </c>
      <c r="DR10" s="18">
        <f>IF($D10=0,"DNP",SUMIFS(TEAMS_GbG[3L_A],TEAMS_GbG[[TM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21.888888888888889</v>
      </c>
      <c r="DS10" s="18">
        <f>IF($D10=0,"DNP",SUMIFS(TEAMS_GbG[3H_M],TEAMS_GbG[[TM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DT10" s="18">
        <f>IF($D10=0,"DNP",SUMIFS(TEAMS_GbG[3H_A],TEAMS_GbG[[TM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DU10" s="18">
        <f>IF($D10=0,"DNP",SUMIFS(TEAMS_GbG[OPP PTS],TEAMS_GbG[[TM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77.666666666666671</v>
      </c>
      <c r="DV10" s="18">
        <f>IF($D10=0,"DNP",SUMIFS(TEAMS_GbG[OPP 2PTM],TEAMS_GbG[[TM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16.444444444444443</v>
      </c>
      <c r="DW10" s="18">
        <f>IF($D10=0,"DNP",SUMIFS(TEAMS_GbG[OPP 2PTA],TEAMS_GbG[[TM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31.777777777777779</v>
      </c>
      <c r="DX10" s="16">
        <f t="shared" si="43"/>
        <v>0.51748251748251739</v>
      </c>
      <c r="DY10" s="18">
        <f>IF($D10=0,"DNP",SUMIFS(TEAMS_GbG[OPP 3PTM],TEAMS_GbG[[TM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11</v>
      </c>
      <c r="DZ10" s="18">
        <f>IF($D10=0,"DNP",SUMIFS(TEAMS_GbG[OPP 3PTA],TEAMS_GbG[[TM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29.222222222222221</v>
      </c>
      <c r="EA10" s="16">
        <f t="shared" si="44"/>
        <v>0.37642585551330798</v>
      </c>
      <c r="EB10" s="18">
        <f>IF($D10=0,"DNP",SUMIFS(TEAMS_GbG[OPP FGM],TEAMS_GbG[[TM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27.444444444444443</v>
      </c>
      <c r="EC10" s="18">
        <f>IF($D10=0,"DNP",SUMIFS(TEAMS_GbG[OPP FGA],TEAMS_GbG[[TM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61</v>
      </c>
      <c r="ED10" s="16">
        <f t="shared" si="45"/>
        <v>0.44990892531876137</v>
      </c>
      <c r="EE10" s="18">
        <f>IF($D10=0,"DNP",SUMIFS(TEAMS_GbG[OPP FTM],TEAMS_GbG[[TM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11.777777777777779</v>
      </c>
      <c r="EF10" s="18">
        <f>IF($D10=0,"DNP",SUMIFS(TEAMS_GbG[OPP FTA],TEAMS_GbG[[TM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14.666666666666666</v>
      </c>
      <c r="EG10" s="16">
        <f t="shared" si="46"/>
        <v>0.80303030303030309</v>
      </c>
      <c r="EH10" s="18">
        <f>IF($D10=0,"DNP",SUMIFS(TEAMS_GbG[OPP OR],TEAMS_GbG[[TM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12.444444444444445</v>
      </c>
      <c r="EI10" s="18">
        <f>IF($D10=0,"DNP",SUMIFS(TEAMS_GbG[OPP DR],TEAMS_GbG[[TM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23.222222222222221</v>
      </c>
      <c r="EJ10" s="18">
        <f>IF($D10=0,"DNP",SUMIFS(TEAMS_GbG[OPP TR],TEAMS_GbG[[TM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35.666666666666664</v>
      </c>
      <c r="EK10" s="18">
        <f>IF($D10=0,"DNP",SUMIFS(TEAMS_GbG[OPP AST],TEAMS_GbG[[TM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18.777777777777779</v>
      </c>
      <c r="EL10" s="18">
        <f>IF($D10=0,"DNP",SUMIFS(TEAMS_GbG[OPP PF],TEAMS_GbG[[TM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20.222222222222221</v>
      </c>
      <c r="EM10" s="18">
        <f>IF($D10=0,"DNP",SUMIFS(TEAMS_GbG[OPP DF],TEAMS_GbG[[TM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18.555555555555557</v>
      </c>
      <c r="EN10" s="18">
        <f>IF($D10=0,"DNP",SUMIFS(TEAMS_GbG[OPP ST],TEAMS_GbG[[TM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5.4444444444444446</v>
      </c>
      <c r="EO10" s="18">
        <f>IF($D10=0,"DNP",SUMIFS(TEAMS_GbG[OPP TO],TEAMS_GbG[[TM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13.444444444444445</v>
      </c>
      <c r="EP10" s="18">
        <f>IF($D10=0,"DNP",SUMIFS(TEAMS_GbG[OPP BLK],TEAMS_GbG[[TM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2.4444444444444446</v>
      </c>
      <c r="EQ10" s="18">
        <f>IF($D10=0,"DNP",SUMIFS(TEAMS_GbG[OPP BLKA],TEAMS_GbG[[TM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1.2222222222222223</v>
      </c>
      <c r="ER10" s="18">
        <f>IF($D10=0,"DNP",SUMIFS(TEAMS_GbG[OPP VAL],TEAMS_GbG[[TM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87.222222222222229</v>
      </c>
      <c r="ES10" s="18">
        <f>IF($D10=0,"DNP",SUMIFS(TEAMS_GbG[OPP + / -],TEAMS_GbG[[TM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-0.77777777777777779</v>
      </c>
      <c r="ET10" s="18">
        <f>IF($D10=0,"DNP",SUMIFS(TEAMS_GbG[OPP POSS],TEAMS_GbG[[TM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68.555555555555557</v>
      </c>
      <c r="EU10" s="18">
        <f>IF($D10=0,"DNP",SUMIFS(TEAMS_GbG[OPP SHOOTING CHANCES],TEAMS_GbG[[TM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81</v>
      </c>
      <c r="EV10" s="18">
        <f>IF($D10=0,"DNP",SUMIFS(TEAMS_GbG[OPP KILLS],TEAMS_GbG[[TM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4.5555555555555554</v>
      </c>
      <c r="EW10" s="18">
        <f>IF($D10=0,"DNP",SUMIFS(TEAMS_GbG[OPP ASTED_2FG],TEAMS_GbG[[TM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7.5555555555555554</v>
      </c>
      <c r="EX10" s="18">
        <f>IF($D10=0,"DNP",SUMIFS(TEAMS_GbG[OPP ASTED_3FG],TEAMS_GbG[[TM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9.5555555555555554</v>
      </c>
      <c r="EY10" s="18">
        <f>IF($D10=0,"DNP",SUMIFS(TEAMS_GbG[OPP ASTED_FT],TEAMS_GbG[[TM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EZ10" s="18">
        <f>IF($D10=0,"DNP",SUMIFS(TEAMS_GbG[OPP ASTED_FT PTS],TEAMS_GbG[[TM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2.8888888888888888</v>
      </c>
      <c r="FA10" s="18">
        <f>IF($D10=0,"DNP",SUMIFS(TEAMS_GbG[OPP OR_RIM],TEAMS_GbG[[TM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FB10" s="18">
        <f>IF($D10=0,"DNP",SUMIFS(TEAMS_GbG[OPP TM OR_RIM],TEAMS_GbG[[TM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FC10" s="18">
        <f>IF($D10=0,"DNP",SUMIFS(TEAMS_GbG[OPP OR_PAINT],TEAMS_GbG[[TM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3.8888888888888888</v>
      </c>
      <c r="FD10" s="18">
        <f>IF($D10=0,"DNP",SUMIFS(TEAMS_GbG[OPP TM OR_PAINT],TEAMS_GbG[[TM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0.55555555555555558</v>
      </c>
      <c r="FE10" s="18">
        <f>IF($D10=0,"DNP",SUMIFS(TEAMS_GbG[OPP OR_NP2],TEAMS_GbG[[TM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FF10" s="18">
        <f>IF($D10=0,"DNP",SUMIFS(TEAMS_GbG[OPP TM OR_NP2],TEAMS_GbG[[TM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FG10" s="18">
        <f>IF($D10=0,"DNP",SUMIFS(TEAMS_GbG[OPP OR_3C],TEAMS_GbG[[TM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FH10" s="18">
        <f>IF($D10=0,"DNP",SUMIFS(TEAMS_GbG[OPP TM OR_3C],TEAMS_GbG[[TM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FI10" s="18">
        <f>IF($D10=0,"DNP",SUMIFS(TEAMS_GbG[OPP OR_3L],TEAMS_GbG[[TM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</v>
      </c>
      <c r="FJ10" s="18">
        <f>IF($D10=0,"DNP",SUMIFS(TEAMS_GbG[OPP TM OR_3L],TEAMS_GbG[[TM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</v>
      </c>
      <c r="FK10" s="18">
        <f>IF($D10=0,"DNP",SUMIFS(TEAMS_GbG[OPP OR_FT],TEAMS_GbG[[TM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FL10" s="18">
        <f>IF($D10=0,"DNP",SUMIFS(TEAMS_GbG[OPP TM OR_FT],TEAMS_GbG[[TM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FM10" s="18">
        <f>IF($D10=0,"DNP",SUMIFS(TEAMS_GbG[OPP DR_RIM],TEAMS_GbG[[TM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1.7777777777777777</v>
      </c>
      <c r="FN10" s="18">
        <f>IF($D10=0,"DNP",SUMIFS(TEAMS_GbG[OPP TM DR_RIM],TEAMS_GbG[[TM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FO10" s="18">
        <f>IF($D10=0,"DNP",SUMIFS(TEAMS_GbG[OPP DR_PAINT],TEAMS_GbG[[TM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</v>
      </c>
      <c r="FP10" s="18">
        <f>IF($D10=0,"DNP",SUMIFS(TEAMS_GbG[OPP TM DR_PAINT],TEAMS_GbG[[TM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FQ10" s="18">
        <f>IF($D10=0,"DNP",SUMIFS(TEAMS_GbG[OPP DR_NP2],TEAMS_GbG[[TM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4.4444444444444446</v>
      </c>
      <c r="FR10" s="18">
        <f>IF($D10=0,"DNP",SUMIFS(TEAMS_GbG[OPP TM DR_NP2],TEAMS_GbG[[TM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FS10" s="18">
        <f>IF($D10=0,"DNP",SUMIFS(TEAMS_GbG[OPP DR_3C],TEAMS_GbG[[TM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FT10" s="18">
        <f>IF($D10=0,"DNP",SUMIFS(TEAMS_GbG[OPP TM DR_3C],TEAMS_GbG[[TM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FU10" s="18">
        <f>IF($D10=0,"DNP",SUMIFS(TEAMS_GbG[OPP DR_3L],TEAMS_GbG[[TM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8.5555555555555554</v>
      </c>
      <c r="FV10" s="18">
        <f>IF($D10=0,"DNP",SUMIFS(TEAMS_GbG[OPP TM DR_3L],TEAMS_GbG[[TM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FW10" s="18">
        <f>IF($D10=0,"DNP",SUMIFS(TEAMS_GbG[OPP DR_FT],TEAMS_GbG[[TM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1.2222222222222223</v>
      </c>
      <c r="FX10" s="18">
        <f>IF($D10=0,"DNP",SUMIFS(TEAMS_GbG[OPP TM DR_FT],TEAMS_GbG[[TM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FY10" s="18">
        <f>IF($D10=0,"DNP",SUMIFS(TEAMS_GbG[OPP FTM_T],TEAMS_GbG[[TM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FZ10" s="18">
        <f>IF($D10=0,"DNP",SUMIFS(TEAMS_GbG[OPP FTA_T],TEAMS_GbG[[TM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GA10" s="18">
        <f>IF($D10=0,"DNP",SUMIFS(TEAMS_GbG[OPP FTM_1],TEAMS_GbG[[TM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GB10" s="18">
        <f>IF($D10=0,"DNP",SUMIFS(TEAMS_GbG[OPP FTA_1],TEAMS_GbG[[TM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</v>
      </c>
      <c r="GC10" s="18">
        <f>IF($D10=0,"DNP",SUMIFS(TEAMS_GbG[OPP FTM_2],TEAMS_GbG[[TM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10.333333333333334</v>
      </c>
      <c r="GD10" s="18">
        <f>IF($D10=0,"DNP",SUMIFS(TEAMS_GbG[OPP FTA_2],TEAMS_GbG[[TM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12.666666666666666</v>
      </c>
      <c r="GE10" s="18">
        <f>IF($D10=0,"DNP",SUMIFS(TEAMS_GbG[OPP FT 0/2],TEAMS_GbG[[TM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GF10" s="18">
        <f>IF($D10=0,"DNP",SUMIFS(TEAMS_GbG[OPP FTM_3],TEAMS_GbG[[TM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GG10" s="18">
        <f>IF($D10=0,"DNP",SUMIFS(TEAMS_GbG[OPP FTA_3],TEAMS_GbG[[TM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GH10" s="18">
        <f>IF($D10=0,"DNP",SUMIFS(TEAMS_GbG[OPP FT 0/3],TEAMS_GbG[[TM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GI10" s="18">
        <f>IF($D10=0,"DNP",SUMIFS(TEAMS_GbG[OPP RIM_M],TEAMS_GbG[[TM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</v>
      </c>
      <c r="GJ10" s="18">
        <f>IF($D10=0,"DNP",SUMIFS(TEAMS_GbG[OPP RIM_A],TEAMS_GbG[[TM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6.5555555555555554</v>
      </c>
      <c r="GK10" s="18">
        <f>IF($D10=0,"DNP",SUMIFS(TEAMS_GbG[OPP PAINT_M],TEAMS_GbG[[TM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9.7777777777777786</v>
      </c>
      <c r="GL10" s="18">
        <f>IF($D10=0,"DNP",SUMIFS(TEAMS_GbG[OPP PAINT_A],TEAMS_GbG[[TM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18.888888888888889</v>
      </c>
      <c r="GM10" s="18">
        <f>IF($D10=0,"DNP",SUMIFS(TEAMS_GbG[OPP MID_M],TEAMS_GbG[[TM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GN10" s="18">
        <f>IF($D10=0,"DNP",SUMIFS(TEAMS_GbG[OPP MID_A],TEAMS_GbG[[TM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6.333333333333333</v>
      </c>
      <c r="GO10" s="18">
        <f>IF($D10=0,"DNP",SUMIFS(TEAMS_GbG[OPP 3C_M],TEAMS_GbG[[TM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0.88888888888888884</v>
      </c>
      <c r="GP10" s="18">
        <f>IF($D10=0,"DNP",SUMIFS(TEAMS_GbG[OPP 3C_A],TEAMS_GbG[[TM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</v>
      </c>
      <c r="GQ10" s="18">
        <f>IF($D10=0,"DNP",SUMIFS(TEAMS_GbG[OPP 3L_M],TEAMS_GbG[[TM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10.111111111111111</v>
      </c>
      <c r="GR10" s="18">
        <f>IF($D10=0,"DNP",SUMIFS(TEAMS_GbG[OPP 3L_A],TEAMS_GbG[[TM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27.111111111111111</v>
      </c>
      <c r="GS10" s="18">
        <f>IF($D10=0,"DNP",SUMIFS(TEAMS_GbG[OPP 3H_M],TEAMS_GbG[[TM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GT10" s="18">
        <f>IF($D10=0,"DNP",SUMIFS(TEAMS_GbG[OPP 3H_A],TEAMS_GbG[[TM NAME]:[TM NAME]],$C10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GU10" s="16">
        <f ca="1">IF(TEAMS_STATS[[#This Row],[TM NAME]]="","",INDEX(SoS!$C$113:$C$144,MATCH(TEAMS_STATS[[#This Row],[TM NAME]],SoS!$B$113:$B$144,0)))</f>
        <v>0.49023552322163438</v>
      </c>
    </row>
    <row r="11" spans="2:203" ht="15" customHeight="1" x14ac:dyDescent="0.25">
      <c r="B11" s="12">
        <f>_xlfn.AGGREGATE(3,5,$C$7:C10)</f>
        <v>4</v>
      </c>
      <c r="C11" s="14" t="str">
        <f>BASIS_INFO!F6</f>
        <v>Baskonia Vitoria-Gasteiz</v>
      </c>
      <c r="D11" s="20">
        <f>COUNTIFS(TEAMS_GbG[[TM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1" s="20">
        <f>COUNTIFS(TEAMS_GbG[[TM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5</v>
      </c>
      <c r="F11" s="20">
        <f>COUNTIFS(TEAMS_GbG[[TM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4</v>
      </c>
      <c r="G11" s="18">
        <f>IF($D11=0,"DNP",SUMIFS(TEAMS_GbG[MIN],TEAMS_GbG[[TM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200</v>
      </c>
      <c r="H11" s="18">
        <f>IF($D11=0,"DNP",SUMIFS(TEAMS_GbG[PTS],TEAMS_GbG[[TM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82.222222222222229</v>
      </c>
      <c r="I11" s="18">
        <f>IF($D11=0,"DNP",SUMIFS(TEAMS_GbG[2PTM],TEAMS_GbG[[TM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19</v>
      </c>
      <c r="J11" s="18">
        <f>IF($D11=0,"DNP",SUMIFS(TEAMS_GbG[2PTA],TEAMS_GbG[[TM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37.111111111111114</v>
      </c>
      <c r="K11" s="16">
        <f t="shared" si="38"/>
        <v>0.5119760479041916</v>
      </c>
      <c r="L11" s="18">
        <f>IF($D11=0,"DNP",SUMIFS(TEAMS_GbG[3PTM],TEAMS_GbG[[TM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10.111111111111111</v>
      </c>
      <c r="M11" s="18">
        <f>IF($D11=0,"DNP",SUMIFS(TEAMS_GbG[3PTA],TEAMS_GbG[[TM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29.555555555555557</v>
      </c>
      <c r="N11" s="16">
        <f t="shared" si="39"/>
        <v>0.34210526315789469</v>
      </c>
      <c r="O11" s="18">
        <f>IF($D11=0,"DNP",SUMIFS(TEAMS_GbG[FGM],TEAMS_GbG[[TM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29.111111111111111</v>
      </c>
      <c r="P11" s="18">
        <f>IF($D11=0,"DNP",SUMIFS(TEAMS_GbG[FGA],TEAMS_GbG[[TM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66.666666666666671</v>
      </c>
      <c r="Q11" s="16">
        <f t="shared" si="40"/>
        <v>0.43666666666666665</v>
      </c>
      <c r="R11" s="18">
        <f>IF($D11=0,"DNP",SUMIFS(TEAMS_GbG[FTM],TEAMS_GbG[[TM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13.888888888888889</v>
      </c>
      <c r="S11" s="18">
        <f>IF($D11=0,"DNP",SUMIFS(TEAMS_GbG[FTA],TEAMS_GbG[[TM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17.666666666666668</v>
      </c>
      <c r="T11" s="16">
        <f t="shared" si="41"/>
        <v>0.78616352201257855</v>
      </c>
      <c r="U11" s="18">
        <f>IF($D11=0,"DNP",SUMIFS(TEAMS_GbG[OR],TEAMS_GbG[[TM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11.888888888888889</v>
      </c>
      <c r="V11" s="18">
        <f>IF($D11=0,"DNP",SUMIFS(TEAMS_GbG[DR],TEAMS_GbG[[TM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25.555555555555557</v>
      </c>
      <c r="W11" s="18">
        <f>IF($D11=0,"DNP",SUMIFS(TEAMS_GbG[TR],TEAMS_GbG[[TM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37.444444444444443</v>
      </c>
      <c r="X11" s="18">
        <f>IF($D11=0,"DNP",SUMIFS(TEAMS_GbG[AST],TEAMS_GbG[[TM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18.111111111111111</v>
      </c>
      <c r="Y11" s="18">
        <f>IF($D11=0,"DNP",SUMIFS(TEAMS_GbG[TO],TEAMS_GbG[[TM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12.222222222222221</v>
      </c>
      <c r="Z11" s="18">
        <f>IF($D11=0,"DNP",SUMIFS(TEAMS_GbG[ST],TEAMS_GbG[[TM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6.1111111111111107</v>
      </c>
      <c r="AA11" s="18">
        <f>IF($D11=0,"DNP",SUMIFS(TEAMS_GbG[BLK],TEAMS_GbG[[TM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2.2222222222222223</v>
      </c>
      <c r="AB11" s="18">
        <f>IF($D11=0,"DNP",SUMIFS(TEAMS_GbG[BLKA],TEAMS_GbG[[TM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3.3333333333333335</v>
      </c>
      <c r="AC11" s="18">
        <f>IF($D11=0,"DNP",SUMIFS(TEAMS_GbG[PF],TEAMS_GbG[[TM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18</v>
      </c>
      <c r="AD11" s="18">
        <f>IF($D11=0,"DNP",SUMIFS(TEAMS_GbG[DF],TEAMS_GbG[[TM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19.111111111111111</v>
      </c>
      <c r="AE11" s="18">
        <f>IF($D11=0,"DNP",SUMIFS(TEAMS_GbG[VAL],TEAMS_GbG[[TM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90.333333333333329</v>
      </c>
      <c r="AF11" s="18">
        <f>IF($D11=0,"DNP",SUMIFS(TEAMS_GbG[+ / -],TEAMS_GbG[[TM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-0.44444444444444442</v>
      </c>
      <c r="AG11" s="26">
        <f t="shared" si="0"/>
        <v>73.888888888888886</v>
      </c>
      <c r="AH11" s="18">
        <f>IF($D11=0,"DNP",SUMIFS(TEAMS_GbG[POSS],TEAMS_GbG[[TM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73.888888888888886</v>
      </c>
      <c r="AI11" s="18">
        <f>IF($D11=0,"DNP",SUMIFS(TEAMS_GbG[SHOOTING CHANCES],TEAMS_GbG[[TM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86</v>
      </c>
      <c r="AJ11" s="19">
        <f t="shared" si="1"/>
        <v>0.95607235142118874</v>
      </c>
      <c r="AK11" s="19">
        <f t="shared" si="2"/>
        <v>1.0040485829959516</v>
      </c>
      <c r="AL11" s="18">
        <f t="shared" si="3"/>
        <v>111.27819548872182</v>
      </c>
      <c r="AM11" s="18">
        <f t="shared" si="4"/>
        <v>112.72727272727275</v>
      </c>
      <c r="AN11" s="18">
        <f t="shared" si="42"/>
        <v>-1.4490772385509274</v>
      </c>
      <c r="AO11" s="27">
        <f t="shared" si="5"/>
        <v>0.51249999999999996</v>
      </c>
      <c r="AP11" s="28">
        <f t="shared" si="6"/>
        <v>0.55722891566265065</v>
      </c>
      <c r="AQ11" s="34">
        <f t="shared" si="7"/>
        <v>0.13953488372093023</v>
      </c>
      <c r="AR11" s="38">
        <f t="shared" si="8"/>
        <v>1.4814814814814816</v>
      </c>
      <c r="AS11" s="27">
        <f t="shared" si="9"/>
        <v>0.2118863049095607</v>
      </c>
      <c r="AT11" s="38">
        <f t="shared" si="10"/>
        <v>0.85365853658536583</v>
      </c>
      <c r="AU11" s="27">
        <f t="shared" si="11"/>
        <v>8.0103359173126623E-2</v>
      </c>
      <c r="AV11" s="38">
        <f t="shared" si="12"/>
        <v>0.67741935483870963</v>
      </c>
      <c r="AW11" s="27">
        <f t="shared" si="13"/>
        <v>3.3591731266149873E-2</v>
      </c>
      <c r="AX11" s="38">
        <f t="shared" si="14"/>
        <v>1.3846153846153846</v>
      </c>
      <c r="AY11" s="27">
        <f t="shared" si="15"/>
        <v>0.30490956072351422</v>
      </c>
      <c r="AZ11" s="38">
        <f t="shared" si="16"/>
        <v>1.0042372881355934</v>
      </c>
      <c r="BA11" s="28">
        <f t="shared" si="17"/>
        <v>8.2687338501291979E-2</v>
      </c>
      <c r="BB11" s="34">
        <f t="shared" si="18"/>
        <v>0.14248704663212436</v>
      </c>
      <c r="BC11" s="27">
        <f t="shared" si="19"/>
        <v>0.50464396284829727</v>
      </c>
      <c r="BD11" s="27">
        <f t="shared" si="20"/>
        <v>0.45029239766081869</v>
      </c>
      <c r="BE11" s="27">
        <f t="shared" si="21"/>
        <v>0.72527472527472525</v>
      </c>
      <c r="BF11" s="27">
        <f t="shared" si="22"/>
        <v>0.32786885245901642</v>
      </c>
      <c r="BG11" s="27">
        <f t="shared" si="23"/>
        <v>0.211139896373057</v>
      </c>
      <c r="BH11" s="35">
        <f t="shared" si="24"/>
        <v>1.4818181818181819</v>
      </c>
      <c r="BI11" s="49">
        <f t="shared" si="25"/>
        <v>0.3137829912023461</v>
      </c>
      <c r="BJ11" s="45">
        <f t="shared" si="26"/>
        <v>0.31666666666666671</v>
      </c>
      <c r="BK11" s="45">
        <f t="shared" si="27"/>
        <v>0.36756756756756759</v>
      </c>
      <c r="BL11" s="45">
        <f t="shared" si="28"/>
        <v>0.16666666666666663</v>
      </c>
      <c r="BM11" s="45">
        <f t="shared" si="29"/>
        <v>0.73954983922829587</v>
      </c>
      <c r="BN11" s="45">
        <f t="shared" si="30"/>
        <v>0.77160493827160492</v>
      </c>
      <c r="BO11" s="45">
        <f t="shared" si="31"/>
        <v>0.68125000000000013</v>
      </c>
      <c r="BP11" s="45">
        <f t="shared" si="32"/>
        <v>0.89999999999999991</v>
      </c>
      <c r="BQ11" s="46">
        <f t="shared" si="33"/>
        <v>0.51687116564417179</v>
      </c>
      <c r="BR11" s="49">
        <f t="shared" si="34"/>
        <v>8.3333333333333329E-2</v>
      </c>
      <c r="BS11" s="45">
        <f t="shared" si="35"/>
        <v>3.4782608695652174E-2</v>
      </c>
      <c r="BT11" s="39">
        <f>IF($D11=0,"DNP",SUMIFS(TEAMS_GbG[KILLS],TEAMS_GbG[[TM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4.8888888888888893</v>
      </c>
      <c r="BU11" s="34">
        <f t="shared" si="36"/>
        <v>0.48765432098765438</v>
      </c>
      <c r="BV11" s="28">
        <f t="shared" si="37"/>
        <v>0.4825581395348838</v>
      </c>
      <c r="BW11" s="18">
        <f>IF($D11=0,"DNP",SUMIFS(TEAMS_GbG[ASTED_2FG],TEAMS_GbG[[TM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8.5555555555555554</v>
      </c>
      <c r="BX11" s="18">
        <f>IF($D11=0,"DNP",SUMIFS(TEAMS_GbG[ASTED_3FG],TEAMS_GbG[[TM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7.333333333333333</v>
      </c>
      <c r="BY11" s="18">
        <f>IF($D11=0,"DNP",SUMIFS(TEAMS_GbG[ASTED_FT],TEAMS_GbG[[TM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2.2222222222222223</v>
      </c>
      <c r="BZ11" s="18">
        <f>IF($D11=0,"DNP",SUMIFS(TEAMS_GbG[ASTED_FT PTS],TEAMS_GbG[[TM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4.333333333333333</v>
      </c>
      <c r="CA11" s="18">
        <f>IF($D11=0,"DNP",SUMIFS(TEAMS_GbG[OR_RIM],TEAMS_GbG[[TM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1.1111111111111112</v>
      </c>
      <c r="CB11" s="18">
        <f>IF($D11=0,"DNP",SUMIFS(TEAMS_GbG[TM OR_RIM],TEAMS_GbG[[TM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CC11" s="18">
        <f>IF($D11=0,"DNP",SUMIFS(TEAMS_GbG[OR_PAINT],TEAMS_GbG[[TM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2.7777777777777777</v>
      </c>
      <c r="CD11" s="18">
        <f>IF($D11=0,"DNP",SUMIFS(TEAMS_GbG[TM OR_PAINT],TEAMS_GbG[[TM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0.77777777777777779</v>
      </c>
      <c r="CE11" s="18">
        <f>IF($D11=0,"DNP",SUMIFS(TEAMS_GbG[OR_NP2],TEAMS_GbG[[TM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1.2222222222222223</v>
      </c>
      <c r="CF11" s="18">
        <f>IF($D11=0,"DNP",SUMIFS(TEAMS_GbG[TM OR_NP2],TEAMS_GbG[[TM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CG11" s="18">
        <f>IF($D11=0,"DNP",SUMIFS(TEAMS_GbG[OR_3C],TEAMS_GbG[[TM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0.66666666666666663</v>
      </c>
      <c r="CH11" s="18">
        <f>IF($D11=0,"DNP",SUMIFS(TEAMS_GbG[TM OR_3C],TEAMS_GbG[[TM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CI11" s="18">
        <f>IF($D11=0,"DNP",SUMIFS(TEAMS_GbG[OR_3L],TEAMS_GbG[[TM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5.8888888888888893</v>
      </c>
      <c r="CJ11" s="18">
        <f>IF($D11=0,"DNP",SUMIFS(TEAMS_GbG[TM OR_3L],TEAMS_GbG[[TM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0.88888888888888884</v>
      </c>
      <c r="CK11" s="18">
        <f>IF($D11=0,"DNP",SUMIFS(TEAMS_GbG[OR_FT],TEAMS_GbG[[TM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CL11" s="18">
        <f>IF($D11=0,"DNP",SUMIFS(TEAMS_GbG[TM OR_FT],TEAMS_GbG[[TM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M11" s="18">
        <f>IF($D11=0,"DNP",SUMIFS(TEAMS_GbG[DR_RIM],TEAMS_GbG[[TM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1.4444444444444444</v>
      </c>
      <c r="CN11" s="18">
        <f>IF($D11=0,"DNP",SUMIFS(TEAMS_GbG[TM DR_RIM],TEAMS_GbG[[TM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CO11" s="18">
        <f>IF($D11=0,"DNP",SUMIFS(TEAMS_GbG[DR_PAINT],TEAMS_GbG[[TM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8.5555555555555554</v>
      </c>
      <c r="CP11" s="18">
        <f>IF($D11=0,"DNP",SUMIFS(TEAMS_GbG[TM DR_PAINT],TEAMS_GbG[[TM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0.77777777777777779</v>
      </c>
      <c r="CQ11" s="18">
        <f>IF($D11=0,"DNP",SUMIFS(TEAMS_GbG[DR_NP2],TEAMS_GbG[[TM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</v>
      </c>
      <c r="CR11" s="18">
        <f>IF($D11=0,"DNP",SUMIFS(TEAMS_GbG[TM DR_NP2],TEAMS_GbG[[TM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S11" s="18">
        <f>IF($D11=0,"DNP",SUMIFS(TEAMS_GbG[DR_3C],TEAMS_GbG[[TM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0.55555555555555558</v>
      </c>
      <c r="CT11" s="18">
        <f>IF($D11=0,"DNP",SUMIFS(TEAMS_GbG[TM DR_3C],TEAMS_GbG[[TM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U11" s="18">
        <f>IF($D11=0,"DNP",SUMIFS(TEAMS_GbG[DR_3L],TEAMS_GbG[[TM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10.888888888888889</v>
      </c>
      <c r="CV11" s="18">
        <f>IF($D11=0,"DNP",SUMIFS(TEAMS_GbG[TM DR_3L],TEAMS_GbG[[TM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0.66666666666666663</v>
      </c>
      <c r="CW11" s="18">
        <f>IF($D11=0,"DNP",SUMIFS(TEAMS_GbG[DR_FT],TEAMS_GbG[[TM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</v>
      </c>
      <c r="CX11" s="18">
        <f>IF($D11=0,"DNP",SUMIFS(TEAMS_GbG[TM DR_FT],TEAMS_GbG[[TM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Y11" s="18">
        <f>IF($D11=0,"DNP",SUMIFS(TEAMS_GbG[FTM_T],TEAMS_GbG[[TM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0.55555555555555558</v>
      </c>
      <c r="CZ11" s="18">
        <f>IF($D11=0,"DNP",SUMIFS(TEAMS_GbG[FTA_T],TEAMS_GbG[[TM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0.55555555555555558</v>
      </c>
      <c r="DA11" s="18">
        <f>IF($D11=0,"DNP",SUMIFS(TEAMS_GbG[FTM_1],TEAMS_GbG[[TM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1.8888888888888888</v>
      </c>
      <c r="DB11" s="18">
        <f>IF($D11=0,"DNP",SUMIFS(TEAMS_GbG[FTA_1],TEAMS_GbG[[TM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2.1111111111111112</v>
      </c>
      <c r="DC11" s="18">
        <f>IF($D11=0,"DNP",SUMIFS(TEAMS_GbG[FTM_2],TEAMS_GbG[[TM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9.7777777777777786</v>
      </c>
      <c r="DD11" s="18">
        <f>IF($D11=0,"DNP",SUMIFS(TEAMS_GbG[FTA_2],TEAMS_GbG[[TM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12.666666666666666</v>
      </c>
      <c r="DE11" s="18">
        <f>IF($D11=0,"DNP",SUMIFS(TEAMS_GbG[FT 0/2],TEAMS_GbG[[TM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0.33333333333333331</v>
      </c>
      <c r="DF11" s="18">
        <f>IF($D11=0,"DNP",SUMIFS(TEAMS_GbG[FTM_3],TEAMS_GbG[[TM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1.6666666666666667</v>
      </c>
      <c r="DG11" s="18">
        <f>IF($D11=0,"DNP",SUMIFS(TEAMS_GbG[FTA_3],TEAMS_GbG[[TM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2.3333333333333335</v>
      </c>
      <c r="DH11" s="18">
        <f>IF($D11=0,"DNP",SUMIFS(TEAMS_GbG[FT 0/3],TEAMS_GbG[[TM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DI11" s="18">
        <f>IF($D11=0,"DNP",SUMIFS(TEAMS_GbG[RIM_M],TEAMS_GbG[[TM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8.8888888888888893</v>
      </c>
      <c r="DJ11" s="18">
        <f>IF($D11=0,"DNP",SUMIFS(TEAMS_GbG[RIM_A],TEAMS_GbG[[TM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</v>
      </c>
      <c r="DK11" s="18">
        <f>IF($D11=0,"DNP",SUMIFS(TEAMS_GbG[PAINT_M],TEAMS_GbG[[TM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7.7777777777777777</v>
      </c>
      <c r="DL11" s="18">
        <f>IF($D11=0,"DNP",SUMIFS(TEAMS_GbG[PAINT_A],TEAMS_GbG[[TM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18.222222222222221</v>
      </c>
      <c r="DM11" s="18">
        <f>IF($D11=0,"DNP",SUMIFS(TEAMS_GbG[MID_M],TEAMS_GbG[[TM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2.3333333333333335</v>
      </c>
      <c r="DN11" s="18">
        <f>IF($D11=0,"DNP",SUMIFS(TEAMS_GbG[MID_A],TEAMS_GbG[[TM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6.8888888888888893</v>
      </c>
      <c r="DO11" s="18">
        <f>IF($D11=0,"DNP",SUMIFS(TEAMS_GbG[3C_M],TEAMS_GbG[[TM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1.3333333333333333</v>
      </c>
      <c r="DP11" s="18">
        <f>IF($D11=0,"DNP",SUMIFS(TEAMS_GbG[3C_A],TEAMS_GbG[[TM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2.8888888888888888</v>
      </c>
      <c r="DQ11" s="18">
        <f>IF($D11=0,"DNP",SUMIFS(TEAMS_GbG[3L_M],TEAMS_GbG[[TM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8.7777777777777786</v>
      </c>
      <c r="DR11" s="18">
        <f>IF($D11=0,"DNP",SUMIFS(TEAMS_GbG[3L_A],TEAMS_GbG[[TM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26.222222222222221</v>
      </c>
      <c r="DS11" s="18">
        <f>IF($D11=0,"DNP",SUMIFS(TEAMS_GbG[3H_M],TEAMS_GbG[[TM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DT11" s="18">
        <f>IF($D11=0,"DNP",SUMIFS(TEAMS_GbG[3H_A],TEAMS_GbG[[TM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DU11" s="18">
        <f>IF($D11=0,"DNP",SUMIFS(TEAMS_GbG[OPP PTS],TEAMS_GbG[[TM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82.666666666666671</v>
      </c>
      <c r="DV11" s="18">
        <f>IF($D11=0,"DNP",SUMIFS(TEAMS_GbG[OPP 2PTM],TEAMS_GbG[[TM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19</v>
      </c>
      <c r="DW11" s="18">
        <f>IF($D11=0,"DNP",SUMIFS(TEAMS_GbG[OPP 2PTA],TEAMS_GbG[[TM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36</v>
      </c>
      <c r="DX11" s="16">
        <f t="shared" si="43"/>
        <v>0.52777777777777779</v>
      </c>
      <c r="DY11" s="18">
        <f>IF($D11=0,"DNP",SUMIFS(TEAMS_GbG[OPP 3PTM],TEAMS_GbG[[TM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10.555555555555555</v>
      </c>
      <c r="DZ11" s="18">
        <f>IF($D11=0,"DNP",SUMIFS(TEAMS_GbG[OPP 3PTA],TEAMS_GbG[[TM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27.888888888888889</v>
      </c>
      <c r="EA11" s="16">
        <f t="shared" si="44"/>
        <v>0.37848605577689243</v>
      </c>
      <c r="EB11" s="18">
        <f>IF($D11=0,"DNP",SUMIFS(TEAMS_GbG[OPP FGM],TEAMS_GbG[[TM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29.555555555555557</v>
      </c>
      <c r="EC11" s="18">
        <f>IF($D11=0,"DNP",SUMIFS(TEAMS_GbG[OPP FGA],TEAMS_GbG[[TM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63.888888888888886</v>
      </c>
      <c r="ED11" s="16">
        <f t="shared" si="45"/>
        <v>0.46260869565217394</v>
      </c>
      <c r="EE11" s="18">
        <f>IF($D11=0,"DNP",SUMIFS(TEAMS_GbG[OPP FTM],TEAMS_GbG[[TM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13</v>
      </c>
      <c r="EF11" s="18">
        <f>IF($D11=0,"DNP",SUMIFS(TEAMS_GbG[OPP FTA],TEAMS_GbG[[TM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15.888888888888889</v>
      </c>
      <c r="EG11" s="16">
        <f t="shared" si="46"/>
        <v>0.81818181818181812</v>
      </c>
      <c r="EH11" s="18">
        <f>IF($D11=0,"DNP",SUMIFS(TEAMS_GbG[OPP OR],TEAMS_GbG[[TM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</v>
      </c>
      <c r="EI11" s="18">
        <f>IF($D11=0,"DNP",SUMIFS(TEAMS_GbG[OPP DR],TEAMS_GbG[[TM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26</v>
      </c>
      <c r="EJ11" s="18">
        <f>IF($D11=0,"DNP",SUMIFS(TEAMS_GbG[OPP TR],TEAMS_GbG[[TM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35</v>
      </c>
      <c r="EK11" s="18">
        <f>IF($D11=0,"DNP",SUMIFS(TEAMS_GbG[OPP AST],TEAMS_GbG[[TM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18</v>
      </c>
      <c r="EL11" s="18">
        <f>IF($D11=0,"DNP",SUMIFS(TEAMS_GbG[OPP PF],TEAMS_GbG[[TM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19.666666666666668</v>
      </c>
      <c r="EM11" s="18">
        <f>IF($D11=0,"DNP",SUMIFS(TEAMS_GbG[OPP DF],TEAMS_GbG[[TM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17.888888888888889</v>
      </c>
      <c r="EN11" s="18">
        <f>IF($D11=0,"DNP",SUMIFS(TEAMS_GbG[OPP ST],TEAMS_GbG[[TM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5.666666666666667</v>
      </c>
      <c r="EO11" s="18">
        <f>IF($D11=0,"DNP",SUMIFS(TEAMS_GbG[OPP TO],TEAMS_GbG[[TM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</v>
      </c>
      <c r="EP11" s="18">
        <f>IF($D11=0,"DNP",SUMIFS(TEAMS_GbG[OPP BLK],TEAMS_GbG[[TM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3.3333333333333335</v>
      </c>
      <c r="EQ11" s="18">
        <f>IF($D11=0,"DNP",SUMIFS(TEAMS_GbG[OPP BLKA],TEAMS_GbG[[TM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2.2222222222222223</v>
      </c>
      <c r="ER11" s="18">
        <f>IF($D11=0,"DNP",SUMIFS(TEAMS_GbG[OPP VAL],TEAMS_GbG[[TM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91.444444444444443</v>
      </c>
      <c r="ES11" s="18">
        <f>IF($D11=0,"DNP",SUMIFS(TEAMS_GbG[OPP + / -],TEAMS_GbG[[TM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ET11" s="18">
        <f>IF($D11=0,"DNP",SUMIFS(TEAMS_GbG[OPP POSS],TEAMS_GbG[[TM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73.333333333333329</v>
      </c>
      <c r="EU11" s="18">
        <f>IF($D11=0,"DNP",SUMIFS(TEAMS_GbG[OPP SHOOTING CHANCES],TEAMS_GbG[[TM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82.333333333333329</v>
      </c>
      <c r="EV11" s="18">
        <f>IF($D11=0,"DNP",SUMIFS(TEAMS_GbG[OPP KILLS],TEAMS_GbG[[TM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5.5555555555555554</v>
      </c>
      <c r="EW11" s="18">
        <f>IF($D11=0,"DNP",SUMIFS(TEAMS_GbG[OPP ASTED_2FG],TEAMS_GbG[[TM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7.7777777777777777</v>
      </c>
      <c r="EX11" s="18">
        <f>IF($D11=0,"DNP",SUMIFS(TEAMS_GbG[OPP ASTED_3FG],TEAMS_GbG[[TM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8.4444444444444446</v>
      </c>
      <c r="EY11" s="18">
        <f>IF($D11=0,"DNP",SUMIFS(TEAMS_GbG[OPP ASTED_FT],TEAMS_GbG[[TM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1.7777777777777777</v>
      </c>
      <c r="EZ11" s="18">
        <f>IF($D11=0,"DNP",SUMIFS(TEAMS_GbG[OPP ASTED_FT PTS],TEAMS_GbG[[TM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3.6666666666666665</v>
      </c>
      <c r="FA11" s="18">
        <f>IF($D11=0,"DNP",SUMIFS(TEAMS_GbG[OPP OR_RIM],TEAMS_GbG[[TM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0.77777777777777779</v>
      </c>
      <c r="FB11" s="18">
        <f>IF($D11=0,"DNP",SUMIFS(TEAMS_GbG[OPP TM OR_RIM],TEAMS_GbG[[TM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C11" s="18">
        <f>IF($D11=0,"DNP",SUMIFS(TEAMS_GbG[OPP OR_PAINT],TEAMS_GbG[[TM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</v>
      </c>
      <c r="FD11" s="18">
        <f>IF($D11=0,"DNP",SUMIFS(TEAMS_GbG[OPP TM OR_PAINT],TEAMS_GbG[[TM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0.33333333333333331</v>
      </c>
      <c r="FE11" s="18">
        <f>IF($D11=0,"DNP",SUMIFS(TEAMS_GbG[OPP OR_NP2],TEAMS_GbG[[TM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</v>
      </c>
      <c r="FF11" s="18">
        <f>IF($D11=0,"DNP",SUMIFS(TEAMS_GbG[OPP TM OR_NP2],TEAMS_GbG[[TM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G11" s="18">
        <f>IF($D11=0,"DNP",SUMIFS(TEAMS_GbG[OPP OR_3C],TEAMS_GbG[[TM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FH11" s="18">
        <f>IF($D11=0,"DNP",SUMIFS(TEAMS_GbG[OPP TM OR_3C],TEAMS_GbG[[TM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FI11" s="18">
        <f>IF($D11=0,"DNP",SUMIFS(TEAMS_GbG[OPP OR_3L],TEAMS_GbG[[TM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4.666666666666667</v>
      </c>
      <c r="FJ11" s="18">
        <f>IF($D11=0,"DNP",SUMIFS(TEAMS_GbG[OPP TM OR_3L],TEAMS_GbG[[TM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FK11" s="18">
        <f>IF($D11=0,"DNP",SUMIFS(TEAMS_GbG[OPP OR_FT],TEAMS_GbG[[TM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FL11" s="18">
        <f>IF($D11=0,"DNP",SUMIFS(TEAMS_GbG[OPP TM OR_FT],TEAMS_GbG[[TM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M11" s="18">
        <f>IF($D11=0,"DNP",SUMIFS(TEAMS_GbG[OPP DR_RIM],TEAMS_GbG[[TM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</v>
      </c>
      <c r="FN11" s="18">
        <f>IF($D11=0,"DNP",SUMIFS(TEAMS_GbG[OPP TM DR_RIM],TEAMS_GbG[[TM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FO11" s="18">
        <f>IF($D11=0,"DNP",SUMIFS(TEAMS_GbG[OPP DR_PAINT],TEAMS_GbG[[TM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7.5555555555555554</v>
      </c>
      <c r="FP11" s="18">
        <f>IF($D11=0,"DNP",SUMIFS(TEAMS_GbG[OPP TM DR_PAINT],TEAMS_GbG[[TM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0.66666666666666663</v>
      </c>
      <c r="FQ11" s="18">
        <f>IF($D11=0,"DNP",SUMIFS(TEAMS_GbG[OPP DR_NP2],TEAMS_GbG[[TM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3.1111111111111112</v>
      </c>
      <c r="FR11" s="18">
        <f>IF($D11=0,"DNP",SUMIFS(TEAMS_GbG[OPP TM DR_NP2],TEAMS_GbG[[TM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FS11" s="18">
        <f>IF($D11=0,"DNP",SUMIFS(TEAMS_GbG[OPP DR_3C],TEAMS_GbG[[TM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0.88888888888888884</v>
      </c>
      <c r="FT11" s="18">
        <f>IF($D11=0,"DNP",SUMIFS(TEAMS_GbG[OPP TM DR_3C],TEAMS_GbG[[TM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U11" s="18">
        <f>IF($D11=0,"DNP",SUMIFS(TEAMS_GbG[OPP DR_3L],TEAMS_GbG[[TM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11.222222222222221</v>
      </c>
      <c r="FV11" s="18">
        <f>IF($D11=0,"DNP",SUMIFS(TEAMS_GbG[OPP TM DR_3L],TEAMS_GbG[[TM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0.88888888888888884</v>
      </c>
      <c r="FW11" s="18">
        <f>IF($D11=0,"DNP",SUMIFS(TEAMS_GbG[OPP DR_FT],TEAMS_GbG[[TM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1.1111111111111112</v>
      </c>
      <c r="FX11" s="18">
        <f>IF($D11=0,"DNP",SUMIFS(TEAMS_GbG[OPP TM DR_FT],TEAMS_GbG[[TM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Y11" s="18">
        <f>IF($D11=0,"DNP",SUMIFS(TEAMS_GbG[OPP FTM_T],TEAMS_GbG[[TM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FZ11" s="18">
        <f>IF($D11=0,"DNP",SUMIFS(TEAMS_GbG[OPP FTA_T],TEAMS_GbG[[TM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GA11" s="18">
        <f>IF($D11=0,"DNP",SUMIFS(TEAMS_GbG[OPP FTM_1],TEAMS_GbG[[TM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1.7777777777777777</v>
      </c>
      <c r="GB11" s="18">
        <f>IF($D11=0,"DNP",SUMIFS(TEAMS_GbG[OPP FTA_1],TEAMS_GbG[[TM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2.3333333333333335</v>
      </c>
      <c r="GC11" s="18">
        <f>IF($D11=0,"DNP",SUMIFS(TEAMS_GbG[OPP FTM_2],TEAMS_GbG[[TM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9.8888888888888893</v>
      </c>
      <c r="GD11" s="18">
        <f>IF($D11=0,"DNP",SUMIFS(TEAMS_GbG[OPP FTA_2],TEAMS_GbG[[TM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</v>
      </c>
      <c r="GE11" s="18">
        <f>IF($D11=0,"DNP",SUMIFS(TEAMS_GbG[OPP FT 0/2],TEAMS_GbG[[TM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GF11" s="18">
        <f>IF($D11=0,"DNP",SUMIFS(TEAMS_GbG[OPP FTM_3],TEAMS_GbG[[TM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1.1111111111111112</v>
      </c>
      <c r="GG11" s="18">
        <f>IF($D11=0,"DNP",SUMIFS(TEAMS_GbG[OPP FTA_3],TEAMS_GbG[[TM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1.3333333333333333</v>
      </c>
      <c r="GH11" s="18">
        <f>IF($D11=0,"DNP",SUMIFS(TEAMS_GbG[OPP FT 0/3],TEAMS_GbG[[TM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GI11" s="18">
        <f>IF($D11=0,"DNP",SUMIFS(TEAMS_GbG[OPP RIM_M],TEAMS_GbG[[TM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7.666666666666667</v>
      </c>
      <c r="GJ11" s="18">
        <f>IF($D11=0,"DNP",SUMIFS(TEAMS_GbG[OPP RIM_A],TEAMS_GbG[[TM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9.8888888888888893</v>
      </c>
      <c r="GK11" s="18">
        <f>IF($D11=0,"DNP",SUMIFS(TEAMS_GbG[OPP PAINT_M],TEAMS_GbG[[TM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9.5555555555555554</v>
      </c>
      <c r="GL11" s="18">
        <f>IF($D11=0,"DNP",SUMIFS(TEAMS_GbG[OPP PAINT_A],TEAMS_GbG[[TM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20.333333333333332</v>
      </c>
      <c r="GM11" s="18">
        <f>IF($D11=0,"DNP",SUMIFS(TEAMS_GbG[OPP MID_M],TEAMS_GbG[[TM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1.7777777777777777</v>
      </c>
      <c r="GN11" s="18">
        <f>IF($D11=0,"DNP",SUMIFS(TEAMS_GbG[OPP MID_A],TEAMS_GbG[[TM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5.7777777777777777</v>
      </c>
      <c r="GO11" s="18">
        <f>IF($D11=0,"DNP",SUMIFS(TEAMS_GbG[OPP 3C_M],TEAMS_GbG[[TM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1.6666666666666667</v>
      </c>
      <c r="GP11" s="18">
        <f>IF($D11=0,"DNP",SUMIFS(TEAMS_GbG[OPP 3C_A],TEAMS_GbG[[TM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2.6666666666666665</v>
      </c>
      <c r="GQ11" s="18">
        <f>IF($D11=0,"DNP",SUMIFS(TEAMS_GbG[OPP 3L_M],TEAMS_GbG[[TM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8.8888888888888893</v>
      </c>
      <c r="GR11" s="18">
        <f>IF($D11=0,"DNP",SUMIFS(TEAMS_GbG[OPP 3L_A],TEAMS_GbG[[TM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24.888888888888889</v>
      </c>
      <c r="GS11" s="18">
        <f>IF($D11=0,"DNP",SUMIFS(TEAMS_GbG[OPP 3H_M],TEAMS_GbG[[TM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GT11" s="18">
        <f>IF($D11=0,"DNP",SUMIFS(TEAMS_GbG[OPP 3H_A],TEAMS_GbG[[TM NAME]:[TM NAME]],$C11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0.33333333333333331</v>
      </c>
      <c r="GU11" s="16">
        <f ca="1">IF(TEAMS_STATS[[#This Row],[TM NAME]]="","",INDEX(SoS!$C$113:$C$144,MATCH(TEAMS_STATS[[#This Row],[TM NAME]],SoS!$B$113:$B$144,0)))</f>
        <v>0.49912735155790711</v>
      </c>
    </row>
    <row r="12" spans="2:203" ht="15" customHeight="1" x14ac:dyDescent="0.25">
      <c r="B12" s="12">
        <f>_xlfn.AGGREGATE(3,5,$C$7:C11)</f>
        <v>5</v>
      </c>
      <c r="C12" s="14" t="str">
        <f>BASIS_INFO!F7</f>
        <v>Crvena Zvezda Meridianbet Belgrade</v>
      </c>
      <c r="D12" s="20">
        <f>COUNTIFS(TEAMS_GbG[[TM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2" s="20">
        <f>COUNTIFS(TEAMS_GbG[[TM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3</v>
      </c>
      <c r="F12" s="20">
        <f>COUNTIFS(TEAMS_GbG[[TM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6</v>
      </c>
      <c r="G12" s="18">
        <f>IF($D12=0,"DNP",SUMIFS(TEAMS_GbG[MIN],TEAMS_GbG[[TM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200</v>
      </c>
      <c r="H12" s="18">
        <f>IF($D12=0,"DNP",SUMIFS(TEAMS_GbG[PTS],TEAMS_GbG[[TM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81.555555555555557</v>
      </c>
      <c r="I12" s="18">
        <f>IF($D12=0,"DNP",SUMIFS(TEAMS_GbG[2PTM],TEAMS_GbG[[TM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18.222222222222221</v>
      </c>
      <c r="J12" s="18">
        <f>IF($D12=0,"DNP",SUMIFS(TEAMS_GbG[2PTA],TEAMS_GbG[[TM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35.555555555555557</v>
      </c>
      <c r="K12" s="16">
        <f t="shared" si="38"/>
        <v>0.51249999999999996</v>
      </c>
      <c r="L12" s="18">
        <f>IF($D12=0,"DNP",SUMIFS(TEAMS_GbG[3PTM],TEAMS_GbG[[TM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10.888888888888889</v>
      </c>
      <c r="M12" s="18">
        <f>IF($D12=0,"DNP",SUMIFS(TEAMS_GbG[3PTA],TEAMS_GbG[[TM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31</v>
      </c>
      <c r="N12" s="16">
        <f t="shared" si="39"/>
        <v>0.35125448028673839</v>
      </c>
      <c r="O12" s="18">
        <f>IF($D12=0,"DNP",SUMIFS(TEAMS_GbG[FGM],TEAMS_GbG[[TM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29.111111111111111</v>
      </c>
      <c r="P12" s="18">
        <f>IF($D12=0,"DNP",SUMIFS(TEAMS_GbG[FGA],TEAMS_GbG[[TM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66.555555555555557</v>
      </c>
      <c r="Q12" s="16">
        <f t="shared" si="40"/>
        <v>0.43739565943238728</v>
      </c>
      <c r="R12" s="18">
        <f>IF($D12=0,"DNP",SUMIFS(TEAMS_GbG[FTM],TEAMS_GbG[[TM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12.444444444444445</v>
      </c>
      <c r="S12" s="18">
        <f>IF($D12=0,"DNP",SUMIFS(TEAMS_GbG[FTA],TEAMS_GbG[[TM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16.111111111111111</v>
      </c>
      <c r="T12" s="16">
        <f t="shared" si="41"/>
        <v>0.77241379310344827</v>
      </c>
      <c r="U12" s="18">
        <f>IF($D12=0,"DNP",SUMIFS(TEAMS_GbG[OR],TEAMS_GbG[[TM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14.111111111111111</v>
      </c>
      <c r="V12" s="18">
        <f>IF($D12=0,"DNP",SUMIFS(TEAMS_GbG[DR],TEAMS_GbG[[TM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22.222222222222221</v>
      </c>
      <c r="W12" s="18">
        <f>IF($D12=0,"DNP",SUMIFS(TEAMS_GbG[TR],TEAMS_GbG[[TM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36.333333333333336</v>
      </c>
      <c r="X12" s="18">
        <f>IF($D12=0,"DNP",SUMIFS(TEAMS_GbG[AST],TEAMS_GbG[[TM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18</v>
      </c>
      <c r="Y12" s="18">
        <f>IF($D12=0,"DNP",SUMIFS(TEAMS_GbG[TO],TEAMS_GbG[[TM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11</v>
      </c>
      <c r="Z12" s="18">
        <f>IF($D12=0,"DNP",SUMIFS(TEAMS_GbG[ST],TEAMS_GbG[[TM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8.1111111111111107</v>
      </c>
      <c r="AA12" s="18">
        <f>IF($D12=0,"DNP",SUMIFS(TEAMS_GbG[BLK],TEAMS_GbG[[TM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AB12" s="18">
        <f>IF($D12=0,"DNP",SUMIFS(TEAMS_GbG[BLKA],TEAMS_GbG[[TM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3.6666666666666665</v>
      </c>
      <c r="AC12" s="18">
        <f>IF($D12=0,"DNP",SUMIFS(TEAMS_GbG[PF],TEAMS_GbG[[TM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19.888888888888889</v>
      </c>
      <c r="AD12" s="18">
        <f>IF($D12=0,"DNP",SUMIFS(TEAMS_GbG[DF],TEAMS_GbG[[TM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19.111111111111111</v>
      </c>
      <c r="AE12" s="18">
        <f>IF($D12=0,"DNP",SUMIFS(TEAMS_GbG[VAL],TEAMS_GbG[[TM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88.888888888888886</v>
      </c>
      <c r="AF12" s="18">
        <f>IF($D12=0,"DNP",SUMIFS(TEAMS_GbG[+ / -],TEAMS_GbG[[TM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3.2222222222222223</v>
      </c>
      <c r="AG12" s="26">
        <f t="shared" si="0"/>
        <v>70.222222222222229</v>
      </c>
      <c r="AH12" s="18">
        <f>IF($D12=0,"DNP",SUMIFS(TEAMS_GbG[POSS],TEAMS_GbG[[TM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70.222222222222229</v>
      </c>
      <c r="AI12" s="18">
        <f>IF($D12=0,"DNP",SUMIFS(TEAMS_GbG[SHOOTING CHANCES],TEAMS_GbG[[TM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84.666666666666671</v>
      </c>
      <c r="AJ12" s="19">
        <f t="shared" si="1"/>
        <v>0.96325459317585294</v>
      </c>
      <c r="AK12" s="19">
        <f t="shared" si="2"/>
        <v>0.99670122525918936</v>
      </c>
      <c r="AL12" s="18">
        <f t="shared" si="3"/>
        <v>116.13924050632912</v>
      </c>
      <c r="AM12" s="18">
        <f t="shared" si="4"/>
        <v>112.61980830670926</v>
      </c>
      <c r="AN12" s="18">
        <f t="shared" si="42"/>
        <v>3.5194321996198568</v>
      </c>
      <c r="AO12" s="27">
        <f t="shared" si="5"/>
        <v>0.51919866444073459</v>
      </c>
      <c r="AP12" s="28">
        <f t="shared" si="6"/>
        <v>0.55354449472096523</v>
      </c>
      <c r="AQ12" s="34">
        <f t="shared" si="7"/>
        <v>0.14698162729658792</v>
      </c>
      <c r="AR12" s="38">
        <f t="shared" si="8"/>
        <v>1.375</v>
      </c>
      <c r="AS12" s="27">
        <f t="shared" si="9"/>
        <v>0.22178477690288714</v>
      </c>
      <c r="AT12" s="38">
        <f t="shared" si="10"/>
        <v>0.91124260355029585</v>
      </c>
      <c r="AU12" s="27">
        <f t="shared" si="11"/>
        <v>5.1181102362204717E-2</v>
      </c>
      <c r="AV12" s="38">
        <f t="shared" si="12"/>
        <v>0.51282051282051289</v>
      </c>
      <c r="AW12" s="27">
        <f t="shared" si="13"/>
        <v>3.4120734908136482E-2</v>
      </c>
      <c r="AX12" s="38">
        <f t="shared" si="14"/>
        <v>1.5</v>
      </c>
      <c r="AY12" s="27">
        <f t="shared" si="15"/>
        <v>0.33202099737532809</v>
      </c>
      <c r="AZ12" s="38">
        <f t="shared" si="16"/>
        <v>1.0079051383399211</v>
      </c>
      <c r="BA12" s="28">
        <f t="shared" si="17"/>
        <v>8.3989501312335957E-2</v>
      </c>
      <c r="BB12" s="34">
        <f t="shared" si="18"/>
        <v>0.13043478260869565</v>
      </c>
      <c r="BC12" s="27">
        <f t="shared" si="19"/>
        <v>0.50000000000000011</v>
      </c>
      <c r="BD12" s="27">
        <f t="shared" si="20"/>
        <v>0.51219512195121952</v>
      </c>
      <c r="BE12" s="27">
        <f t="shared" si="21"/>
        <v>0.64285714285714279</v>
      </c>
      <c r="BF12" s="27">
        <f t="shared" si="22"/>
        <v>0.23333333333333334</v>
      </c>
      <c r="BG12" s="27">
        <f t="shared" si="23"/>
        <v>0.2134387351778656</v>
      </c>
      <c r="BH12" s="35">
        <f t="shared" si="24"/>
        <v>1.6363636363636365</v>
      </c>
      <c r="BI12" s="49">
        <f t="shared" si="25"/>
        <v>0.3691860465116279</v>
      </c>
      <c r="BJ12" s="45">
        <f t="shared" si="26"/>
        <v>0.42441860465116277</v>
      </c>
      <c r="BK12" s="45">
        <f t="shared" si="27"/>
        <v>0.36734693877551017</v>
      </c>
      <c r="BL12" s="45">
        <f t="shared" si="28"/>
        <v>0.33333333333333337</v>
      </c>
      <c r="BM12" s="45">
        <f t="shared" si="29"/>
        <v>0.71174377224199292</v>
      </c>
      <c r="BN12" s="45">
        <f t="shared" si="30"/>
        <v>0.65671641791044777</v>
      </c>
      <c r="BO12" s="45">
        <f t="shared" si="31"/>
        <v>0.72727272727272729</v>
      </c>
      <c r="BP12" s="45">
        <f t="shared" si="32"/>
        <v>0.8</v>
      </c>
      <c r="BQ12" s="46">
        <f t="shared" si="33"/>
        <v>0.52319999999999989</v>
      </c>
      <c r="BR12" s="49">
        <f t="shared" si="34"/>
        <v>0.11661341853035143</v>
      </c>
      <c r="BS12" s="45">
        <f t="shared" si="35"/>
        <v>2.4436090225563908E-2</v>
      </c>
      <c r="BT12" s="39">
        <f>IF($D12=0,"DNP",SUMIFS(TEAMS_GbG[KILLS],TEAMS_GbG[[TM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4.333333333333333</v>
      </c>
      <c r="BU12" s="34">
        <f t="shared" si="36"/>
        <v>0.40409683426443199</v>
      </c>
      <c r="BV12" s="28">
        <f t="shared" si="37"/>
        <v>0.44767441860465118</v>
      </c>
      <c r="BW12" s="18">
        <f>IF($D12=0,"DNP",SUMIFS(TEAMS_GbG[ASTED_2FG],TEAMS_GbG[[TM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9.3333333333333339</v>
      </c>
      <c r="BX12" s="18">
        <f>IF($D12=0,"DNP",SUMIFS(TEAMS_GbG[ASTED_3FG],TEAMS_GbG[[TM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</v>
      </c>
      <c r="BY12" s="18">
        <f>IF($D12=0,"DNP",SUMIFS(TEAMS_GbG[ASTED_FT],TEAMS_GbG[[TM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1.5555555555555556</v>
      </c>
      <c r="BZ12" s="18">
        <f>IF($D12=0,"DNP",SUMIFS(TEAMS_GbG[ASTED_FT PTS],TEAMS_GbG[[TM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2.7777777777777777</v>
      </c>
      <c r="CA12" s="18">
        <f>IF($D12=0,"DNP",SUMIFS(TEAMS_GbG[OR_RIM],TEAMS_GbG[[TM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1.3333333333333333</v>
      </c>
      <c r="CB12" s="18">
        <f>IF($D12=0,"DNP",SUMIFS(TEAMS_GbG[TM OR_RIM],TEAMS_GbG[[TM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CC12" s="18">
        <f>IF($D12=0,"DNP",SUMIFS(TEAMS_GbG[OR_PAINT],TEAMS_GbG[[TM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4.1111111111111107</v>
      </c>
      <c r="CD12" s="18">
        <f>IF($D12=0,"DNP",SUMIFS(TEAMS_GbG[TM OR_PAINT],TEAMS_GbG[[TM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CE12" s="18">
        <f>IF($D12=0,"DNP",SUMIFS(TEAMS_GbG[OR_NP2],TEAMS_GbG[[TM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CF12" s="18">
        <f>IF($D12=0,"DNP",SUMIFS(TEAMS_GbG[TM OR_NP2],TEAMS_GbG[[TM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G12" s="18">
        <f>IF($D12=0,"DNP",SUMIFS(TEAMS_GbG[OR_3C],TEAMS_GbG[[TM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CH12" s="18">
        <f>IF($D12=0,"DNP",SUMIFS(TEAMS_GbG[TM OR_3C],TEAMS_GbG[[TM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I12" s="18">
        <f>IF($D12=0,"DNP",SUMIFS(TEAMS_GbG[OR_3L],TEAMS_GbG[[TM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6.666666666666667</v>
      </c>
      <c r="CJ12" s="18">
        <f>IF($D12=0,"DNP",SUMIFS(TEAMS_GbG[TM OR_3L],TEAMS_GbG[[TM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0.88888888888888884</v>
      </c>
      <c r="CK12" s="18">
        <f>IF($D12=0,"DNP",SUMIFS(TEAMS_GbG[OR_FT],TEAMS_GbG[[TM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0.55555555555555558</v>
      </c>
      <c r="CL12" s="18">
        <f>IF($D12=0,"DNP",SUMIFS(TEAMS_GbG[TM OR_FT],TEAMS_GbG[[TM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M12" s="18">
        <f>IF($D12=0,"DNP",SUMIFS(TEAMS_GbG[DR_RIM],TEAMS_GbG[[TM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0.88888888888888884</v>
      </c>
      <c r="CN12" s="18">
        <f>IF($D12=0,"DNP",SUMIFS(TEAMS_GbG[TM DR_RIM],TEAMS_GbG[[TM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O12" s="18">
        <f>IF($D12=0,"DNP",SUMIFS(TEAMS_GbG[DR_PAINT],TEAMS_GbG[[TM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5.7777777777777777</v>
      </c>
      <c r="CP12" s="18">
        <f>IF($D12=0,"DNP",SUMIFS(TEAMS_GbG[TM DR_PAINT],TEAMS_GbG[[TM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0.22222222222222221</v>
      </c>
      <c r="CQ12" s="18">
        <f>IF($D12=0,"DNP",SUMIFS(TEAMS_GbG[DR_NP2],TEAMS_GbG[[TM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2.6666666666666665</v>
      </c>
      <c r="CR12" s="18">
        <f>IF($D12=0,"DNP",SUMIFS(TEAMS_GbG[TM DR_NP2],TEAMS_GbG[[TM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S12" s="18">
        <f>IF($D12=0,"DNP",SUMIFS(TEAMS_GbG[DR_3C],TEAMS_GbG[[TM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1.2222222222222223</v>
      </c>
      <c r="CT12" s="18">
        <f>IF($D12=0,"DNP",SUMIFS(TEAMS_GbG[TM DR_3C],TEAMS_GbG[[TM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CU12" s="18">
        <f>IF($D12=0,"DNP",SUMIFS(TEAMS_GbG[DR_3L],TEAMS_GbG[[TM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9.7777777777777786</v>
      </c>
      <c r="CV12" s="18">
        <f>IF($D12=0,"DNP",SUMIFS(TEAMS_GbG[TM DR_3L],TEAMS_GbG[[TM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CW12" s="18">
        <f>IF($D12=0,"DNP",SUMIFS(TEAMS_GbG[DR_FT],TEAMS_GbG[[TM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1.6666666666666667</v>
      </c>
      <c r="CX12" s="18">
        <f>IF($D12=0,"DNP",SUMIFS(TEAMS_GbG[TM DR_FT],TEAMS_GbG[[TM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Y12" s="18">
        <f>IF($D12=0,"DNP",SUMIFS(TEAMS_GbG[FTM_T],TEAMS_GbG[[TM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CZ12" s="18">
        <f>IF($D12=0,"DNP",SUMIFS(TEAMS_GbG[FTA_T],TEAMS_GbG[[TM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DA12" s="18">
        <f>IF($D12=0,"DNP",SUMIFS(TEAMS_GbG[FTM_1],TEAMS_GbG[[TM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1.2222222222222223</v>
      </c>
      <c r="DB12" s="18">
        <f>IF($D12=0,"DNP",SUMIFS(TEAMS_GbG[FTA_1],TEAMS_GbG[[TM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DC12" s="18">
        <f>IF($D12=0,"DNP",SUMIFS(TEAMS_GbG[FTM_2],TEAMS_GbG[[TM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10.111111111111111</v>
      </c>
      <c r="DD12" s="18">
        <f>IF($D12=0,"DNP",SUMIFS(TEAMS_GbG[FTA_2],TEAMS_GbG[[TM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13.333333333333334</v>
      </c>
      <c r="DE12" s="18">
        <f>IF($D12=0,"DNP",SUMIFS(TEAMS_GbG[FT 0/2],TEAMS_GbG[[TM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DF12" s="18">
        <f>IF($D12=0,"DNP",SUMIFS(TEAMS_GbG[FTM_3],TEAMS_GbG[[TM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DG12" s="18">
        <f>IF($D12=0,"DNP",SUMIFS(TEAMS_GbG[FTA_3],TEAMS_GbG[[TM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1.3333333333333333</v>
      </c>
      <c r="DH12" s="18">
        <f>IF($D12=0,"DNP",SUMIFS(TEAMS_GbG[FT 0/3],TEAMS_GbG[[TM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DI12" s="18">
        <f>IF($D12=0,"DNP",SUMIFS(TEAMS_GbG[RIM_M],TEAMS_GbG[[TM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8.5555555555555554</v>
      </c>
      <c r="DJ12" s="18">
        <f>IF($D12=0,"DNP",SUMIFS(TEAMS_GbG[RIM_A],TEAMS_GbG[[TM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12.444444444444445</v>
      </c>
      <c r="DK12" s="18">
        <f>IF($D12=0,"DNP",SUMIFS(TEAMS_GbG[PAINT_M],TEAMS_GbG[[TM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8.5555555555555554</v>
      </c>
      <c r="DL12" s="18">
        <f>IF($D12=0,"DNP",SUMIFS(TEAMS_GbG[PAINT_A],TEAMS_GbG[[TM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18.777777777777779</v>
      </c>
      <c r="DM12" s="18">
        <f>IF($D12=0,"DNP",SUMIFS(TEAMS_GbG[MID_M],TEAMS_GbG[[TM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DN12" s="18">
        <f>IF($D12=0,"DNP",SUMIFS(TEAMS_GbG[MID_A],TEAMS_GbG[[TM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4.333333333333333</v>
      </c>
      <c r="DO12" s="18">
        <f>IF($D12=0,"DNP",SUMIFS(TEAMS_GbG[3C_M],TEAMS_GbG[[TM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DP12" s="18">
        <f>IF($D12=0,"DNP",SUMIFS(TEAMS_GbG[3C_A],TEAMS_GbG[[TM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2.8888888888888888</v>
      </c>
      <c r="DQ12" s="18">
        <f>IF($D12=0,"DNP",SUMIFS(TEAMS_GbG[3L_M],TEAMS_GbG[[TM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9.4444444444444446</v>
      </c>
      <c r="DR12" s="18">
        <f>IF($D12=0,"DNP",SUMIFS(TEAMS_GbG[3L_A],TEAMS_GbG[[TM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28.111111111111111</v>
      </c>
      <c r="DS12" s="18">
        <f>IF($D12=0,"DNP",SUMIFS(TEAMS_GbG[3H_M],TEAMS_GbG[[TM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DT12" s="18">
        <f>IF($D12=0,"DNP",SUMIFS(TEAMS_GbG[3H_A],TEAMS_GbG[[TM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DU12" s="18">
        <f>IF($D12=0,"DNP",SUMIFS(TEAMS_GbG[OPP PTS],TEAMS_GbG[[TM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78.333333333333329</v>
      </c>
      <c r="DV12" s="18">
        <f>IF($D12=0,"DNP",SUMIFS(TEAMS_GbG[OPP 2PTM],TEAMS_GbG[[TM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19.888888888888889</v>
      </c>
      <c r="DW12" s="18">
        <f>IF($D12=0,"DNP",SUMIFS(TEAMS_GbG[OPP 2PTA],TEAMS_GbG[[TM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34.222222222222221</v>
      </c>
      <c r="DX12" s="16">
        <f t="shared" si="43"/>
        <v>0.58116883116883122</v>
      </c>
      <c r="DY12" s="18">
        <f>IF($D12=0,"DNP",SUMIFS(TEAMS_GbG[OPP 3PTM],TEAMS_GbG[[TM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9.5555555555555554</v>
      </c>
      <c r="DZ12" s="18">
        <f>IF($D12=0,"DNP",SUMIFS(TEAMS_GbG[OPP 3PTA],TEAMS_GbG[[TM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24.888888888888889</v>
      </c>
      <c r="EA12" s="16">
        <f t="shared" si="44"/>
        <v>0.3839285714285714</v>
      </c>
      <c r="EB12" s="18">
        <f>IF($D12=0,"DNP",SUMIFS(TEAMS_GbG[OPP FGM],TEAMS_GbG[[TM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29.444444444444443</v>
      </c>
      <c r="EC12" s="18">
        <f>IF($D12=0,"DNP",SUMIFS(TEAMS_GbG[OPP FGA],TEAMS_GbG[[TM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59.111111111111114</v>
      </c>
      <c r="ED12" s="16">
        <f t="shared" si="45"/>
        <v>0.49812030075187963</v>
      </c>
      <c r="EE12" s="18">
        <f>IF($D12=0,"DNP",SUMIFS(TEAMS_GbG[OPP FTM],TEAMS_GbG[[TM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9.8888888888888893</v>
      </c>
      <c r="EF12" s="18">
        <f>IF($D12=0,"DNP",SUMIFS(TEAMS_GbG[OPP FTA],TEAMS_GbG[[TM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15.222222222222221</v>
      </c>
      <c r="EG12" s="16">
        <f t="shared" si="46"/>
        <v>0.64963503649635046</v>
      </c>
      <c r="EH12" s="18">
        <f>IF($D12=0,"DNP",SUMIFS(TEAMS_GbG[OPP OR],TEAMS_GbG[[TM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</v>
      </c>
      <c r="EI12" s="18">
        <f>IF($D12=0,"DNP",SUMIFS(TEAMS_GbG[OPP DR],TEAMS_GbG[[TM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24.111111111111111</v>
      </c>
      <c r="EJ12" s="18">
        <f>IF($D12=0,"DNP",SUMIFS(TEAMS_GbG[OPP TR],TEAMS_GbG[[TM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33.111111111111114</v>
      </c>
      <c r="EK12" s="18">
        <f>IF($D12=0,"DNP",SUMIFS(TEAMS_GbG[OPP AST],TEAMS_GbG[[TM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19.666666666666668</v>
      </c>
      <c r="EL12" s="18">
        <f>IF($D12=0,"DNP",SUMIFS(TEAMS_GbG[OPP PF],TEAMS_GbG[[TM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19.111111111111111</v>
      </c>
      <c r="EM12" s="18">
        <f>IF($D12=0,"DNP",SUMIFS(TEAMS_GbG[OPP DF],TEAMS_GbG[[TM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19.666666666666668</v>
      </c>
      <c r="EN12" s="18">
        <f>IF($D12=0,"DNP",SUMIFS(TEAMS_GbG[OPP ST],TEAMS_GbG[[TM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4.7777777777777777</v>
      </c>
      <c r="EO12" s="18">
        <f>IF($D12=0,"DNP",SUMIFS(TEAMS_GbG[OPP TO],TEAMS_GbG[[TM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13.333333333333334</v>
      </c>
      <c r="EP12" s="18">
        <f>IF($D12=0,"DNP",SUMIFS(TEAMS_GbG[OPP BLK],TEAMS_GbG[[TM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3.6666666666666665</v>
      </c>
      <c r="EQ12" s="18">
        <f>IF($D12=0,"DNP",SUMIFS(TEAMS_GbG[OPP BLKA],TEAMS_GbG[[TM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ER12" s="18">
        <f>IF($D12=0,"DNP",SUMIFS(TEAMS_GbG[OPP VAL],TEAMS_GbG[[TM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90.333333333333329</v>
      </c>
      <c r="ES12" s="18">
        <f>IF($D12=0,"DNP",SUMIFS(TEAMS_GbG[OPP + / -],TEAMS_GbG[[TM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-3.2222222222222223</v>
      </c>
      <c r="ET12" s="18">
        <f>IF($D12=0,"DNP",SUMIFS(TEAMS_GbG[OPP POSS],TEAMS_GbG[[TM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69.555555555555557</v>
      </c>
      <c r="EU12" s="18">
        <f>IF($D12=0,"DNP",SUMIFS(TEAMS_GbG[OPP SHOOTING CHANCES],TEAMS_GbG[[TM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78.592592592592595</v>
      </c>
      <c r="EV12" s="18">
        <f>IF($D12=0,"DNP",SUMIFS(TEAMS_GbG[OPP KILLS],TEAMS_GbG[[TM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4.7777777777777777</v>
      </c>
      <c r="EW12" s="18">
        <f>IF($D12=0,"DNP",SUMIFS(TEAMS_GbG[OPP ASTED_2FG],TEAMS_GbG[[TM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10.111111111111111</v>
      </c>
      <c r="EX12" s="18">
        <f>IF($D12=0,"DNP",SUMIFS(TEAMS_GbG[OPP ASTED_3FG],TEAMS_GbG[[TM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7.666666666666667</v>
      </c>
      <c r="EY12" s="18">
        <f>IF($D12=0,"DNP",SUMIFS(TEAMS_GbG[OPP ASTED_FT],TEAMS_GbG[[TM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1.8888888888888888</v>
      </c>
      <c r="EZ12" s="18">
        <f>IF($D12=0,"DNP",SUMIFS(TEAMS_GbG[OPP ASTED_FT PTS],TEAMS_GbG[[TM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3.3333333333333335</v>
      </c>
      <c r="FA12" s="18">
        <f>IF($D12=0,"DNP",SUMIFS(TEAMS_GbG[OPP OR_RIM],TEAMS_GbG[[TM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0.88888888888888884</v>
      </c>
      <c r="FB12" s="18">
        <f>IF($D12=0,"DNP",SUMIFS(TEAMS_GbG[OPP TM OR_RIM],TEAMS_GbG[[TM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C12" s="18">
        <f>IF($D12=0,"DNP",SUMIFS(TEAMS_GbG[OPP OR_PAINT],TEAMS_GbG[[TM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2.5555555555555554</v>
      </c>
      <c r="FD12" s="18">
        <f>IF($D12=0,"DNP",SUMIFS(TEAMS_GbG[OPP TM OR_PAINT],TEAMS_GbG[[TM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FE12" s="18">
        <f>IF($D12=0,"DNP",SUMIFS(TEAMS_GbG[OPP OR_NP2],TEAMS_GbG[[TM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</v>
      </c>
      <c r="FF12" s="18">
        <f>IF($D12=0,"DNP",SUMIFS(TEAMS_GbG[OPP TM OR_NP2],TEAMS_GbG[[TM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0.22222222222222221</v>
      </c>
      <c r="FG12" s="18">
        <f>IF($D12=0,"DNP",SUMIFS(TEAMS_GbG[OPP OR_3C],TEAMS_GbG[[TM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FH12" s="18">
        <f>IF($D12=0,"DNP",SUMIFS(TEAMS_GbG[OPP TM OR_3C],TEAMS_GbG[[TM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I12" s="18">
        <f>IF($D12=0,"DNP",SUMIFS(TEAMS_GbG[OPP OR_3L],TEAMS_GbG[[TM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3.7777777777777777</v>
      </c>
      <c r="FJ12" s="18">
        <f>IF($D12=0,"DNP",SUMIFS(TEAMS_GbG[OPP TM OR_3L],TEAMS_GbG[[TM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FK12" s="18">
        <f>IF($D12=0,"DNP",SUMIFS(TEAMS_GbG[OPP OR_FT],TEAMS_GbG[[TM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FL12" s="18">
        <f>IF($D12=0,"DNP",SUMIFS(TEAMS_GbG[OPP TM OR_FT],TEAMS_GbG[[TM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M12" s="18">
        <f>IF($D12=0,"DNP",SUMIFS(TEAMS_GbG[OPP DR_RIM],TEAMS_GbG[[TM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2.4444444444444446</v>
      </c>
      <c r="FN12" s="18">
        <f>IF($D12=0,"DNP",SUMIFS(TEAMS_GbG[OPP TM DR_RIM],TEAMS_GbG[[TM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O12" s="18">
        <f>IF($D12=0,"DNP",SUMIFS(TEAMS_GbG[OPP DR_PAINT],TEAMS_GbG[[TM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6.1111111111111107</v>
      </c>
      <c r="FP12" s="18">
        <f>IF($D12=0,"DNP",SUMIFS(TEAMS_GbG[OPP TM DR_PAINT],TEAMS_GbG[[TM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FQ12" s="18">
        <f>IF($D12=0,"DNP",SUMIFS(TEAMS_GbG[OPP DR_NP2],TEAMS_GbG[[TM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1.8888888888888888</v>
      </c>
      <c r="FR12" s="18">
        <f>IF($D12=0,"DNP",SUMIFS(TEAMS_GbG[OPP TM DR_NP2],TEAMS_GbG[[TM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FS12" s="18">
        <f>IF($D12=0,"DNP",SUMIFS(TEAMS_GbG[OPP DR_3C],TEAMS_GbG[[TM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FT12" s="18">
        <f>IF($D12=0,"DNP",SUMIFS(TEAMS_GbG[OPP TM DR_3C],TEAMS_GbG[[TM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FU12" s="18">
        <f>IF($D12=0,"DNP",SUMIFS(TEAMS_GbG[OPP DR_3L],TEAMS_GbG[[TM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11.222222222222221</v>
      </c>
      <c r="FV12" s="18">
        <f>IF($D12=0,"DNP",SUMIFS(TEAMS_GbG[OPP TM DR_3L],TEAMS_GbG[[TM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</v>
      </c>
      <c r="FW12" s="18">
        <f>IF($D12=0,"DNP",SUMIFS(TEAMS_GbG[OPP DR_FT],TEAMS_GbG[[TM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1.2222222222222223</v>
      </c>
      <c r="FX12" s="18">
        <f>IF($D12=0,"DNP",SUMIFS(TEAMS_GbG[OPP TM DR_FT],TEAMS_GbG[[TM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Y12" s="18">
        <f>IF($D12=0,"DNP",SUMIFS(TEAMS_GbG[OPP FTM_T],TEAMS_GbG[[TM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FZ12" s="18">
        <f>IF($D12=0,"DNP",SUMIFS(TEAMS_GbG[OPP FTA_T],TEAMS_GbG[[TM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GA12" s="18">
        <f>IF($D12=0,"DNP",SUMIFS(TEAMS_GbG[OPP FTM_1],TEAMS_GbG[[TM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1.2222222222222223</v>
      </c>
      <c r="GB12" s="18">
        <f>IF($D12=0,"DNP",SUMIFS(TEAMS_GbG[OPP FTA_1],TEAMS_GbG[[TM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1.8888888888888888</v>
      </c>
      <c r="GC12" s="18">
        <f>IF($D12=0,"DNP",SUMIFS(TEAMS_GbG[OPP FTM_2],TEAMS_GbG[[TM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7.4444444444444446</v>
      </c>
      <c r="GD12" s="18">
        <f>IF($D12=0,"DNP",SUMIFS(TEAMS_GbG[OPP FTA_2],TEAMS_GbG[[TM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11.555555555555555</v>
      </c>
      <c r="GE12" s="18">
        <f>IF($D12=0,"DNP",SUMIFS(TEAMS_GbG[OPP FT 0/2],TEAMS_GbG[[TM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0.55555555555555558</v>
      </c>
      <c r="GF12" s="18">
        <f>IF($D12=0,"DNP",SUMIFS(TEAMS_GbG[OPP FTM_3],TEAMS_GbG[[TM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0.77777777777777779</v>
      </c>
      <c r="GG12" s="18">
        <f>IF($D12=0,"DNP",SUMIFS(TEAMS_GbG[OPP FTA_3],TEAMS_GbG[[TM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GH12" s="18">
        <f>IF($D12=0,"DNP",SUMIFS(TEAMS_GbG[OPP FT 0/3],TEAMS_GbG[[TM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GI12" s="18">
        <f>IF($D12=0,"DNP",SUMIFS(TEAMS_GbG[OPP RIM_M],TEAMS_GbG[[TM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8.2222222222222214</v>
      </c>
      <c r="GJ12" s="18">
        <f>IF($D12=0,"DNP",SUMIFS(TEAMS_GbG[OPP RIM_A],TEAMS_GbG[[TM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10.111111111111111</v>
      </c>
      <c r="GK12" s="18">
        <f>IF($D12=0,"DNP",SUMIFS(TEAMS_GbG[OPP PAINT_M],TEAMS_GbG[[TM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</v>
      </c>
      <c r="GL12" s="18">
        <f>IF($D12=0,"DNP",SUMIFS(TEAMS_GbG[OPP PAINT_A],TEAMS_GbG[[TM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15.777777777777779</v>
      </c>
      <c r="GM12" s="18">
        <f>IF($D12=0,"DNP",SUMIFS(TEAMS_GbG[OPP MID_M],TEAMS_GbG[[TM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4.666666666666667</v>
      </c>
      <c r="GN12" s="18">
        <f>IF($D12=0,"DNP",SUMIFS(TEAMS_GbG[OPP MID_A],TEAMS_GbG[[TM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8.3333333333333339</v>
      </c>
      <c r="GO12" s="18">
        <f>IF($D12=0,"DNP",SUMIFS(TEAMS_GbG[OPP 3C_M],TEAMS_GbG[[TM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1.6666666666666667</v>
      </c>
      <c r="GP12" s="18">
        <f>IF($D12=0,"DNP",SUMIFS(TEAMS_GbG[OPP 3C_A],TEAMS_GbG[[TM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3.2222222222222223</v>
      </c>
      <c r="GQ12" s="18">
        <f>IF($D12=0,"DNP",SUMIFS(TEAMS_GbG[OPP 3L_M],TEAMS_GbG[[TM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7.8888888888888893</v>
      </c>
      <c r="GR12" s="18">
        <f>IF($D12=0,"DNP",SUMIFS(TEAMS_GbG[OPP 3L_A],TEAMS_GbG[[TM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21.666666666666668</v>
      </c>
      <c r="GS12" s="18">
        <f>IF($D12=0,"DNP",SUMIFS(TEAMS_GbG[OPP 3H_M],TEAMS_GbG[[TM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GT12" s="18">
        <f>IF($D12=0,"DNP",SUMIFS(TEAMS_GbG[OPP 3H_A],TEAMS_GbG[[TM NAME]:[TM NAME]],$C12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GU12" s="16">
        <f ca="1">IF(TEAMS_STATS[[#This Row],[TM NAME]]="","",INDEX(SoS!$C$113:$C$144,MATCH(TEAMS_STATS[[#This Row],[TM NAME]],SoS!$B$113:$B$144,0)))</f>
        <v>0.48361258083480307</v>
      </c>
    </row>
    <row r="13" spans="2:203" ht="15" customHeight="1" x14ac:dyDescent="0.25">
      <c r="B13" s="12">
        <f>_xlfn.AGGREGATE(3,5,$C$7:C12)</f>
        <v>6</v>
      </c>
      <c r="C13" s="14" t="str">
        <f>BASIS_INFO!F8</f>
        <v>EA7 Emporio Armani Milan</v>
      </c>
      <c r="D13" s="20">
        <f>COUNTIFS(TEAMS_GbG[[TM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3" s="20">
        <f>COUNTIFS(TEAMS_GbG[[TM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3</v>
      </c>
      <c r="F13" s="20">
        <f>COUNTIFS(TEAMS_GbG[[TM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6</v>
      </c>
      <c r="G13" s="18">
        <f>IF($D13=0,"DNP",SUMIFS(TEAMS_GbG[MIN],TEAMS_GbG[[TM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202.77777777777777</v>
      </c>
      <c r="H13" s="18">
        <f>IF($D13=0,"DNP",SUMIFS(TEAMS_GbG[PTS],TEAMS_GbG[[TM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78.888888888888886</v>
      </c>
      <c r="I13" s="18">
        <f>IF($D13=0,"DNP",SUMIFS(TEAMS_GbG[2PTM],TEAMS_GbG[[TM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18.333333333333332</v>
      </c>
      <c r="J13" s="18">
        <f>IF($D13=0,"DNP",SUMIFS(TEAMS_GbG[2PTA],TEAMS_GbG[[TM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32.555555555555557</v>
      </c>
      <c r="K13" s="16">
        <f t="shared" si="38"/>
        <v>0.56313993174061427</v>
      </c>
      <c r="L13" s="18">
        <f>IF($D13=0,"DNP",SUMIFS(TEAMS_GbG[3PTM],TEAMS_GbG[[TM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10.444444444444445</v>
      </c>
      <c r="M13" s="18">
        <f>IF($D13=0,"DNP",SUMIFS(TEAMS_GbG[3PTA],TEAMS_GbG[[TM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26.555555555555557</v>
      </c>
      <c r="N13" s="16">
        <f t="shared" si="39"/>
        <v>0.3933054393305439</v>
      </c>
      <c r="O13" s="18">
        <f>IF($D13=0,"DNP",SUMIFS(TEAMS_GbG[FGM],TEAMS_GbG[[TM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28.777777777777779</v>
      </c>
      <c r="P13" s="18">
        <f>IF($D13=0,"DNP",SUMIFS(TEAMS_GbG[FGA],TEAMS_GbG[[TM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59.111111111111114</v>
      </c>
      <c r="Q13" s="16">
        <f t="shared" si="40"/>
        <v>0.48684210526315791</v>
      </c>
      <c r="R13" s="18">
        <f>IF($D13=0,"DNP",SUMIFS(TEAMS_GbG[FTM],TEAMS_GbG[[TM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10.888888888888889</v>
      </c>
      <c r="S13" s="18">
        <f>IF($D13=0,"DNP",SUMIFS(TEAMS_GbG[FTA],TEAMS_GbG[[TM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15.555555555555555</v>
      </c>
      <c r="T13" s="16">
        <f t="shared" si="41"/>
        <v>0.70000000000000007</v>
      </c>
      <c r="U13" s="18">
        <f>IF($D13=0,"DNP",SUMIFS(TEAMS_GbG[OR],TEAMS_GbG[[TM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9.7777777777777786</v>
      </c>
      <c r="V13" s="18">
        <f>IF($D13=0,"DNP",SUMIFS(TEAMS_GbG[DR],TEAMS_GbG[[TM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23.222222222222221</v>
      </c>
      <c r="W13" s="18">
        <f>IF($D13=0,"DNP",SUMIFS(TEAMS_GbG[TR],TEAMS_GbG[[TM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33</v>
      </c>
      <c r="X13" s="18">
        <f>IF($D13=0,"DNP",SUMIFS(TEAMS_GbG[AST],TEAMS_GbG[[TM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17.555555555555557</v>
      </c>
      <c r="Y13" s="18">
        <f>IF($D13=0,"DNP",SUMIFS(TEAMS_GbG[TO],TEAMS_GbG[[TM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14.444444444444445</v>
      </c>
      <c r="Z13" s="18">
        <f>IF($D13=0,"DNP",SUMIFS(TEAMS_GbG[ST],TEAMS_GbG[[TM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6.333333333333333</v>
      </c>
      <c r="AA13" s="18">
        <f>IF($D13=0,"DNP",SUMIFS(TEAMS_GbG[BLK],TEAMS_GbG[[TM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1.4444444444444444</v>
      </c>
      <c r="AB13" s="18">
        <f>IF($D13=0,"DNP",SUMIFS(TEAMS_GbG[BLKA],TEAMS_GbG[[TM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AC13" s="18">
        <f>IF($D13=0,"DNP",SUMIFS(TEAMS_GbG[PF],TEAMS_GbG[[TM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19.666666666666668</v>
      </c>
      <c r="AD13" s="18">
        <f>IF($D13=0,"DNP",SUMIFS(TEAMS_GbG[DF],TEAMS_GbG[[TM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18.888888888888889</v>
      </c>
      <c r="AE13" s="18">
        <f>IF($D13=0,"DNP",SUMIFS(TEAMS_GbG[VAL],TEAMS_GbG[[TM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85.333333333333329</v>
      </c>
      <c r="AF13" s="18">
        <f>IF($D13=0,"DNP",SUMIFS(TEAMS_GbG[+ / -],TEAMS_GbG[[TM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AG13" s="26">
        <f t="shared" si="0"/>
        <v>69.150684931506859</v>
      </c>
      <c r="AH13" s="18">
        <f>IF($D13=0,"DNP",SUMIFS(TEAMS_GbG[POSS],TEAMS_GbG[[TM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70.111111111111114</v>
      </c>
      <c r="AI13" s="18">
        <f>IF($D13=0,"DNP",SUMIFS(TEAMS_GbG[SHOOTING CHANCES],TEAMS_GbG[[TM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80.111111111111114</v>
      </c>
      <c r="AJ13" s="19">
        <f t="shared" si="1"/>
        <v>0.98474341192787784</v>
      </c>
      <c r="AK13" s="19">
        <f t="shared" si="2"/>
        <v>0.98163841807909602</v>
      </c>
      <c r="AL13" s="18">
        <f t="shared" si="3"/>
        <v>112.51980982567353</v>
      </c>
      <c r="AM13" s="18">
        <f t="shared" si="4"/>
        <v>110.66878980891721</v>
      </c>
      <c r="AN13" s="18">
        <f t="shared" si="42"/>
        <v>1.8510200167563227</v>
      </c>
      <c r="AO13" s="27">
        <f t="shared" si="5"/>
        <v>0.57518796992481203</v>
      </c>
      <c r="AP13" s="28">
        <f t="shared" si="6"/>
        <v>0.60067681895093061</v>
      </c>
      <c r="AQ13" s="34">
        <f t="shared" si="7"/>
        <v>0.14563106796116504</v>
      </c>
      <c r="AR13" s="38">
        <f t="shared" si="8"/>
        <v>1.5428571428571429</v>
      </c>
      <c r="AS13" s="27">
        <f t="shared" si="9"/>
        <v>0.17198335644937587</v>
      </c>
      <c r="AT13" s="38">
        <f t="shared" si="10"/>
        <v>1.0161290322580645</v>
      </c>
      <c r="AU13" s="27">
        <f t="shared" si="11"/>
        <v>8.8765603328710113E-2</v>
      </c>
      <c r="AV13" s="38">
        <f t="shared" si="12"/>
        <v>0.65625000000000011</v>
      </c>
      <c r="AW13" s="27">
        <f t="shared" si="13"/>
        <v>3.6061026352288486E-2</v>
      </c>
      <c r="AX13" s="38">
        <f t="shared" si="14"/>
        <v>1.7307692307692308</v>
      </c>
      <c r="AY13" s="27">
        <f t="shared" si="15"/>
        <v>0.29403606102635227</v>
      </c>
      <c r="AZ13" s="38">
        <f t="shared" si="16"/>
        <v>1.1179245283018868</v>
      </c>
      <c r="BA13" s="28">
        <f t="shared" si="17"/>
        <v>8.1830790568654638E-2</v>
      </c>
      <c r="BB13" s="34">
        <f t="shared" si="18"/>
        <v>0.1808066759388039</v>
      </c>
      <c r="BC13" s="27">
        <f t="shared" si="19"/>
        <v>0.50641025641025639</v>
      </c>
      <c r="BD13" s="27">
        <f t="shared" si="20"/>
        <v>0.41818181818181821</v>
      </c>
      <c r="BE13" s="27">
        <f t="shared" si="21"/>
        <v>0.84042553191489366</v>
      </c>
      <c r="BF13" s="27">
        <f t="shared" si="22"/>
        <v>0.18867924528301888</v>
      </c>
      <c r="BG13" s="27">
        <f t="shared" si="23"/>
        <v>0.21974965229485399</v>
      </c>
      <c r="BH13" s="35">
        <f t="shared" si="24"/>
        <v>1.2153846153846155</v>
      </c>
      <c r="BI13" s="49">
        <f t="shared" si="25"/>
        <v>0.30769230769230771</v>
      </c>
      <c r="BJ13" s="45">
        <f t="shared" si="26"/>
        <v>0.27067669172932335</v>
      </c>
      <c r="BK13" s="45">
        <f t="shared" si="27"/>
        <v>0.37333333333333335</v>
      </c>
      <c r="BL13" s="45">
        <f t="shared" si="28"/>
        <v>0.26923076923076922</v>
      </c>
      <c r="BM13" s="45">
        <f t="shared" si="29"/>
        <v>0.72569444444444442</v>
      </c>
      <c r="BN13" s="45">
        <f t="shared" si="30"/>
        <v>0.689873417721519</v>
      </c>
      <c r="BO13" s="45">
        <f t="shared" si="31"/>
        <v>0.67808219178082196</v>
      </c>
      <c r="BP13" s="45">
        <f t="shared" si="32"/>
        <v>0.8571428571428571</v>
      </c>
      <c r="BQ13" s="46">
        <f t="shared" si="33"/>
        <v>0.51742160278745641</v>
      </c>
      <c r="BR13" s="49">
        <f t="shared" si="34"/>
        <v>9.076433121019109E-2</v>
      </c>
      <c r="BS13" s="45">
        <f t="shared" si="35"/>
        <v>2.4436090225563908E-2</v>
      </c>
      <c r="BT13" s="39">
        <f>IF($D13=0,"DNP",SUMIFS(TEAMS_GbG[KILLS],TEAMS_GbG[[TM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4.333333333333333</v>
      </c>
      <c r="BU13" s="34">
        <f t="shared" si="36"/>
        <v>0.4463276836158192</v>
      </c>
      <c r="BV13" s="28">
        <f t="shared" si="37"/>
        <v>0.41176470588235292</v>
      </c>
      <c r="BW13" s="18">
        <f>IF($D13=0,"DNP",SUMIFS(TEAMS_GbG[ASTED_2FG],TEAMS_GbG[[TM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7.666666666666667</v>
      </c>
      <c r="BX13" s="18">
        <f>IF($D13=0,"DNP",SUMIFS(TEAMS_GbG[ASTED_3FG],TEAMS_GbG[[TM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BY13" s="18">
        <f>IF($D13=0,"DNP",SUMIFS(TEAMS_GbG[ASTED_FT],TEAMS_GbG[[TM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1.1111111111111112</v>
      </c>
      <c r="BZ13" s="18">
        <f>IF($D13=0,"DNP",SUMIFS(TEAMS_GbG[ASTED_FT PTS],TEAMS_GbG[[TM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1.7777777777777777</v>
      </c>
      <c r="CA13" s="18">
        <f>IF($D13=0,"DNP",SUMIFS(TEAMS_GbG[OR_RIM],TEAMS_GbG[[TM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0.77777777777777779</v>
      </c>
      <c r="CB13" s="18">
        <f>IF($D13=0,"DNP",SUMIFS(TEAMS_GbG[TM OR_RIM],TEAMS_GbG[[TM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CC13" s="18">
        <f>IF($D13=0,"DNP",SUMIFS(TEAMS_GbG[OR_PAINT],TEAMS_GbG[[TM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2.4444444444444446</v>
      </c>
      <c r="CD13" s="18">
        <f>IF($D13=0,"DNP",SUMIFS(TEAMS_GbG[TM OR_PAINT],TEAMS_GbG[[TM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E13" s="18">
        <f>IF($D13=0,"DNP",SUMIFS(TEAMS_GbG[OR_NP2],TEAMS_GbG[[TM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0.44444444444444442</v>
      </c>
      <c r="CF13" s="18">
        <f>IF($D13=0,"DNP",SUMIFS(TEAMS_GbG[TM OR_NP2],TEAMS_GbG[[TM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0.22222222222222221</v>
      </c>
      <c r="CG13" s="18">
        <f>IF($D13=0,"DNP",SUMIFS(TEAMS_GbG[OR_3C],TEAMS_GbG[[TM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0.22222222222222221</v>
      </c>
      <c r="CH13" s="18">
        <f>IF($D13=0,"DNP",SUMIFS(TEAMS_GbG[TM OR_3C],TEAMS_GbG[[TM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I13" s="18">
        <f>IF($D13=0,"DNP",SUMIFS(TEAMS_GbG[OR_3L],TEAMS_GbG[[TM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5.1111111111111107</v>
      </c>
      <c r="CJ13" s="18">
        <f>IF($D13=0,"DNP",SUMIFS(TEAMS_GbG[TM OR_3L],TEAMS_GbG[[TM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0.77777777777777779</v>
      </c>
      <c r="CK13" s="18">
        <f>IF($D13=0,"DNP",SUMIFS(TEAMS_GbG[OR_FT],TEAMS_GbG[[TM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0.66666666666666663</v>
      </c>
      <c r="CL13" s="18">
        <f>IF($D13=0,"DNP",SUMIFS(TEAMS_GbG[TM OR_FT],TEAMS_GbG[[TM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M13" s="18">
        <f>IF($D13=0,"DNP",SUMIFS(TEAMS_GbG[DR_RIM],TEAMS_GbG[[TM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1.4444444444444444</v>
      </c>
      <c r="CN13" s="18">
        <f>IF($D13=0,"DNP",SUMIFS(TEAMS_GbG[TM DR_RIM],TEAMS_GbG[[TM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O13" s="18">
        <f>IF($D13=0,"DNP",SUMIFS(TEAMS_GbG[DR_PAINT],TEAMS_GbG[[TM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6.8888888888888893</v>
      </c>
      <c r="CP13" s="18">
        <f>IF($D13=0,"DNP",SUMIFS(TEAMS_GbG[TM DR_PAINT],TEAMS_GbG[[TM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CQ13" s="18">
        <f>IF($D13=0,"DNP",SUMIFS(TEAMS_GbG[DR_NP2],TEAMS_GbG[[TM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3.2222222222222223</v>
      </c>
      <c r="CR13" s="18">
        <f>IF($D13=0,"DNP",SUMIFS(TEAMS_GbG[TM DR_NP2],TEAMS_GbG[[TM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S13" s="18">
        <f>IF($D13=0,"DNP",SUMIFS(TEAMS_GbG[DR_3C],TEAMS_GbG[[TM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0.55555555555555558</v>
      </c>
      <c r="CT13" s="18">
        <f>IF($D13=0,"DNP",SUMIFS(TEAMS_GbG[TM DR_3C],TEAMS_GbG[[TM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CU13" s="18">
        <f>IF($D13=0,"DNP",SUMIFS(TEAMS_GbG[DR_3L],TEAMS_GbG[[TM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9.7777777777777786</v>
      </c>
      <c r="CV13" s="18">
        <f>IF($D13=0,"DNP",SUMIFS(TEAMS_GbG[TM DR_3L],TEAMS_GbG[[TM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0.66666666666666663</v>
      </c>
      <c r="CW13" s="18">
        <f>IF($D13=0,"DNP",SUMIFS(TEAMS_GbG[DR_FT],TEAMS_GbG[[TM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1.3333333333333333</v>
      </c>
      <c r="CX13" s="18">
        <f>IF($D13=0,"DNP",SUMIFS(TEAMS_GbG[TM DR_FT],TEAMS_GbG[[TM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CY13" s="18">
        <f>IF($D13=0,"DNP",SUMIFS(TEAMS_GbG[FTM_T],TEAMS_GbG[[TM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0.55555555555555558</v>
      </c>
      <c r="CZ13" s="18">
        <f>IF($D13=0,"DNP",SUMIFS(TEAMS_GbG[FTA_T],TEAMS_GbG[[TM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DA13" s="18">
        <f>IF($D13=0,"DNP",SUMIFS(TEAMS_GbG[FTM_1],TEAMS_GbG[[TM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0.66666666666666663</v>
      </c>
      <c r="DB13" s="18">
        <f>IF($D13=0,"DNP",SUMIFS(TEAMS_GbG[FTA_1],TEAMS_GbG[[TM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1.2222222222222223</v>
      </c>
      <c r="DC13" s="18">
        <f>IF($D13=0,"DNP",SUMIFS(TEAMS_GbG[FTM_2],TEAMS_GbG[[TM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DD13" s="18">
        <f>IF($D13=0,"DNP",SUMIFS(TEAMS_GbG[FTA_2],TEAMS_GbG[[TM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12.444444444444445</v>
      </c>
      <c r="DE13" s="18">
        <f>IF($D13=0,"DNP",SUMIFS(TEAMS_GbG[FT 0/2],TEAMS_GbG[[TM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0.66666666666666663</v>
      </c>
      <c r="DF13" s="18">
        <f>IF($D13=0,"DNP",SUMIFS(TEAMS_GbG[FTM_3],TEAMS_GbG[[TM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DG13" s="18">
        <f>IF($D13=0,"DNP",SUMIFS(TEAMS_GbG[FTA_3],TEAMS_GbG[[TM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</v>
      </c>
      <c r="DH13" s="18">
        <f>IF($D13=0,"DNP",SUMIFS(TEAMS_GbG[FT 0/3],TEAMS_GbG[[TM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DI13" s="18">
        <f>IF($D13=0,"DNP",SUMIFS(TEAMS_GbG[RIM_M],TEAMS_GbG[[TM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9</v>
      </c>
      <c r="DJ13" s="18">
        <f>IF($D13=0,"DNP",SUMIFS(TEAMS_GbG[RIM_A],TEAMS_GbG[[TM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11.666666666666666</v>
      </c>
      <c r="DK13" s="18">
        <f>IF($D13=0,"DNP",SUMIFS(TEAMS_GbG[PAINT_M],TEAMS_GbG[[TM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</v>
      </c>
      <c r="DL13" s="18">
        <f>IF($D13=0,"DNP",SUMIFS(TEAMS_GbG[PAINT_A],TEAMS_GbG[[TM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13.777777777777779</v>
      </c>
      <c r="DM13" s="18">
        <f>IF($D13=0,"DNP",SUMIFS(TEAMS_GbG[MID_M],TEAMS_GbG[[TM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2.3333333333333335</v>
      </c>
      <c r="DN13" s="18">
        <f>IF($D13=0,"DNP",SUMIFS(TEAMS_GbG[MID_A],TEAMS_GbG[[TM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7.1111111111111107</v>
      </c>
      <c r="DO13" s="18">
        <f>IF($D13=0,"DNP",SUMIFS(TEAMS_GbG[3C_M],TEAMS_GbG[[TM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DP13" s="18">
        <f>IF($D13=0,"DNP",SUMIFS(TEAMS_GbG[3C_A],TEAMS_GbG[[TM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2.8888888888888888</v>
      </c>
      <c r="DQ13" s="18">
        <f>IF($D13=0,"DNP",SUMIFS(TEAMS_GbG[3L_M],TEAMS_GbG[[TM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DR13" s="18">
        <f>IF($D13=0,"DNP",SUMIFS(TEAMS_GbG[3L_A],TEAMS_GbG[[TM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23.555555555555557</v>
      </c>
      <c r="DS13" s="18">
        <f>IF($D13=0,"DNP",SUMIFS(TEAMS_GbG[3H_M],TEAMS_GbG[[TM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DT13" s="18">
        <f>IF($D13=0,"DNP",SUMIFS(TEAMS_GbG[3H_A],TEAMS_GbG[[TM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DU13" s="18">
        <f>IF($D13=0,"DNP",SUMIFS(TEAMS_GbG[OPP PTS],TEAMS_GbG[[TM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77.222222222222229</v>
      </c>
      <c r="DV13" s="18">
        <f>IF($D13=0,"DNP",SUMIFS(TEAMS_GbG[OPP 2PTM],TEAMS_GbG[[TM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19.111111111111111</v>
      </c>
      <c r="DW13" s="18">
        <f>IF($D13=0,"DNP",SUMIFS(TEAMS_GbG[OPP 2PTA],TEAMS_GbG[[TM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35.444444444444443</v>
      </c>
      <c r="DX13" s="16">
        <f t="shared" si="43"/>
        <v>0.53918495297805646</v>
      </c>
      <c r="DY13" s="18">
        <f>IF($D13=0,"DNP",SUMIFS(TEAMS_GbG[OPP 3PTM],TEAMS_GbG[[TM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DZ13" s="18">
        <f>IF($D13=0,"DNP",SUMIFS(TEAMS_GbG[OPP 3PTA],TEAMS_GbG[[TM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23.666666666666668</v>
      </c>
      <c r="EA13" s="16">
        <f t="shared" si="44"/>
        <v>0.37089201877934275</v>
      </c>
      <c r="EB13" s="18">
        <f>IF($D13=0,"DNP",SUMIFS(TEAMS_GbG[OPP FGM],TEAMS_GbG[[TM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27.888888888888889</v>
      </c>
      <c r="EC13" s="18">
        <f>IF($D13=0,"DNP",SUMIFS(TEAMS_GbG[OPP FGA],TEAMS_GbG[[TM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59.111111111111114</v>
      </c>
      <c r="ED13" s="16">
        <f t="shared" si="45"/>
        <v>0.47180451127819545</v>
      </c>
      <c r="EE13" s="18">
        <f>IF($D13=0,"DNP",SUMIFS(TEAMS_GbG[OPP FTM],TEAMS_GbG[[TM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12.666666666666666</v>
      </c>
      <c r="EF13" s="18">
        <f>IF($D13=0,"DNP",SUMIFS(TEAMS_GbG[OPP FTA],TEAMS_GbG[[TM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16.111111111111111</v>
      </c>
      <c r="EG13" s="16">
        <f t="shared" si="46"/>
        <v>0.78620689655172415</v>
      </c>
      <c r="EH13" s="18">
        <f>IF($D13=0,"DNP",SUMIFS(TEAMS_GbG[OPP OR],TEAMS_GbG[[TM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EI13" s="18">
        <f>IF($D13=0,"DNP",SUMIFS(TEAMS_GbG[OPP DR],TEAMS_GbG[[TM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22</v>
      </c>
      <c r="EJ13" s="18">
        <f>IF($D13=0,"DNP",SUMIFS(TEAMS_GbG[OPP TR],TEAMS_GbG[[TM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30.777777777777779</v>
      </c>
      <c r="EK13" s="18">
        <f>IF($D13=0,"DNP",SUMIFS(TEAMS_GbG[OPP AST],TEAMS_GbG[[TM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16.555555555555557</v>
      </c>
      <c r="EL13" s="18">
        <f>IF($D13=0,"DNP",SUMIFS(TEAMS_GbG[OPP PF],TEAMS_GbG[[TM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19.777777777777779</v>
      </c>
      <c r="EM13" s="18">
        <f>IF($D13=0,"DNP",SUMIFS(TEAMS_GbG[OPP DF],TEAMS_GbG[[TM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19.555555555555557</v>
      </c>
      <c r="EN13" s="18">
        <f>IF($D13=0,"DNP",SUMIFS(TEAMS_GbG[OPP ST],TEAMS_GbG[[TM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6.5555555555555554</v>
      </c>
      <c r="EO13" s="18">
        <f>IF($D13=0,"DNP",SUMIFS(TEAMS_GbG[OPP TO],TEAMS_GbG[[TM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12.555555555555555</v>
      </c>
      <c r="EP13" s="18">
        <f>IF($D13=0,"DNP",SUMIFS(TEAMS_GbG[OPP BLK],TEAMS_GbG[[TM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EQ13" s="18">
        <f>IF($D13=0,"DNP",SUMIFS(TEAMS_GbG[OPP BLKA],TEAMS_GbG[[TM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1.4444444444444444</v>
      </c>
      <c r="ER13" s="18">
        <f>IF($D13=0,"DNP",SUMIFS(TEAMS_GbG[OPP VAL],TEAMS_GbG[[TM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83.888888888888886</v>
      </c>
      <c r="ES13" s="18">
        <f>IF($D13=0,"DNP",SUMIFS(TEAMS_GbG[OPP + / -],TEAMS_GbG[[TM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-1.6666666666666667</v>
      </c>
      <c r="ET13" s="18">
        <f>IF($D13=0,"DNP",SUMIFS(TEAMS_GbG[OPP POSS],TEAMS_GbG[[TM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69.777777777777771</v>
      </c>
      <c r="EU13" s="18">
        <f>IF($D13=0,"DNP",SUMIFS(TEAMS_GbG[OPP SHOOTING CHANCES],TEAMS_GbG[[TM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78.666666666666671</v>
      </c>
      <c r="EV13" s="18">
        <f>IF($D13=0,"DNP",SUMIFS(TEAMS_GbG[OPP KILLS],TEAMS_GbG[[TM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</v>
      </c>
      <c r="EW13" s="18">
        <f>IF($D13=0,"DNP",SUMIFS(TEAMS_GbG[OPP ASTED_2FG],TEAMS_GbG[[TM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9.8888888888888893</v>
      </c>
      <c r="EX13" s="18">
        <f>IF($D13=0,"DNP",SUMIFS(TEAMS_GbG[OPP ASTED_3FG],TEAMS_GbG[[TM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5.7777777777777777</v>
      </c>
      <c r="EY13" s="18">
        <f>IF($D13=0,"DNP",SUMIFS(TEAMS_GbG[OPP ASTED_FT],TEAMS_GbG[[TM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EZ13" s="18">
        <f>IF($D13=0,"DNP",SUMIFS(TEAMS_GbG[OPP ASTED_FT PTS],TEAMS_GbG[[TM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1.5555555555555556</v>
      </c>
      <c r="FA13" s="18">
        <f>IF($D13=0,"DNP",SUMIFS(TEAMS_GbG[OPP OR_RIM],TEAMS_GbG[[TM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</v>
      </c>
      <c r="FB13" s="18">
        <f>IF($D13=0,"DNP",SUMIFS(TEAMS_GbG[OPP TM OR_RIM],TEAMS_GbG[[TM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FC13" s="18">
        <f>IF($D13=0,"DNP",SUMIFS(TEAMS_GbG[OPP OR_PAINT],TEAMS_GbG[[TM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1.7777777777777777</v>
      </c>
      <c r="FD13" s="18">
        <f>IF($D13=0,"DNP",SUMIFS(TEAMS_GbG[OPP TM OR_PAINT],TEAMS_GbG[[TM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E13" s="18">
        <f>IF($D13=0,"DNP",SUMIFS(TEAMS_GbG[OPP OR_NP2],TEAMS_GbG[[TM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1.7777777777777777</v>
      </c>
      <c r="FF13" s="18">
        <f>IF($D13=0,"DNP",SUMIFS(TEAMS_GbG[OPP TM OR_NP2],TEAMS_GbG[[TM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0.44444444444444442</v>
      </c>
      <c r="FG13" s="18">
        <f>IF($D13=0,"DNP",SUMIFS(TEAMS_GbG[OPP OR_3C],TEAMS_GbG[[TM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0.44444444444444442</v>
      </c>
      <c r="FH13" s="18">
        <f>IF($D13=0,"DNP",SUMIFS(TEAMS_GbG[OPP TM OR_3C],TEAMS_GbG[[TM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0.22222222222222221</v>
      </c>
      <c r="FI13" s="18">
        <f>IF($D13=0,"DNP",SUMIFS(TEAMS_GbG[OPP OR_3L],TEAMS_GbG[[TM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3.6666666666666665</v>
      </c>
      <c r="FJ13" s="18">
        <f>IF($D13=0,"DNP",SUMIFS(TEAMS_GbG[OPP TM OR_3L],TEAMS_GbG[[TM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FK13" s="18">
        <f>IF($D13=0,"DNP",SUMIFS(TEAMS_GbG[OPP OR_FT],TEAMS_GbG[[TM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L13" s="18">
        <f>IF($D13=0,"DNP",SUMIFS(TEAMS_GbG[OPP TM OR_FT],TEAMS_GbG[[TM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M13" s="18">
        <f>IF($D13=0,"DNP",SUMIFS(TEAMS_GbG[OPP DR_RIM],TEAMS_GbG[[TM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1.8888888888888888</v>
      </c>
      <c r="FN13" s="18">
        <f>IF($D13=0,"DNP",SUMIFS(TEAMS_GbG[OPP TM DR_RIM],TEAMS_GbG[[TM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FO13" s="18">
        <f>IF($D13=0,"DNP",SUMIFS(TEAMS_GbG[OPP DR_PAINT],TEAMS_GbG[[TM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4.2222222222222223</v>
      </c>
      <c r="FP13" s="18">
        <f>IF($D13=0,"DNP",SUMIFS(TEAMS_GbG[OPP TM DR_PAINT],TEAMS_GbG[[TM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Q13" s="18">
        <f>IF($D13=0,"DNP",SUMIFS(TEAMS_GbG[OPP DR_NP2],TEAMS_GbG[[TM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4.2222222222222223</v>
      </c>
      <c r="FR13" s="18">
        <f>IF($D13=0,"DNP",SUMIFS(TEAMS_GbG[OPP TM DR_NP2],TEAMS_GbG[[TM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FS13" s="18">
        <f>IF($D13=0,"DNP",SUMIFS(TEAMS_GbG[OPP DR_3C],TEAMS_GbG[[TM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FT13" s="18">
        <f>IF($D13=0,"DNP",SUMIFS(TEAMS_GbG[OPP TM DR_3C],TEAMS_GbG[[TM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U13" s="18">
        <f>IF($D13=0,"DNP",SUMIFS(TEAMS_GbG[OPP DR_3L],TEAMS_GbG[[TM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8.4444444444444446</v>
      </c>
      <c r="FV13" s="18">
        <f>IF($D13=0,"DNP",SUMIFS(TEAMS_GbG[OPP TM DR_3L],TEAMS_GbG[[TM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</v>
      </c>
      <c r="FW13" s="18">
        <f>IF($D13=0,"DNP",SUMIFS(TEAMS_GbG[OPP DR_FT],TEAMS_GbG[[TM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</v>
      </c>
      <c r="FX13" s="18">
        <f>IF($D13=0,"DNP",SUMIFS(TEAMS_GbG[OPP TM DR_FT],TEAMS_GbG[[TM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Y13" s="18">
        <f>IF($D13=0,"DNP",SUMIFS(TEAMS_GbG[OPP FTM_T],TEAMS_GbG[[TM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FZ13" s="18">
        <f>IF($D13=0,"DNP",SUMIFS(TEAMS_GbG[OPP FTA_T],TEAMS_GbG[[TM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0.22222222222222221</v>
      </c>
      <c r="GA13" s="18">
        <f>IF($D13=0,"DNP",SUMIFS(TEAMS_GbG[OPP FTM_1],TEAMS_GbG[[TM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GB13" s="18">
        <f>IF($D13=0,"DNP",SUMIFS(TEAMS_GbG[OPP FTA_1],TEAMS_GbG[[TM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1.7777777777777777</v>
      </c>
      <c r="GC13" s="18">
        <f>IF($D13=0,"DNP",SUMIFS(TEAMS_GbG[OPP FTM_2],TEAMS_GbG[[TM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10.666666666666666</v>
      </c>
      <c r="GD13" s="18">
        <f>IF($D13=0,"DNP",SUMIFS(TEAMS_GbG[OPP FTA_2],TEAMS_GbG[[TM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13.777777777777779</v>
      </c>
      <c r="GE13" s="18">
        <f>IF($D13=0,"DNP",SUMIFS(TEAMS_GbG[OPP FT 0/2],TEAMS_GbG[[TM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GF13" s="18">
        <f>IF($D13=0,"DNP",SUMIFS(TEAMS_GbG[OPP FTM_3],TEAMS_GbG[[TM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GG13" s="18">
        <f>IF($D13=0,"DNP",SUMIFS(TEAMS_GbG[OPP FTA_3],TEAMS_GbG[[TM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GH13" s="18">
        <f>IF($D13=0,"DNP",SUMIFS(TEAMS_GbG[OPP FT 0/3],TEAMS_GbG[[TM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GI13" s="18">
        <f>IF($D13=0,"DNP",SUMIFS(TEAMS_GbG[OPP RIM_M],TEAMS_GbG[[TM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10</v>
      </c>
      <c r="GJ13" s="18">
        <f>IF($D13=0,"DNP",SUMIFS(TEAMS_GbG[OPP RIM_A],TEAMS_GbG[[TM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12.333333333333334</v>
      </c>
      <c r="GK13" s="18">
        <f>IF($D13=0,"DNP",SUMIFS(TEAMS_GbG[OPP PAINT_M],TEAMS_GbG[[TM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6.5555555555555554</v>
      </c>
      <c r="GL13" s="18">
        <f>IF($D13=0,"DNP",SUMIFS(TEAMS_GbG[OPP PAINT_A],TEAMS_GbG[[TM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15.444444444444445</v>
      </c>
      <c r="GM13" s="18">
        <f>IF($D13=0,"DNP",SUMIFS(TEAMS_GbG[OPP MID_M],TEAMS_GbG[[TM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2.5555555555555554</v>
      </c>
      <c r="GN13" s="18">
        <f>IF($D13=0,"DNP",SUMIFS(TEAMS_GbG[OPP MID_A],TEAMS_GbG[[TM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7.666666666666667</v>
      </c>
      <c r="GO13" s="18">
        <f>IF($D13=0,"DNP",SUMIFS(TEAMS_GbG[OPP 3C_M],TEAMS_GbG[[TM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1.1111111111111112</v>
      </c>
      <c r="GP13" s="18">
        <f>IF($D13=0,"DNP",SUMIFS(TEAMS_GbG[OPP 3C_A],TEAMS_GbG[[TM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2.2222222222222223</v>
      </c>
      <c r="GQ13" s="18">
        <f>IF($D13=0,"DNP",SUMIFS(TEAMS_GbG[OPP 3L_M],TEAMS_GbG[[TM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7.666666666666667</v>
      </c>
      <c r="GR13" s="18">
        <f>IF($D13=0,"DNP",SUMIFS(TEAMS_GbG[OPP 3L_A],TEAMS_GbG[[TM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21.333333333333332</v>
      </c>
      <c r="GS13" s="18">
        <f>IF($D13=0,"DNP",SUMIFS(TEAMS_GbG[OPP 3H_M],TEAMS_GbG[[TM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GT13" s="18">
        <f>IF($D13=0,"DNP",SUMIFS(TEAMS_GbG[OPP 3H_A],TEAMS_GbG[[TM NAME]:[TM NAME]],$C13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GU13" s="16">
        <f ca="1">IF(TEAMS_STATS[[#This Row],[TM NAME]]="","",INDEX(SoS!$C$113:$C$144,MATCH(TEAMS_STATS[[#This Row],[TM NAME]],SoS!$B$113:$B$144,0)))</f>
        <v>0.53491512345679004</v>
      </c>
    </row>
    <row r="14" spans="2:203" ht="15" customHeight="1" x14ac:dyDescent="0.25">
      <c r="B14" s="12">
        <f>_xlfn.AGGREGATE(3,5,$C$7:C13)</f>
        <v>7</v>
      </c>
      <c r="C14" s="14" t="str">
        <f>BASIS_INFO!F9</f>
        <v>FC Barcelona</v>
      </c>
      <c r="D14" s="20">
        <f>COUNTIFS(TEAMS_GbG[[TM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4" s="20">
        <f>COUNTIFS(TEAMS_GbG[[TM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7</v>
      </c>
      <c r="F14" s="20">
        <f>COUNTIFS(TEAMS_GbG[[TM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2</v>
      </c>
      <c r="G14" s="18">
        <f>IF($D14=0,"DNP",SUMIFS(TEAMS_GbG[MIN],TEAMS_GbG[[TM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200</v>
      </c>
      <c r="H14" s="18">
        <f>IF($D14=0,"DNP",SUMIFS(TEAMS_GbG[PTS],TEAMS_GbG[[TM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81.444444444444443</v>
      </c>
      <c r="I14" s="18">
        <f>IF($D14=0,"DNP",SUMIFS(TEAMS_GbG[2PTM],TEAMS_GbG[[TM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21.222222222222221</v>
      </c>
      <c r="J14" s="18">
        <f>IF($D14=0,"DNP",SUMIFS(TEAMS_GbG[2PTA],TEAMS_GbG[[TM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39.111111111111114</v>
      </c>
      <c r="K14" s="16">
        <f t="shared" si="38"/>
        <v>0.54261363636363635</v>
      </c>
      <c r="L14" s="18">
        <f>IF($D14=0,"DNP",SUMIFS(TEAMS_GbG[3PTM],TEAMS_GbG[[TM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8.7777777777777786</v>
      </c>
      <c r="M14" s="18">
        <f>IF($D14=0,"DNP",SUMIFS(TEAMS_GbG[3PTA],TEAMS_GbG[[TM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24.888888888888889</v>
      </c>
      <c r="N14" s="16">
        <f t="shared" si="39"/>
        <v>0.35267857142857145</v>
      </c>
      <c r="O14" s="18">
        <f>IF($D14=0,"DNP",SUMIFS(TEAMS_GbG[FGM],TEAMS_GbG[[TM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30</v>
      </c>
      <c r="P14" s="18">
        <f>IF($D14=0,"DNP",SUMIFS(TEAMS_GbG[FGA],TEAMS_GbG[[TM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64</v>
      </c>
      <c r="Q14" s="16">
        <f t="shared" si="40"/>
        <v>0.46875</v>
      </c>
      <c r="R14" s="18">
        <f>IF($D14=0,"DNP",SUMIFS(TEAMS_GbG[FTM],TEAMS_GbG[[TM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12.666666666666666</v>
      </c>
      <c r="S14" s="18">
        <f>IF($D14=0,"DNP",SUMIFS(TEAMS_GbG[FTA],TEAMS_GbG[[TM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17</v>
      </c>
      <c r="T14" s="16">
        <f t="shared" si="41"/>
        <v>0.74509803921568629</v>
      </c>
      <c r="U14" s="18">
        <f>IF($D14=0,"DNP",SUMIFS(TEAMS_GbG[OR],TEAMS_GbG[[TM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11.222222222222221</v>
      </c>
      <c r="V14" s="18">
        <f>IF($D14=0,"DNP",SUMIFS(TEAMS_GbG[DR],TEAMS_GbG[[TM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26.666666666666668</v>
      </c>
      <c r="W14" s="18">
        <f>IF($D14=0,"DNP",SUMIFS(TEAMS_GbG[TR],TEAMS_GbG[[TM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37.888888888888886</v>
      </c>
      <c r="X14" s="18">
        <f>IF($D14=0,"DNP",SUMIFS(TEAMS_GbG[AST],TEAMS_GbG[[TM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18.111111111111111</v>
      </c>
      <c r="Y14" s="18">
        <f>IF($D14=0,"DNP",SUMIFS(TEAMS_GbG[TO],TEAMS_GbG[[TM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11.222222222222221</v>
      </c>
      <c r="Z14" s="18">
        <f>IF($D14=0,"DNP",SUMIFS(TEAMS_GbG[ST],TEAMS_GbG[[TM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</v>
      </c>
      <c r="AA14" s="18">
        <f>IF($D14=0,"DNP",SUMIFS(TEAMS_GbG[BLK],TEAMS_GbG[[TM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3.1111111111111112</v>
      </c>
      <c r="AB14" s="18">
        <f>IF($D14=0,"DNP",SUMIFS(TEAMS_GbG[BLKA],TEAMS_GbG[[TM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1.2222222222222223</v>
      </c>
      <c r="AC14" s="18">
        <f>IF($D14=0,"DNP",SUMIFS(TEAMS_GbG[PF],TEAMS_GbG[[TM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18.333333333333332</v>
      </c>
      <c r="AD14" s="18">
        <f>IF($D14=0,"DNP",SUMIFS(TEAMS_GbG[DF],TEAMS_GbG[[TM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19.222222222222221</v>
      </c>
      <c r="AE14" s="18">
        <f>IF($D14=0,"DNP",SUMIFS(TEAMS_GbG[VAL],TEAMS_GbG[[TM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96.666666666666671</v>
      </c>
      <c r="AF14" s="18">
        <f>IF($D14=0,"DNP",SUMIFS(TEAMS_GbG[+ / -],TEAMS_GbG[[TM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7.4444444444444446</v>
      </c>
      <c r="AG14" s="26">
        <f t="shared" si="0"/>
        <v>71.333333333333329</v>
      </c>
      <c r="AH14" s="18">
        <f>IF($D14=0,"DNP",SUMIFS(TEAMS_GbG[POSS],TEAMS_GbG[[TM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71.333333333333329</v>
      </c>
      <c r="AI14" s="18">
        <f>IF($D14=0,"DNP",SUMIFS(TEAMS_GbG[SHOOTING CHANCES],TEAMS_GbG[[TM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82.666666666666671</v>
      </c>
      <c r="AJ14" s="19">
        <f t="shared" si="1"/>
        <v>0.98521505376344076</v>
      </c>
      <c r="AK14" s="19">
        <f t="shared" si="2"/>
        <v>0.90121786197564269</v>
      </c>
      <c r="AL14" s="18">
        <f t="shared" si="3"/>
        <v>114.17445482866044</v>
      </c>
      <c r="AM14" s="18">
        <f t="shared" si="4"/>
        <v>105.21327014218009</v>
      </c>
      <c r="AN14" s="18">
        <f t="shared" si="42"/>
        <v>8.961184686480351</v>
      </c>
      <c r="AO14" s="27">
        <f t="shared" si="5"/>
        <v>0.53732638888888884</v>
      </c>
      <c r="AP14" s="28">
        <f t="shared" si="6"/>
        <v>0.56998444790046643</v>
      </c>
      <c r="AQ14" s="34">
        <f t="shared" si="7"/>
        <v>9.4086021505376344E-2</v>
      </c>
      <c r="AR14" s="38">
        <f t="shared" si="8"/>
        <v>1.6285714285714286</v>
      </c>
      <c r="AS14" s="27">
        <f t="shared" si="9"/>
        <v>0.30510752688172038</v>
      </c>
      <c r="AT14" s="38">
        <f t="shared" si="10"/>
        <v>0.96035242290748901</v>
      </c>
      <c r="AU14" s="27">
        <f t="shared" si="11"/>
        <v>7.3924731182795689E-2</v>
      </c>
      <c r="AV14" s="38">
        <f t="shared" si="12"/>
        <v>0.90909090909090917</v>
      </c>
      <c r="AW14" s="27">
        <f t="shared" si="13"/>
        <v>3.2258064516129031E-2</v>
      </c>
      <c r="AX14" s="38">
        <f t="shared" si="14"/>
        <v>1.5</v>
      </c>
      <c r="AY14" s="27">
        <f t="shared" si="15"/>
        <v>0.2661290322580645</v>
      </c>
      <c r="AZ14" s="38">
        <f t="shared" si="16"/>
        <v>1.0151515151515154</v>
      </c>
      <c r="BA14" s="28">
        <f t="shared" si="17"/>
        <v>9.0053763440860218E-2</v>
      </c>
      <c r="BB14" s="34">
        <f t="shared" si="18"/>
        <v>0.13593539703903096</v>
      </c>
      <c r="BC14" s="27">
        <f t="shared" si="19"/>
        <v>0.48942598187311176</v>
      </c>
      <c r="BD14" s="27">
        <f t="shared" si="20"/>
        <v>0.43455497382198949</v>
      </c>
      <c r="BE14" s="27">
        <f t="shared" si="21"/>
        <v>0.81012658227848089</v>
      </c>
      <c r="BF14" s="27">
        <f t="shared" si="22"/>
        <v>0.24590163934426232</v>
      </c>
      <c r="BG14" s="27">
        <f t="shared" si="23"/>
        <v>0.21938088829071337</v>
      </c>
      <c r="BH14" s="35">
        <f t="shared" si="24"/>
        <v>1.613861386138614</v>
      </c>
      <c r="BI14" s="49">
        <f t="shared" si="25"/>
        <v>0.31861198738170343</v>
      </c>
      <c r="BJ14" s="45">
        <f t="shared" si="26"/>
        <v>0.32926829268292684</v>
      </c>
      <c r="BK14" s="45">
        <f t="shared" si="27"/>
        <v>0.32499999999999996</v>
      </c>
      <c r="BL14" s="45">
        <f t="shared" si="28"/>
        <v>0.11764705882352941</v>
      </c>
      <c r="BM14" s="45">
        <f t="shared" si="29"/>
        <v>0.69565217391304346</v>
      </c>
      <c r="BN14" s="45">
        <f t="shared" si="30"/>
        <v>0.61881188118811881</v>
      </c>
      <c r="BO14" s="45">
        <f t="shared" si="31"/>
        <v>0.70886075949367078</v>
      </c>
      <c r="BP14" s="45">
        <f t="shared" si="32"/>
        <v>0.70833333333333326</v>
      </c>
      <c r="BQ14" s="46">
        <f t="shared" si="33"/>
        <v>0.51510574018126898</v>
      </c>
      <c r="BR14" s="49">
        <f t="shared" si="34"/>
        <v>8.5308056872037921E-2</v>
      </c>
      <c r="BS14" s="45">
        <f t="shared" si="35"/>
        <v>4.8109965635738827E-2</v>
      </c>
      <c r="BT14" s="39">
        <f>IF($D14=0,"DNP",SUMIFS(TEAMS_GbG[KILLS],TEAMS_GbG[[TM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5.5555555555555554</v>
      </c>
      <c r="BU14" s="34">
        <f t="shared" si="36"/>
        <v>0.46060606060606063</v>
      </c>
      <c r="BV14" s="28">
        <f t="shared" si="37"/>
        <v>0.47398843930635837</v>
      </c>
      <c r="BW14" s="18">
        <f>IF($D14=0,"DNP",SUMIFS(TEAMS_GbG[ASTED_2FG],TEAMS_GbG[[TM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9.2222222222222214</v>
      </c>
      <c r="BX14" s="18">
        <f>IF($D14=0,"DNP",SUMIFS(TEAMS_GbG[ASTED_3FG],TEAMS_GbG[[TM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7.1111111111111107</v>
      </c>
      <c r="BY14" s="18">
        <f>IF($D14=0,"DNP",SUMIFS(TEAMS_GbG[ASTED_FT],TEAMS_GbG[[TM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1.6666666666666667</v>
      </c>
      <c r="BZ14" s="18">
        <f>IF($D14=0,"DNP",SUMIFS(TEAMS_GbG[ASTED_FT PTS],TEAMS_GbG[[TM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2.8888888888888888</v>
      </c>
      <c r="CA14" s="18">
        <f>IF($D14=0,"DNP",SUMIFS(TEAMS_GbG[OR_RIM],TEAMS_GbG[[TM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CB14" s="18">
        <f>IF($D14=0,"DNP",SUMIFS(TEAMS_GbG[TM OR_RIM],TEAMS_GbG[[TM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CC14" s="18">
        <f>IF($D14=0,"DNP",SUMIFS(TEAMS_GbG[OR_PAINT],TEAMS_GbG[[TM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3.8888888888888888</v>
      </c>
      <c r="CD14" s="18">
        <f>IF($D14=0,"DNP",SUMIFS(TEAMS_GbG[TM OR_PAINT],TEAMS_GbG[[TM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CE14" s="18">
        <f>IF($D14=0,"DNP",SUMIFS(TEAMS_GbG[OR_NP2],TEAMS_GbG[[TM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1.2222222222222223</v>
      </c>
      <c r="CF14" s="18">
        <f>IF($D14=0,"DNP",SUMIFS(TEAMS_GbG[TM OR_NP2],TEAMS_GbG[[TM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CG14" s="18">
        <f>IF($D14=0,"DNP",SUMIFS(TEAMS_GbG[OR_3C],TEAMS_GbG[[TM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0.33333333333333331</v>
      </c>
      <c r="CH14" s="18">
        <f>IF($D14=0,"DNP",SUMIFS(TEAMS_GbG[TM OR_3C],TEAMS_GbG[[TM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CI14" s="18">
        <f>IF($D14=0,"DNP",SUMIFS(TEAMS_GbG[OR_3L],TEAMS_GbG[[TM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4.666666666666667</v>
      </c>
      <c r="CJ14" s="18">
        <f>IF($D14=0,"DNP",SUMIFS(TEAMS_GbG[TM OR_3L],TEAMS_GbG[[TM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0.77777777777777779</v>
      </c>
      <c r="CK14" s="18">
        <f>IF($D14=0,"DNP",SUMIFS(TEAMS_GbG[OR_FT],TEAMS_GbG[[TM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CL14" s="18">
        <f>IF($D14=0,"DNP",SUMIFS(TEAMS_GbG[TM OR_FT],TEAMS_GbG[[TM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CM14" s="18">
        <f>IF($D14=0,"DNP",SUMIFS(TEAMS_GbG[DR_RIM],TEAMS_GbG[[TM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CN14" s="18">
        <f>IF($D14=0,"DNP",SUMIFS(TEAMS_GbG[TM DR_RIM],TEAMS_GbG[[TM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CO14" s="18">
        <f>IF($D14=0,"DNP",SUMIFS(TEAMS_GbG[DR_PAINT],TEAMS_GbG[[TM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</v>
      </c>
      <c r="CP14" s="18">
        <f>IF($D14=0,"DNP",SUMIFS(TEAMS_GbG[TM DR_PAINT],TEAMS_GbG[[TM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CQ14" s="18">
        <f>IF($D14=0,"DNP",SUMIFS(TEAMS_GbG[DR_NP2],TEAMS_GbG[[TM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2.8888888888888888</v>
      </c>
      <c r="CR14" s="18">
        <f>IF($D14=0,"DNP",SUMIFS(TEAMS_GbG[TM DR_NP2],TEAMS_GbG[[TM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CS14" s="18">
        <f>IF($D14=0,"DNP",SUMIFS(TEAMS_GbG[DR_3C],TEAMS_GbG[[TM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0.77777777777777779</v>
      </c>
      <c r="CT14" s="18">
        <f>IF($D14=0,"DNP",SUMIFS(TEAMS_GbG[TM DR_3C],TEAMS_GbG[[TM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CU14" s="18">
        <f>IF($D14=0,"DNP",SUMIFS(TEAMS_GbG[DR_3L],TEAMS_GbG[[TM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10.777777777777779</v>
      </c>
      <c r="CV14" s="18">
        <f>IF($D14=0,"DNP",SUMIFS(TEAMS_GbG[TM DR_3L],TEAMS_GbG[[TM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0.88888888888888884</v>
      </c>
      <c r="CW14" s="18">
        <f>IF($D14=0,"DNP",SUMIFS(TEAMS_GbG[DR_FT],TEAMS_GbG[[TM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1.6666666666666667</v>
      </c>
      <c r="CX14" s="18">
        <f>IF($D14=0,"DNP",SUMIFS(TEAMS_GbG[TM DR_FT],TEAMS_GbG[[TM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CY14" s="18">
        <f>IF($D14=0,"DNP",SUMIFS(TEAMS_GbG[FTM_T],TEAMS_GbG[[TM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CZ14" s="18">
        <f>IF($D14=0,"DNP",SUMIFS(TEAMS_GbG[FTA_T],TEAMS_GbG[[TM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DA14" s="18">
        <f>IF($D14=0,"DNP",SUMIFS(TEAMS_GbG[FTM_1],TEAMS_GbG[[TM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DB14" s="18">
        <f>IF($D14=0,"DNP",SUMIFS(TEAMS_GbG[FTA_1],TEAMS_GbG[[TM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1.6666666666666667</v>
      </c>
      <c r="DC14" s="18">
        <f>IF($D14=0,"DNP",SUMIFS(TEAMS_GbG[FTM_2],TEAMS_GbG[[TM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11.111111111111111</v>
      </c>
      <c r="DD14" s="18">
        <f>IF($D14=0,"DNP",SUMIFS(TEAMS_GbG[FTA_2],TEAMS_GbG[[TM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14.444444444444445</v>
      </c>
      <c r="DE14" s="18">
        <f>IF($D14=0,"DNP",SUMIFS(TEAMS_GbG[FT 0/2],TEAMS_GbG[[TM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DF14" s="18">
        <f>IF($D14=0,"DNP",SUMIFS(TEAMS_GbG[FTM_3],TEAMS_GbG[[TM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DG14" s="18">
        <f>IF($D14=0,"DNP",SUMIFS(TEAMS_GbG[FTA_3],TEAMS_GbG[[TM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DH14" s="18">
        <f>IF($D14=0,"DNP",SUMIFS(TEAMS_GbG[FT 0/3],TEAMS_GbG[[TM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DI14" s="18">
        <f>IF($D14=0,"DNP",SUMIFS(TEAMS_GbG[RIM_M],TEAMS_GbG[[TM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6.333333333333333</v>
      </c>
      <c r="DJ14" s="18">
        <f>IF($D14=0,"DNP",SUMIFS(TEAMS_GbG[RIM_A],TEAMS_GbG[[TM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7.7777777777777777</v>
      </c>
      <c r="DK14" s="18">
        <f>IF($D14=0,"DNP",SUMIFS(TEAMS_GbG[PAINT_M],TEAMS_GbG[[TM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12.111111111111111</v>
      </c>
      <c r="DL14" s="18">
        <f>IF($D14=0,"DNP",SUMIFS(TEAMS_GbG[PAINT_A],TEAMS_GbG[[TM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25.222222222222221</v>
      </c>
      <c r="DM14" s="18">
        <f>IF($D14=0,"DNP",SUMIFS(TEAMS_GbG[MID_M],TEAMS_GbG[[TM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2.7777777777777777</v>
      </c>
      <c r="DN14" s="18">
        <f>IF($D14=0,"DNP",SUMIFS(TEAMS_GbG[MID_A],TEAMS_GbG[[TM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6.1111111111111107</v>
      </c>
      <c r="DO14" s="18">
        <f>IF($D14=0,"DNP",SUMIFS(TEAMS_GbG[3C_M],TEAMS_GbG[[TM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1.3333333333333333</v>
      </c>
      <c r="DP14" s="18">
        <f>IF($D14=0,"DNP",SUMIFS(TEAMS_GbG[3C_A],TEAMS_GbG[[TM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2.6666666666666665</v>
      </c>
      <c r="DQ14" s="18">
        <f>IF($D14=0,"DNP",SUMIFS(TEAMS_GbG[3L_M],TEAMS_GbG[[TM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7.4444444444444446</v>
      </c>
      <c r="DR14" s="18">
        <f>IF($D14=0,"DNP",SUMIFS(TEAMS_GbG[3L_A],TEAMS_GbG[[TM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22</v>
      </c>
      <c r="DS14" s="18">
        <f>IF($D14=0,"DNP",SUMIFS(TEAMS_GbG[3H_M],TEAMS_GbG[[TM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DT14" s="18">
        <f>IF($D14=0,"DNP",SUMIFS(TEAMS_GbG[3H_A],TEAMS_GbG[[TM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DU14" s="18">
        <f>IF($D14=0,"DNP",SUMIFS(TEAMS_GbG[OPP PTS],TEAMS_GbG[[TM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74</v>
      </c>
      <c r="DV14" s="18">
        <f>IF($D14=0,"DNP",SUMIFS(TEAMS_GbG[OPP 2PTM],TEAMS_GbG[[TM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20.444444444444443</v>
      </c>
      <c r="DW14" s="18">
        <f>IF($D14=0,"DNP",SUMIFS(TEAMS_GbG[OPP 2PTA],TEAMS_GbG[[TM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40.555555555555557</v>
      </c>
      <c r="DX14" s="16">
        <f t="shared" si="43"/>
        <v>0.50410958904109582</v>
      </c>
      <c r="DY14" s="18">
        <f>IF($D14=0,"DNP",SUMIFS(TEAMS_GbG[OPP 3PTM],TEAMS_GbG[[TM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7.333333333333333</v>
      </c>
      <c r="DZ14" s="18">
        <f>IF($D14=0,"DNP",SUMIFS(TEAMS_GbG[OPP 3PTA],TEAMS_GbG[[TM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24.111111111111111</v>
      </c>
      <c r="EA14" s="16">
        <f t="shared" si="44"/>
        <v>0.30414746543778803</v>
      </c>
      <c r="EB14" s="18">
        <f>IF($D14=0,"DNP",SUMIFS(TEAMS_GbG[OPP FGM],TEAMS_GbG[[TM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27.777777777777779</v>
      </c>
      <c r="EC14" s="18">
        <f>IF($D14=0,"DNP",SUMIFS(TEAMS_GbG[OPP FGA],TEAMS_GbG[[TM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64.666666666666671</v>
      </c>
      <c r="ED14" s="16">
        <f t="shared" si="45"/>
        <v>0.42955326460481097</v>
      </c>
      <c r="EE14" s="18">
        <f>IF($D14=0,"DNP",SUMIFS(TEAMS_GbG[OPP FTM],TEAMS_GbG[[TM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11.111111111111111</v>
      </c>
      <c r="EF14" s="18">
        <f>IF($D14=0,"DNP",SUMIFS(TEAMS_GbG[OPP FTA],TEAMS_GbG[[TM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15.222222222222221</v>
      </c>
      <c r="EG14" s="16">
        <f t="shared" si="46"/>
        <v>0.72992700729927007</v>
      </c>
      <c r="EH14" s="18">
        <f>IF($D14=0,"DNP",SUMIFS(TEAMS_GbG[OPP OR],TEAMS_GbG[[TM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11.666666666666666</v>
      </c>
      <c r="EI14" s="18">
        <f>IF($D14=0,"DNP",SUMIFS(TEAMS_GbG[OPP DR],TEAMS_GbG[[TM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24</v>
      </c>
      <c r="EJ14" s="18">
        <f>IF($D14=0,"DNP",SUMIFS(TEAMS_GbG[OPP TR],TEAMS_GbG[[TM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35.666666666666664</v>
      </c>
      <c r="EK14" s="18">
        <f>IF($D14=0,"DNP",SUMIFS(TEAMS_GbG[OPP AST],TEAMS_GbG[[TM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16.222222222222221</v>
      </c>
      <c r="EL14" s="18">
        <f>IF($D14=0,"DNP",SUMIFS(TEAMS_GbG[OPP PF],TEAMS_GbG[[TM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19.555555555555557</v>
      </c>
      <c r="EM14" s="18">
        <f>IF($D14=0,"DNP",SUMIFS(TEAMS_GbG[OPP DF],TEAMS_GbG[[TM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18.111111111111111</v>
      </c>
      <c r="EN14" s="18">
        <f>IF($D14=0,"DNP",SUMIFS(TEAMS_GbG[OPP ST],TEAMS_GbG[[TM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</v>
      </c>
      <c r="EO14" s="18">
        <f>IF($D14=0,"DNP",SUMIFS(TEAMS_GbG[OPP TO],TEAMS_GbG[[TM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11.555555555555555</v>
      </c>
      <c r="EP14" s="18">
        <f>IF($D14=0,"DNP",SUMIFS(TEAMS_GbG[OPP BLK],TEAMS_GbG[[TM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1.2222222222222223</v>
      </c>
      <c r="EQ14" s="18">
        <f>IF($D14=0,"DNP",SUMIFS(TEAMS_GbG[OPP BLKA],TEAMS_GbG[[TM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3.1111111111111112</v>
      </c>
      <c r="ER14" s="18">
        <f>IF($D14=0,"DNP",SUMIFS(TEAMS_GbG[OPP VAL],TEAMS_GbG[[TM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76</v>
      </c>
      <c r="ES14" s="18">
        <f>IF($D14=0,"DNP",SUMIFS(TEAMS_GbG[OPP + / -],TEAMS_GbG[[TM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-7.4444444444444446</v>
      </c>
      <c r="ET14" s="18">
        <f>IF($D14=0,"DNP",SUMIFS(TEAMS_GbG[OPP POSS],TEAMS_GbG[[TM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70.333333333333329</v>
      </c>
      <c r="EU14" s="18">
        <f>IF($D14=0,"DNP",SUMIFS(TEAMS_GbG[OPP SHOOTING CHANCES],TEAMS_GbG[[TM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82.111111111111114</v>
      </c>
      <c r="EV14" s="18">
        <f>IF($D14=0,"DNP",SUMIFS(TEAMS_GbG[OPP KILLS],TEAMS_GbG[[TM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4.8888888888888893</v>
      </c>
      <c r="EW14" s="18">
        <f>IF($D14=0,"DNP",SUMIFS(TEAMS_GbG[OPP ASTED_2FG],TEAMS_GbG[[TM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9.6666666666666661</v>
      </c>
      <c r="EX14" s="18">
        <f>IF($D14=0,"DNP",SUMIFS(TEAMS_GbG[OPP ASTED_3FG],TEAMS_GbG[[TM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5.333333333333333</v>
      </c>
      <c r="EY14" s="18">
        <f>IF($D14=0,"DNP",SUMIFS(TEAMS_GbG[OPP ASTED_FT],TEAMS_GbG[[TM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EZ14" s="18">
        <f>IF($D14=0,"DNP",SUMIFS(TEAMS_GbG[OPP ASTED_FT PTS],TEAMS_GbG[[TM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1.7777777777777777</v>
      </c>
      <c r="FA14" s="18">
        <f>IF($D14=0,"DNP",SUMIFS(TEAMS_GbG[OPP OR_RIM],TEAMS_GbG[[TM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FB14" s="18">
        <f>IF($D14=0,"DNP",SUMIFS(TEAMS_GbG[OPP TM OR_RIM],TEAMS_GbG[[TM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0.55555555555555558</v>
      </c>
      <c r="FC14" s="18">
        <f>IF($D14=0,"DNP",SUMIFS(TEAMS_GbG[OPP OR_PAINT],TEAMS_GbG[[TM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5</v>
      </c>
      <c r="FD14" s="18">
        <f>IF($D14=0,"DNP",SUMIFS(TEAMS_GbG[OPP TM OR_PAINT],TEAMS_GbG[[TM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</v>
      </c>
      <c r="FE14" s="18">
        <f>IF($D14=0,"DNP",SUMIFS(TEAMS_GbG[OPP OR_NP2],TEAMS_GbG[[TM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FF14" s="18">
        <f>IF($D14=0,"DNP",SUMIFS(TEAMS_GbG[OPP TM OR_NP2],TEAMS_GbG[[TM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FG14" s="18">
        <f>IF($D14=0,"DNP",SUMIFS(TEAMS_GbG[OPP OR_3C],TEAMS_GbG[[TM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0.33333333333333331</v>
      </c>
      <c r="FH14" s="18">
        <f>IF($D14=0,"DNP",SUMIFS(TEAMS_GbG[OPP TM OR_3C],TEAMS_GbG[[TM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0.1111111111111111</v>
      </c>
      <c r="FI14" s="18">
        <f>IF($D14=0,"DNP",SUMIFS(TEAMS_GbG[OPP OR_3L],TEAMS_GbG[[TM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4</v>
      </c>
      <c r="FJ14" s="18">
        <f>IF($D14=0,"DNP",SUMIFS(TEAMS_GbG[OPP TM OR_3L],TEAMS_GbG[[TM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FK14" s="18">
        <f>IF($D14=0,"DNP",SUMIFS(TEAMS_GbG[OPP OR_FT],TEAMS_GbG[[TM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0.55555555555555558</v>
      </c>
      <c r="FL14" s="18">
        <f>IF($D14=0,"DNP",SUMIFS(TEAMS_GbG[OPP TM OR_FT],TEAMS_GbG[[TM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FM14" s="18">
        <f>IF($D14=0,"DNP",SUMIFS(TEAMS_GbG[OPP DR_RIM],TEAMS_GbG[[TM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0.77777777777777779</v>
      </c>
      <c r="FN14" s="18">
        <f>IF($D14=0,"DNP",SUMIFS(TEAMS_GbG[OPP TM DR_RIM],TEAMS_GbG[[TM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FO14" s="18">
        <f>IF($D14=0,"DNP",SUMIFS(TEAMS_GbG[OPP DR_PAINT],TEAMS_GbG[[TM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8.6666666666666661</v>
      </c>
      <c r="FP14" s="18">
        <f>IF($D14=0,"DNP",SUMIFS(TEAMS_GbG[OPP TM DR_PAINT],TEAMS_GbG[[TM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FQ14" s="18">
        <f>IF($D14=0,"DNP",SUMIFS(TEAMS_GbG[OPP DR_NP2],TEAMS_GbG[[TM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</v>
      </c>
      <c r="FR14" s="18">
        <f>IF($D14=0,"DNP",SUMIFS(TEAMS_GbG[OPP TM DR_NP2],TEAMS_GbG[[TM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0.1111111111111111</v>
      </c>
      <c r="FS14" s="18">
        <f>IF($D14=0,"DNP",SUMIFS(TEAMS_GbG[OPP DR_3C],TEAMS_GbG[[TM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</v>
      </c>
      <c r="FT14" s="18">
        <f>IF($D14=0,"DNP",SUMIFS(TEAMS_GbG[OPP TM DR_3C],TEAMS_GbG[[TM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0.1111111111111111</v>
      </c>
      <c r="FU14" s="18">
        <f>IF($D14=0,"DNP",SUMIFS(TEAMS_GbG[OPP DR_3L],TEAMS_GbG[[TM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9.8888888888888893</v>
      </c>
      <c r="FV14" s="18">
        <f>IF($D14=0,"DNP",SUMIFS(TEAMS_GbG[OPP TM DR_3L],TEAMS_GbG[[TM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</v>
      </c>
      <c r="FW14" s="18">
        <f>IF($D14=0,"DNP",SUMIFS(TEAMS_GbG[OPP DR_FT],TEAMS_GbG[[TM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1.5555555555555556</v>
      </c>
      <c r="FX14" s="18">
        <f>IF($D14=0,"DNP",SUMIFS(TEAMS_GbG[OPP TM DR_FT],TEAMS_GbG[[TM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0.1111111111111111</v>
      </c>
      <c r="FY14" s="18">
        <f>IF($D14=0,"DNP",SUMIFS(TEAMS_GbG[OPP FTM_T],TEAMS_GbG[[TM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0.55555555555555558</v>
      </c>
      <c r="FZ14" s="18">
        <f>IF($D14=0,"DNP",SUMIFS(TEAMS_GbG[OPP FTA_T],TEAMS_GbG[[TM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0.55555555555555558</v>
      </c>
      <c r="GA14" s="18">
        <f>IF($D14=0,"DNP",SUMIFS(TEAMS_GbG[OPP FTM_1],TEAMS_GbG[[TM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1.3333333333333333</v>
      </c>
      <c r="GB14" s="18">
        <f>IF($D14=0,"DNP",SUMIFS(TEAMS_GbG[OPP FTA_1],TEAMS_GbG[[TM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2.5555555555555554</v>
      </c>
      <c r="GC14" s="18">
        <f>IF($D14=0,"DNP",SUMIFS(TEAMS_GbG[OPP FTM_2],TEAMS_GbG[[TM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8.5555555555555554</v>
      </c>
      <c r="GD14" s="18">
        <f>IF($D14=0,"DNP",SUMIFS(TEAMS_GbG[OPP FTA_2],TEAMS_GbG[[TM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11.111111111111111</v>
      </c>
      <c r="GE14" s="18">
        <f>IF($D14=0,"DNP",SUMIFS(TEAMS_GbG[OPP FT 0/2],TEAMS_GbG[[TM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0.33333333333333331</v>
      </c>
      <c r="GF14" s="18">
        <f>IF($D14=0,"DNP",SUMIFS(TEAMS_GbG[OPP FTM_3],TEAMS_GbG[[TM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GG14" s="18">
        <f>IF($D14=0,"DNP",SUMIFS(TEAMS_GbG[OPP FTA_3],TEAMS_GbG[[TM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</v>
      </c>
      <c r="GH14" s="18">
        <f>IF($D14=0,"DNP",SUMIFS(TEAMS_GbG[OPP FT 0/3],TEAMS_GbG[[TM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GI14" s="18">
        <f>IF($D14=0,"DNP",SUMIFS(TEAMS_GbG[OPP RIM_M],TEAMS_GbG[[TM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8.2222222222222214</v>
      </c>
      <c r="GJ14" s="18">
        <f>IF($D14=0,"DNP",SUMIFS(TEAMS_GbG[OPP RIM_A],TEAMS_GbG[[TM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10.555555555555555</v>
      </c>
      <c r="GK14" s="18">
        <f>IF($D14=0,"DNP",SUMIFS(TEAMS_GbG[OPP PAINT_M],TEAMS_GbG[[TM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10.111111111111111</v>
      </c>
      <c r="GL14" s="18">
        <f>IF($D14=0,"DNP",SUMIFS(TEAMS_GbG[OPP PAINT_A],TEAMS_GbG[[TM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24.333333333333332</v>
      </c>
      <c r="GM14" s="18">
        <f>IF($D14=0,"DNP",SUMIFS(TEAMS_GbG[OPP MID_M],TEAMS_GbG[[TM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2.1111111111111112</v>
      </c>
      <c r="GN14" s="18">
        <f>IF($D14=0,"DNP",SUMIFS(TEAMS_GbG[OPP MID_A],TEAMS_GbG[[TM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5.666666666666667</v>
      </c>
      <c r="GO14" s="18">
        <f>IF($D14=0,"DNP",SUMIFS(TEAMS_GbG[OPP 3C_M],TEAMS_GbG[[TM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GP14" s="18">
        <f>IF($D14=0,"DNP",SUMIFS(TEAMS_GbG[OPP 3C_A],TEAMS_GbG[[TM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2.2222222222222223</v>
      </c>
      <c r="GQ14" s="18">
        <f>IF($D14=0,"DNP",SUMIFS(TEAMS_GbG[OPP 3L_M],TEAMS_GbG[[TM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6.2222222222222223</v>
      </c>
      <c r="GR14" s="18">
        <f>IF($D14=0,"DNP",SUMIFS(TEAMS_GbG[OPP 3L_A],TEAMS_GbG[[TM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21.888888888888889</v>
      </c>
      <c r="GS14" s="18">
        <f>IF($D14=0,"DNP",SUMIFS(TEAMS_GbG[OPP 3H_M],TEAMS_GbG[[TM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GT14" s="18">
        <f>IF($D14=0,"DNP",SUMIFS(TEAMS_GbG[OPP 3H_A],TEAMS_GbG[[TM NAME]:[TM NAME]],$C14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GU14" s="16">
        <f ca="1">IF(TEAMS_STATS[[#This Row],[TM NAME]]="","",INDEX(SoS!$C$113:$C$144,MATCH(TEAMS_STATS[[#This Row],[TM NAME]],SoS!$B$113:$B$144,0)))</f>
        <v>0.55247832157554377</v>
      </c>
    </row>
    <row r="15" spans="2:203" ht="15" customHeight="1" x14ac:dyDescent="0.25">
      <c r="B15" s="12">
        <f>_xlfn.AGGREGATE(3,5,$C$7:C14)</f>
        <v>8</v>
      </c>
      <c r="C15" s="14" t="str">
        <f>BASIS_INFO!F10</f>
        <v>FC Bayern Munich</v>
      </c>
      <c r="D15" s="20">
        <f>COUNTIFS(TEAMS_GbG[[TM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5" s="20">
        <f>COUNTIFS(TEAMS_GbG[[TM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3</v>
      </c>
      <c r="F15" s="20">
        <f>COUNTIFS(TEAMS_GbG[[TM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6</v>
      </c>
      <c r="G15" s="18">
        <f>IF($D15=0,"DNP",SUMIFS(TEAMS_GbG[MIN],TEAMS_GbG[[TM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200</v>
      </c>
      <c r="H15" s="18">
        <f>IF($D15=0,"DNP",SUMIFS(TEAMS_GbG[PTS],TEAMS_GbG[[TM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75.333333333333329</v>
      </c>
      <c r="I15" s="18">
        <f>IF($D15=0,"DNP",SUMIFS(TEAMS_GbG[2PTM],TEAMS_GbG[[TM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20.555555555555557</v>
      </c>
      <c r="J15" s="18">
        <f>IF($D15=0,"DNP",SUMIFS(TEAMS_GbG[2PTA],TEAMS_GbG[[TM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37.555555555555557</v>
      </c>
      <c r="K15" s="16">
        <f t="shared" si="38"/>
        <v>0.5473372781065089</v>
      </c>
      <c r="L15" s="18">
        <f>IF($D15=0,"DNP",SUMIFS(TEAMS_GbG[3PTM],TEAMS_GbG[[TM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8.5555555555555554</v>
      </c>
      <c r="M15" s="18">
        <f>IF($D15=0,"DNP",SUMIFS(TEAMS_GbG[3PTA],TEAMS_GbG[[TM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28.111111111111111</v>
      </c>
      <c r="N15" s="16">
        <f t="shared" si="39"/>
        <v>0.30434782608695654</v>
      </c>
      <c r="O15" s="18">
        <f>IF($D15=0,"DNP",SUMIFS(TEAMS_GbG[FGM],TEAMS_GbG[[TM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29.111111111111111</v>
      </c>
      <c r="P15" s="18">
        <f>IF($D15=0,"DNP",SUMIFS(TEAMS_GbG[FGA],TEAMS_GbG[[TM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65.666666666666671</v>
      </c>
      <c r="Q15" s="16">
        <f t="shared" si="40"/>
        <v>0.44331641285956003</v>
      </c>
      <c r="R15" s="18">
        <f>IF($D15=0,"DNP",SUMIFS(TEAMS_GbG[FTM],TEAMS_GbG[[TM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8.5555555555555554</v>
      </c>
      <c r="S15" s="18">
        <f>IF($D15=0,"DNP",SUMIFS(TEAMS_GbG[FTA],TEAMS_GbG[[TM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11.222222222222221</v>
      </c>
      <c r="T15" s="16">
        <f t="shared" si="41"/>
        <v>0.76237623762376239</v>
      </c>
      <c r="U15" s="18">
        <f>IF($D15=0,"DNP",SUMIFS(TEAMS_GbG[OR],TEAMS_GbG[[TM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13.111111111111111</v>
      </c>
      <c r="V15" s="18">
        <f>IF($D15=0,"DNP",SUMIFS(TEAMS_GbG[DR],TEAMS_GbG[[TM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25.666666666666668</v>
      </c>
      <c r="W15" s="18">
        <f>IF($D15=0,"DNP",SUMIFS(TEAMS_GbG[TR],TEAMS_GbG[[TM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38.777777777777779</v>
      </c>
      <c r="X15" s="18">
        <f>IF($D15=0,"DNP",SUMIFS(TEAMS_GbG[AST],TEAMS_GbG[[TM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14.555555555555555</v>
      </c>
      <c r="Y15" s="18">
        <f>IF($D15=0,"DNP",SUMIFS(TEAMS_GbG[TO],TEAMS_GbG[[TM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13.333333333333334</v>
      </c>
      <c r="Z15" s="18">
        <f>IF($D15=0,"DNP",SUMIFS(TEAMS_GbG[ST],TEAMS_GbG[[TM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</v>
      </c>
      <c r="AA15" s="18">
        <f>IF($D15=0,"DNP",SUMIFS(TEAMS_GbG[BLK],TEAMS_GbG[[TM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2.5555555555555554</v>
      </c>
      <c r="AB15" s="18">
        <f>IF($D15=0,"DNP",SUMIFS(TEAMS_GbG[BLKA],TEAMS_GbG[[TM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2.5555555555555554</v>
      </c>
      <c r="AC15" s="18">
        <f>IF($D15=0,"DNP",SUMIFS(TEAMS_GbG[PF],TEAMS_GbG[[TM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20.222222222222221</v>
      </c>
      <c r="AD15" s="18">
        <f>IF($D15=0,"DNP",SUMIFS(TEAMS_GbG[DF],TEAMS_GbG[[TM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18.333333333333332</v>
      </c>
      <c r="AE15" s="18">
        <f>IF($D15=0,"DNP",SUMIFS(TEAMS_GbG[VAL],TEAMS_GbG[[TM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80.222222222222229</v>
      </c>
      <c r="AF15" s="18">
        <f>IF($D15=0,"DNP",SUMIFS(TEAMS_GbG[+ / -],TEAMS_GbG[[TM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-4</v>
      </c>
      <c r="AG15" s="26">
        <f t="shared" si="0"/>
        <v>70.333333333333329</v>
      </c>
      <c r="AH15" s="18">
        <f>IF($D15=0,"DNP",SUMIFS(TEAMS_GbG[POSS],TEAMS_GbG[[TM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70.333333333333329</v>
      </c>
      <c r="AI15" s="18">
        <f>IF($D15=0,"DNP",SUMIFS(TEAMS_GbG[SHOOTING CHANCES],TEAMS_GbG[[TM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83.666666666666671</v>
      </c>
      <c r="AJ15" s="19">
        <f t="shared" si="1"/>
        <v>0.90039840637450186</v>
      </c>
      <c r="AK15" s="19">
        <f t="shared" si="2"/>
        <v>0.98755186721991706</v>
      </c>
      <c r="AL15" s="18">
        <f t="shared" si="3"/>
        <v>107.10900473933648</v>
      </c>
      <c r="AM15" s="18">
        <f t="shared" si="4"/>
        <v>111.56249999999999</v>
      </c>
      <c r="AN15" s="18">
        <f t="shared" si="42"/>
        <v>-4.4534952606635017</v>
      </c>
      <c r="AO15" s="27">
        <f t="shared" si="5"/>
        <v>0.50846023688663278</v>
      </c>
      <c r="AP15" s="28">
        <f t="shared" si="6"/>
        <v>0.53554502369668233</v>
      </c>
      <c r="AQ15" s="34">
        <f t="shared" si="7"/>
        <v>0.11288180610889774</v>
      </c>
      <c r="AR15" s="38">
        <f t="shared" si="8"/>
        <v>1.5764705882352941</v>
      </c>
      <c r="AS15" s="27">
        <f t="shared" si="9"/>
        <v>0.20849933598937581</v>
      </c>
      <c r="AT15" s="38">
        <f t="shared" si="10"/>
        <v>0.9426751592356688</v>
      </c>
      <c r="AU15" s="27">
        <f t="shared" si="11"/>
        <v>0.12749003984063745</v>
      </c>
      <c r="AV15" s="38">
        <f t="shared" si="12"/>
        <v>0.91666666666666674</v>
      </c>
      <c r="AW15" s="27">
        <f t="shared" si="13"/>
        <v>4.5152722443559092E-2</v>
      </c>
      <c r="AX15" s="38">
        <f t="shared" si="14"/>
        <v>0.88235294117647067</v>
      </c>
      <c r="AY15" s="27">
        <f t="shared" si="15"/>
        <v>0.28685258964143423</v>
      </c>
      <c r="AZ15" s="38">
        <f t="shared" si="16"/>
        <v>0.93055555555555569</v>
      </c>
      <c r="BA15" s="28">
        <f t="shared" si="17"/>
        <v>5.5776892430278883E-2</v>
      </c>
      <c r="BB15" s="34">
        <f t="shared" si="18"/>
        <v>0.15978695073235688</v>
      </c>
      <c r="BC15" s="27">
        <f t="shared" si="19"/>
        <v>0.42904290429042902</v>
      </c>
      <c r="BD15" s="27">
        <f t="shared" si="20"/>
        <v>0.35675675675675672</v>
      </c>
      <c r="BE15" s="27">
        <f t="shared" si="21"/>
        <v>0.7142857142857143</v>
      </c>
      <c r="BF15" s="27">
        <f t="shared" si="22"/>
        <v>0.21951219512195119</v>
      </c>
      <c r="BG15" s="27">
        <f t="shared" si="23"/>
        <v>0.17443408788282291</v>
      </c>
      <c r="BH15" s="35">
        <f t="shared" si="24"/>
        <v>1.0916666666666666</v>
      </c>
      <c r="BI15" s="49">
        <f t="shared" si="25"/>
        <v>0.35866261398176291</v>
      </c>
      <c r="BJ15" s="45">
        <f t="shared" si="26"/>
        <v>0.36094674556213013</v>
      </c>
      <c r="BK15" s="45">
        <f t="shared" si="27"/>
        <v>0.39130434782608692</v>
      </c>
      <c r="BL15" s="45">
        <f t="shared" si="28"/>
        <v>0.19999999999999998</v>
      </c>
      <c r="BM15" s="45">
        <f t="shared" si="29"/>
        <v>0.74516129032258072</v>
      </c>
      <c r="BN15" s="45">
        <f t="shared" si="30"/>
        <v>0.68789808917197459</v>
      </c>
      <c r="BO15" s="45">
        <f t="shared" si="31"/>
        <v>0.74534161490683226</v>
      </c>
      <c r="BP15" s="45">
        <f t="shared" si="32"/>
        <v>0.82352941176470595</v>
      </c>
      <c r="BQ15" s="46">
        <f t="shared" si="33"/>
        <v>0.54616588419405321</v>
      </c>
      <c r="BR15" s="49">
        <f t="shared" si="34"/>
        <v>8.4374999999999992E-2</v>
      </c>
      <c r="BS15" s="45">
        <f t="shared" si="35"/>
        <v>4.181818181818181E-2</v>
      </c>
      <c r="BT15" s="39">
        <f>IF($D15=0,"DNP",SUMIFS(TEAMS_GbG[KILLS],TEAMS_GbG[[TM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5.4444444444444446</v>
      </c>
      <c r="BU15" s="34">
        <f t="shared" si="36"/>
        <v>0.51098901098901106</v>
      </c>
      <c r="BV15" s="28">
        <f t="shared" si="37"/>
        <v>0.3575757575757576</v>
      </c>
      <c r="BW15" s="18">
        <f>IF($D15=0,"DNP",SUMIFS(TEAMS_GbG[ASTED_2FG],TEAMS_GbG[[TM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BX15" s="18">
        <f>IF($D15=0,"DNP",SUMIFS(TEAMS_GbG[ASTED_3FG],TEAMS_GbG[[TM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6.1111111111111107</v>
      </c>
      <c r="BY15" s="18">
        <f>IF($D15=0,"DNP",SUMIFS(TEAMS_GbG[ASTED_FT],TEAMS_GbG[[TM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</v>
      </c>
      <c r="BZ15" s="18">
        <f>IF($D15=0,"DNP",SUMIFS(TEAMS_GbG[ASTED_FT PTS],TEAMS_GbG[[TM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1.7777777777777777</v>
      </c>
      <c r="CA15" s="18">
        <f>IF($D15=0,"DNP",SUMIFS(TEAMS_GbG[OR_RIM],TEAMS_GbG[[TM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0.88888888888888884</v>
      </c>
      <c r="CB15" s="18">
        <f>IF($D15=0,"DNP",SUMIFS(TEAMS_GbG[TM OR_RIM],TEAMS_GbG[[TM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CC15" s="18">
        <f>IF($D15=0,"DNP",SUMIFS(TEAMS_GbG[OR_PAINT],TEAMS_GbG[[TM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3.2222222222222223</v>
      </c>
      <c r="CD15" s="18">
        <f>IF($D15=0,"DNP",SUMIFS(TEAMS_GbG[TM OR_PAINT],TEAMS_GbG[[TM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0.77777777777777779</v>
      </c>
      <c r="CE15" s="18">
        <f>IF($D15=0,"DNP",SUMIFS(TEAMS_GbG[OR_NP2],TEAMS_GbG[[TM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1.5555555555555556</v>
      </c>
      <c r="CF15" s="18">
        <f>IF($D15=0,"DNP",SUMIFS(TEAMS_GbG[TM OR_NP2],TEAMS_GbG[[TM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G15" s="18">
        <f>IF($D15=0,"DNP",SUMIFS(TEAMS_GbG[OR_3C],TEAMS_GbG[[TM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0.88888888888888884</v>
      </c>
      <c r="CH15" s="18">
        <f>IF($D15=0,"DNP",SUMIFS(TEAMS_GbG[TM OR_3C],TEAMS_GbG[[TM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I15" s="18">
        <f>IF($D15=0,"DNP",SUMIFS(TEAMS_GbG[OR_3L],TEAMS_GbG[[TM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6.333333333333333</v>
      </c>
      <c r="CJ15" s="18">
        <f>IF($D15=0,"DNP",SUMIFS(TEAMS_GbG[TM OR_3L],TEAMS_GbG[[TM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CK15" s="18">
        <f>IF($D15=0,"DNP",SUMIFS(TEAMS_GbG[OR_FT],TEAMS_GbG[[TM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L15" s="18">
        <f>IF($D15=0,"DNP",SUMIFS(TEAMS_GbG[TM OR_FT],TEAMS_GbG[[TM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CM15" s="18">
        <f>IF($D15=0,"DNP",SUMIFS(TEAMS_GbG[DR_RIM],TEAMS_GbG[[TM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1.2222222222222223</v>
      </c>
      <c r="CN15" s="18">
        <f>IF($D15=0,"DNP",SUMIFS(TEAMS_GbG[TM DR_RIM],TEAMS_GbG[[TM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O15" s="18">
        <f>IF($D15=0,"DNP",SUMIFS(TEAMS_GbG[DR_PAINT],TEAMS_GbG[[TM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6.7777777777777777</v>
      </c>
      <c r="CP15" s="18">
        <f>IF($D15=0,"DNP",SUMIFS(TEAMS_GbG[TM DR_PAINT],TEAMS_GbG[[TM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0.33333333333333331</v>
      </c>
      <c r="CQ15" s="18">
        <f>IF($D15=0,"DNP",SUMIFS(TEAMS_GbG[DR_NP2],TEAMS_GbG[[TM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3.4444444444444446</v>
      </c>
      <c r="CR15" s="18">
        <f>IF($D15=0,"DNP",SUMIFS(TEAMS_GbG[TM DR_NP2],TEAMS_GbG[[TM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CS15" s="18">
        <f>IF($D15=0,"DNP",SUMIFS(TEAMS_GbG[DR_3C],TEAMS_GbG[[TM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2.2222222222222223</v>
      </c>
      <c r="CT15" s="18">
        <f>IF($D15=0,"DNP",SUMIFS(TEAMS_GbG[TM DR_3C],TEAMS_GbG[[TM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U15" s="18">
        <f>IF($D15=0,"DNP",SUMIFS(TEAMS_GbG[DR_3L],TEAMS_GbG[[TM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10.222222222222221</v>
      </c>
      <c r="CV15" s="18">
        <f>IF($D15=0,"DNP",SUMIFS(TEAMS_GbG[TM DR_3L],TEAMS_GbG[[TM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0.66666666666666663</v>
      </c>
      <c r="CW15" s="18">
        <f>IF($D15=0,"DNP",SUMIFS(TEAMS_GbG[DR_FT],TEAMS_GbG[[TM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1.5555555555555556</v>
      </c>
      <c r="CX15" s="18">
        <f>IF($D15=0,"DNP",SUMIFS(TEAMS_GbG[TM DR_FT],TEAMS_GbG[[TM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CY15" s="18">
        <f>IF($D15=0,"DNP",SUMIFS(TEAMS_GbG[FTM_T],TEAMS_GbG[[TM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CZ15" s="18">
        <f>IF($D15=0,"DNP",SUMIFS(TEAMS_GbG[FTA_T],TEAMS_GbG[[TM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DA15" s="18">
        <f>IF($D15=0,"DNP",SUMIFS(TEAMS_GbG[FTM_1],TEAMS_GbG[[TM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1.2222222222222223</v>
      </c>
      <c r="DB15" s="18">
        <f>IF($D15=0,"DNP",SUMIFS(TEAMS_GbG[FTA_1],TEAMS_GbG[[TM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1.8888888888888888</v>
      </c>
      <c r="DC15" s="18">
        <f>IF($D15=0,"DNP",SUMIFS(TEAMS_GbG[FTM_2],TEAMS_GbG[[TM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DD15" s="18">
        <f>IF($D15=0,"DNP",SUMIFS(TEAMS_GbG[FTA_2],TEAMS_GbG[[TM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9.3333333333333339</v>
      </c>
      <c r="DE15" s="18">
        <f>IF($D15=0,"DNP",SUMIFS(TEAMS_GbG[FT 0/2],TEAMS_GbG[[TM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DF15" s="18">
        <f>IF($D15=0,"DNP",SUMIFS(TEAMS_GbG[FTM_3],TEAMS_GbG[[TM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DG15" s="18">
        <f>IF($D15=0,"DNP",SUMIFS(TEAMS_GbG[FTA_3],TEAMS_GbG[[TM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DH15" s="18">
        <f>IF($D15=0,"DNP",SUMIFS(TEAMS_GbG[FT 0/3],TEAMS_GbG[[TM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DI15" s="18">
        <f>IF($D15=0,"DNP",SUMIFS(TEAMS_GbG[RIM_M],TEAMS_GbG[[TM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7.4444444444444446</v>
      </c>
      <c r="DJ15" s="18">
        <f>IF($D15=0,"DNP",SUMIFS(TEAMS_GbG[RIM_A],TEAMS_GbG[[TM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9.4444444444444446</v>
      </c>
      <c r="DK15" s="18">
        <f>IF($D15=0,"DNP",SUMIFS(TEAMS_GbG[PAINT_M],TEAMS_GbG[[TM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8.2222222222222214</v>
      </c>
      <c r="DL15" s="18">
        <f>IF($D15=0,"DNP",SUMIFS(TEAMS_GbG[PAINT_A],TEAMS_GbG[[TM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17.444444444444443</v>
      </c>
      <c r="DM15" s="18">
        <f>IF($D15=0,"DNP",SUMIFS(TEAMS_GbG[MID_M],TEAMS_GbG[[TM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4.8888888888888893</v>
      </c>
      <c r="DN15" s="18">
        <f>IF($D15=0,"DNP",SUMIFS(TEAMS_GbG[MID_A],TEAMS_GbG[[TM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10.666666666666666</v>
      </c>
      <c r="DO15" s="18">
        <f>IF($D15=0,"DNP",SUMIFS(TEAMS_GbG[3C_M],TEAMS_GbG[[TM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1.1111111111111112</v>
      </c>
      <c r="DP15" s="18">
        <f>IF($D15=0,"DNP",SUMIFS(TEAMS_GbG[3C_A],TEAMS_GbG[[TM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3.7777777777777777</v>
      </c>
      <c r="DQ15" s="18">
        <f>IF($D15=0,"DNP",SUMIFS(TEAMS_GbG[3L_M],TEAMS_GbG[[TM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7.4444444444444446</v>
      </c>
      <c r="DR15" s="18">
        <f>IF($D15=0,"DNP",SUMIFS(TEAMS_GbG[3L_A],TEAMS_GbG[[TM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24</v>
      </c>
      <c r="DS15" s="18">
        <f>IF($D15=0,"DNP",SUMIFS(TEAMS_GbG[3H_M],TEAMS_GbG[[TM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DT15" s="18">
        <f>IF($D15=0,"DNP",SUMIFS(TEAMS_GbG[3H_A],TEAMS_GbG[[TM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0.33333333333333331</v>
      </c>
      <c r="DU15" s="18">
        <f>IF($D15=0,"DNP",SUMIFS(TEAMS_GbG[OPP PTS],TEAMS_GbG[[TM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79.333333333333329</v>
      </c>
      <c r="DV15" s="18">
        <f>IF($D15=0,"DNP",SUMIFS(TEAMS_GbG[OPP 2PTM],TEAMS_GbG[[TM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18.111111111111111</v>
      </c>
      <c r="DW15" s="18">
        <f>IF($D15=0,"DNP",SUMIFS(TEAMS_GbG[OPP 2PTA],TEAMS_GbG[[TM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34.333333333333336</v>
      </c>
      <c r="DX15" s="16">
        <f t="shared" si="43"/>
        <v>0.52750809061488668</v>
      </c>
      <c r="DY15" s="18">
        <f>IF($D15=0,"DNP",SUMIFS(TEAMS_GbG[OPP 3PTM],TEAMS_GbG[[TM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9.2222222222222214</v>
      </c>
      <c r="DZ15" s="18">
        <f>IF($D15=0,"DNP",SUMIFS(TEAMS_GbG[OPP 3PTA],TEAMS_GbG[[TM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26.777777777777779</v>
      </c>
      <c r="EA15" s="16">
        <f t="shared" si="44"/>
        <v>0.3443983402489626</v>
      </c>
      <c r="EB15" s="18">
        <f>IF($D15=0,"DNP",SUMIFS(TEAMS_GbG[OPP FGM],TEAMS_GbG[[TM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27.333333333333332</v>
      </c>
      <c r="EC15" s="18">
        <f>IF($D15=0,"DNP",SUMIFS(TEAMS_GbG[OPP FGA],TEAMS_GbG[[TM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61.111111111111114</v>
      </c>
      <c r="ED15" s="16">
        <f t="shared" si="45"/>
        <v>0.44727272727272721</v>
      </c>
      <c r="EE15" s="18">
        <f>IF($D15=0,"DNP",SUMIFS(TEAMS_GbG[OPP FTM],TEAMS_GbG[[TM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15.444444444444445</v>
      </c>
      <c r="EF15" s="18">
        <f>IF($D15=0,"DNP",SUMIFS(TEAMS_GbG[OPP FTA],TEAMS_GbG[[TM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19.555555555555557</v>
      </c>
      <c r="EG15" s="16">
        <f t="shared" si="46"/>
        <v>0.78977272727272718</v>
      </c>
      <c r="EH15" s="18">
        <f>IF($D15=0,"DNP",SUMIFS(TEAMS_GbG[OPP OR],TEAMS_GbG[[TM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8.7777777777777786</v>
      </c>
      <c r="EI15" s="18">
        <f>IF($D15=0,"DNP",SUMIFS(TEAMS_GbG[OPP DR],TEAMS_GbG[[TM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23.444444444444443</v>
      </c>
      <c r="EJ15" s="18">
        <f>IF($D15=0,"DNP",SUMIFS(TEAMS_GbG[OPP TR],TEAMS_GbG[[TM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32.222222222222221</v>
      </c>
      <c r="EK15" s="18">
        <f>IF($D15=0,"DNP",SUMIFS(TEAMS_GbG[OPP AST],TEAMS_GbG[[TM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15.444444444444445</v>
      </c>
      <c r="EL15" s="18">
        <f>IF($D15=0,"DNP",SUMIFS(TEAMS_GbG[OPP PF],TEAMS_GbG[[TM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18.333333333333332</v>
      </c>
      <c r="EM15" s="18">
        <f>IF($D15=0,"DNP",SUMIFS(TEAMS_GbG[OPP DF],TEAMS_GbG[[TM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20.111111111111111</v>
      </c>
      <c r="EN15" s="18">
        <f>IF($D15=0,"DNP",SUMIFS(TEAMS_GbG[OPP ST],TEAMS_GbG[[TM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EO15" s="18">
        <f>IF($D15=0,"DNP",SUMIFS(TEAMS_GbG[OPP TO],TEAMS_GbG[[TM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10.888888888888889</v>
      </c>
      <c r="EP15" s="18">
        <f>IF($D15=0,"DNP",SUMIFS(TEAMS_GbG[OPP BLK],TEAMS_GbG[[TM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2.5555555555555554</v>
      </c>
      <c r="EQ15" s="18">
        <f>IF($D15=0,"DNP",SUMIFS(TEAMS_GbG[OPP BLKA],TEAMS_GbG[[TM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2.5555555555555554</v>
      </c>
      <c r="ER15" s="18">
        <f>IF($D15=0,"DNP",SUMIFS(TEAMS_GbG[OPP VAL],TEAMS_GbG[[TM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87.333333333333329</v>
      </c>
      <c r="ES15" s="18">
        <f>IF($D15=0,"DNP",SUMIFS(TEAMS_GbG[OPP + / -],TEAMS_GbG[[TM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</v>
      </c>
      <c r="ET15" s="18">
        <f>IF($D15=0,"DNP",SUMIFS(TEAMS_GbG[OPP POSS],TEAMS_GbG[[TM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71.111111111111114</v>
      </c>
      <c r="EU15" s="18">
        <f>IF($D15=0,"DNP",SUMIFS(TEAMS_GbG[OPP SHOOTING CHANCES],TEAMS_GbG[[TM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80.333333333333329</v>
      </c>
      <c r="EV15" s="18">
        <f>IF($D15=0,"DNP",SUMIFS(TEAMS_GbG[OPP KILLS],TEAMS_GbG[[TM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5.1111111111111107</v>
      </c>
      <c r="EW15" s="18">
        <f>IF($D15=0,"DNP",SUMIFS(TEAMS_GbG[OPP ASTED_2FG],TEAMS_GbG[[TM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6.4444444444444446</v>
      </c>
      <c r="EX15" s="18">
        <f>IF($D15=0,"DNP",SUMIFS(TEAMS_GbG[OPP ASTED_3FG],TEAMS_GbG[[TM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6.5555555555555554</v>
      </c>
      <c r="EY15" s="18">
        <f>IF($D15=0,"DNP",SUMIFS(TEAMS_GbG[OPP ASTED_FT],TEAMS_GbG[[TM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2.3333333333333335</v>
      </c>
      <c r="EZ15" s="18">
        <f>IF($D15=0,"DNP",SUMIFS(TEAMS_GbG[OPP ASTED_FT PTS],TEAMS_GbG[[TM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4.5555555555555554</v>
      </c>
      <c r="FA15" s="18">
        <f>IF($D15=0,"DNP",SUMIFS(TEAMS_GbG[OPP OR_RIM],TEAMS_GbG[[TM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FB15" s="18">
        <f>IF($D15=0,"DNP",SUMIFS(TEAMS_GbG[OPP TM OR_RIM],TEAMS_GbG[[TM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FC15" s="18">
        <f>IF($D15=0,"DNP",SUMIFS(TEAMS_GbG[OPP OR_PAINT],TEAMS_GbG[[TM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</v>
      </c>
      <c r="FD15" s="18">
        <f>IF($D15=0,"DNP",SUMIFS(TEAMS_GbG[OPP TM OR_PAINT],TEAMS_GbG[[TM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FE15" s="18">
        <f>IF($D15=0,"DNP",SUMIFS(TEAMS_GbG[OPP OR_NP2],TEAMS_GbG[[TM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</v>
      </c>
      <c r="FF15" s="18">
        <f>IF($D15=0,"DNP",SUMIFS(TEAMS_GbG[OPP TM OR_NP2],TEAMS_GbG[[TM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G15" s="18">
        <f>IF($D15=0,"DNP",SUMIFS(TEAMS_GbG[OPP OR_3C],TEAMS_GbG[[TM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FH15" s="18">
        <f>IF($D15=0,"DNP",SUMIFS(TEAMS_GbG[OPP TM OR_3C],TEAMS_GbG[[TM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FI15" s="18">
        <f>IF($D15=0,"DNP",SUMIFS(TEAMS_GbG[OPP OR_3L],TEAMS_GbG[[TM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3.4444444444444446</v>
      </c>
      <c r="FJ15" s="18">
        <f>IF($D15=0,"DNP",SUMIFS(TEAMS_GbG[OPP TM OR_3L],TEAMS_GbG[[TM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FK15" s="18">
        <f>IF($D15=0,"DNP",SUMIFS(TEAMS_GbG[OPP OR_FT],TEAMS_GbG[[TM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L15" s="18">
        <f>IF($D15=0,"DNP",SUMIFS(TEAMS_GbG[OPP TM OR_FT],TEAMS_GbG[[TM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FM15" s="18">
        <f>IF($D15=0,"DNP",SUMIFS(TEAMS_GbG[OPP DR_RIM],TEAMS_GbG[[TM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1.1111111111111112</v>
      </c>
      <c r="FN15" s="18">
        <f>IF($D15=0,"DNP",SUMIFS(TEAMS_GbG[OPP TM DR_RIM],TEAMS_GbG[[TM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FO15" s="18">
        <f>IF($D15=0,"DNP",SUMIFS(TEAMS_GbG[OPP DR_PAINT],TEAMS_GbG[[TM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5.8888888888888893</v>
      </c>
      <c r="FP15" s="18">
        <f>IF($D15=0,"DNP",SUMIFS(TEAMS_GbG[OPP TM DR_PAINT],TEAMS_GbG[[TM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Q15" s="18">
        <f>IF($D15=0,"DNP",SUMIFS(TEAMS_GbG[OPP DR_NP2],TEAMS_GbG[[TM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4.1111111111111107</v>
      </c>
      <c r="FR15" s="18">
        <f>IF($D15=0,"DNP",SUMIFS(TEAMS_GbG[OPP TM DR_NP2],TEAMS_GbG[[TM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FS15" s="18">
        <f>IF($D15=0,"DNP",SUMIFS(TEAMS_GbG[OPP DR_3C],TEAMS_GbG[[TM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1.7777777777777777</v>
      </c>
      <c r="FT15" s="18">
        <f>IF($D15=0,"DNP",SUMIFS(TEAMS_GbG[OPP TM DR_3C],TEAMS_GbG[[TM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U15" s="18">
        <f>IF($D15=0,"DNP",SUMIFS(TEAMS_GbG[OPP DR_3L],TEAMS_GbG[[TM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9.3333333333333339</v>
      </c>
      <c r="FV15" s="18">
        <f>IF($D15=0,"DNP",SUMIFS(TEAMS_GbG[OPP TM DR_3L],TEAMS_GbG[[TM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1.1111111111111112</v>
      </c>
      <c r="FW15" s="18">
        <f>IF($D15=0,"DNP",SUMIFS(TEAMS_GbG[OPP DR_FT],TEAMS_GbG[[TM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0.88888888888888884</v>
      </c>
      <c r="FX15" s="18">
        <f>IF($D15=0,"DNP",SUMIFS(TEAMS_GbG[OPP TM DR_FT],TEAMS_GbG[[TM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FY15" s="18">
        <f>IF($D15=0,"DNP",SUMIFS(TEAMS_GbG[OPP FTM_T],TEAMS_GbG[[TM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Z15" s="18">
        <f>IF($D15=0,"DNP",SUMIFS(TEAMS_GbG[OPP FTA_T],TEAMS_GbG[[TM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0.33333333333333331</v>
      </c>
      <c r="GA15" s="18">
        <f>IF($D15=0,"DNP",SUMIFS(TEAMS_GbG[OPP FTM_1],TEAMS_GbG[[TM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1.4444444444444444</v>
      </c>
      <c r="GB15" s="18">
        <f>IF($D15=0,"DNP",SUMIFS(TEAMS_GbG[OPP FTA_1],TEAMS_GbG[[TM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</v>
      </c>
      <c r="GC15" s="18">
        <f>IF($D15=0,"DNP",SUMIFS(TEAMS_GbG[OPP FTM_2],TEAMS_GbG[[TM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12.333333333333334</v>
      </c>
      <c r="GD15" s="18">
        <f>IF($D15=0,"DNP",SUMIFS(TEAMS_GbG[OPP FTA_2],TEAMS_GbG[[TM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15.555555555555555</v>
      </c>
      <c r="GE15" s="18">
        <f>IF($D15=0,"DNP",SUMIFS(TEAMS_GbG[OPP FT 0/2],TEAMS_GbG[[TM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0.44444444444444442</v>
      </c>
      <c r="GF15" s="18">
        <f>IF($D15=0,"DNP",SUMIFS(TEAMS_GbG[OPP FTM_3],TEAMS_GbG[[TM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1.4444444444444444</v>
      </c>
      <c r="GG15" s="18">
        <f>IF($D15=0,"DNP",SUMIFS(TEAMS_GbG[OPP FTA_3],TEAMS_GbG[[TM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1.6666666666666667</v>
      </c>
      <c r="GH15" s="18">
        <f>IF($D15=0,"DNP",SUMIFS(TEAMS_GbG[OPP FT 0/3],TEAMS_GbG[[TM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GI15" s="18">
        <f>IF($D15=0,"DNP",SUMIFS(TEAMS_GbG[OPP RIM_M],TEAMS_GbG[[TM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5.666666666666667</v>
      </c>
      <c r="GJ15" s="18">
        <f>IF($D15=0,"DNP",SUMIFS(TEAMS_GbG[OPP RIM_A],TEAMS_GbG[[TM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7.5555555555555554</v>
      </c>
      <c r="GK15" s="18">
        <f>IF($D15=0,"DNP",SUMIFS(TEAMS_GbG[OPP PAINT_M],TEAMS_GbG[[TM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9.5555555555555554</v>
      </c>
      <c r="GL15" s="18">
        <f>IF($D15=0,"DNP",SUMIFS(TEAMS_GbG[OPP PAINT_A],TEAMS_GbG[[TM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19.444444444444443</v>
      </c>
      <c r="GM15" s="18">
        <f>IF($D15=0,"DNP",SUMIFS(TEAMS_GbG[OPP MID_M],TEAMS_GbG[[TM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2.8888888888888888</v>
      </c>
      <c r="GN15" s="18">
        <f>IF($D15=0,"DNP",SUMIFS(TEAMS_GbG[OPP MID_A],TEAMS_GbG[[TM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GO15" s="18">
        <f>IF($D15=0,"DNP",SUMIFS(TEAMS_GbG[OPP 3C_M],TEAMS_GbG[[TM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1.8888888888888888</v>
      </c>
      <c r="GP15" s="18">
        <f>IF($D15=0,"DNP",SUMIFS(TEAMS_GbG[OPP 3C_A],TEAMS_GbG[[TM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4.7777777777777777</v>
      </c>
      <c r="GQ15" s="18">
        <f>IF($D15=0,"DNP",SUMIFS(TEAMS_GbG[OPP 3L_M],TEAMS_GbG[[TM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GR15" s="18">
        <f>IF($D15=0,"DNP",SUMIFS(TEAMS_GbG[OPP 3L_A],TEAMS_GbG[[TM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21.444444444444443</v>
      </c>
      <c r="GS15" s="18">
        <f>IF($D15=0,"DNP",SUMIFS(TEAMS_GbG[OPP 3H_M],TEAMS_GbG[[TM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GT15" s="18">
        <f>IF($D15=0,"DNP",SUMIFS(TEAMS_GbG[OPP 3H_A],TEAMS_GbG[[TM NAME]:[TM NAME]],$C15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GU15" s="16">
        <f ca="1">IF(TEAMS_STATS[[#This Row],[TM NAME]]="","",INDEX(SoS!$C$113:$C$144,MATCH(TEAMS_STATS[[#This Row],[TM NAME]],SoS!$B$113:$B$144,0)))</f>
        <v>0.47325102880658432</v>
      </c>
    </row>
    <row r="16" spans="2:203" ht="15" customHeight="1" x14ac:dyDescent="0.25">
      <c r="B16" s="12">
        <f>_xlfn.AGGREGATE(3,5,$C$7:C15)</f>
        <v>9</v>
      </c>
      <c r="C16" s="14" t="str">
        <f>BASIS_INFO!F11</f>
        <v>Fenerbahce Beko Istanbul</v>
      </c>
      <c r="D16" s="20">
        <f>COUNTIFS(TEAMS_GbG[[TM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6" s="20">
        <f>COUNTIFS(TEAMS_GbG[[TM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5</v>
      </c>
      <c r="F16" s="20">
        <f>COUNTIFS(TEAMS_GbG[[TM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4</v>
      </c>
      <c r="G16" s="18">
        <f>IF($D16=0,"DNP",SUMIFS(TEAMS_GbG[MIN],TEAMS_GbG[[TM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202.77777777777777</v>
      </c>
      <c r="H16" s="18">
        <f>IF($D16=0,"DNP",SUMIFS(TEAMS_GbG[PTS],TEAMS_GbG[[TM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79</v>
      </c>
      <c r="I16" s="18">
        <f>IF($D16=0,"DNP",SUMIFS(TEAMS_GbG[2PTM],TEAMS_GbG[[TM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17.666666666666668</v>
      </c>
      <c r="J16" s="18">
        <f>IF($D16=0,"DNP",SUMIFS(TEAMS_GbG[2PTA],TEAMS_GbG[[TM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32.666666666666664</v>
      </c>
      <c r="K16" s="16">
        <f t="shared" si="38"/>
        <v>0.54081632653061229</v>
      </c>
      <c r="L16" s="18">
        <f>IF($D16=0,"DNP",SUMIFS(TEAMS_GbG[3PTM],TEAMS_GbG[[TM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10.777777777777779</v>
      </c>
      <c r="M16" s="18">
        <f>IF($D16=0,"DNP",SUMIFS(TEAMS_GbG[3PTA],TEAMS_GbG[[TM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30</v>
      </c>
      <c r="N16" s="16">
        <f t="shared" si="39"/>
        <v>0.35925925925925928</v>
      </c>
      <c r="O16" s="18">
        <f>IF($D16=0,"DNP",SUMIFS(TEAMS_GbG[FGM],TEAMS_GbG[[TM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28.444444444444443</v>
      </c>
      <c r="P16" s="18">
        <f>IF($D16=0,"DNP",SUMIFS(TEAMS_GbG[FGA],TEAMS_GbG[[TM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62.666666666666664</v>
      </c>
      <c r="Q16" s="16">
        <f t="shared" si="40"/>
        <v>0.45390070921985815</v>
      </c>
      <c r="R16" s="18">
        <f>IF($D16=0,"DNP",SUMIFS(TEAMS_GbG[FTM],TEAMS_GbG[[TM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11.333333333333334</v>
      </c>
      <c r="S16" s="18">
        <f>IF($D16=0,"DNP",SUMIFS(TEAMS_GbG[FTA],TEAMS_GbG[[TM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14.888888888888889</v>
      </c>
      <c r="T16" s="16">
        <f t="shared" si="41"/>
        <v>0.76119402985074625</v>
      </c>
      <c r="U16" s="18">
        <f>IF($D16=0,"DNP",SUMIFS(TEAMS_GbG[OR],TEAMS_GbG[[TM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10.111111111111111</v>
      </c>
      <c r="V16" s="18">
        <f>IF($D16=0,"DNP",SUMIFS(TEAMS_GbG[DR],TEAMS_GbG[[TM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22.666666666666668</v>
      </c>
      <c r="W16" s="18">
        <f>IF($D16=0,"DNP",SUMIFS(TEAMS_GbG[TR],TEAMS_GbG[[TM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32.777777777777779</v>
      </c>
      <c r="X16" s="18">
        <f>IF($D16=0,"DNP",SUMIFS(TEAMS_GbG[AST],TEAMS_GbG[[TM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16.333333333333332</v>
      </c>
      <c r="Y16" s="18">
        <f>IF($D16=0,"DNP",SUMIFS(TEAMS_GbG[TO],TEAMS_GbG[[TM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11.333333333333334</v>
      </c>
      <c r="Z16" s="18">
        <f>IF($D16=0,"DNP",SUMIFS(TEAMS_GbG[ST],TEAMS_GbG[[TM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4.8888888888888893</v>
      </c>
      <c r="AA16" s="18">
        <f>IF($D16=0,"DNP",SUMIFS(TEAMS_GbG[BLK],TEAMS_GbG[[TM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</v>
      </c>
      <c r="AB16" s="18">
        <f>IF($D16=0,"DNP",SUMIFS(TEAMS_GbG[BLKA],TEAMS_GbG[[TM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</v>
      </c>
      <c r="AC16" s="18">
        <f>IF($D16=0,"DNP",SUMIFS(TEAMS_GbG[PF],TEAMS_GbG[[TM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21.111111111111111</v>
      </c>
      <c r="AD16" s="18">
        <f>IF($D16=0,"DNP",SUMIFS(TEAMS_GbG[DF],TEAMS_GbG[[TM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19.555555555555557</v>
      </c>
      <c r="AE16" s="18">
        <f>IF($D16=0,"DNP",SUMIFS(TEAMS_GbG[VAL],TEAMS_GbG[[TM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83.333333333333329</v>
      </c>
      <c r="AF16" s="18">
        <f>IF($D16=0,"DNP",SUMIFS(TEAMS_GbG[+ / -],TEAMS_GbG[[TM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AG16" s="26">
        <f t="shared" si="0"/>
        <v>69.260273972602747</v>
      </c>
      <c r="AH16" s="18">
        <f>IF($D16=0,"DNP",SUMIFS(TEAMS_GbG[POSS],TEAMS_GbG[[TM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70.222222222222229</v>
      </c>
      <c r="AI16" s="18">
        <f>IF($D16=0,"DNP",SUMIFS(TEAMS_GbG[SHOOTING CHANCES],TEAMS_GbG[[TM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80.444444444444443</v>
      </c>
      <c r="AJ16" s="19">
        <f t="shared" si="1"/>
        <v>0.9820441988950277</v>
      </c>
      <c r="AK16" s="19">
        <f t="shared" si="2"/>
        <v>0.95546558704453455</v>
      </c>
      <c r="AL16" s="18">
        <f t="shared" si="3"/>
        <v>112.5</v>
      </c>
      <c r="AM16" s="18">
        <f t="shared" si="4"/>
        <v>112.202852614897</v>
      </c>
      <c r="AN16" s="18">
        <f t="shared" si="42"/>
        <v>0.29714738510300265</v>
      </c>
      <c r="AO16" s="27">
        <f t="shared" si="5"/>
        <v>0.53989361702127669</v>
      </c>
      <c r="AP16" s="28">
        <f t="shared" si="6"/>
        <v>0.57154340836012874</v>
      </c>
      <c r="AQ16" s="34">
        <f t="shared" si="7"/>
        <v>0.13950276243093923</v>
      </c>
      <c r="AR16" s="38">
        <f t="shared" si="8"/>
        <v>1.6435643564356435</v>
      </c>
      <c r="AS16" s="27">
        <f t="shared" si="9"/>
        <v>0.18370165745856354</v>
      </c>
      <c r="AT16" s="38">
        <f t="shared" si="10"/>
        <v>0.79699248120300747</v>
      </c>
      <c r="AU16" s="27">
        <f t="shared" si="11"/>
        <v>8.2872928176795591E-2</v>
      </c>
      <c r="AV16" s="38">
        <f t="shared" si="12"/>
        <v>0.76666666666666661</v>
      </c>
      <c r="AW16" s="27">
        <f t="shared" si="13"/>
        <v>5.6629834254143648E-2</v>
      </c>
      <c r="AX16" s="38">
        <f t="shared" si="14"/>
        <v>1.2439024390243902</v>
      </c>
      <c r="AY16" s="27">
        <f t="shared" si="15"/>
        <v>0.30801104972375692</v>
      </c>
      <c r="AZ16" s="38">
        <f t="shared" si="16"/>
        <v>1.0627802690582959</v>
      </c>
      <c r="BA16" s="28">
        <f t="shared" si="17"/>
        <v>8.0110497237569064E-2</v>
      </c>
      <c r="BB16" s="34">
        <f t="shared" si="18"/>
        <v>0.14107883817427386</v>
      </c>
      <c r="BC16" s="27">
        <f t="shared" si="19"/>
        <v>0.47419354838709676</v>
      </c>
      <c r="BD16" s="27">
        <f t="shared" si="20"/>
        <v>0.4779874213836478</v>
      </c>
      <c r="BE16" s="27">
        <f t="shared" si="21"/>
        <v>0.65979381443298957</v>
      </c>
      <c r="BF16" s="27">
        <f t="shared" si="22"/>
        <v>0.12962962962962962</v>
      </c>
      <c r="BG16" s="27">
        <f t="shared" si="23"/>
        <v>0.20331950207468877</v>
      </c>
      <c r="BH16" s="35">
        <f t="shared" si="24"/>
        <v>1.4411764705882351</v>
      </c>
      <c r="BI16" s="49">
        <f t="shared" si="25"/>
        <v>0.29545454545454547</v>
      </c>
      <c r="BJ16" s="45">
        <f t="shared" si="26"/>
        <v>0.30769230769230765</v>
      </c>
      <c r="BK16" s="45">
        <f t="shared" si="27"/>
        <v>0.30810810810810818</v>
      </c>
      <c r="BL16" s="45">
        <f t="shared" si="28"/>
        <v>0.23076923076923075</v>
      </c>
      <c r="BM16" s="45">
        <f t="shared" si="29"/>
        <v>0.65175718849840258</v>
      </c>
      <c r="BN16" s="45">
        <f t="shared" si="30"/>
        <v>0.62087912087912089</v>
      </c>
      <c r="BO16" s="45">
        <f t="shared" si="31"/>
        <v>0.67153284671532854</v>
      </c>
      <c r="BP16" s="45">
        <f t="shared" si="32"/>
        <v>0.77777777777777779</v>
      </c>
      <c r="BQ16" s="46">
        <f t="shared" si="33"/>
        <v>0.4750402576489533</v>
      </c>
      <c r="BR16" s="49">
        <f t="shared" si="34"/>
        <v>6.9730586370839939E-2</v>
      </c>
      <c r="BS16" s="45">
        <f t="shared" si="35"/>
        <v>4.7619047619047616E-2</v>
      </c>
      <c r="BT16" s="39">
        <f>IF($D16=0,"DNP",SUMIFS(TEAMS_GbG[KILLS],TEAMS_GbG[[TM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4.4444444444444446</v>
      </c>
      <c r="BU16" s="34">
        <f t="shared" si="36"/>
        <v>0.41578947368421049</v>
      </c>
      <c r="BV16" s="28">
        <f t="shared" si="37"/>
        <v>0.39204545454545453</v>
      </c>
      <c r="BW16" s="18">
        <f>IF($D16=0,"DNP",SUMIFS(TEAMS_GbG[ASTED_2FG],TEAMS_GbG[[TM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8.4444444444444446</v>
      </c>
      <c r="BX16" s="18">
        <f>IF($D16=0,"DNP",SUMIFS(TEAMS_GbG[ASTED_3FG],TEAMS_GbG[[TM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7.1111111111111107</v>
      </c>
      <c r="BY16" s="18">
        <f>IF($D16=0,"DNP",SUMIFS(TEAMS_GbG[ASTED_FT],TEAMS_GbG[[TM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BZ16" s="18">
        <f>IF($D16=0,"DNP",SUMIFS(TEAMS_GbG[ASTED_FT PTS],TEAMS_GbG[[TM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0.88888888888888884</v>
      </c>
      <c r="CA16" s="18">
        <f>IF($D16=0,"DNP",SUMIFS(TEAMS_GbG[OR_RIM],TEAMS_GbG[[TM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1.2222222222222223</v>
      </c>
      <c r="CB16" s="18">
        <f>IF($D16=0,"DNP",SUMIFS(TEAMS_GbG[TM OR_RIM],TEAMS_GbG[[TM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CC16" s="18">
        <f>IF($D16=0,"DNP",SUMIFS(TEAMS_GbG[OR_PAINT],TEAMS_GbG[[TM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2.3333333333333335</v>
      </c>
      <c r="CD16" s="18">
        <f>IF($D16=0,"DNP",SUMIFS(TEAMS_GbG[TM OR_PAINT],TEAMS_GbG[[TM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CE16" s="18">
        <f>IF($D16=0,"DNP",SUMIFS(TEAMS_GbG[OR_NP2],TEAMS_GbG[[TM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CF16" s="18">
        <f>IF($D16=0,"DNP",SUMIFS(TEAMS_GbG[TM OR_NP2],TEAMS_GbG[[TM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CG16" s="18">
        <f>IF($D16=0,"DNP",SUMIFS(TEAMS_GbG[OR_3C],TEAMS_GbG[[TM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CH16" s="18">
        <f>IF($D16=0,"DNP",SUMIFS(TEAMS_GbG[TM OR_3C],TEAMS_GbG[[TM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CI16" s="18">
        <f>IF($D16=0,"DNP",SUMIFS(TEAMS_GbG[OR_3L],TEAMS_GbG[[TM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4.8888888888888893</v>
      </c>
      <c r="CJ16" s="18">
        <f>IF($D16=0,"DNP",SUMIFS(TEAMS_GbG[TM OR_3L],TEAMS_GbG[[TM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0.66666666666666663</v>
      </c>
      <c r="CK16" s="18">
        <f>IF($D16=0,"DNP",SUMIFS(TEAMS_GbG[OR_FT],TEAMS_GbG[[TM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CL16" s="18">
        <f>IF($D16=0,"DNP",SUMIFS(TEAMS_GbG[TM OR_FT],TEAMS_GbG[[TM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CM16" s="18">
        <f>IF($D16=0,"DNP",SUMIFS(TEAMS_GbG[DR_RIM],TEAMS_GbG[[TM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2.1111111111111112</v>
      </c>
      <c r="CN16" s="18">
        <f>IF($D16=0,"DNP",SUMIFS(TEAMS_GbG[TM DR_RIM],TEAMS_GbG[[TM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CO16" s="18">
        <f>IF($D16=0,"DNP",SUMIFS(TEAMS_GbG[DR_PAINT],TEAMS_GbG[[TM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6.333333333333333</v>
      </c>
      <c r="CP16" s="18">
        <f>IF($D16=0,"DNP",SUMIFS(TEAMS_GbG[TM DR_PAINT],TEAMS_GbG[[TM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CQ16" s="18">
        <f>IF($D16=0,"DNP",SUMIFS(TEAMS_GbG[DR_NP2],TEAMS_GbG[[TM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3.3333333333333335</v>
      </c>
      <c r="CR16" s="18">
        <f>IF($D16=0,"DNP",SUMIFS(TEAMS_GbG[TM DR_NP2],TEAMS_GbG[[TM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CS16" s="18">
        <f>IF($D16=0,"DNP",SUMIFS(TEAMS_GbG[DR_3C],TEAMS_GbG[[TM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1.2222222222222223</v>
      </c>
      <c r="CT16" s="18">
        <f>IF($D16=0,"DNP",SUMIFS(TEAMS_GbG[TM DR_3C],TEAMS_GbG[[TM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CU16" s="18">
        <f>IF($D16=0,"DNP",SUMIFS(TEAMS_GbG[DR_3L],TEAMS_GbG[[TM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</v>
      </c>
      <c r="CV16" s="18">
        <f>IF($D16=0,"DNP",SUMIFS(TEAMS_GbG[TM DR_3L],TEAMS_GbG[[TM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CW16" s="18">
        <f>IF($D16=0,"DNP",SUMIFS(TEAMS_GbG[DR_FT],TEAMS_GbG[[TM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1.4444444444444444</v>
      </c>
      <c r="CX16" s="18">
        <f>IF($D16=0,"DNP",SUMIFS(TEAMS_GbG[TM DR_FT],TEAMS_GbG[[TM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CY16" s="18">
        <f>IF($D16=0,"DNP",SUMIFS(TEAMS_GbG[FTM_T],TEAMS_GbG[[TM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CZ16" s="18">
        <f>IF($D16=0,"DNP",SUMIFS(TEAMS_GbG[FTA_T],TEAMS_GbG[[TM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DA16" s="18">
        <f>IF($D16=0,"DNP",SUMIFS(TEAMS_GbG[FTM_1],TEAMS_GbG[[TM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</v>
      </c>
      <c r="DB16" s="18">
        <f>IF($D16=0,"DNP",SUMIFS(TEAMS_GbG[FTA_1],TEAMS_GbG[[TM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1.2222222222222223</v>
      </c>
      <c r="DC16" s="18">
        <f>IF($D16=0,"DNP",SUMIFS(TEAMS_GbG[FTM_2],TEAMS_GbG[[TM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9</v>
      </c>
      <c r="DD16" s="18">
        <f>IF($D16=0,"DNP",SUMIFS(TEAMS_GbG[FTA_2],TEAMS_GbG[[TM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12</v>
      </c>
      <c r="DE16" s="18">
        <f>IF($D16=0,"DNP",SUMIFS(TEAMS_GbG[FT 0/2],TEAMS_GbG[[TM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DF16" s="18">
        <f>IF($D16=0,"DNP",SUMIFS(TEAMS_GbG[FTM_3],TEAMS_GbG[[TM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1.3333333333333333</v>
      </c>
      <c r="DG16" s="18">
        <f>IF($D16=0,"DNP",SUMIFS(TEAMS_GbG[FTA_3],TEAMS_GbG[[TM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1.3333333333333333</v>
      </c>
      <c r="DH16" s="18">
        <f>IF($D16=0,"DNP",SUMIFS(TEAMS_GbG[FT 0/3],TEAMS_GbG[[TM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DI16" s="18">
        <f>IF($D16=0,"DNP",SUMIFS(TEAMS_GbG[RIM_M],TEAMS_GbG[[TM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9.2222222222222214</v>
      </c>
      <c r="DJ16" s="18">
        <f>IF($D16=0,"DNP",SUMIFS(TEAMS_GbG[RIM_A],TEAMS_GbG[[TM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11.222222222222221</v>
      </c>
      <c r="DK16" s="18">
        <f>IF($D16=0,"DNP",SUMIFS(TEAMS_GbG[PAINT_M],TEAMS_GbG[[TM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5.8888888888888893</v>
      </c>
      <c r="DL16" s="18">
        <f>IF($D16=0,"DNP",SUMIFS(TEAMS_GbG[PAINT_A],TEAMS_GbG[[TM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14.777777777777779</v>
      </c>
      <c r="DM16" s="18">
        <f>IF($D16=0,"DNP",SUMIFS(TEAMS_GbG[MID_M],TEAMS_GbG[[TM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2.5555555555555554</v>
      </c>
      <c r="DN16" s="18">
        <f>IF($D16=0,"DNP",SUMIFS(TEAMS_GbG[MID_A],TEAMS_GbG[[TM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6.666666666666667</v>
      </c>
      <c r="DO16" s="18">
        <f>IF($D16=0,"DNP",SUMIFS(TEAMS_GbG[3C_M],TEAMS_GbG[[TM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1.8888888888888888</v>
      </c>
      <c r="DP16" s="18">
        <f>IF($D16=0,"DNP",SUMIFS(TEAMS_GbG[3C_A],TEAMS_GbG[[TM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4.5555555555555554</v>
      </c>
      <c r="DQ16" s="18">
        <f>IF($D16=0,"DNP",SUMIFS(TEAMS_GbG[3L_M],TEAMS_GbG[[TM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8.7777777777777786</v>
      </c>
      <c r="DR16" s="18">
        <f>IF($D16=0,"DNP",SUMIFS(TEAMS_GbG[3L_A],TEAMS_GbG[[TM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24.777777777777779</v>
      </c>
      <c r="DS16" s="18">
        <f>IF($D16=0,"DNP",SUMIFS(TEAMS_GbG[3H_M],TEAMS_GbG[[TM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DT16" s="18">
        <f>IF($D16=0,"DNP",SUMIFS(TEAMS_GbG[3H_A],TEAMS_GbG[[TM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DU16" s="18">
        <f>IF($D16=0,"DNP",SUMIFS(TEAMS_GbG[OPP PTS],TEAMS_GbG[[TM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78.666666666666671</v>
      </c>
      <c r="DV16" s="18">
        <f>IF($D16=0,"DNP",SUMIFS(TEAMS_GbG[OPP 2PTM],TEAMS_GbG[[TM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21</v>
      </c>
      <c r="DW16" s="18">
        <f>IF($D16=0,"DNP",SUMIFS(TEAMS_GbG[OPP 2PTA],TEAMS_GbG[[TM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40.222222222222221</v>
      </c>
      <c r="DX16" s="16">
        <f t="shared" si="43"/>
        <v>0.52209944751381221</v>
      </c>
      <c r="DY16" s="18">
        <f>IF($D16=0,"DNP",SUMIFS(TEAMS_GbG[OPP 3PTM],TEAMS_GbG[[TM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7.7777777777777777</v>
      </c>
      <c r="DZ16" s="18">
        <f>IF($D16=0,"DNP",SUMIFS(TEAMS_GbG[OPP 3PTA],TEAMS_GbG[[TM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22.777777777777779</v>
      </c>
      <c r="EA16" s="16">
        <f t="shared" si="44"/>
        <v>0.34146341463414631</v>
      </c>
      <c r="EB16" s="18">
        <f>IF($D16=0,"DNP",SUMIFS(TEAMS_GbG[OPP FGM],TEAMS_GbG[[TM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28.777777777777779</v>
      </c>
      <c r="EC16" s="18">
        <f>IF($D16=0,"DNP",SUMIFS(TEAMS_GbG[OPP FGA],TEAMS_GbG[[TM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63</v>
      </c>
      <c r="ED16" s="16">
        <f t="shared" si="45"/>
        <v>0.45679012345679015</v>
      </c>
      <c r="EE16" s="18">
        <f>IF($D16=0,"DNP",SUMIFS(TEAMS_GbG[OPP FTM],TEAMS_GbG[[TM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13.333333333333334</v>
      </c>
      <c r="EF16" s="18">
        <f>IF($D16=0,"DNP",SUMIFS(TEAMS_GbG[OPP FTA],TEAMS_GbG[[TM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17.555555555555557</v>
      </c>
      <c r="EG16" s="16">
        <f t="shared" si="46"/>
        <v>0.75949367088607589</v>
      </c>
      <c r="EH16" s="18">
        <f>IF($D16=0,"DNP",SUMIFS(TEAMS_GbG[OPP OR],TEAMS_GbG[[TM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12.111111111111111</v>
      </c>
      <c r="EI16" s="18">
        <f>IF($D16=0,"DNP",SUMIFS(TEAMS_GbG[OPP DR],TEAMS_GbG[[TM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24.111111111111111</v>
      </c>
      <c r="EJ16" s="18">
        <f>IF($D16=0,"DNP",SUMIFS(TEAMS_GbG[OPP TR],TEAMS_GbG[[TM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36.222222222222221</v>
      </c>
      <c r="EK16" s="18">
        <f>IF($D16=0,"DNP",SUMIFS(TEAMS_GbG[OPP AST],TEAMS_GbG[[TM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16.666666666666668</v>
      </c>
      <c r="EL16" s="18">
        <f>IF($D16=0,"DNP",SUMIFS(TEAMS_GbG[OPP PF],TEAMS_GbG[[TM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20.111111111111111</v>
      </c>
      <c r="EM16" s="18">
        <f>IF($D16=0,"DNP",SUMIFS(TEAMS_GbG[OPP DF],TEAMS_GbG[[TM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20.888888888888889</v>
      </c>
      <c r="EN16" s="18">
        <f>IF($D16=0,"DNP",SUMIFS(TEAMS_GbG[OPP ST],TEAMS_GbG[[TM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</v>
      </c>
      <c r="EO16" s="18">
        <f>IF($D16=0,"DNP",SUMIFS(TEAMS_GbG[OPP TO],TEAMS_GbG[[TM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11.777777777777779</v>
      </c>
      <c r="EP16" s="18">
        <f>IF($D16=0,"DNP",SUMIFS(TEAMS_GbG[OPP BLK],TEAMS_GbG[[TM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</v>
      </c>
      <c r="EQ16" s="18">
        <f>IF($D16=0,"DNP",SUMIFS(TEAMS_GbG[OPP BLKA],TEAMS_GbG[[TM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</v>
      </c>
      <c r="ER16" s="18">
        <f>IF($D16=0,"DNP",SUMIFS(TEAMS_GbG[OPP VAL],TEAMS_GbG[[TM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87.111111111111114</v>
      </c>
      <c r="ES16" s="18">
        <f>IF($D16=0,"DNP",SUMIFS(TEAMS_GbG[OPP + / -],TEAMS_GbG[[TM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-0.33333333333333331</v>
      </c>
      <c r="ET16" s="18">
        <f>IF($D16=0,"DNP",SUMIFS(TEAMS_GbG[OPP POSS],TEAMS_GbG[[TM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70.111111111111114</v>
      </c>
      <c r="EU16" s="18">
        <f>IF($D16=0,"DNP",SUMIFS(TEAMS_GbG[OPP SHOOTING CHANCES],TEAMS_GbG[[TM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82.333333333333329</v>
      </c>
      <c r="EV16" s="18">
        <f>IF($D16=0,"DNP",SUMIFS(TEAMS_GbG[OPP KILLS],TEAMS_GbG[[TM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4.1111111111111107</v>
      </c>
      <c r="EW16" s="18">
        <f>IF($D16=0,"DNP",SUMIFS(TEAMS_GbG[OPP ASTED_2FG],TEAMS_GbG[[TM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9.6666666666666661</v>
      </c>
      <c r="EX16" s="18">
        <f>IF($D16=0,"DNP",SUMIFS(TEAMS_GbG[OPP ASTED_3FG],TEAMS_GbG[[TM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5.5555555555555554</v>
      </c>
      <c r="EY16" s="18">
        <f>IF($D16=0,"DNP",SUMIFS(TEAMS_GbG[OPP ASTED_FT],TEAMS_GbG[[TM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1.4444444444444444</v>
      </c>
      <c r="EZ16" s="18">
        <f>IF($D16=0,"DNP",SUMIFS(TEAMS_GbG[OPP ASTED_FT PTS],TEAMS_GbG[[TM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</v>
      </c>
      <c r="FA16" s="18">
        <f>IF($D16=0,"DNP",SUMIFS(TEAMS_GbG[OPP OR_RIM],TEAMS_GbG[[TM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1.3333333333333333</v>
      </c>
      <c r="FB16" s="18">
        <f>IF($D16=0,"DNP",SUMIFS(TEAMS_GbG[OPP TM OR_RIM],TEAMS_GbG[[TM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FC16" s="18">
        <f>IF($D16=0,"DNP",SUMIFS(TEAMS_GbG[OPP OR_PAINT],TEAMS_GbG[[TM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4.2222222222222223</v>
      </c>
      <c r="FD16" s="18">
        <f>IF($D16=0,"DNP",SUMIFS(TEAMS_GbG[OPP TM OR_PAINT],TEAMS_GbG[[TM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FE16" s="18">
        <f>IF($D16=0,"DNP",SUMIFS(TEAMS_GbG[OPP OR_NP2],TEAMS_GbG[[TM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1.1111111111111112</v>
      </c>
      <c r="FF16" s="18">
        <f>IF($D16=0,"DNP",SUMIFS(TEAMS_GbG[OPP TM OR_NP2],TEAMS_GbG[[TM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FG16" s="18">
        <f>IF($D16=0,"DNP",SUMIFS(TEAMS_GbG[OPP OR_3C],TEAMS_GbG[[TM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FH16" s="18">
        <f>IF($D16=0,"DNP",SUMIFS(TEAMS_GbG[OPP TM OR_3C],TEAMS_GbG[[TM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FI16" s="18">
        <f>IF($D16=0,"DNP",SUMIFS(TEAMS_GbG[OPP OR_3L],TEAMS_GbG[[TM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4.1111111111111107</v>
      </c>
      <c r="FJ16" s="18">
        <f>IF($D16=0,"DNP",SUMIFS(TEAMS_GbG[OPP TM OR_3L],TEAMS_GbG[[TM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FK16" s="18">
        <f>IF($D16=0,"DNP",SUMIFS(TEAMS_GbG[OPP OR_FT],TEAMS_GbG[[TM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FL16" s="18">
        <f>IF($D16=0,"DNP",SUMIFS(TEAMS_GbG[OPP TM OR_FT],TEAMS_GbG[[TM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FM16" s="18">
        <f>IF($D16=0,"DNP",SUMIFS(TEAMS_GbG[OPP DR_RIM],TEAMS_GbG[[TM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FN16" s="18">
        <f>IF($D16=0,"DNP",SUMIFS(TEAMS_GbG[OPP TM DR_RIM],TEAMS_GbG[[TM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FO16" s="18">
        <f>IF($D16=0,"DNP",SUMIFS(TEAMS_GbG[OPP DR_PAINT],TEAMS_GbG[[TM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6.4444444444444446</v>
      </c>
      <c r="FP16" s="18">
        <f>IF($D16=0,"DNP",SUMIFS(TEAMS_GbG[OPP TM DR_PAINT],TEAMS_GbG[[TM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FQ16" s="18">
        <f>IF($D16=0,"DNP",SUMIFS(TEAMS_GbG[OPP DR_NP2],TEAMS_GbG[[TM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3.3333333333333335</v>
      </c>
      <c r="FR16" s="18">
        <f>IF($D16=0,"DNP",SUMIFS(TEAMS_GbG[OPP TM DR_NP2],TEAMS_GbG[[TM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FS16" s="18">
        <f>IF($D16=0,"DNP",SUMIFS(TEAMS_GbG[OPP DR_3C],TEAMS_GbG[[TM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2.1111111111111112</v>
      </c>
      <c r="FT16" s="18">
        <f>IF($D16=0,"DNP",SUMIFS(TEAMS_GbG[OPP TM DR_3C],TEAMS_GbG[[TM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FU16" s="18">
        <f>IF($D16=0,"DNP",SUMIFS(TEAMS_GbG[OPP DR_3L],TEAMS_GbG[[TM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10.222222222222221</v>
      </c>
      <c r="FV16" s="18">
        <f>IF($D16=0,"DNP",SUMIFS(TEAMS_GbG[OPP TM DR_3L],TEAMS_GbG[[TM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1.6666666666666667</v>
      </c>
      <c r="FW16" s="18">
        <f>IF($D16=0,"DNP",SUMIFS(TEAMS_GbG[OPP DR_FT],TEAMS_GbG[[TM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1.1111111111111112</v>
      </c>
      <c r="FX16" s="18">
        <f>IF($D16=0,"DNP",SUMIFS(TEAMS_GbG[OPP TM DR_FT],TEAMS_GbG[[TM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FY16" s="18">
        <f>IF($D16=0,"DNP",SUMIFS(TEAMS_GbG[OPP FTM_T],TEAMS_GbG[[TM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FZ16" s="18">
        <f>IF($D16=0,"DNP",SUMIFS(TEAMS_GbG[OPP FTA_T],TEAMS_GbG[[TM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GA16" s="18">
        <f>IF($D16=0,"DNP",SUMIFS(TEAMS_GbG[OPP FTM_1],TEAMS_GbG[[TM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0.66666666666666663</v>
      </c>
      <c r="GB16" s="18">
        <f>IF($D16=0,"DNP",SUMIFS(TEAMS_GbG[OPP FTA_1],TEAMS_GbG[[TM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1.2222222222222223</v>
      </c>
      <c r="GC16" s="18">
        <f>IF($D16=0,"DNP",SUMIFS(TEAMS_GbG[OPP FTM_2],TEAMS_GbG[[TM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10.333333333333334</v>
      </c>
      <c r="GD16" s="18">
        <f>IF($D16=0,"DNP",SUMIFS(TEAMS_GbG[OPP FTA_2],TEAMS_GbG[[TM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14</v>
      </c>
      <c r="GE16" s="18">
        <f>IF($D16=0,"DNP",SUMIFS(TEAMS_GbG[OPP FT 0/2],TEAMS_GbG[[TM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GF16" s="18">
        <f>IF($D16=0,"DNP",SUMIFS(TEAMS_GbG[OPP FTM_3],TEAMS_GbG[[TM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1.6666666666666667</v>
      </c>
      <c r="GG16" s="18">
        <f>IF($D16=0,"DNP",SUMIFS(TEAMS_GbG[OPP FTA_3],TEAMS_GbG[[TM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1.6666666666666667</v>
      </c>
      <c r="GH16" s="18">
        <f>IF($D16=0,"DNP",SUMIFS(TEAMS_GbG[OPP FT 0/3],TEAMS_GbG[[TM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GI16" s="18">
        <f>IF($D16=0,"DNP",SUMIFS(TEAMS_GbG[OPP RIM_M],TEAMS_GbG[[TM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9.3333333333333339</v>
      </c>
      <c r="GJ16" s="18">
        <f>IF($D16=0,"DNP",SUMIFS(TEAMS_GbG[OPP RIM_A],TEAMS_GbG[[TM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13</v>
      </c>
      <c r="GK16" s="18">
        <f>IF($D16=0,"DNP",SUMIFS(TEAMS_GbG[OPP PAINT_M],TEAMS_GbG[[TM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8.6666666666666661</v>
      </c>
      <c r="GL16" s="18">
        <f>IF($D16=0,"DNP",SUMIFS(TEAMS_GbG[OPP PAINT_A],TEAMS_GbG[[TM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19.555555555555557</v>
      </c>
      <c r="GM16" s="18">
        <f>IF($D16=0,"DNP",SUMIFS(TEAMS_GbG[OPP MID_M],TEAMS_GbG[[TM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</v>
      </c>
      <c r="GN16" s="18">
        <f>IF($D16=0,"DNP",SUMIFS(TEAMS_GbG[OPP MID_A],TEAMS_GbG[[TM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7.666666666666667</v>
      </c>
      <c r="GO16" s="18">
        <f>IF($D16=0,"DNP",SUMIFS(TEAMS_GbG[OPP 3C_M],TEAMS_GbG[[TM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1.6666666666666667</v>
      </c>
      <c r="GP16" s="18">
        <f>IF($D16=0,"DNP",SUMIFS(TEAMS_GbG[OPP 3C_A],TEAMS_GbG[[TM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3.3333333333333335</v>
      </c>
      <c r="GQ16" s="18">
        <f>IF($D16=0,"DNP",SUMIFS(TEAMS_GbG[OPP 3L_M],TEAMS_GbG[[TM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6.1111111111111107</v>
      </c>
      <c r="GR16" s="18">
        <f>IF($D16=0,"DNP",SUMIFS(TEAMS_GbG[OPP 3L_A],TEAMS_GbG[[TM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19.333333333333332</v>
      </c>
      <c r="GS16" s="18">
        <f>IF($D16=0,"DNP",SUMIFS(TEAMS_GbG[OPP 3H_M],TEAMS_GbG[[TM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GT16" s="18">
        <f>IF($D16=0,"DNP",SUMIFS(TEAMS_GbG[OPP 3H_A],TEAMS_GbG[[TM NAME]:[TM NAME]],$C16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GU16" s="16">
        <f ca="1">IF(TEAMS_STATS[[#This Row],[TM NAME]]="","",INDEX(SoS!$C$113:$C$144,MATCH(TEAMS_STATS[[#This Row],[TM NAME]],SoS!$B$113:$B$144,0)))</f>
        <v>0.45730452674897121</v>
      </c>
    </row>
    <row r="17" spans="2:203" ht="15" customHeight="1" x14ac:dyDescent="0.25">
      <c r="B17" s="12">
        <f>_xlfn.AGGREGATE(3,5,$C$7:C16)</f>
        <v>10</v>
      </c>
      <c r="C17" s="14" t="str">
        <f>BASIS_INFO!F12</f>
        <v>LDLC ASVEL Villeurbanne</v>
      </c>
      <c r="D17" s="20">
        <f>COUNTIFS(TEAMS_GbG[[TM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7" s="20">
        <f>COUNTIFS(TEAMS_GbG[[TM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2</v>
      </c>
      <c r="F17" s="20">
        <f>COUNTIFS(TEAMS_GbG[[TM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7</v>
      </c>
      <c r="G17" s="18">
        <f>IF($D17=0,"DNP",SUMIFS(TEAMS_GbG[MIN],TEAMS_GbG[[TM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200</v>
      </c>
      <c r="H17" s="18">
        <f>IF($D17=0,"DNP",SUMIFS(TEAMS_GbG[PTS],TEAMS_GbG[[TM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78.222222222222229</v>
      </c>
      <c r="I17" s="18">
        <f>IF($D17=0,"DNP",SUMIFS(TEAMS_GbG[2PTM],TEAMS_GbG[[TM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20.222222222222221</v>
      </c>
      <c r="J17" s="18">
        <f>IF($D17=0,"DNP",SUMIFS(TEAMS_GbG[2PTA],TEAMS_GbG[[TM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38.777777777777779</v>
      </c>
      <c r="K17" s="16">
        <f t="shared" si="38"/>
        <v>0.52148997134670483</v>
      </c>
      <c r="L17" s="18">
        <f>IF($D17=0,"DNP",SUMIFS(TEAMS_GbG[3PTM],TEAMS_GbG[[TM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8.1111111111111107</v>
      </c>
      <c r="M17" s="18">
        <f>IF($D17=0,"DNP",SUMIFS(TEAMS_GbG[3PTA],TEAMS_GbG[[TM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22.222222222222221</v>
      </c>
      <c r="N17" s="16">
        <f t="shared" si="39"/>
        <v>0.36499999999999999</v>
      </c>
      <c r="O17" s="18">
        <f>IF($D17=0,"DNP",SUMIFS(TEAMS_GbG[FGM],TEAMS_GbG[[TM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28.333333333333332</v>
      </c>
      <c r="P17" s="18">
        <f>IF($D17=0,"DNP",SUMIFS(TEAMS_GbG[FGA],TEAMS_GbG[[TM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61</v>
      </c>
      <c r="Q17" s="16">
        <f t="shared" si="40"/>
        <v>0.46448087431693985</v>
      </c>
      <c r="R17" s="18">
        <f>IF($D17=0,"DNP",SUMIFS(TEAMS_GbG[FTM],TEAMS_GbG[[TM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13.444444444444445</v>
      </c>
      <c r="S17" s="18">
        <f>IF($D17=0,"DNP",SUMIFS(TEAMS_GbG[FTA],TEAMS_GbG[[TM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17.555555555555557</v>
      </c>
      <c r="T17" s="16">
        <f t="shared" si="41"/>
        <v>0.76582278481012656</v>
      </c>
      <c r="U17" s="18">
        <f>IF($D17=0,"DNP",SUMIFS(TEAMS_GbG[OR],TEAMS_GbG[[TM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10.111111111111111</v>
      </c>
      <c r="V17" s="18">
        <f>IF($D17=0,"DNP",SUMIFS(TEAMS_GbG[DR],TEAMS_GbG[[TM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22.666666666666668</v>
      </c>
      <c r="W17" s="18">
        <f>IF($D17=0,"DNP",SUMIFS(TEAMS_GbG[TR],TEAMS_GbG[[TM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32.777777777777779</v>
      </c>
      <c r="X17" s="18">
        <f>IF($D17=0,"DNP",SUMIFS(TEAMS_GbG[AST],TEAMS_GbG[[TM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16.777777777777779</v>
      </c>
      <c r="Y17" s="18">
        <f>IF($D17=0,"DNP",SUMIFS(TEAMS_GbG[TO],TEAMS_GbG[[TM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13.222222222222221</v>
      </c>
      <c r="Z17" s="18">
        <f>IF($D17=0,"DNP",SUMIFS(TEAMS_GbG[ST],TEAMS_GbG[[TM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5.2222222222222223</v>
      </c>
      <c r="AA17" s="18">
        <f>IF($D17=0,"DNP",SUMIFS(TEAMS_GbG[BLK],TEAMS_GbG[[TM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1.5555555555555556</v>
      </c>
      <c r="AB17" s="18">
        <f>IF($D17=0,"DNP",SUMIFS(TEAMS_GbG[BLKA],TEAMS_GbG[[TM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2.6666666666666665</v>
      </c>
      <c r="AC17" s="18">
        <f>IF($D17=0,"DNP",SUMIFS(TEAMS_GbG[PF],TEAMS_GbG[[TM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16.444444444444443</v>
      </c>
      <c r="AD17" s="18">
        <f>IF($D17=0,"DNP",SUMIFS(TEAMS_GbG[DF],TEAMS_GbG[[TM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19.777777777777779</v>
      </c>
      <c r="AE17" s="18">
        <f>IF($D17=0,"DNP",SUMIFS(TEAMS_GbG[VAL],TEAMS_GbG[[TM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85.222222222222229</v>
      </c>
      <c r="AF17" s="18">
        <f>IF($D17=0,"DNP",SUMIFS(TEAMS_GbG[+ / -],TEAMS_GbG[[TM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-8.7777777777777786</v>
      </c>
      <c r="AG17" s="26">
        <f t="shared" si="0"/>
        <v>71.333333333333329</v>
      </c>
      <c r="AH17" s="18">
        <f>IF($D17=0,"DNP",SUMIFS(TEAMS_GbG[POSS],TEAMS_GbG[[TM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71.333333333333329</v>
      </c>
      <c r="AI17" s="18">
        <f>IF($D17=0,"DNP",SUMIFS(TEAMS_GbG[SHOOTING CHANCES],TEAMS_GbG[[TM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81.555555555555557</v>
      </c>
      <c r="AJ17" s="19">
        <f t="shared" si="1"/>
        <v>0.95912806539509543</v>
      </c>
      <c r="AK17" s="19">
        <f t="shared" si="2"/>
        <v>1.0624151967435549</v>
      </c>
      <c r="AL17" s="18">
        <f t="shared" si="3"/>
        <v>109.65732087227416</v>
      </c>
      <c r="AM17" s="18">
        <f t="shared" si="4"/>
        <v>122.72727272727273</v>
      </c>
      <c r="AN17" s="18">
        <f t="shared" si="42"/>
        <v>-13.069951854998578</v>
      </c>
      <c r="AO17" s="27">
        <f t="shared" si="5"/>
        <v>0.53096539162112932</v>
      </c>
      <c r="AP17" s="28">
        <f t="shared" si="6"/>
        <v>0.57235772357723591</v>
      </c>
      <c r="AQ17" s="34">
        <f t="shared" si="7"/>
        <v>0.15803814713896458</v>
      </c>
      <c r="AR17" s="38">
        <f t="shared" si="8"/>
        <v>1.4999999999999998</v>
      </c>
      <c r="AS17" s="27">
        <f t="shared" si="9"/>
        <v>0.2329700272479564</v>
      </c>
      <c r="AT17" s="38">
        <f t="shared" si="10"/>
        <v>0.80701754385964919</v>
      </c>
      <c r="AU17" s="27">
        <f t="shared" si="11"/>
        <v>8.4468664850136238E-2</v>
      </c>
      <c r="AV17" s="38">
        <f t="shared" si="12"/>
        <v>0.83870967741935476</v>
      </c>
      <c r="AW17" s="27">
        <f t="shared" si="13"/>
        <v>4.7683923705722067E-2</v>
      </c>
      <c r="AX17" s="38">
        <f t="shared" si="14"/>
        <v>1.4571428571428571</v>
      </c>
      <c r="AY17" s="27">
        <f t="shared" si="15"/>
        <v>0.22479564032697547</v>
      </c>
      <c r="AZ17" s="38">
        <f t="shared" si="16"/>
        <v>1.0181818181818183</v>
      </c>
      <c r="BA17" s="28">
        <f t="shared" si="17"/>
        <v>8.9918256130790186E-2</v>
      </c>
      <c r="BB17" s="34">
        <f t="shared" si="18"/>
        <v>0.16234652114597545</v>
      </c>
      <c r="BC17" s="27">
        <f t="shared" si="19"/>
        <v>0.47169811320754729</v>
      </c>
      <c r="BD17" s="27">
        <f t="shared" si="20"/>
        <v>0.42307692307692307</v>
      </c>
      <c r="BE17" s="27">
        <f t="shared" si="21"/>
        <v>0.78082191780821919</v>
      </c>
      <c r="BF17" s="27">
        <f t="shared" si="22"/>
        <v>0.25396825396825395</v>
      </c>
      <c r="BG17" s="27">
        <f t="shared" si="23"/>
        <v>0.20600272851296045</v>
      </c>
      <c r="BH17" s="35">
        <f t="shared" si="24"/>
        <v>1.2689075630252102</v>
      </c>
      <c r="BI17" s="49">
        <f t="shared" si="25"/>
        <v>0.29934210526315785</v>
      </c>
      <c r="BJ17" s="45">
        <f t="shared" si="26"/>
        <v>0.34463276836158196</v>
      </c>
      <c r="BK17" s="45">
        <f t="shared" si="27"/>
        <v>0.29457364341085268</v>
      </c>
      <c r="BL17" s="45">
        <f t="shared" si="28"/>
        <v>0.13636363636363635</v>
      </c>
      <c r="BM17" s="45">
        <f t="shared" si="29"/>
        <v>0.6732673267326732</v>
      </c>
      <c r="BN17" s="45">
        <f t="shared" si="30"/>
        <v>0.63888888888888884</v>
      </c>
      <c r="BO17" s="45">
        <f t="shared" si="31"/>
        <v>0.6542553191489362</v>
      </c>
      <c r="BP17" s="45">
        <f t="shared" si="32"/>
        <v>0.72727272727272718</v>
      </c>
      <c r="BQ17" s="46">
        <f t="shared" si="33"/>
        <v>0.48599670510708404</v>
      </c>
      <c r="BR17" s="49">
        <f t="shared" si="34"/>
        <v>7.3667711598746091E-2</v>
      </c>
      <c r="BS17" s="45">
        <f t="shared" si="35"/>
        <v>2.4221453287197228E-2</v>
      </c>
      <c r="BT17" s="39">
        <f>IF($D17=0,"DNP",SUMIFS(TEAMS_GbG[KILLS],TEAMS_GbG[[TM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4.5555555555555554</v>
      </c>
      <c r="BU17" s="34">
        <f t="shared" si="36"/>
        <v>0.48648648648648651</v>
      </c>
      <c r="BV17" s="28">
        <f t="shared" si="37"/>
        <v>0.46067415730337075</v>
      </c>
      <c r="BW17" s="18">
        <f>IF($D17=0,"DNP",SUMIFS(TEAMS_GbG[ASTED_2FG],TEAMS_GbG[[TM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8.5555555555555554</v>
      </c>
      <c r="BX17" s="18">
        <f>IF($D17=0,"DNP",SUMIFS(TEAMS_GbG[ASTED_3FG],TEAMS_GbG[[TM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6.333333333333333</v>
      </c>
      <c r="BY17" s="18">
        <f>IF($D17=0,"DNP",SUMIFS(TEAMS_GbG[ASTED_FT],TEAMS_GbG[[TM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1.7777777777777777</v>
      </c>
      <c r="BZ17" s="18">
        <f>IF($D17=0,"DNP",SUMIFS(TEAMS_GbG[ASTED_FT PTS],TEAMS_GbG[[TM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3.3333333333333335</v>
      </c>
      <c r="CA17" s="18">
        <f>IF($D17=0,"DNP",SUMIFS(TEAMS_GbG[OR_RIM],TEAMS_GbG[[TM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1.3333333333333333</v>
      </c>
      <c r="CB17" s="18">
        <f>IF($D17=0,"DNP",SUMIFS(TEAMS_GbG[TM OR_RIM],TEAMS_GbG[[TM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CC17" s="18">
        <f>IF($D17=0,"DNP",SUMIFS(TEAMS_GbG[OR_PAINT],TEAMS_GbG[[TM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3.7777777777777777</v>
      </c>
      <c r="CD17" s="18">
        <f>IF($D17=0,"DNP",SUMIFS(TEAMS_GbG[TM OR_PAINT],TEAMS_GbG[[TM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CE17" s="18">
        <f>IF($D17=0,"DNP",SUMIFS(TEAMS_GbG[OR_NP2],TEAMS_GbG[[TM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0.77777777777777779</v>
      </c>
      <c r="CF17" s="18">
        <f>IF($D17=0,"DNP",SUMIFS(TEAMS_GbG[TM OR_NP2],TEAMS_GbG[[TM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G17" s="18">
        <f>IF($D17=0,"DNP",SUMIFS(TEAMS_GbG[OR_3C],TEAMS_GbG[[TM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CH17" s="18">
        <f>IF($D17=0,"DNP",SUMIFS(TEAMS_GbG[TM OR_3C],TEAMS_GbG[[TM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CI17" s="18">
        <f>IF($D17=0,"DNP",SUMIFS(TEAMS_GbG[OR_3L],TEAMS_GbG[[TM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3.3333333333333335</v>
      </c>
      <c r="CJ17" s="18">
        <f>IF($D17=0,"DNP",SUMIFS(TEAMS_GbG[TM OR_3L],TEAMS_GbG[[TM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CK17" s="18">
        <f>IF($D17=0,"DNP",SUMIFS(TEAMS_GbG[OR_FT],TEAMS_GbG[[TM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CL17" s="18">
        <f>IF($D17=0,"DNP",SUMIFS(TEAMS_GbG[TM OR_FT],TEAMS_GbG[[TM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M17" s="18">
        <f>IF($D17=0,"DNP",SUMIFS(TEAMS_GbG[DR_RIM],TEAMS_GbG[[TM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0.77777777777777779</v>
      </c>
      <c r="CN17" s="18">
        <f>IF($D17=0,"DNP",SUMIFS(TEAMS_GbG[TM DR_RIM],TEAMS_GbG[[TM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O17" s="18">
        <f>IF($D17=0,"DNP",SUMIFS(TEAMS_GbG[DR_PAINT],TEAMS_GbG[[TM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6.1111111111111107</v>
      </c>
      <c r="CP17" s="18">
        <f>IF($D17=0,"DNP",SUMIFS(TEAMS_GbG[TM DR_PAINT],TEAMS_GbG[[TM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0.66666666666666663</v>
      </c>
      <c r="CQ17" s="18">
        <f>IF($D17=0,"DNP",SUMIFS(TEAMS_GbG[DR_NP2],TEAMS_GbG[[TM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2.5555555555555554</v>
      </c>
      <c r="CR17" s="18">
        <f>IF($D17=0,"DNP",SUMIFS(TEAMS_GbG[TM DR_NP2],TEAMS_GbG[[TM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CS17" s="18">
        <f>IF($D17=0,"DNP",SUMIFS(TEAMS_GbG[DR_3C],TEAMS_GbG[[TM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1.4444444444444444</v>
      </c>
      <c r="CT17" s="18">
        <f>IF($D17=0,"DNP",SUMIFS(TEAMS_GbG[TM DR_3C],TEAMS_GbG[[TM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U17" s="18">
        <f>IF($D17=0,"DNP",SUMIFS(TEAMS_GbG[DR_3L],TEAMS_GbG[[TM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10.888888888888889</v>
      </c>
      <c r="CV17" s="18">
        <f>IF($D17=0,"DNP",SUMIFS(TEAMS_GbG[TM DR_3L],TEAMS_GbG[[TM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1.2222222222222223</v>
      </c>
      <c r="CW17" s="18">
        <f>IF($D17=0,"DNP",SUMIFS(TEAMS_GbG[DR_FT],TEAMS_GbG[[TM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0.88888888888888884</v>
      </c>
      <c r="CX17" s="18">
        <f>IF($D17=0,"DNP",SUMIFS(TEAMS_GbG[TM DR_FT],TEAMS_GbG[[TM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CY17" s="18">
        <f>IF($D17=0,"DNP",SUMIFS(TEAMS_GbG[FTM_T],TEAMS_GbG[[TM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CZ17" s="18">
        <f>IF($D17=0,"DNP",SUMIFS(TEAMS_GbG[FTA_T],TEAMS_GbG[[TM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DA17" s="18">
        <f>IF($D17=0,"DNP",SUMIFS(TEAMS_GbG[FTM_1],TEAMS_GbG[[TM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</v>
      </c>
      <c r="DB17" s="18">
        <f>IF($D17=0,"DNP",SUMIFS(TEAMS_GbG[FTA_1],TEAMS_GbG[[TM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1.7777777777777777</v>
      </c>
      <c r="DC17" s="18">
        <f>IF($D17=0,"DNP",SUMIFS(TEAMS_GbG[FTM_2],TEAMS_GbG[[TM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10.111111111111111</v>
      </c>
      <c r="DD17" s="18">
        <f>IF($D17=0,"DNP",SUMIFS(TEAMS_GbG[FTA_2],TEAMS_GbG[[TM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13.111111111111111</v>
      </c>
      <c r="DE17" s="18">
        <f>IF($D17=0,"DNP",SUMIFS(TEAMS_GbG[FT 0/2],TEAMS_GbG[[TM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DF17" s="18">
        <f>IF($D17=0,"DNP",SUMIFS(TEAMS_GbG[FTM_3],TEAMS_GbG[[TM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</v>
      </c>
      <c r="DG17" s="18">
        <f>IF($D17=0,"DNP",SUMIFS(TEAMS_GbG[FTA_3],TEAMS_GbG[[TM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2.3333333333333335</v>
      </c>
      <c r="DH17" s="18">
        <f>IF($D17=0,"DNP",SUMIFS(TEAMS_GbG[FT 0/3],TEAMS_GbG[[TM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DI17" s="18">
        <f>IF($D17=0,"DNP",SUMIFS(TEAMS_GbG[RIM_M],TEAMS_GbG[[TM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9.6666666666666661</v>
      </c>
      <c r="DJ17" s="18">
        <f>IF($D17=0,"DNP",SUMIFS(TEAMS_GbG[RIM_A],TEAMS_GbG[[TM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12.888888888888889</v>
      </c>
      <c r="DK17" s="18">
        <f>IF($D17=0,"DNP",SUMIFS(TEAMS_GbG[PAINT_M],TEAMS_GbG[[TM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7.666666666666667</v>
      </c>
      <c r="DL17" s="18">
        <f>IF($D17=0,"DNP",SUMIFS(TEAMS_GbG[PAINT_A],TEAMS_GbG[[TM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19</v>
      </c>
      <c r="DM17" s="18">
        <f>IF($D17=0,"DNP",SUMIFS(TEAMS_GbG[MID_M],TEAMS_GbG[[TM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2.8888888888888888</v>
      </c>
      <c r="DN17" s="18">
        <f>IF($D17=0,"DNP",SUMIFS(TEAMS_GbG[MID_A],TEAMS_GbG[[TM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6.8888888888888893</v>
      </c>
      <c r="DO17" s="18">
        <f>IF($D17=0,"DNP",SUMIFS(TEAMS_GbG[3C_M],TEAMS_GbG[[TM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1.8888888888888888</v>
      </c>
      <c r="DP17" s="18">
        <f>IF($D17=0,"DNP",SUMIFS(TEAMS_GbG[3C_A],TEAMS_GbG[[TM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3.8888888888888888</v>
      </c>
      <c r="DQ17" s="18">
        <f>IF($D17=0,"DNP",SUMIFS(TEAMS_GbG[3L_M],TEAMS_GbG[[TM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6.2222222222222223</v>
      </c>
      <c r="DR17" s="18">
        <f>IF($D17=0,"DNP",SUMIFS(TEAMS_GbG[3L_A],TEAMS_GbG[[TM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18.333333333333332</v>
      </c>
      <c r="DS17" s="18">
        <f>IF($D17=0,"DNP",SUMIFS(TEAMS_GbG[3H_M],TEAMS_GbG[[TM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DT17" s="18">
        <f>IF($D17=0,"DNP",SUMIFS(TEAMS_GbG[3H_A],TEAMS_GbG[[TM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DU17" s="18">
        <f>IF($D17=0,"DNP",SUMIFS(TEAMS_GbG[OPP PTS],TEAMS_GbG[[TM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87</v>
      </c>
      <c r="DV17" s="18">
        <f>IF($D17=0,"DNP",SUMIFS(TEAMS_GbG[OPP 2PTM],TEAMS_GbG[[TM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19.444444444444443</v>
      </c>
      <c r="DW17" s="18">
        <f>IF($D17=0,"DNP",SUMIFS(TEAMS_GbG[OPP 2PTA],TEAMS_GbG[[TM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34.111111111111114</v>
      </c>
      <c r="DX17" s="16">
        <f t="shared" si="43"/>
        <v>0.5700325732899022</v>
      </c>
      <c r="DY17" s="18">
        <f>IF($D17=0,"DNP",SUMIFS(TEAMS_GbG[OPP 3PTM],TEAMS_GbG[[TM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11.444444444444445</v>
      </c>
      <c r="DZ17" s="18">
        <f>IF($D17=0,"DNP",SUMIFS(TEAMS_GbG[OPP 3PTA],TEAMS_GbG[[TM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30.111111111111111</v>
      </c>
      <c r="EA17" s="16">
        <f t="shared" si="44"/>
        <v>0.38007380073800739</v>
      </c>
      <c r="EB17" s="18">
        <f>IF($D17=0,"DNP",SUMIFS(TEAMS_GbG[OPP FGM],TEAMS_GbG[[TM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30.888888888888889</v>
      </c>
      <c r="EC17" s="18">
        <f>IF($D17=0,"DNP",SUMIFS(TEAMS_GbG[OPP FGA],TEAMS_GbG[[TM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64.222222222222229</v>
      </c>
      <c r="ED17" s="16">
        <f t="shared" si="45"/>
        <v>0.48096885813148788</v>
      </c>
      <c r="EE17" s="18">
        <f>IF($D17=0,"DNP",SUMIFS(TEAMS_GbG[OPP FTM],TEAMS_GbG[[TM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13.777777777777779</v>
      </c>
      <c r="EF17" s="18">
        <f>IF($D17=0,"DNP",SUMIFS(TEAMS_GbG[OPP FTA],TEAMS_GbG[[TM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15.777777777777779</v>
      </c>
      <c r="EG17" s="16">
        <f t="shared" si="46"/>
        <v>0.87323943661971837</v>
      </c>
      <c r="EH17" s="18">
        <f>IF($D17=0,"DNP",SUMIFS(TEAMS_GbG[OPP OR],TEAMS_GbG[[TM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11</v>
      </c>
      <c r="EI17" s="18">
        <f>IF($D17=0,"DNP",SUMIFS(TEAMS_GbG[OPP DR],TEAMS_GbG[[TM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23.666666666666668</v>
      </c>
      <c r="EJ17" s="18">
        <f>IF($D17=0,"DNP",SUMIFS(TEAMS_GbG[OPP TR],TEAMS_GbG[[TM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34.666666666666664</v>
      </c>
      <c r="EK17" s="18">
        <f>IF($D17=0,"DNP",SUMIFS(TEAMS_GbG[OPP AST],TEAMS_GbG[[TM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19.111111111111111</v>
      </c>
      <c r="EL17" s="18">
        <f>IF($D17=0,"DNP",SUMIFS(TEAMS_GbG[OPP PF],TEAMS_GbG[[TM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20.111111111111111</v>
      </c>
      <c r="EM17" s="18">
        <f>IF($D17=0,"DNP",SUMIFS(TEAMS_GbG[OPP DF],TEAMS_GbG[[TM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16.111111111111111</v>
      </c>
      <c r="EN17" s="18">
        <f>IF($D17=0,"DNP",SUMIFS(TEAMS_GbG[OPP ST],TEAMS_GbG[[TM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7.8888888888888893</v>
      </c>
      <c r="EO17" s="18">
        <f>IF($D17=0,"DNP",SUMIFS(TEAMS_GbG[OPP TO],TEAMS_GbG[[TM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11.222222222222221</v>
      </c>
      <c r="EP17" s="18">
        <f>IF($D17=0,"DNP",SUMIFS(TEAMS_GbG[OPP BLK],TEAMS_GbG[[TM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2.6666666666666665</v>
      </c>
      <c r="EQ17" s="18">
        <f>IF($D17=0,"DNP",SUMIFS(TEAMS_GbG[OPP BLKA],TEAMS_GbG[[TM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1.5555555555555556</v>
      </c>
      <c r="ER17" s="18">
        <f>IF($D17=0,"DNP",SUMIFS(TEAMS_GbG[OPP VAL],TEAMS_GbG[[TM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99.222222222222229</v>
      </c>
      <c r="ES17" s="18">
        <f>IF($D17=0,"DNP",SUMIFS(TEAMS_GbG[OPP + / -],TEAMS_GbG[[TM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8.7777777777777786</v>
      </c>
      <c r="ET17" s="18">
        <f>IF($D17=0,"DNP",SUMIFS(TEAMS_GbG[OPP POSS],TEAMS_GbG[[TM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70.888888888888886</v>
      </c>
      <c r="EU17" s="18">
        <f>IF($D17=0,"DNP",SUMIFS(TEAMS_GbG[OPP SHOOTING CHANCES],TEAMS_GbG[[TM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81.888888888888886</v>
      </c>
      <c r="EV17" s="18">
        <f>IF($D17=0,"DNP",SUMIFS(TEAMS_GbG[OPP KILLS],TEAMS_GbG[[TM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4.5555555555555554</v>
      </c>
      <c r="EW17" s="18">
        <f>IF($D17=0,"DNP",SUMIFS(TEAMS_GbG[OPP ASTED_2FG],TEAMS_GbG[[TM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8.5555555555555554</v>
      </c>
      <c r="EX17" s="18">
        <f>IF($D17=0,"DNP",SUMIFS(TEAMS_GbG[OPP ASTED_3FG],TEAMS_GbG[[TM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8.4444444444444446</v>
      </c>
      <c r="EY17" s="18">
        <f>IF($D17=0,"DNP",SUMIFS(TEAMS_GbG[OPP ASTED_FT],TEAMS_GbG[[TM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</v>
      </c>
      <c r="EZ17" s="18">
        <f>IF($D17=0,"DNP",SUMIFS(TEAMS_GbG[OPP ASTED_FT PTS],TEAMS_GbG[[TM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3.7777777777777777</v>
      </c>
      <c r="FA17" s="18">
        <f>IF($D17=0,"DNP",SUMIFS(TEAMS_GbG[OPP OR_RIM],TEAMS_GbG[[TM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1.1111111111111112</v>
      </c>
      <c r="FB17" s="18">
        <f>IF($D17=0,"DNP",SUMIFS(TEAMS_GbG[OPP TM OR_RIM],TEAMS_GbG[[TM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FC17" s="18">
        <f>IF($D17=0,"DNP",SUMIFS(TEAMS_GbG[OPP OR_PAINT],TEAMS_GbG[[TM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2.6666666666666665</v>
      </c>
      <c r="FD17" s="18">
        <f>IF($D17=0,"DNP",SUMIFS(TEAMS_GbG[OPP TM OR_PAINT],TEAMS_GbG[[TM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FE17" s="18">
        <f>IF($D17=0,"DNP",SUMIFS(TEAMS_GbG[OPP OR_NP2],TEAMS_GbG[[TM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1.2222222222222223</v>
      </c>
      <c r="FF17" s="18">
        <f>IF($D17=0,"DNP",SUMIFS(TEAMS_GbG[OPP TM OR_NP2],TEAMS_GbG[[TM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G17" s="18">
        <f>IF($D17=0,"DNP",SUMIFS(TEAMS_GbG[OPP OR_3C],TEAMS_GbG[[TM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FH17" s="18">
        <f>IF($D17=0,"DNP",SUMIFS(TEAMS_GbG[OPP TM OR_3C],TEAMS_GbG[[TM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I17" s="18">
        <f>IF($D17=0,"DNP",SUMIFS(TEAMS_GbG[OPP OR_3L],TEAMS_GbG[[TM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5.333333333333333</v>
      </c>
      <c r="FJ17" s="18">
        <f>IF($D17=0,"DNP",SUMIFS(TEAMS_GbG[OPP TM OR_3L],TEAMS_GbG[[TM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1.3333333333333333</v>
      </c>
      <c r="FK17" s="18">
        <f>IF($D17=0,"DNP",SUMIFS(TEAMS_GbG[OPP OR_FT],TEAMS_GbG[[TM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FL17" s="18">
        <f>IF($D17=0,"DNP",SUMIFS(TEAMS_GbG[OPP TM OR_FT],TEAMS_GbG[[TM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M17" s="18">
        <f>IF($D17=0,"DNP",SUMIFS(TEAMS_GbG[OPP DR_RIM],TEAMS_GbG[[TM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1.7777777777777777</v>
      </c>
      <c r="FN17" s="18">
        <f>IF($D17=0,"DNP",SUMIFS(TEAMS_GbG[OPP TM DR_RIM],TEAMS_GbG[[TM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O17" s="18">
        <f>IF($D17=0,"DNP",SUMIFS(TEAMS_GbG[OPP DR_PAINT],TEAMS_GbG[[TM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7.333333333333333</v>
      </c>
      <c r="FP17" s="18">
        <f>IF($D17=0,"DNP",SUMIFS(TEAMS_GbG[OPP TM DR_PAINT],TEAMS_GbG[[TM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FQ17" s="18">
        <f>IF($D17=0,"DNP",SUMIFS(TEAMS_GbG[OPP DR_NP2],TEAMS_GbG[[TM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3.1111111111111112</v>
      </c>
      <c r="FR17" s="18">
        <f>IF($D17=0,"DNP",SUMIFS(TEAMS_GbG[OPP TM DR_NP2],TEAMS_GbG[[TM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S17" s="18">
        <f>IF($D17=0,"DNP",SUMIFS(TEAMS_GbG[OPP DR_3C],TEAMS_GbG[[TM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1.4444444444444444</v>
      </c>
      <c r="FT17" s="18">
        <f>IF($D17=0,"DNP",SUMIFS(TEAMS_GbG[OPP TM DR_3C],TEAMS_GbG[[TM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U17" s="18">
        <f>IF($D17=0,"DNP",SUMIFS(TEAMS_GbG[OPP DR_3L],TEAMS_GbG[[TM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8.1111111111111107</v>
      </c>
      <c r="FV17" s="18">
        <f>IF($D17=0,"DNP",SUMIFS(TEAMS_GbG[OPP TM DR_3L],TEAMS_GbG[[TM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FW17" s="18">
        <f>IF($D17=0,"DNP",SUMIFS(TEAMS_GbG[OPP DR_FT],TEAMS_GbG[[TM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1.8888888888888888</v>
      </c>
      <c r="FX17" s="18">
        <f>IF($D17=0,"DNP",SUMIFS(TEAMS_GbG[OPP TM DR_FT],TEAMS_GbG[[TM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FY17" s="18">
        <f>IF($D17=0,"DNP",SUMIFS(TEAMS_GbG[OPP FTM_T],TEAMS_GbG[[TM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0.55555555555555558</v>
      </c>
      <c r="FZ17" s="18">
        <f>IF($D17=0,"DNP",SUMIFS(TEAMS_GbG[OPP FTA_T],TEAMS_GbG[[TM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0.66666666666666663</v>
      </c>
      <c r="GA17" s="18">
        <f>IF($D17=0,"DNP",SUMIFS(TEAMS_GbG[OPP FTM_1],TEAMS_GbG[[TM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1.4444444444444444</v>
      </c>
      <c r="GB17" s="18">
        <f>IF($D17=0,"DNP",SUMIFS(TEAMS_GbG[OPP FTA_1],TEAMS_GbG[[TM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1.5555555555555556</v>
      </c>
      <c r="GC17" s="18">
        <f>IF($D17=0,"DNP",SUMIFS(TEAMS_GbG[OPP FTM_2],TEAMS_GbG[[TM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10.333333333333334</v>
      </c>
      <c r="GD17" s="18">
        <f>IF($D17=0,"DNP",SUMIFS(TEAMS_GbG[OPP FTA_2],TEAMS_GbG[[TM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12</v>
      </c>
      <c r="GE17" s="18">
        <f>IF($D17=0,"DNP",SUMIFS(TEAMS_GbG[OPP FT 0/2],TEAMS_GbG[[TM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GF17" s="18">
        <f>IF($D17=0,"DNP",SUMIFS(TEAMS_GbG[OPP FTM_3],TEAMS_GbG[[TM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1.2222222222222223</v>
      </c>
      <c r="GG17" s="18">
        <f>IF($D17=0,"DNP",SUMIFS(TEAMS_GbG[OPP FTA_3],TEAMS_GbG[[TM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1.3333333333333333</v>
      </c>
      <c r="GH17" s="18">
        <f>IF($D17=0,"DNP",SUMIFS(TEAMS_GbG[OPP FT 0/3],TEAMS_GbG[[TM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GI17" s="18">
        <f>IF($D17=0,"DNP",SUMIFS(TEAMS_GbG[OPP RIM_M],TEAMS_GbG[[TM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9.4444444444444446</v>
      </c>
      <c r="GJ17" s="18">
        <f>IF($D17=0,"DNP",SUMIFS(TEAMS_GbG[OPP RIM_A],TEAMS_GbG[[TM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11.333333333333334</v>
      </c>
      <c r="GK17" s="18">
        <f>IF($D17=0,"DNP",SUMIFS(TEAMS_GbG[OPP PAINT_M],TEAMS_GbG[[TM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6.7777777777777777</v>
      </c>
      <c r="GL17" s="18">
        <f>IF($D17=0,"DNP",SUMIFS(TEAMS_GbG[OPP PAINT_A],TEAMS_GbG[[TM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15.777777777777779</v>
      </c>
      <c r="GM17" s="18">
        <f>IF($D17=0,"DNP",SUMIFS(TEAMS_GbG[OPP MID_M],TEAMS_GbG[[TM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3.2222222222222223</v>
      </c>
      <c r="GN17" s="18">
        <f>IF($D17=0,"DNP",SUMIFS(TEAMS_GbG[OPP MID_A],TEAMS_GbG[[TM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</v>
      </c>
      <c r="GO17" s="18">
        <f>IF($D17=0,"DNP",SUMIFS(TEAMS_GbG[OPP 3C_M],TEAMS_GbG[[TM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1.7777777777777777</v>
      </c>
      <c r="GP17" s="18">
        <f>IF($D17=0,"DNP",SUMIFS(TEAMS_GbG[OPP 3C_A],TEAMS_GbG[[TM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3.6666666666666665</v>
      </c>
      <c r="GQ17" s="18">
        <f>IF($D17=0,"DNP",SUMIFS(TEAMS_GbG[OPP 3L_M],TEAMS_GbG[[TM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9.6666666666666661</v>
      </c>
      <c r="GR17" s="18">
        <f>IF($D17=0,"DNP",SUMIFS(TEAMS_GbG[OPP 3L_A],TEAMS_GbG[[TM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26.111111111111111</v>
      </c>
      <c r="GS17" s="18">
        <f>IF($D17=0,"DNP",SUMIFS(TEAMS_GbG[OPP 3H_M],TEAMS_GbG[[TM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GT17" s="18">
        <f>IF($D17=0,"DNP",SUMIFS(TEAMS_GbG[OPP 3H_A],TEAMS_GbG[[TM NAME]:[TM NAME]],$C17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GU17" s="16">
        <f ca="1">IF(TEAMS_STATS[[#This Row],[TM NAME]]="","",INDEX(SoS!$C$113:$C$144,MATCH(TEAMS_STATS[[#This Row],[TM NAME]],SoS!$B$113:$B$144,0)))</f>
        <v>0.43716931216931215</v>
      </c>
    </row>
    <row r="18" spans="2:203" ht="15" customHeight="1" x14ac:dyDescent="0.25">
      <c r="B18" s="12">
        <f>_xlfn.AGGREGATE(3,5,$C$7:C17)</f>
        <v>11</v>
      </c>
      <c r="C18" s="14" t="str">
        <f>BASIS_INFO!F13</f>
        <v>Maccabi Playtika Tel Aviv</v>
      </c>
      <c r="D18" s="20">
        <f>COUNTIFS(TEAMS_GbG[[TM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8</v>
      </c>
      <c r="E18" s="20">
        <f>COUNTIFS(TEAMS_GbG[[TM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5</v>
      </c>
      <c r="F18" s="20">
        <f>COUNTIFS(TEAMS_GbG[[TM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3</v>
      </c>
      <c r="G18" s="18">
        <f>IF($D18=0,"DNP",SUMIFS(TEAMS_GbG[MIN],TEAMS_GbG[[TM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203.125</v>
      </c>
      <c r="H18" s="18">
        <f>IF($D18=0,"DNP",SUMIFS(TEAMS_GbG[PTS],TEAMS_GbG[[TM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83.75</v>
      </c>
      <c r="I18" s="18">
        <f>IF($D18=0,"DNP",SUMIFS(TEAMS_GbG[2PTM],TEAMS_GbG[[TM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22.25</v>
      </c>
      <c r="J18" s="18">
        <f>IF($D18=0,"DNP",SUMIFS(TEAMS_GbG[2PTA],TEAMS_GbG[[TM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40</v>
      </c>
      <c r="K18" s="16">
        <f t="shared" si="38"/>
        <v>0.55625000000000002</v>
      </c>
      <c r="L18" s="18">
        <f>IF($D18=0,"DNP",SUMIFS(TEAMS_GbG[3PTM],TEAMS_GbG[[TM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7.75</v>
      </c>
      <c r="M18" s="18">
        <f>IF($D18=0,"DNP",SUMIFS(TEAMS_GbG[3PTA],TEAMS_GbG[[TM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25.75</v>
      </c>
      <c r="N18" s="16">
        <f t="shared" si="39"/>
        <v>0.30097087378640774</v>
      </c>
      <c r="O18" s="18">
        <f>IF($D18=0,"DNP",SUMIFS(TEAMS_GbG[FGM],TEAMS_GbG[[TM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30</v>
      </c>
      <c r="P18" s="18">
        <f>IF($D18=0,"DNP",SUMIFS(TEAMS_GbG[FGA],TEAMS_GbG[[TM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65.75</v>
      </c>
      <c r="Q18" s="16">
        <f t="shared" si="40"/>
        <v>0.45627376425855515</v>
      </c>
      <c r="R18" s="18">
        <f>IF($D18=0,"DNP",SUMIFS(TEAMS_GbG[FTM],TEAMS_GbG[[TM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16</v>
      </c>
      <c r="S18" s="18">
        <f>IF($D18=0,"DNP",SUMIFS(TEAMS_GbG[FTA],TEAMS_GbG[[TM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20.5</v>
      </c>
      <c r="T18" s="16">
        <f t="shared" si="41"/>
        <v>0.78048780487804881</v>
      </c>
      <c r="U18" s="18">
        <f>IF($D18=0,"DNP",SUMIFS(TEAMS_GbG[OR],TEAMS_GbG[[TM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14.25</v>
      </c>
      <c r="V18" s="18">
        <f>IF($D18=0,"DNP",SUMIFS(TEAMS_GbG[DR],TEAMS_GbG[[TM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20.375</v>
      </c>
      <c r="W18" s="18">
        <f>IF($D18=0,"DNP",SUMIFS(TEAMS_GbG[TR],TEAMS_GbG[[TM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34.625</v>
      </c>
      <c r="X18" s="18">
        <f>IF($D18=0,"DNP",SUMIFS(TEAMS_GbG[AST],TEAMS_GbG[[TM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20.25</v>
      </c>
      <c r="Y18" s="18">
        <f>IF($D18=0,"DNP",SUMIFS(TEAMS_GbG[TO],TEAMS_GbG[[TM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13.625</v>
      </c>
      <c r="Z18" s="18">
        <f>IF($D18=0,"DNP",SUMIFS(TEAMS_GbG[ST],TEAMS_GbG[[TM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8.375</v>
      </c>
      <c r="AA18" s="18">
        <f>IF($D18=0,"DNP",SUMIFS(TEAMS_GbG[BLK],TEAMS_GbG[[TM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</v>
      </c>
      <c r="AB18" s="18">
        <f>IF($D18=0,"DNP",SUMIFS(TEAMS_GbG[BLKA],TEAMS_GbG[[TM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2.5</v>
      </c>
      <c r="AC18" s="18">
        <f>IF($D18=0,"DNP",SUMIFS(TEAMS_GbG[PF],TEAMS_GbG[[TM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21.875</v>
      </c>
      <c r="AD18" s="18">
        <f>IF($D18=0,"DNP",SUMIFS(TEAMS_GbG[DF],TEAMS_GbG[[TM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20.125</v>
      </c>
      <c r="AE18" s="18">
        <f>IF($D18=0,"DNP",SUMIFS(TEAMS_GbG[VAL],TEAMS_GbG[[TM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91.875</v>
      </c>
      <c r="AF18" s="18">
        <f>IF($D18=0,"DNP",SUMIFS(TEAMS_GbG[+ / -],TEAMS_GbG[[TM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-0.75</v>
      </c>
      <c r="AG18" s="26">
        <f t="shared" si="0"/>
        <v>72.984615384615381</v>
      </c>
      <c r="AH18" s="18">
        <f>IF($D18=0,"DNP",SUMIFS(TEAMS_GbG[POSS],TEAMS_GbG[[TM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74.125</v>
      </c>
      <c r="AI18" s="18">
        <f>IF($D18=0,"DNP",SUMIFS(TEAMS_GbG[SHOOTING CHANCES],TEAMS_GbG[[TM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88.375</v>
      </c>
      <c r="AJ18" s="19">
        <f t="shared" si="1"/>
        <v>0.94766619519094764</v>
      </c>
      <c r="AK18" s="19">
        <f t="shared" si="2"/>
        <v>0.98542274052478129</v>
      </c>
      <c r="AL18" s="18">
        <f t="shared" si="3"/>
        <v>112.98482293423271</v>
      </c>
      <c r="AM18" s="18">
        <f t="shared" si="4"/>
        <v>113.61344537815125</v>
      </c>
      <c r="AN18" s="18">
        <f t="shared" si="42"/>
        <v>-0.6286224439185446</v>
      </c>
      <c r="AO18" s="27">
        <f t="shared" si="5"/>
        <v>0.51520912547528519</v>
      </c>
      <c r="AP18" s="28">
        <f t="shared" si="6"/>
        <v>0.56020066889632103</v>
      </c>
      <c r="AQ18" s="34">
        <f t="shared" si="7"/>
        <v>0.13295615275813297</v>
      </c>
      <c r="AR18" s="38">
        <f t="shared" si="8"/>
        <v>1.5957446808510638</v>
      </c>
      <c r="AS18" s="27">
        <f t="shared" si="9"/>
        <v>0.24328147100424327</v>
      </c>
      <c r="AT18" s="38">
        <f t="shared" si="10"/>
        <v>0.93023255813953487</v>
      </c>
      <c r="AU18" s="27">
        <f t="shared" si="11"/>
        <v>7.6379066478076379E-2</v>
      </c>
      <c r="AV18" s="38">
        <f t="shared" si="12"/>
        <v>0.85185185185185186</v>
      </c>
      <c r="AW18" s="27">
        <f t="shared" si="13"/>
        <v>3.2531824611032531E-2</v>
      </c>
      <c r="AX18" s="38">
        <f t="shared" si="14"/>
        <v>0.78260869565217395</v>
      </c>
      <c r="AY18" s="27">
        <f t="shared" si="15"/>
        <v>0.25318246110325321</v>
      </c>
      <c r="AZ18" s="38">
        <f t="shared" si="16"/>
        <v>0.93854748603351956</v>
      </c>
      <c r="BA18" s="28">
        <f t="shared" si="17"/>
        <v>0.10183875530410184</v>
      </c>
      <c r="BB18" s="34">
        <f t="shared" si="18"/>
        <v>0.15417256011315417</v>
      </c>
      <c r="BC18" s="27">
        <f t="shared" si="19"/>
        <v>0.52103559870550165</v>
      </c>
      <c r="BD18" s="27">
        <f t="shared" si="20"/>
        <v>0.5449438202247191</v>
      </c>
      <c r="BE18" s="27">
        <f t="shared" si="21"/>
        <v>0.70967741935483875</v>
      </c>
      <c r="BF18" s="27">
        <f t="shared" si="22"/>
        <v>0.28985507246376813</v>
      </c>
      <c r="BG18" s="27">
        <f t="shared" si="23"/>
        <v>0.22913719943422914</v>
      </c>
      <c r="BH18" s="35">
        <f t="shared" si="24"/>
        <v>1.4862385321100917</v>
      </c>
      <c r="BI18" s="49">
        <f t="shared" si="25"/>
        <v>0.39175257731958762</v>
      </c>
      <c r="BJ18" s="45">
        <f t="shared" si="26"/>
        <v>0.46012269938650308</v>
      </c>
      <c r="BK18" s="45">
        <f t="shared" si="27"/>
        <v>0.40645161290322579</v>
      </c>
      <c r="BL18" s="45">
        <f t="shared" si="28"/>
        <v>0.16666666666666666</v>
      </c>
      <c r="BM18" s="45">
        <f t="shared" si="29"/>
        <v>0.64682539682539686</v>
      </c>
      <c r="BN18" s="45">
        <f t="shared" si="30"/>
        <v>0.5957446808510638</v>
      </c>
      <c r="BO18" s="45">
        <f t="shared" si="31"/>
        <v>0.61016949152542377</v>
      </c>
      <c r="BP18" s="45">
        <f t="shared" si="32"/>
        <v>0.72727272727272729</v>
      </c>
      <c r="BQ18" s="46">
        <f t="shared" si="33"/>
        <v>0.5101289134438306</v>
      </c>
      <c r="BR18" s="49">
        <f t="shared" si="34"/>
        <v>0.11260504201680673</v>
      </c>
      <c r="BS18" s="45">
        <f t="shared" si="35"/>
        <v>4.9180327868852458E-2</v>
      </c>
      <c r="BT18" s="39">
        <f>IF($D18=0,"DNP",SUMIFS(TEAMS_GbG[KILLS],TEAMS_GbG[[TM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3.75</v>
      </c>
      <c r="BU18" s="34">
        <f t="shared" si="36"/>
        <v>0.44571428571428573</v>
      </c>
      <c r="BV18" s="28">
        <f t="shared" si="37"/>
        <v>0.52795031055900621</v>
      </c>
      <c r="BW18" s="18">
        <f>IF($D18=0,"DNP",SUMIFS(TEAMS_GbG[ASTED_2FG],TEAMS_GbG[[TM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12.125</v>
      </c>
      <c r="BX18" s="18">
        <f>IF($D18=0,"DNP",SUMIFS(TEAMS_GbG[ASTED_3FG],TEAMS_GbG[[TM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5.5</v>
      </c>
      <c r="BY18" s="18">
        <f>IF($D18=0,"DNP",SUMIFS(TEAMS_GbG[ASTED_FT],TEAMS_GbG[[TM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2.5</v>
      </c>
      <c r="BZ18" s="18">
        <f>IF($D18=0,"DNP",SUMIFS(TEAMS_GbG[ASTED_FT PTS],TEAMS_GbG[[TM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</v>
      </c>
      <c r="CA18" s="18">
        <f>IF($D18=0,"DNP",SUMIFS(TEAMS_GbG[OR_RIM],TEAMS_GbG[[TM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0.875</v>
      </c>
      <c r="CB18" s="18">
        <f>IF($D18=0,"DNP",SUMIFS(TEAMS_GbG[TM OR_RIM],TEAMS_GbG[[TM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CC18" s="18">
        <f>IF($D18=0,"DNP",SUMIFS(TEAMS_GbG[OR_PAINT],TEAMS_GbG[[TM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4.75</v>
      </c>
      <c r="CD18" s="18">
        <f>IF($D18=0,"DNP",SUMIFS(TEAMS_GbG[TM OR_PAINT],TEAMS_GbG[[TM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1.375</v>
      </c>
      <c r="CE18" s="18">
        <f>IF($D18=0,"DNP",SUMIFS(TEAMS_GbG[OR_NP2],TEAMS_GbG[[TM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1.625</v>
      </c>
      <c r="CF18" s="18">
        <f>IF($D18=0,"DNP",SUMIFS(TEAMS_GbG[TM OR_NP2],TEAMS_GbG[[TM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CG18" s="18">
        <f>IF($D18=0,"DNP",SUMIFS(TEAMS_GbG[OR_3C],TEAMS_GbG[[TM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0.75</v>
      </c>
      <c r="CH18" s="18">
        <f>IF($D18=0,"DNP",SUMIFS(TEAMS_GbG[TM OR_3C],TEAMS_GbG[[TM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CI18" s="18">
        <f>IF($D18=0,"DNP",SUMIFS(TEAMS_GbG[OR_3L],TEAMS_GbG[[TM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</v>
      </c>
      <c r="CJ18" s="18">
        <f>IF($D18=0,"DNP",SUMIFS(TEAMS_GbG[TM OR_3L],TEAMS_GbG[[TM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1.125</v>
      </c>
      <c r="CK18" s="18">
        <f>IF($D18=0,"DNP",SUMIFS(TEAMS_GbG[OR_FT],TEAMS_GbG[[TM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CL18" s="18">
        <f>IF($D18=0,"DNP",SUMIFS(TEAMS_GbG[TM OR_FT],TEAMS_GbG[[TM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CM18" s="18">
        <f>IF($D18=0,"DNP",SUMIFS(TEAMS_GbG[DR_RIM],TEAMS_GbG[[TM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1.375</v>
      </c>
      <c r="CN18" s="18">
        <f>IF($D18=0,"DNP",SUMIFS(TEAMS_GbG[TM DR_RIM],TEAMS_GbG[[TM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CO18" s="18">
        <f>IF($D18=0,"DNP",SUMIFS(TEAMS_GbG[DR_PAINT],TEAMS_GbG[[TM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4.875</v>
      </c>
      <c r="CP18" s="18">
        <f>IF($D18=0,"DNP",SUMIFS(TEAMS_GbG[TM DR_PAINT],TEAMS_GbG[[TM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CQ18" s="18">
        <f>IF($D18=0,"DNP",SUMIFS(TEAMS_GbG[DR_NP2],TEAMS_GbG[[TM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3.625</v>
      </c>
      <c r="CR18" s="18">
        <f>IF($D18=0,"DNP",SUMIFS(TEAMS_GbG[TM DR_NP2],TEAMS_GbG[[TM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CS18" s="18">
        <f>IF($D18=0,"DNP",SUMIFS(TEAMS_GbG[DR_3C],TEAMS_GbG[[TM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CT18" s="18">
        <f>IF($D18=0,"DNP",SUMIFS(TEAMS_GbG[TM DR_3C],TEAMS_GbG[[TM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CU18" s="18">
        <f>IF($D18=0,"DNP",SUMIFS(TEAMS_GbG[DR_3L],TEAMS_GbG[[TM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7.875</v>
      </c>
      <c r="CV18" s="18">
        <f>IF($D18=0,"DNP",SUMIFS(TEAMS_GbG[TM DR_3L],TEAMS_GbG[[TM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CW18" s="18">
        <f>IF($D18=0,"DNP",SUMIFS(TEAMS_GbG[DR_FT],TEAMS_GbG[[TM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1.875</v>
      </c>
      <c r="CX18" s="18">
        <f>IF($D18=0,"DNP",SUMIFS(TEAMS_GbG[TM DR_FT],TEAMS_GbG[[TM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CY18" s="18">
        <f>IF($D18=0,"DNP",SUMIFS(TEAMS_GbG[FTM_T],TEAMS_GbG[[TM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0.625</v>
      </c>
      <c r="CZ18" s="18">
        <f>IF($D18=0,"DNP",SUMIFS(TEAMS_GbG[FTA_T],TEAMS_GbG[[TM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0.75</v>
      </c>
      <c r="DA18" s="18">
        <f>IF($D18=0,"DNP",SUMIFS(TEAMS_GbG[FTM_1],TEAMS_GbG[[TM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1.375</v>
      </c>
      <c r="DB18" s="18">
        <f>IF($D18=0,"DNP",SUMIFS(TEAMS_GbG[FTA_1],TEAMS_GbG[[TM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1.625</v>
      </c>
      <c r="DC18" s="18">
        <f>IF($D18=0,"DNP",SUMIFS(TEAMS_GbG[FTM_2],TEAMS_GbG[[TM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13.75</v>
      </c>
      <c r="DD18" s="18">
        <f>IF($D18=0,"DNP",SUMIFS(TEAMS_GbG[FTA_2],TEAMS_GbG[[TM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17.75</v>
      </c>
      <c r="DE18" s="18">
        <f>IF($D18=0,"DNP",SUMIFS(TEAMS_GbG[FT 0/2],TEAMS_GbG[[TM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DF18" s="18">
        <f>IF($D18=0,"DNP",SUMIFS(TEAMS_GbG[FTM_3],TEAMS_GbG[[TM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DG18" s="18">
        <f>IF($D18=0,"DNP",SUMIFS(TEAMS_GbG[FTA_3],TEAMS_GbG[[TM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DH18" s="18">
        <f>IF($D18=0,"DNP",SUMIFS(TEAMS_GbG[FT 0/3],TEAMS_GbG[[TM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DI18" s="18">
        <f>IF($D18=0,"DNP",SUMIFS(TEAMS_GbG[RIM_M],TEAMS_GbG[[TM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9.375</v>
      </c>
      <c r="DJ18" s="18">
        <f>IF($D18=0,"DNP",SUMIFS(TEAMS_GbG[RIM_A],TEAMS_GbG[[TM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11.75</v>
      </c>
      <c r="DK18" s="18">
        <f>IF($D18=0,"DNP",SUMIFS(TEAMS_GbG[PAINT_M],TEAMS_GbG[[TM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10</v>
      </c>
      <c r="DL18" s="18">
        <f>IF($D18=0,"DNP",SUMIFS(TEAMS_GbG[PAINT_A],TEAMS_GbG[[TM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21.5</v>
      </c>
      <c r="DM18" s="18">
        <f>IF($D18=0,"DNP",SUMIFS(TEAMS_GbG[MID_M],TEAMS_GbG[[TM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2.875</v>
      </c>
      <c r="DN18" s="18">
        <f>IF($D18=0,"DNP",SUMIFS(TEAMS_GbG[MID_A],TEAMS_GbG[[TM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6.75</v>
      </c>
      <c r="DO18" s="18">
        <f>IF($D18=0,"DNP",SUMIFS(TEAMS_GbG[3C_M],TEAMS_GbG[[TM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0.75</v>
      </c>
      <c r="DP18" s="18">
        <f>IF($D18=0,"DNP",SUMIFS(TEAMS_GbG[3C_A],TEAMS_GbG[[TM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2.875</v>
      </c>
      <c r="DQ18" s="18">
        <f>IF($D18=0,"DNP",SUMIFS(TEAMS_GbG[3L_M],TEAMS_GbG[[TM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</v>
      </c>
      <c r="DR18" s="18">
        <f>IF($D18=0,"DNP",SUMIFS(TEAMS_GbG[3L_A],TEAMS_GbG[[TM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22.375</v>
      </c>
      <c r="DS18" s="18">
        <f>IF($D18=0,"DNP",SUMIFS(TEAMS_GbG[3H_M],TEAMS_GbG[[TM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DT18" s="18">
        <f>IF($D18=0,"DNP",SUMIFS(TEAMS_GbG[3H_A],TEAMS_GbG[[TM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DU18" s="18">
        <f>IF($D18=0,"DNP",SUMIFS(TEAMS_GbG[OPP PTS],TEAMS_GbG[[TM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84.5</v>
      </c>
      <c r="DV18" s="18">
        <f>IF($D18=0,"DNP",SUMIFS(TEAMS_GbG[OPP 2PTM],TEAMS_GbG[[TM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21.75</v>
      </c>
      <c r="DW18" s="18">
        <f>IF($D18=0,"DNP",SUMIFS(TEAMS_GbG[OPP 2PTA],TEAMS_GbG[[TM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37.75</v>
      </c>
      <c r="DX18" s="16">
        <f t="shared" si="43"/>
        <v>0.57615894039735094</v>
      </c>
      <c r="DY18" s="18">
        <f>IF($D18=0,"DNP",SUMIFS(TEAMS_GbG[OPP 3PTM],TEAMS_GbG[[TM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9.125</v>
      </c>
      <c r="DZ18" s="18">
        <f>IF($D18=0,"DNP",SUMIFS(TEAMS_GbG[OPP 3PTA],TEAMS_GbG[[TM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23.25</v>
      </c>
      <c r="EA18" s="16">
        <f t="shared" si="44"/>
        <v>0.39247311827956988</v>
      </c>
      <c r="EB18" s="18">
        <f>IF($D18=0,"DNP",SUMIFS(TEAMS_GbG[OPP FGM],TEAMS_GbG[[TM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30.875</v>
      </c>
      <c r="EC18" s="18">
        <f>IF($D18=0,"DNP",SUMIFS(TEAMS_GbG[OPP FGA],TEAMS_GbG[[TM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61</v>
      </c>
      <c r="ED18" s="16">
        <f t="shared" si="45"/>
        <v>0.50614754098360659</v>
      </c>
      <c r="EE18" s="18">
        <f>IF($D18=0,"DNP",SUMIFS(TEAMS_GbG[OPP FTM],TEAMS_GbG[[TM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13.625</v>
      </c>
      <c r="EF18" s="18">
        <f>IF($D18=0,"DNP",SUMIFS(TEAMS_GbG[OPP FTA],TEAMS_GbG[[TM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19.375</v>
      </c>
      <c r="EG18" s="16">
        <f t="shared" si="46"/>
        <v>0.70322580645161292</v>
      </c>
      <c r="EH18" s="18">
        <f>IF($D18=0,"DNP",SUMIFS(TEAMS_GbG[OPP OR],TEAMS_GbG[[TM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11.125</v>
      </c>
      <c r="EI18" s="18">
        <f>IF($D18=0,"DNP",SUMIFS(TEAMS_GbG[OPP DR],TEAMS_GbG[[TM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22.125</v>
      </c>
      <c r="EJ18" s="18">
        <f>IF($D18=0,"DNP",SUMIFS(TEAMS_GbG[OPP TR],TEAMS_GbG[[TM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33.25</v>
      </c>
      <c r="EK18" s="18">
        <f>IF($D18=0,"DNP",SUMIFS(TEAMS_GbG[OPP AST],TEAMS_GbG[[TM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19.125</v>
      </c>
      <c r="EL18" s="18">
        <f>IF($D18=0,"DNP",SUMIFS(TEAMS_GbG[OPP PF],TEAMS_GbG[[TM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21.125</v>
      </c>
      <c r="EM18" s="18">
        <f>IF($D18=0,"DNP",SUMIFS(TEAMS_GbG[OPP DF],TEAMS_GbG[[TM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21.75</v>
      </c>
      <c r="EN18" s="18">
        <f>IF($D18=0,"DNP",SUMIFS(TEAMS_GbG[OPP ST],TEAMS_GbG[[TM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6.75</v>
      </c>
      <c r="EO18" s="18">
        <f>IF($D18=0,"DNP",SUMIFS(TEAMS_GbG[OPP TO],TEAMS_GbG[[TM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16</v>
      </c>
      <c r="EP18" s="18">
        <f>IF($D18=0,"DNP",SUMIFS(TEAMS_GbG[OPP BLK],TEAMS_GbG[[TM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2.5</v>
      </c>
      <c r="EQ18" s="18">
        <f>IF($D18=0,"DNP",SUMIFS(TEAMS_GbG[OPP BLKA],TEAMS_GbG[[TM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</v>
      </c>
      <c r="ER18" s="18">
        <f>IF($D18=0,"DNP",SUMIFS(TEAMS_GbG[OPP VAL],TEAMS_GbG[[TM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91.875</v>
      </c>
      <c r="ES18" s="18">
        <f>IF($D18=0,"DNP",SUMIFS(TEAMS_GbG[OPP + / -],TEAMS_GbG[[TM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0.75</v>
      </c>
      <c r="ET18" s="18">
        <f>IF($D18=0,"DNP",SUMIFS(TEAMS_GbG[OPP POSS],TEAMS_GbG[[TM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74.375</v>
      </c>
      <c r="EU18" s="18">
        <f>IF($D18=0,"DNP",SUMIFS(TEAMS_GbG[OPP SHOOTING CHANCES],TEAMS_GbG[[TM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85.75</v>
      </c>
      <c r="EV18" s="18">
        <f>IF($D18=0,"DNP",SUMIFS(TEAMS_GbG[OPP KILLS],TEAMS_GbG[[TM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3.875</v>
      </c>
      <c r="EW18" s="18">
        <f>IF($D18=0,"DNP",SUMIFS(TEAMS_GbG[OPP ASTED_2FG],TEAMS_GbG[[TM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10</v>
      </c>
      <c r="EX18" s="18">
        <f>IF($D18=0,"DNP",SUMIFS(TEAMS_GbG[OPP ASTED_3FG],TEAMS_GbG[[TM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6.875</v>
      </c>
      <c r="EY18" s="18">
        <f>IF($D18=0,"DNP",SUMIFS(TEAMS_GbG[OPP ASTED_FT],TEAMS_GbG[[TM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2.25</v>
      </c>
      <c r="EZ18" s="18">
        <f>IF($D18=0,"DNP",SUMIFS(TEAMS_GbG[OPP ASTED_FT PTS],TEAMS_GbG[[TM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</v>
      </c>
      <c r="FA18" s="18">
        <f>IF($D18=0,"DNP",SUMIFS(TEAMS_GbG[OPP OR_RIM],TEAMS_GbG[[TM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1.125</v>
      </c>
      <c r="FB18" s="18">
        <f>IF($D18=0,"DNP",SUMIFS(TEAMS_GbG[OPP TM OR_RIM],TEAMS_GbG[[TM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FC18" s="18">
        <f>IF($D18=0,"DNP",SUMIFS(TEAMS_GbG[OPP OR_PAINT],TEAMS_GbG[[TM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3.375</v>
      </c>
      <c r="FD18" s="18">
        <f>IF($D18=0,"DNP",SUMIFS(TEAMS_GbG[OPP TM OR_PAINT],TEAMS_GbG[[TM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</v>
      </c>
      <c r="FE18" s="18">
        <f>IF($D18=0,"DNP",SUMIFS(TEAMS_GbG[OPP OR_NP2],TEAMS_GbG[[TM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1.25</v>
      </c>
      <c r="FF18" s="18">
        <f>IF($D18=0,"DNP",SUMIFS(TEAMS_GbG[OPP TM OR_NP2],TEAMS_GbG[[TM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FG18" s="18">
        <f>IF($D18=0,"DNP",SUMIFS(TEAMS_GbG[OPP OR_3C],TEAMS_GbG[[TM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FH18" s="18">
        <f>IF($D18=0,"DNP",SUMIFS(TEAMS_GbG[OPP TM OR_3C],TEAMS_GbG[[TM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FI18" s="18">
        <f>IF($D18=0,"DNP",SUMIFS(TEAMS_GbG[OPP OR_3L],TEAMS_GbG[[TM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4.5</v>
      </c>
      <c r="FJ18" s="18">
        <f>IF($D18=0,"DNP",SUMIFS(TEAMS_GbG[OPP TM OR_3L],TEAMS_GbG[[TM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</v>
      </c>
      <c r="FK18" s="18">
        <f>IF($D18=0,"DNP",SUMIFS(TEAMS_GbG[OPP OR_FT],TEAMS_GbG[[TM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0.625</v>
      </c>
      <c r="FL18" s="18">
        <f>IF($D18=0,"DNP",SUMIFS(TEAMS_GbG[OPP TM OR_FT],TEAMS_GbG[[TM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FM18" s="18">
        <f>IF($D18=0,"DNP",SUMIFS(TEAMS_GbG[OPP DR_RIM],TEAMS_GbG[[TM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1.625</v>
      </c>
      <c r="FN18" s="18">
        <f>IF($D18=0,"DNP",SUMIFS(TEAMS_GbG[OPP TM DR_RIM],TEAMS_GbG[[TM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FO18" s="18">
        <f>IF($D18=0,"DNP",SUMIFS(TEAMS_GbG[OPP DR_PAINT],TEAMS_GbG[[TM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6.5</v>
      </c>
      <c r="FP18" s="18">
        <f>IF($D18=0,"DNP",SUMIFS(TEAMS_GbG[OPP TM DR_PAINT],TEAMS_GbG[[TM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FQ18" s="18">
        <f>IF($D18=0,"DNP",SUMIFS(TEAMS_GbG[OPP DR_NP2],TEAMS_GbG[[TM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2.25</v>
      </c>
      <c r="FR18" s="18">
        <f>IF($D18=0,"DNP",SUMIFS(TEAMS_GbG[OPP TM DR_NP2],TEAMS_GbG[[TM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FS18" s="18">
        <f>IF($D18=0,"DNP",SUMIFS(TEAMS_GbG[OPP DR_3C],TEAMS_GbG[[TM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1.375</v>
      </c>
      <c r="FT18" s="18">
        <f>IF($D18=0,"DNP",SUMIFS(TEAMS_GbG[OPP TM DR_3C],TEAMS_GbG[[TM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FU18" s="18">
        <f>IF($D18=0,"DNP",SUMIFS(TEAMS_GbG[OPP DR_3L],TEAMS_GbG[[TM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</v>
      </c>
      <c r="FV18" s="18">
        <f>IF($D18=0,"DNP",SUMIFS(TEAMS_GbG[OPP TM DR_3L],TEAMS_GbG[[TM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1.125</v>
      </c>
      <c r="FW18" s="18">
        <f>IF($D18=0,"DNP",SUMIFS(TEAMS_GbG[OPP DR_FT],TEAMS_GbG[[TM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1.25</v>
      </c>
      <c r="FX18" s="18">
        <f>IF($D18=0,"DNP",SUMIFS(TEAMS_GbG[OPP TM DR_FT],TEAMS_GbG[[TM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FY18" s="18">
        <f>IF($D18=0,"DNP",SUMIFS(TEAMS_GbG[OPP FTM_T],TEAMS_GbG[[TM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FZ18" s="18">
        <f>IF($D18=0,"DNP",SUMIFS(TEAMS_GbG[OPP FTA_T],TEAMS_GbG[[TM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GA18" s="18">
        <f>IF($D18=0,"DNP",SUMIFS(TEAMS_GbG[OPP FTM_1],TEAMS_GbG[[TM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GB18" s="18">
        <f>IF($D18=0,"DNP",SUMIFS(TEAMS_GbG[OPP FTA_1],TEAMS_GbG[[TM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</v>
      </c>
      <c r="GC18" s="18">
        <f>IF($D18=0,"DNP",SUMIFS(TEAMS_GbG[OPP FTM_2],TEAMS_GbG[[TM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11.875</v>
      </c>
      <c r="GD18" s="18">
        <f>IF($D18=0,"DNP",SUMIFS(TEAMS_GbG[OPP FTA_2],TEAMS_GbG[[TM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16.75</v>
      </c>
      <c r="GE18" s="18">
        <f>IF($D18=0,"DNP",SUMIFS(TEAMS_GbG[OPP FT 0/2],TEAMS_GbG[[TM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GF18" s="18">
        <f>IF($D18=0,"DNP",SUMIFS(TEAMS_GbG[OPP FTM_3],TEAMS_GbG[[TM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</v>
      </c>
      <c r="GG18" s="18">
        <f>IF($D18=0,"DNP",SUMIFS(TEAMS_GbG[OPP FTA_3],TEAMS_GbG[[TM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1.125</v>
      </c>
      <c r="GH18" s="18">
        <f>IF($D18=0,"DNP",SUMIFS(TEAMS_GbG[OPP FT 0/3],TEAMS_GbG[[TM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GI18" s="18">
        <f>IF($D18=0,"DNP",SUMIFS(TEAMS_GbG[OPP RIM_M],TEAMS_GbG[[TM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10.375</v>
      </c>
      <c r="GJ18" s="18">
        <f>IF($D18=0,"DNP",SUMIFS(TEAMS_GbG[OPP RIM_A],TEAMS_GbG[[TM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12.875</v>
      </c>
      <c r="GK18" s="18">
        <f>IF($D18=0,"DNP",SUMIFS(TEAMS_GbG[OPP PAINT_M],TEAMS_GbG[[TM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8.25</v>
      </c>
      <c r="GL18" s="18">
        <f>IF($D18=0,"DNP",SUMIFS(TEAMS_GbG[OPP PAINT_A],TEAMS_GbG[[TM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16.625</v>
      </c>
      <c r="GM18" s="18">
        <f>IF($D18=0,"DNP",SUMIFS(TEAMS_GbG[OPP MID_M],TEAMS_GbG[[TM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3.125</v>
      </c>
      <c r="GN18" s="18">
        <f>IF($D18=0,"DNP",SUMIFS(TEAMS_GbG[OPP MID_A],TEAMS_GbG[[TM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8.25</v>
      </c>
      <c r="GO18" s="18">
        <f>IF($D18=0,"DNP",SUMIFS(TEAMS_GbG[OPP 3C_M],TEAMS_GbG[[TM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GP18" s="18">
        <f>IF($D18=0,"DNP",SUMIFS(TEAMS_GbG[OPP 3C_A],TEAMS_GbG[[TM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1.25</v>
      </c>
      <c r="GQ18" s="18">
        <f>IF($D18=0,"DNP",SUMIFS(TEAMS_GbG[OPP 3L_M],TEAMS_GbG[[TM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8.75</v>
      </c>
      <c r="GR18" s="18">
        <f>IF($D18=0,"DNP",SUMIFS(TEAMS_GbG[OPP 3L_A],TEAMS_GbG[[TM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21.625</v>
      </c>
      <c r="GS18" s="18">
        <f>IF($D18=0,"DNP",SUMIFS(TEAMS_GbG[OPP 3H_M],TEAMS_GbG[[TM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GT18" s="18">
        <f>IF($D18=0,"DNP",SUMIFS(TEAMS_GbG[OPP 3H_A],TEAMS_GbG[[TM NAME]:[TM NAME]],$C18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GU18" s="16">
        <f ca="1">IF(TEAMS_STATS[[#This Row],[TM NAME]]="","",INDEX(SoS!$C$113:$C$144,MATCH(TEAMS_STATS[[#This Row],[TM NAME]],SoS!$B$113:$B$144,0)))</f>
        <v>0.49884259259259256</v>
      </c>
    </row>
    <row r="19" spans="2:203" ht="15" customHeight="1" x14ac:dyDescent="0.25">
      <c r="B19" s="12">
        <f>_xlfn.AGGREGATE(3,5,$C$7:C18)</f>
        <v>12</v>
      </c>
      <c r="C19" s="14" t="str">
        <f>BASIS_INFO!F14</f>
        <v>Olympiacos Piraeus</v>
      </c>
      <c r="D19" s="20">
        <f>COUNTIFS(TEAMS_GbG[[TM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9" s="20">
        <f>COUNTIFS(TEAMS_GbG[[TM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5</v>
      </c>
      <c r="F19" s="20">
        <f>COUNTIFS(TEAMS_GbG[[TM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4</v>
      </c>
      <c r="G19" s="18">
        <f>IF($D19=0,"DNP",SUMIFS(TEAMS_GbG[MIN],TEAMS_GbG[[TM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205.55555555555554</v>
      </c>
      <c r="H19" s="18">
        <f>IF($D19=0,"DNP",SUMIFS(TEAMS_GbG[PTS],TEAMS_GbG[[TM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77.777777777777771</v>
      </c>
      <c r="I19" s="18">
        <f>IF($D19=0,"DNP",SUMIFS(TEAMS_GbG[2PTM],TEAMS_GbG[[TM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18.555555555555557</v>
      </c>
      <c r="J19" s="18">
        <f>IF($D19=0,"DNP",SUMIFS(TEAMS_GbG[2PTA],TEAMS_GbG[[TM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34.333333333333336</v>
      </c>
      <c r="K19" s="16">
        <f t="shared" si="38"/>
        <v>0.54045307443365698</v>
      </c>
      <c r="L19" s="18">
        <f>IF($D19=0,"DNP",SUMIFS(TEAMS_GbG[3PTM],TEAMS_GbG[[TM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9.4444444444444446</v>
      </c>
      <c r="M19" s="18">
        <f>IF($D19=0,"DNP",SUMIFS(TEAMS_GbG[3PTA],TEAMS_GbG[[TM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26.444444444444443</v>
      </c>
      <c r="N19" s="16">
        <f t="shared" si="39"/>
        <v>0.35714285714285715</v>
      </c>
      <c r="O19" s="18">
        <f>IF($D19=0,"DNP",SUMIFS(TEAMS_GbG[FGM],TEAMS_GbG[[TM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28</v>
      </c>
      <c r="P19" s="18">
        <f>IF($D19=0,"DNP",SUMIFS(TEAMS_GbG[FGA],TEAMS_GbG[[TM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60.777777777777779</v>
      </c>
      <c r="Q19" s="16">
        <f t="shared" si="40"/>
        <v>0.46069469835466176</v>
      </c>
      <c r="R19" s="18">
        <f>IF($D19=0,"DNP",SUMIFS(TEAMS_GbG[FTM],TEAMS_GbG[[TM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12.333333333333334</v>
      </c>
      <c r="S19" s="18">
        <f>IF($D19=0,"DNP",SUMIFS(TEAMS_GbG[FTA],TEAMS_GbG[[TM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16.222222222222221</v>
      </c>
      <c r="T19" s="16">
        <f t="shared" si="41"/>
        <v>0.76027397260273977</v>
      </c>
      <c r="U19" s="18">
        <f>IF($D19=0,"DNP",SUMIFS(TEAMS_GbG[OR],TEAMS_GbG[[TM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10.888888888888889</v>
      </c>
      <c r="V19" s="18">
        <f>IF($D19=0,"DNP",SUMIFS(TEAMS_GbG[DR],TEAMS_GbG[[TM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22.444444444444443</v>
      </c>
      <c r="W19" s="18">
        <f>IF($D19=0,"DNP",SUMIFS(TEAMS_GbG[TR],TEAMS_GbG[[TM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33.333333333333336</v>
      </c>
      <c r="X19" s="18">
        <f>IF($D19=0,"DNP",SUMIFS(TEAMS_GbG[AST],TEAMS_GbG[[TM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19.555555555555557</v>
      </c>
      <c r="Y19" s="18">
        <f>IF($D19=0,"DNP",SUMIFS(TEAMS_GbG[TO],TEAMS_GbG[[TM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12.333333333333334</v>
      </c>
      <c r="Z19" s="18">
        <f>IF($D19=0,"DNP",SUMIFS(TEAMS_GbG[ST],TEAMS_GbG[[TM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6.666666666666667</v>
      </c>
      <c r="AA19" s="18">
        <f>IF($D19=0,"DNP",SUMIFS(TEAMS_GbG[BLK],TEAMS_GbG[[TM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2.4444444444444446</v>
      </c>
      <c r="AB19" s="18">
        <f>IF($D19=0,"DNP",SUMIFS(TEAMS_GbG[BLKA],TEAMS_GbG[[TM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2.8888888888888888</v>
      </c>
      <c r="AC19" s="18">
        <f>IF($D19=0,"DNP",SUMIFS(TEAMS_GbG[PF],TEAMS_GbG[[TM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18.444444444444443</v>
      </c>
      <c r="AD19" s="18">
        <f>IF($D19=0,"DNP",SUMIFS(TEAMS_GbG[DF],TEAMS_GbG[[TM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19.888888888888889</v>
      </c>
      <c r="AE19" s="18">
        <f>IF($D19=0,"DNP",SUMIFS(TEAMS_GbG[VAL],TEAMS_GbG[[TM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89.333333333333329</v>
      </c>
      <c r="AF19" s="18">
        <f>IF($D19=0,"DNP",SUMIFS(TEAMS_GbG[+ / -],TEAMS_GbG[[TM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</v>
      </c>
      <c r="AG19" s="26">
        <f t="shared" si="0"/>
        <v>66.918918918918919</v>
      </c>
      <c r="AH19" s="18">
        <f>IF($D19=0,"DNP",SUMIFS(TEAMS_GbG[POSS],TEAMS_GbG[[TM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68.777777777777771</v>
      </c>
      <c r="AI19" s="18">
        <f>IF($D19=0,"DNP",SUMIFS(TEAMS_GbG[SHOOTING CHANCES],TEAMS_GbG[[TM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79.814814814814824</v>
      </c>
      <c r="AJ19" s="19">
        <f t="shared" si="1"/>
        <v>0.97447795823665873</v>
      </c>
      <c r="AK19" s="19">
        <f t="shared" si="2"/>
        <v>0.97289586305278175</v>
      </c>
      <c r="AL19" s="18">
        <f t="shared" si="3"/>
        <v>113.08562197092084</v>
      </c>
      <c r="AM19" s="18">
        <f t="shared" si="4"/>
        <v>110.53484602917341</v>
      </c>
      <c r="AN19" s="18">
        <f t="shared" si="42"/>
        <v>2.5507759417474318</v>
      </c>
      <c r="AO19" s="27">
        <f t="shared" si="5"/>
        <v>0.5383912248628886</v>
      </c>
      <c r="AP19" s="28">
        <f t="shared" si="6"/>
        <v>0.5762897914379802</v>
      </c>
      <c r="AQ19" s="34">
        <f t="shared" si="7"/>
        <v>0.1851508120649652</v>
      </c>
      <c r="AR19" s="38">
        <f t="shared" si="8"/>
        <v>1.5639097744360901</v>
      </c>
      <c r="AS19" s="27">
        <f t="shared" si="9"/>
        <v>0.19628770301624127</v>
      </c>
      <c r="AT19" s="38">
        <f t="shared" si="10"/>
        <v>0.68085106382978722</v>
      </c>
      <c r="AU19" s="27">
        <f t="shared" si="11"/>
        <v>4.8723897911832938E-2</v>
      </c>
      <c r="AV19" s="38">
        <f t="shared" si="12"/>
        <v>0.85714285714285721</v>
      </c>
      <c r="AW19" s="27">
        <f t="shared" si="13"/>
        <v>6.1252900232018556E-2</v>
      </c>
      <c r="AX19" s="38">
        <f t="shared" si="14"/>
        <v>1.3636363636363635</v>
      </c>
      <c r="AY19" s="27">
        <f t="shared" si="15"/>
        <v>0.2686774941995359</v>
      </c>
      <c r="AZ19" s="38">
        <f t="shared" si="16"/>
        <v>1.0103626943005182</v>
      </c>
      <c r="BA19" s="28">
        <f t="shared" si="17"/>
        <v>8.3990719257540605E-2</v>
      </c>
      <c r="BB19" s="34">
        <f t="shared" si="18"/>
        <v>0.15481171548117156</v>
      </c>
      <c r="BC19" s="27">
        <f t="shared" si="19"/>
        <v>0.56713211600429636</v>
      </c>
      <c r="BD19" s="27">
        <f t="shared" si="20"/>
        <v>0.56886227544910173</v>
      </c>
      <c r="BE19" s="27">
        <f t="shared" si="21"/>
        <v>0.79999999999999993</v>
      </c>
      <c r="BF19" s="27">
        <f t="shared" si="22"/>
        <v>0.22285714285714284</v>
      </c>
      <c r="BG19" s="27">
        <f t="shared" si="23"/>
        <v>0.24546722454672251</v>
      </c>
      <c r="BH19" s="35">
        <f t="shared" si="24"/>
        <v>1.5855855855855856</v>
      </c>
      <c r="BI19" s="49">
        <f t="shared" si="25"/>
        <v>0.32558139534883723</v>
      </c>
      <c r="BJ19" s="45">
        <f t="shared" si="26"/>
        <v>0.38926174496644295</v>
      </c>
      <c r="BK19" s="45">
        <f t="shared" si="27"/>
        <v>0.31901840490797545</v>
      </c>
      <c r="BL19" s="45">
        <f t="shared" si="28"/>
        <v>0.19999999999999998</v>
      </c>
      <c r="BM19" s="45">
        <f t="shared" si="29"/>
        <v>0.71126760563380276</v>
      </c>
      <c r="BN19" s="45">
        <f t="shared" si="30"/>
        <v>0.65217391304347827</v>
      </c>
      <c r="BO19" s="45">
        <f t="shared" si="31"/>
        <v>0.72189349112426027</v>
      </c>
      <c r="BP19" s="45">
        <f t="shared" si="32"/>
        <v>1</v>
      </c>
      <c r="BQ19" s="46">
        <f t="shared" si="33"/>
        <v>0.51282051282051289</v>
      </c>
      <c r="BR19" s="49">
        <f t="shared" si="34"/>
        <v>9.7244732576985418E-2</v>
      </c>
      <c r="BS19" s="45">
        <f t="shared" si="35"/>
        <v>4.1745730550284632E-2</v>
      </c>
      <c r="BT19" s="39">
        <f>IF($D19=0,"DNP",SUMIFS(TEAMS_GbG[KILLS],TEAMS_GbG[[TM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5.2222222222222223</v>
      </c>
      <c r="BU19" s="34">
        <f t="shared" si="36"/>
        <v>0.39759036144578319</v>
      </c>
      <c r="BV19" s="28">
        <f t="shared" si="37"/>
        <v>0.44320297951582865</v>
      </c>
      <c r="BW19" s="18">
        <f>IF($D19=0,"DNP",SUMIFS(TEAMS_GbG[ASTED_2FG],TEAMS_GbG[[TM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10.555555555555555</v>
      </c>
      <c r="BX19" s="18">
        <f>IF($D19=0,"DNP",SUMIFS(TEAMS_GbG[ASTED_3FG],TEAMS_GbG[[TM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7.5555555555555554</v>
      </c>
      <c r="BY19" s="18">
        <f>IF($D19=0,"DNP",SUMIFS(TEAMS_GbG[ASTED_FT],TEAMS_GbG[[TM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1.4444444444444444</v>
      </c>
      <c r="BZ19" s="18">
        <f>IF($D19=0,"DNP",SUMIFS(TEAMS_GbG[ASTED_FT PTS],TEAMS_GbG[[TM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2.2222222222222223</v>
      </c>
      <c r="CA19" s="18">
        <f>IF($D19=0,"DNP",SUMIFS(TEAMS_GbG[OR_RIM],TEAMS_GbG[[TM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CB19" s="18">
        <f>IF($D19=0,"DNP",SUMIFS(TEAMS_GbG[TM OR_RIM],TEAMS_GbG[[TM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0.55555555555555558</v>
      </c>
      <c r="CC19" s="18">
        <f>IF($D19=0,"DNP",SUMIFS(TEAMS_GbG[OR_PAINT],TEAMS_GbG[[TM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2.8888888888888888</v>
      </c>
      <c r="CD19" s="18">
        <f>IF($D19=0,"DNP",SUMIFS(TEAMS_GbG[TM OR_PAINT],TEAMS_GbG[[TM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0.33333333333333331</v>
      </c>
      <c r="CE19" s="18">
        <f>IF($D19=0,"DNP",SUMIFS(TEAMS_GbG[OR_NP2],TEAMS_GbG[[TM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CF19" s="18">
        <f>IF($D19=0,"DNP",SUMIFS(TEAMS_GbG[TM OR_NP2],TEAMS_GbG[[TM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CG19" s="18">
        <f>IF($D19=0,"DNP",SUMIFS(TEAMS_GbG[OR_3C],TEAMS_GbG[[TM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1.1111111111111112</v>
      </c>
      <c r="CH19" s="18">
        <f>IF($D19=0,"DNP",SUMIFS(TEAMS_GbG[TM OR_3C],TEAMS_GbG[[TM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CI19" s="18">
        <f>IF($D19=0,"DNP",SUMIFS(TEAMS_GbG[OR_3L],TEAMS_GbG[[TM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3.8888888888888888</v>
      </c>
      <c r="CJ19" s="18">
        <f>IF($D19=0,"DNP",SUMIFS(TEAMS_GbG[TM OR_3L],TEAMS_GbG[[TM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0.66666666666666663</v>
      </c>
      <c r="CK19" s="18">
        <f>IF($D19=0,"DNP",SUMIFS(TEAMS_GbG[OR_FT],TEAMS_GbG[[TM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0.33333333333333331</v>
      </c>
      <c r="CL19" s="18">
        <f>IF($D19=0,"DNP",SUMIFS(TEAMS_GbG[TM OR_FT],TEAMS_GbG[[TM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CM19" s="18">
        <f>IF($D19=0,"DNP",SUMIFS(TEAMS_GbG[DR_RIM],TEAMS_GbG[[TM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1.8888888888888888</v>
      </c>
      <c r="CN19" s="18">
        <f>IF($D19=0,"DNP",SUMIFS(TEAMS_GbG[TM DR_RIM],TEAMS_GbG[[TM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CO19" s="18">
        <f>IF($D19=0,"DNP",SUMIFS(TEAMS_GbG[DR_PAINT],TEAMS_GbG[[TM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4.5555555555555554</v>
      </c>
      <c r="CP19" s="18">
        <f>IF($D19=0,"DNP",SUMIFS(TEAMS_GbG[TM DR_PAINT],TEAMS_GbG[[TM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0.44444444444444442</v>
      </c>
      <c r="CQ19" s="18">
        <f>IF($D19=0,"DNP",SUMIFS(TEAMS_GbG[DR_NP2],TEAMS_GbG[[TM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2.8888888888888888</v>
      </c>
      <c r="CR19" s="18">
        <f>IF($D19=0,"DNP",SUMIFS(TEAMS_GbG[TM DR_NP2],TEAMS_GbG[[TM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CS19" s="18">
        <f>IF($D19=0,"DNP",SUMIFS(TEAMS_GbG[DR_3C],TEAMS_GbG[[TM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1.5555555555555556</v>
      </c>
      <c r="CT19" s="18">
        <f>IF($D19=0,"DNP",SUMIFS(TEAMS_GbG[TM DR_3C],TEAMS_GbG[[TM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CU19" s="18">
        <f>IF($D19=0,"DNP",SUMIFS(TEAMS_GbG[DR_3L],TEAMS_GbG[[TM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10.555555555555555</v>
      </c>
      <c r="CV19" s="18">
        <f>IF($D19=0,"DNP",SUMIFS(TEAMS_GbG[TM DR_3L],TEAMS_GbG[[TM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1.3333333333333333</v>
      </c>
      <c r="CW19" s="18">
        <f>IF($D19=0,"DNP",SUMIFS(TEAMS_GbG[DR_FT],TEAMS_GbG[[TM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</v>
      </c>
      <c r="CX19" s="18">
        <f>IF($D19=0,"DNP",SUMIFS(TEAMS_GbG[TM DR_FT],TEAMS_GbG[[TM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CY19" s="18">
        <f>IF($D19=0,"DNP",SUMIFS(TEAMS_GbG[FTM_T],TEAMS_GbG[[TM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CZ19" s="18">
        <f>IF($D19=0,"DNP",SUMIFS(TEAMS_GbG[FTA_T],TEAMS_GbG[[TM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0.44444444444444442</v>
      </c>
      <c r="DA19" s="18">
        <f>IF($D19=0,"DNP",SUMIFS(TEAMS_GbG[FTM_1],TEAMS_GbG[[TM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1.3333333333333333</v>
      </c>
      <c r="DB19" s="18">
        <f>IF($D19=0,"DNP",SUMIFS(TEAMS_GbG[FTA_1],TEAMS_GbG[[TM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2.1111111111111112</v>
      </c>
      <c r="DC19" s="18">
        <f>IF($D19=0,"DNP",SUMIFS(TEAMS_GbG[FTM_2],TEAMS_GbG[[TM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10.111111111111111</v>
      </c>
      <c r="DD19" s="18">
        <f>IF($D19=0,"DNP",SUMIFS(TEAMS_GbG[FTA_2],TEAMS_GbG[[TM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12.888888888888889</v>
      </c>
      <c r="DE19" s="18">
        <f>IF($D19=0,"DNP",SUMIFS(TEAMS_GbG[FT 0/2],TEAMS_GbG[[TM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DF19" s="18">
        <f>IF($D19=0,"DNP",SUMIFS(TEAMS_GbG[FTM_3],TEAMS_GbG[[TM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0.77777777777777779</v>
      </c>
      <c r="DG19" s="18">
        <f>IF($D19=0,"DNP",SUMIFS(TEAMS_GbG[FTA_3],TEAMS_GbG[[TM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0.77777777777777779</v>
      </c>
      <c r="DH19" s="18">
        <f>IF($D19=0,"DNP",SUMIFS(TEAMS_GbG[FT 0/3],TEAMS_GbG[[TM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DI19" s="18">
        <f>IF($D19=0,"DNP",SUMIFS(TEAMS_GbG[RIM_M],TEAMS_GbG[[TM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11.555555555555555</v>
      </c>
      <c r="DJ19" s="18">
        <f>IF($D19=0,"DNP",SUMIFS(TEAMS_GbG[RIM_A],TEAMS_GbG[[TM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14.777777777777779</v>
      </c>
      <c r="DK19" s="18">
        <f>IF($D19=0,"DNP",SUMIFS(TEAMS_GbG[PAINT_M],TEAMS_GbG[[TM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5.333333333333333</v>
      </c>
      <c r="DL19" s="18">
        <f>IF($D19=0,"DNP",SUMIFS(TEAMS_GbG[PAINT_A],TEAMS_GbG[[TM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15.666666666666666</v>
      </c>
      <c r="DM19" s="18">
        <f>IF($D19=0,"DNP",SUMIFS(TEAMS_GbG[MID_M],TEAMS_GbG[[TM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1.6666666666666667</v>
      </c>
      <c r="DN19" s="18">
        <f>IF($D19=0,"DNP",SUMIFS(TEAMS_GbG[MID_A],TEAMS_GbG[[TM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3.8888888888888888</v>
      </c>
      <c r="DO19" s="18">
        <f>IF($D19=0,"DNP",SUMIFS(TEAMS_GbG[3C_M],TEAMS_GbG[[TM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2.2222222222222223</v>
      </c>
      <c r="DP19" s="18">
        <f>IF($D19=0,"DNP",SUMIFS(TEAMS_GbG[3C_A],TEAMS_GbG[[TM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4.8888888888888893</v>
      </c>
      <c r="DQ19" s="18">
        <f>IF($D19=0,"DNP",SUMIFS(TEAMS_GbG[3L_M],TEAMS_GbG[[TM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7.2222222222222223</v>
      </c>
      <c r="DR19" s="18">
        <f>IF($D19=0,"DNP",SUMIFS(TEAMS_GbG[3L_A],TEAMS_GbG[[TM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21.444444444444443</v>
      </c>
      <c r="DS19" s="18">
        <f>IF($D19=0,"DNP",SUMIFS(TEAMS_GbG[3H_M],TEAMS_GbG[[TM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DT19" s="18">
        <f>IF($D19=0,"DNP",SUMIFS(TEAMS_GbG[3H_A],TEAMS_GbG[[TM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DU19" s="18">
        <f>IF($D19=0,"DNP",SUMIFS(TEAMS_GbG[OPP PTS],TEAMS_GbG[[TM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75.777777777777771</v>
      </c>
      <c r="DV19" s="18">
        <f>IF($D19=0,"DNP",SUMIFS(TEAMS_GbG[OPP 2PTM],TEAMS_GbG[[TM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17.444444444444443</v>
      </c>
      <c r="DW19" s="18">
        <f>IF($D19=0,"DNP",SUMIFS(TEAMS_GbG[OPP 2PTA],TEAMS_GbG[[TM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31.444444444444443</v>
      </c>
      <c r="DX19" s="16">
        <f t="shared" si="43"/>
        <v>0.55477031802120136</v>
      </c>
      <c r="DY19" s="18">
        <f>IF($D19=0,"DNP",SUMIFS(TEAMS_GbG[OPP 3PTM],TEAMS_GbG[[TM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9.7777777777777786</v>
      </c>
      <c r="DZ19" s="18">
        <f>IF($D19=0,"DNP",SUMIFS(TEAMS_GbG[OPP 3PTA],TEAMS_GbG[[TM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27.111111111111111</v>
      </c>
      <c r="EA19" s="16">
        <f t="shared" si="44"/>
        <v>0.36065573770491804</v>
      </c>
      <c r="EB19" s="18">
        <f>IF($D19=0,"DNP",SUMIFS(TEAMS_GbG[OPP FGM],TEAMS_GbG[[TM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27.222222222222221</v>
      </c>
      <c r="EC19" s="18">
        <f>IF($D19=0,"DNP",SUMIFS(TEAMS_GbG[OPP FGA],TEAMS_GbG[[TM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58.555555555555557</v>
      </c>
      <c r="ED19" s="16">
        <f t="shared" si="45"/>
        <v>0.46489563567362424</v>
      </c>
      <c r="EE19" s="18">
        <f>IF($D19=0,"DNP",SUMIFS(TEAMS_GbG[OPP FTM],TEAMS_GbG[[TM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11.555555555555555</v>
      </c>
      <c r="EF19" s="18">
        <f>IF($D19=0,"DNP",SUMIFS(TEAMS_GbG[OPP FTA],TEAMS_GbG[[TM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14.444444444444445</v>
      </c>
      <c r="EG19" s="16">
        <f t="shared" si="46"/>
        <v>0.79999999999999993</v>
      </c>
      <c r="EH19" s="18">
        <f>IF($D19=0,"DNP",SUMIFS(TEAMS_GbG[OPP OR],TEAMS_GbG[[TM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9.1111111111111107</v>
      </c>
      <c r="EI19" s="18">
        <f>IF($D19=0,"DNP",SUMIFS(TEAMS_GbG[OPP DR],TEAMS_GbG[[TM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22.555555555555557</v>
      </c>
      <c r="EJ19" s="18">
        <f>IF($D19=0,"DNP",SUMIFS(TEAMS_GbG[OPP TR],TEAMS_GbG[[TM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31.666666666666668</v>
      </c>
      <c r="EK19" s="18">
        <f>IF($D19=0,"DNP",SUMIFS(TEAMS_GbG[OPP AST],TEAMS_GbG[[TM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16.777777777777779</v>
      </c>
      <c r="EL19" s="18">
        <f>IF($D19=0,"DNP",SUMIFS(TEAMS_GbG[OPP PF],TEAMS_GbG[[TM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20.444444444444443</v>
      </c>
      <c r="EM19" s="18">
        <f>IF($D19=0,"DNP",SUMIFS(TEAMS_GbG[OPP DF],TEAMS_GbG[[TM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18</v>
      </c>
      <c r="EN19" s="18">
        <f>IF($D19=0,"DNP",SUMIFS(TEAMS_GbG[OPP ST],TEAMS_GbG[[TM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6.5555555555555554</v>
      </c>
      <c r="EO19" s="18">
        <f>IF($D19=0,"DNP",SUMIFS(TEAMS_GbG[OPP TO],TEAMS_GbG[[TM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13.222222222222221</v>
      </c>
      <c r="EP19" s="18">
        <f>IF($D19=0,"DNP",SUMIFS(TEAMS_GbG[OPP BLK],TEAMS_GbG[[TM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2.8888888888888888</v>
      </c>
      <c r="EQ19" s="18">
        <f>IF($D19=0,"DNP",SUMIFS(TEAMS_GbG[OPP BLKA],TEAMS_GbG[[TM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2.4444444444444446</v>
      </c>
      <c r="ER19" s="18">
        <f>IF($D19=0,"DNP",SUMIFS(TEAMS_GbG[OPP VAL],TEAMS_GbG[[TM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81.333333333333329</v>
      </c>
      <c r="ES19" s="18">
        <f>IF($D19=0,"DNP",SUMIFS(TEAMS_GbG[OPP + / -],TEAMS_GbG[[TM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-2</v>
      </c>
      <c r="ET19" s="18">
        <f>IF($D19=0,"DNP",SUMIFS(TEAMS_GbG[OPP POSS],TEAMS_GbG[[TM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68.555555555555557</v>
      </c>
      <c r="EU19" s="18">
        <f>IF($D19=0,"DNP",SUMIFS(TEAMS_GbG[OPP SHOOTING CHANCES],TEAMS_GbG[[TM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77.888888888888886</v>
      </c>
      <c r="EV19" s="18">
        <f>IF($D19=0,"DNP",SUMIFS(TEAMS_GbG[OPP KILLS],TEAMS_GbG[[TM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4.7777777777777777</v>
      </c>
      <c r="EW19" s="18">
        <f>IF($D19=0,"DNP",SUMIFS(TEAMS_GbG[OPP ASTED_2FG],TEAMS_GbG[[TM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7.8888888888888893</v>
      </c>
      <c r="EX19" s="18">
        <f>IF($D19=0,"DNP",SUMIFS(TEAMS_GbG[OPP ASTED_3FG],TEAMS_GbG[[TM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7.666666666666667</v>
      </c>
      <c r="EY19" s="18">
        <f>IF($D19=0,"DNP",SUMIFS(TEAMS_GbG[OPP ASTED_FT],TEAMS_GbG[[TM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1.1111111111111112</v>
      </c>
      <c r="EZ19" s="18">
        <f>IF($D19=0,"DNP",SUMIFS(TEAMS_GbG[OPP ASTED_FT PTS],TEAMS_GbG[[TM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2.3333333333333335</v>
      </c>
      <c r="FA19" s="18">
        <f>IF($D19=0,"DNP",SUMIFS(TEAMS_GbG[OPP OR_RIM],TEAMS_GbG[[TM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0.55555555555555558</v>
      </c>
      <c r="FB19" s="18">
        <f>IF($D19=0,"DNP",SUMIFS(TEAMS_GbG[OPP TM OR_RIM],TEAMS_GbG[[TM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FC19" s="18">
        <f>IF($D19=0,"DNP",SUMIFS(TEAMS_GbG[OPP OR_PAINT],TEAMS_GbG[[TM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2.5555555555555554</v>
      </c>
      <c r="FD19" s="18">
        <f>IF($D19=0,"DNP",SUMIFS(TEAMS_GbG[OPP TM OR_PAINT],TEAMS_GbG[[TM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0.66666666666666663</v>
      </c>
      <c r="FE19" s="18">
        <f>IF($D19=0,"DNP",SUMIFS(TEAMS_GbG[OPP OR_NP2],TEAMS_GbG[[TM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1.3333333333333333</v>
      </c>
      <c r="FF19" s="18">
        <f>IF($D19=0,"DNP",SUMIFS(TEAMS_GbG[OPP TM OR_NP2],TEAMS_GbG[[TM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FG19" s="18">
        <f>IF($D19=0,"DNP",SUMIFS(TEAMS_GbG[OPP OR_3C],TEAMS_GbG[[TM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0.55555555555555558</v>
      </c>
      <c r="FH19" s="18">
        <f>IF($D19=0,"DNP",SUMIFS(TEAMS_GbG[OPP TM OR_3C],TEAMS_GbG[[TM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FI19" s="18">
        <f>IF($D19=0,"DNP",SUMIFS(TEAMS_GbG[OPP OR_3L],TEAMS_GbG[[TM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4.1111111111111107</v>
      </c>
      <c r="FJ19" s="18">
        <f>IF($D19=0,"DNP",SUMIFS(TEAMS_GbG[OPP TM OR_3L],TEAMS_GbG[[TM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0.55555555555555558</v>
      </c>
      <c r="FK19" s="18">
        <f>IF($D19=0,"DNP",SUMIFS(TEAMS_GbG[OPP OR_FT],TEAMS_GbG[[TM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FL19" s="18">
        <f>IF($D19=0,"DNP",SUMIFS(TEAMS_GbG[OPP TM OR_FT],TEAMS_GbG[[TM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FM19" s="18">
        <f>IF($D19=0,"DNP",SUMIFS(TEAMS_GbG[OPP DR_RIM],TEAMS_GbG[[TM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1.8888888888888888</v>
      </c>
      <c r="FN19" s="18">
        <f>IF($D19=0,"DNP",SUMIFS(TEAMS_GbG[OPP TM DR_RIM],TEAMS_GbG[[TM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FO19" s="18">
        <f>IF($D19=0,"DNP",SUMIFS(TEAMS_GbG[OPP DR_PAINT],TEAMS_GbG[[TM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</v>
      </c>
      <c r="FP19" s="18">
        <f>IF($D19=0,"DNP",SUMIFS(TEAMS_GbG[OPP TM DR_PAINT],TEAMS_GbG[[TM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0.44444444444444442</v>
      </c>
      <c r="FQ19" s="18">
        <f>IF($D19=0,"DNP",SUMIFS(TEAMS_GbG[OPP DR_NP2],TEAMS_GbG[[TM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0.66666666666666663</v>
      </c>
      <c r="FR19" s="18">
        <f>IF($D19=0,"DNP",SUMIFS(TEAMS_GbG[OPP TM DR_NP2],TEAMS_GbG[[TM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FS19" s="18">
        <f>IF($D19=0,"DNP",SUMIFS(TEAMS_GbG[OPP DR_3C],TEAMS_GbG[[TM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1.5555555555555556</v>
      </c>
      <c r="FT19" s="18">
        <f>IF($D19=0,"DNP",SUMIFS(TEAMS_GbG[OPP TM DR_3C],TEAMS_GbG[[TM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FU19" s="18">
        <f>IF($D19=0,"DNP",SUMIFS(TEAMS_GbG[OPP DR_3L],TEAMS_GbG[[TM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9.5555555555555554</v>
      </c>
      <c r="FV19" s="18">
        <f>IF($D19=0,"DNP",SUMIFS(TEAMS_GbG[OPP TM DR_3L],TEAMS_GbG[[TM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</v>
      </c>
      <c r="FW19" s="18">
        <f>IF($D19=0,"DNP",SUMIFS(TEAMS_GbG[OPP DR_FT],TEAMS_GbG[[TM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1.7777777777777777</v>
      </c>
      <c r="FX19" s="18">
        <f>IF($D19=0,"DNP",SUMIFS(TEAMS_GbG[OPP TM DR_FT],TEAMS_GbG[[TM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FY19" s="18">
        <f>IF($D19=0,"DNP",SUMIFS(TEAMS_GbG[OPP FTM_T],TEAMS_GbG[[TM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FZ19" s="18">
        <f>IF($D19=0,"DNP",SUMIFS(TEAMS_GbG[OPP FTA_T],TEAMS_GbG[[TM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0.33333333333333331</v>
      </c>
      <c r="GA19" s="18">
        <f>IF($D19=0,"DNP",SUMIFS(TEAMS_GbG[OPP FTM_1],TEAMS_GbG[[TM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GB19" s="18">
        <f>IF($D19=0,"DNP",SUMIFS(TEAMS_GbG[OPP FTA_1],TEAMS_GbG[[TM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GC19" s="18">
        <f>IF($D19=0,"DNP",SUMIFS(TEAMS_GbG[OPP FTM_2],TEAMS_GbG[[TM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8.4444444444444446</v>
      </c>
      <c r="GD19" s="18">
        <f>IF($D19=0,"DNP",SUMIFS(TEAMS_GbG[OPP FTA_2],TEAMS_GbG[[TM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10.888888888888889</v>
      </c>
      <c r="GE19" s="18">
        <f>IF($D19=0,"DNP",SUMIFS(TEAMS_GbG[OPP FT 0/2],TEAMS_GbG[[TM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GF19" s="18">
        <f>IF($D19=0,"DNP",SUMIFS(TEAMS_GbG[OPP FTM_3],TEAMS_GbG[[TM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1.6666666666666667</v>
      </c>
      <c r="GG19" s="18">
        <f>IF($D19=0,"DNP",SUMIFS(TEAMS_GbG[OPP FTA_3],TEAMS_GbG[[TM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</v>
      </c>
      <c r="GH19" s="18">
        <f>IF($D19=0,"DNP",SUMIFS(TEAMS_GbG[OPP FT 0/3],TEAMS_GbG[[TM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GI19" s="18">
        <f>IF($D19=0,"DNP",SUMIFS(TEAMS_GbG[OPP RIM_M],TEAMS_GbG[[TM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8.2222222222222214</v>
      </c>
      <c r="GJ19" s="18">
        <f>IF($D19=0,"DNP",SUMIFS(TEAMS_GbG[OPP RIM_A],TEAMS_GbG[[TM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10.666666666666666</v>
      </c>
      <c r="GK19" s="18">
        <f>IF($D19=0,"DNP",SUMIFS(TEAMS_GbG[OPP PAINT_M],TEAMS_GbG[[TM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5.8888888888888893</v>
      </c>
      <c r="GL19" s="18">
        <f>IF($D19=0,"DNP",SUMIFS(TEAMS_GbG[OPP PAINT_A],TEAMS_GbG[[TM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13</v>
      </c>
      <c r="GM19" s="18">
        <f>IF($D19=0,"DNP",SUMIFS(TEAMS_GbG[OPP MID_M],TEAMS_GbG[[TM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3.3333333333333335</v>
      </c>
      <c r="GN19" s="18">
        <f>IF($D19=0,"DNP",SUMIFS(TEAMS_GbG[OPP MID_A],TEAMS_GbG[[TM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7.7777777777777777</v>
      </c>
      <c r="GO19" s="18">
        <f>IF($D19=0,"DNP",SUMIFS(TEAMS_GbG[OPP 3C_M],TEAMS_GbG[[TM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1.4444444444444444</v>
      </c>
      <c r="GP19" s="18">
        <f>IF($D19=0,"DNP",SUMIFS(TEAMS_GbG[OPP 3C_A],TEAMS_GbG[[TM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3.6666666666666665</v>
      </c>
      <c r="GQ19" s="18">
        <f>IF($D19=0,"DNP",SUMIFS(TEAMS_GbG[OPP 3L_M],TEAMS_GbG[[TM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8.3333333333333339</v>
      </c>
      <c r="GR19" s="18">
        <f>IF($D19=0,"DNP",SUMIFS(TEAMS_GbG[OPP 3L_A],TEAMS_GbG[[TM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23.333333333333332</v>
      </c>
      <c r="GS19" s="18">
        <f>IF($D19=0,"DNP",SUMIFS(TEAMS_GbG[OPP 3H_M],TEAMS_GbG[[TM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GT19" s="18">
        <f>IF($D19=0,"DNP",SUMIFS(TEAMS_GbG[OPP 3H_A],TEAMS_GbG[[TM NAME]:[TM NAME]],$C19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GU19" s="16">
        <f ca="1">IF(TEAMS_STATS[[#This Row],[TM NAME]]="","",INDEX(SoS!$C$113:$C$144,MATCH(TEAMS_STATS[[#This Row],[TM NAME]],SoS!$B$113:$B$144,0)))</f>
        <v>0.51859200470311573</v>
      </c>
    </row>
    <row r="20" spans="2:203" ht="15" customHeight="1" x14ac:dyDescent="0.25">
      <c r="B20" s="12">
        <f>_xlfn.AGGREGATE(3,5,$C$7:C19)</f>
        <v>13</v>
      </c>
      <c r="C20" s="14" t="str">
        <f>BASIS_INFO!F15</f>
        <v>Panathinaikos Athens</v>
      </c>
      <c r="D20" s="20">
        <f>COUNTIFS(TEAMS_GbG[[TM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0" s="20">
        <f>COUNTIFS(TEAMS_GbG[[TM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5</v>
      </c>
      <c r="F20" s="20">
        <f>COUNTIFS(TEAMS_GbG[[TM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4</v>
      </c>
      <c r="G20" s="18">
        <f>IF($D20=0,"DNP",SUMIFS(TEAMS_GbG[MIN],TEAMS_GbG[[TM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205.55555555555554</v>
      </c>
      <c r="H20" s="18">
        <f>IF($D20=0,"DNP",SUMIFS(TEAMS_GbG[PTS],TEAMS_GbG[[TM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81.666666666666671</v>
      </c>
      <c r="I20" s="18">
        <f>IF($D20=0,"DNP",SUMIFS(TEAMS_GbG[2PTM],TEAMS_GbG[[TM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19</v>
      </c>
      <c r="J20" s="18">
        <f>IF($D20=0,"DNP",SUMIFS(TEAMS_GbG[2PTA],TEAMS_GbG[[TM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33.888888888888886</v>
      </c>
      <c r="K20" s="16">
        <f t="shared" si="38"/>
        <v>0.56065573770491806</v>
      </c>
      <c r="L20" s="18">
        <f>IF($D20=0,"DNP",SUMIFS(TEAMS_GbG[3PTM],TEAMS_GbG[[TM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8.8888888888888893</v>
      </c>
      <c r="M20" s="18">
        <f>IF($D20=0,"DNP",SUMIFS(TEAMS_GbG[3PTA],TEAMS_GbG[[TM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24.444444444444443</v>
      </c>
      <c r="N20" s="16">
        <f t="shared" si="39"/>
        <v>0.3636363636363637</v>
      </c>
      <c r="O20" s="18">
        <f>IF($D20=0,"DNP",SUMIFS(TEAMS_GbG[FGM],TEAMS_GbG[[TM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27.888888888888889</v>
      </c>
      <c r="P20" s="18">
        <f>IF($D20=0,"DNP",SUMIFS(TEAMS_GbG[FGA],TEAMS_GbG[[TM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58.333333333333336</v>
      </c>
      <c r="Q20" s="16">
        <f t="shared" si="40"/>
        <v>0.47809523809523807</v>
      </c>
      <c r="R20" s="18">
        <f>IF($D20=0,"DNP",SUMIFS(TEAMS_GbG[FTM],TEAMS_GbG[[TM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17</v>
      </c>
      <c r="S20" s="18">
        <f>IF($D20=0,"DNP",SUMIFS(TEAMS_GbG[FTA],TEAMS_GbG[[TM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22.555555555555557</v>
      </c>
      <c r="T20" s="16">
        <f t="shared" si="41"/>
        <v>0.75369458128078815</v>
      </c>
      <c r="U20" s="18">
        <f>IF($D20=0,"DNP",SUMIFS(TEAMS_GbG[OR],TEAMS_GbG[[TM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9.5555555555555554</v>
      </c>
      <c r="V20" s="18">
        <f>IF($D20=0,"DNP",SUMIFS(TEAMS_GbG[DR],TEAMS_GbG[[TM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23.444444444444443</v>
      </c>
      <c r="W20" s="18">
        <f>IF($D20=0,"DNP",SUMIFS(TEAMS_GbG[TR],TEAMS_GbG[[TM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33</v>
      </c>
      <c r="X20" s="18">
        <f>IF($D20=0,"DNP",SUMIFS(TEAMS_GbG[AST],TEAMS_GbG[[TM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16</v>
      </c>
      <c r="Y20" s="18">
        <f>IF($D20=0,"DNP",SUMIFS(TEAMS_GbG[TO],TEAMS_GbG[[TM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13.888888888888889</v>
      </c>
      <c r="Z20" s="18">
        <f>IF($D20=0,"DNP",SUMIFS(TEAMS_GbG[ST],TEAMS_GbG[[TM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7.2222222222222223</v>
      </c>
      <c r="AA20" s="18">
        <f>IF($D20=0,"DNP",SUMIFS(TEAMS_GbG[BLK],TEAMS_GbG[[TM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2.7777777777777777</v>
      </c>
      <c r="AB20" s="18">
        <f>IF($D20=0,"DNP",SUMIFS(TEAMS_GbG[BLKA],TEAMS_GbG[[TM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2.5555555555555554</v>
      </c>
      <c r="AC20" s="18">
        <f>IF($D20=0,"DNP",SUMIFS(TEAMS_GbG[PF],TEAMS_GbG[[TM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17.444444444444443</v>
      </c>
      <c r="AD20" s="18">
        <f>IF($D20=0,"DNP",SUMIFS(TEAMS_GbG[DF],TEAMS_GbG[[TM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22.444444444444443</v>
      </c>
      <c r="AE20" s="18">
        <f>IF($D20=0,"DNP",SUMIFS(TEAMS_GbG[VAL],TEAMS_GbG[[TM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93.222222222222229</v>
      </c>
      <c r="AF20" s="18">
        <f>IF($D20=0,"DNP",SUMIFS(TEAMS_GbG[+ / -],TEAMS_GbG[[TM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1.5555555555555556</v>
      </c>
      <c r="AG20" s="26">
        <f t="shared" si="0"/>
        <v>70.486486486486484</v>
      </c>
      <c r="AH20" s="18">
        <f>IF($D20=0,"DNP",SUMIFS(TEAMS_GbG[POSS],TEAMS_GbG[[TM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72.444444444444443</v>
      </c>
      <c r="AI20" s="18">
        <f>IF($D20=0,"DNP",SUMIFS(TEAMS_GbG[SHOOTING CHANCES],TEAMS_GbG[[TM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82.111111111111114</v>
      </c>
      <c r="AJ20" s="19">
        <f t="shared" si="1"/>
        <v>0.99458728010825437</v>
      </c>
      <c r="AK20" s="19">
        <f t="shared" si="2"/>
        <v>0.94125326370757179</v>
      </c>
      <c r="AL20" s="18">
        <f t="shared" si="3"/>
        <v>112.73006134969326</v>
      </c>
      <c r="AM20" s="18">
        <f t="shared" si="4"/>
        <v>109.24242424242425</v>
      </c>
      <c r="AN20" s="18">
        <f t="shared" si="42"/>
        <v>3.4876371072690091</v>
      </c>
      <c r="AO20" s="27">
        <f t="shared" si="5"/>
        <v>0.55428571428571427</v>
      </c>
      <c r="AP20" s="28">
        <f t="shared" si="6"/>
        <v>0.59853420195439733</v>
      </c>
      <c r="AQ20" s="34">
        <f t="shared" si="7"/>
        <v>0.15832205683355885</v>
      </c>
      <c r="AR20" s="38">
        <f t="shared" si="8"/>
        <v>1.5726495726495726</v>
      </c>
      <c r="AS20" s="27">
        <f t="shared" si="9"/>
        <v>0.18944519621109607</v>
      </c>
      <c r="AT20" s="38">
        <f t="shared" si="10"/>
        <v>0.85714285714285721</v>
      </c>
      <c r="AU20" s="27">
        <f t="shared" si="11"/>
        <v>6.4952638700947224E-2</v>
      </c>
      <c r="AV20" s="38">
        <f t="shared" si="12"/>
        <v>0.79166666666666674</v>
      </c>
      <c r="AW20" s="27">
        <f t="shared" si="13"/>
        <v>4.1948579161028419E-2</v>
      </c>
      <c r="AX20" s="38">
        <f t="shared" si="14"/>
        <v>1.6451612903225803</v>
      </c>
      <c r="AY20" s="27">
        <f t="shared" si="15"/>
        <v>0.25304465493910688</v>
      </c>
      <c r="AZ20" s="38">
        <f t="shared" si="16"/>
        <v>1.0106951871657754</v>
      </c>
      <c r="BA20" s="28">
        <f t="shared" si="17"/>
        <v>0.12043301759133963</v>
      </c>
      <c r="BB20" s="34">
        <f t="shared" si="18"/>
        <v>0.16937669376693767</v>
      </c>
      <c r="BC20" s="27">
        <f t="shared" si="19"/>
        <v>0.43243243243243246</v>
      </c>
      <c r="BD20" s="27">
        <f t="shared" si="20"/>
        <v>0.38011695906432746</v>
      </c>
      <c r="BE20" s="27">
        <f t="shared" si="21"/>
        <v>0.75</v>
      </c>
      <c r="BF20" s="27">
        <f t="shared" si="22"/>
        <v>0.2317073170731708</v>
      </c>
      <c r="BG20" s="27">
        <f t="shared" si="23"/>
        <v>0.1951219512195122</v>
      </c>
      <c r="BH20" s="35">
        <f t="shared" si="24"/>
        <v>1.1519999999999999</v>
      </c>
      <c r="BI20" s="49">
        <f t="shared" si="25"/>
        <v>0.29054054054054057</v>
      </c>
      <c r="BJ20" s="45">
        <f t="shared" si="26"/>
        <v>0.35810810810810811</v>
      </c>
      <c r="BK20" s="45">
        <f t="shared" si="27"/>
        <v>0.28666666666666663</v>
      </c>
      <c r="BL20" s="45">
        <f t="shared" si="28"/>
        <v>0.10344827586206895</v>
      </c>
      <c r="BM20" s="45">
        <f t="shared" si="29"/>
        <v>0.66772151898734178</v>
      </c>
      <c r="BN20" s="45">
        <f t="shared" si="30"/>
        <v>0.66285714285714292</v>
      </c>
      <c r="BO20" s="45">
        <f t="shared" si="31"/>
        <v>0.64743589743589758</v>
      </c>
      <c r="BP20" s="45">
        <f t="shared" si="32"/>
        <v>0.8</v>
      </c>
      <c r="BQ20" s="46">
        <f t="shared" si="33"/>
        <v>0.48529411764705882</v>
      </c>
      <c r="BR20" s="49">
        <f t="shared" si="34"/>
        <v>9.8484848484848495E-2</v>
      </c>
      <c r="BS20" s="45">
        <f t="shared" si="35"/>
        <v>4.2517006802721087E-2</v>
      </c>
      <c r="BT20" s="39">
        <f>IF($D20=0,"DNP",SUMIFS(TEAMS_GbG[KILLS],TEAMS_GbG[[TM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4.8888888888888893</v>
      </c>
      <c r="BU20" s="34">
        <f t="shared" si="36"/>
        <v>0.38853503184713378</v>
      </c>
      <c r="BV20" s="28">
        <f t="shared" si="37"/>
        <v>0.53465346534653457</v>
      </c>
      <c r="BW20" s="18">
        <f>IF($D20=0,"DNP",SUMIFS(TEAMS_GbG[ASTED_2FG],TEAMS_GbG[[TM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7.2222222222222223</v>
      </c>
      <c r="BX20" s="18">
        <f>IF($D20=0,"DNP",SUMIFS(TEAMS_GbG[ASTED_3FG],TEAMS_GbG[[TM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6.666666666666667</v>
      </c>
      <c r="BY20" s="18">
        <f>IF($D20=0,"DNP",SUMIFS(TEAMS_GbG[ASTED_FT],TEAMS_GbG[[TM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2.1111111111111112</v>
      </c>
      <c r="BZ20" s="18">
        <f>IF($D20=0,"DNP",SUMIFS(TEAMS_GbG[ASTED_FT PTS],TEAMS_GbG[[TM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3.6666666666666665</v>
      </c>
      <c r="CA20" s="18">
        <f>IF($D20=0,"DNP",SUMIFS(TEAMS_GbG[OR_RIM],TEAMS_GbG[[TM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1.3333333333333333</v>
      </c>
      <c r="CB20" s="18">
        <f>IF($D20=0,"DNP",SUMIFS(TEAMS_GbG[TM OR_RIM],TEAMS_GbG[[TM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0.1111111111111111</v>
      </c>
      <c r="CC20" s="18">
        <f>IF($D20=0,"DNP",SUMIFS(TEAMS_GbG[OR_PAINT],TEAMS_GbG[[TM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3.1111111111111112</v>
      </c>
      <c r="CD20" s="18">
        <f>IF($D20=0,"DNP",SUMIFS(TEAMS_GbG[TM OR_PAINT],TEAMS_GbG[[TM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0.77777777777777779</v>
      </c>
      <c r="CE20" s="18">
        <f>IF($D20=0,"DNP",SUMIFS(TEAMS_GbG[OR_NP2],TEAMS_GbG[[TM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CF20" s="18">
        <f>IF($D20=0,"DNP",SUMIFS(TEAMS_GbG[TM OR_NP2],TEAMS_GbG[[TM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CG20" s="18">
        <f>IF($D20=0,"DNP",SUMIFS(TEAMS_GbG[OR_3C],TEAMS_GbG[[TM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CH20" s="18">
        <f>IF($D20=0,"DNP",SUMIFS(TEAMS_GbG[TM OR_3C],TEAMS_GbG[[TM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CI20" s="18">
        <f>IF($D20=0,"DNP",SUMIFS(TEAMS_GbG[OR_3L],TEAMS_GbG[[TM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3.6666666666666665</v>
      </c>
      <c r="CJ20" s="18">
        <f>IF($D20=0,"DNP",SUMIFS(TEAMS_GbG[TM OR_3L],TEAMS_GbG[[TM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0.66666666666666663</v>
      </c>
      <c r="CK20" s="18">
        <f>IF($D20=0,"DNP",SUMIFS(TEAMS_GbG[OR_FT],TEAMS_GbG[[TM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CL20" s="18">
        <f>IF($D20=0,"DNP",SUMIFS(TEAMS_GbG[TM OR_FT],TEAMS_GbG[[TM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CM20" s="18">
        <f>IF($D20=0,"DNP",SUMIFS(TEAMS_GbG[DR_RIM],TEAMS_GbG[[TM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2.5555555555555554</v>
      </c>
      <c r="CN20" s="18">
        <f>IF($D20=0,"DNP",SUMIFS(TEAMS_GbG[TM DR_RIM],TEAMS_GbG[[TM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0.22222222222222221</v>
      </c>
      <c r="CO20" s="18">
        <f>IF($D20=0,"DNP",SUMIFS(TEAMS_GbG[DR_PAINT],TEAMS_GbG[[TM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6.1111111111111107</v>
      </c>
      <c r="CP20" s="18">
        <f>IF($D20=0,"DNP",SUMIFS(TEAMS_GbG[TM DR_PAINT],TEAMS_GbG[[TM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CQ20" s="18">
        <f>IF($D20=0,"DNP",SUMIFS(TEAMS_GbG[DR_NP2],TEAMS_GbG[[TM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3.1111111111111112</v>
      </c>
      <c r="CR20" s="18">
        <f>IF($D20=0,"DNP",SUMIFS(TEAMS_GbG[TM DR_NP2],TEAMS_GbG[[TM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CS20" s="18">
        <f>IF($D20=0,"DNP",SUMIFS(TEAMS_GbG[DR_3C],TEAMS_GbG[[TM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1.3333333333333333</v>
      </c>
      <c r="CT20" s="18">
        <f>IF($D20=0,"DNP",SUMIFS(TEAMS_GbG[TM DR_3C],TEAMS_GbG[[TM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CU20" s="18">
        <f>IF($D20=0,"DNP",SUMIFS(TEAMS_GbG[DR_3L],TEAMS_GbG[[TM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8.8888888888888893</v>
      </c>
      <c r="CV20" s="18">
        <f>IF($D20=0,"DNP",SUMIFS(TEAMS_GbG[TM DR_3L],TEAMS_GbG[[TM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</v>
      </c>
      <c r="CW20" s="18">
        <f>IF($D20=0,"DNP",SUMIFS(TEAMS_GbG[DR_FT],TEAMS_GbG[[TM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1.3333333333333333</v>
      </c>
      <c r="CX20" s="18">
        <f>IF($D20=0,"DNP",SUMIFS(TEAMS_GbG[TM DR_FT],TEAMS_GbG[[TM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CY20" s="18">
        <f>IF($D20=0,"DNP",SUMIFS(TEAMS_GbG[FTM_T],TEAMS_GbG[[TM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CZ20" s="18">
        <f>IF($D20=0,"DNP",SUMIFS(TEAMS_GbG[FTA_T],TEAMS_GbG[[TM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DA20" s="18">
        <f>IF($D20=0,"DNP",SUMIFS(TEAMS_GbG[FTM_1],TEAMS_GbG[[TM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1.5555555555555556</v>
      </c>
      <c r="DB20" s="18">
        <f>IF($D20=0,"DNP",SUMIFS(TEAMS_GbG[FTA_1],TEAMS_GbG[[TM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2.1111111111111112</v>
      </c>
      <c r="DC20" s="18">
        <f>IF($D20=0,"DNP",SUMIFS(TEAMS_GbG[FTM_2],TEAMS_GbG[[TM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14.444444444444445</v>
      </c>
      <c r="DD20" s="18">
        <f>IF($D20=0,"DNP",SUMIFS(TEAMS_GbG[FTA_2],TEAMS_GbG[[TM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19.333333333333332</v>
      </c>
      <c r="DE20" s="18">
        <f>IF($D20=0,"DNP",SUMIFS(TEAMS_GbG[FT 0/2],TEAMS_GbG[[TM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0.77777777777777779</v>
      </c>
      <c r="DF20" s="18">
        <f>IF($D20=0,"DNP",SUMIFS(TEAMS_GbG[FTM_3],TEAMS_GbG[[TM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DG20" s="18">
        <f>IF($D20=0,"DNP",SUMIFS(TEAMS_GbG[FTA_3],TEAMS_GbG[[TM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0.66666666666666663</v>
      </c>
      <c r="DH20" s="18">
        <f>IF($D20=0,"DNP",SUMIFS(TEAMS_GbG[FT 0/3],TEAMS_GbG[[TM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DI20" s="18">
        <f>IF($D20=0,"DNP",SUMIFS(TEAMS_GbG[RIM_M],TEAMS_GbG[[TM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10.222222222222221</v>
      </c>
      <c r="DJ20" s="18">
        <f>IF($D20=0,"DNP",SUMIFS(TEAMS_GbG[RIM_A],TEAMS_GbG[[TM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13</v>
      </c>
      <c r="DK20" s="18">
        <f>IF($D20=0,"DNP",SUMIFS(TEAMS_GbG[PAINT_M],TEAMS_GbG[[TM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6.666666666666667</v>
      </c>
      <c r="DL20" s="18">
        <f>IF($D20=0,"DNP",SUMIFS(TEAMS_GbG[PAINT_A],TEAMS_GbG[[TM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15.555555555555555</v>
      </c>
      <c r="DM20" s="18">
        <f>IF($D20=0,"DNP",SUMIFS(TEAMS_GbG[MID_M],TEAMS_GbG[[TM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2.1111111111111112</v>
      </c>
      <c r="DN20" s="18">
        <f>IF($D20=0,"DNP",SUMIFS(TEAMS_GbG[MID_A],TEAMS_GbG[[TM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5.333333333333333</v>
      </c>
      <c r="DO20" s="18">
        <f>IF($D20=0,"DNP",SUMIFS(TEAMS_GbG[3C_M],TEAMS_GbG[[TM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1.8888888888888888</v>
      </c>
      <c r="DP20" s="18">
        <f>IF($D20=0,"DNP",SUMIFS(TEAMS_GbG[3C_A],TEAMS_GbG[[TM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3.4444444444444446</v>
      </c>
      <c r="DQ20" s="18">
        <f>IF($D20=0,"DNP",SUMIFS(TEAMS_GbG[3L_M],TEAMS_GbG[[TM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</v>
      </c>
      <c r="DR20" s="18">
        <f>IF($D20=0,"DNP",SUMIFS(TEAMS_GbG[3L_A],TEAMS_GbG[[TM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20.777777777777779</v>
      </c>
      <c r="DS20" s="18">
        <f>IF($D20=0,"DNP",SUMIFS(TEAMS_GbG[3H_M],TEAMS_GbG[[TM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DT20" s="18">
        <f>IF($D20=0,"DNP",SUMIFS(TEAMS_GbG[3H_A],TEAMS_GbG[[TM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0.22222222222222221</v>
      </c>
      <c r="DU20" s="18">
        <f>IF($D20=0,"DNP",SUMIFS(TEAMS_GbG[OPP PTS],TEAMS_GbG[[TM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80.111111111111114</v>
      </c>
      <c r="DV20" s="18">
        <f>IF($D20=0,"DNP",SUMIFS(TEAMS_GbG[OPP 2PTM],TEAMS_GbG[[TM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21</v>
      </c>
      <c r="DW20" s="18">
        <f>IF($D20=0,"DNP",SUMIFS(TEAMS_GbG[OPP 2PTA],TEAMS_GbG[[TM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39</v>
      </c>
      <c r="DX20" s="16">
        <f t="shared" si="43"/>
        <v>0.53846153846153844</v>
      </c>
      <c r="DY20" s="18">
        <f>IF($D20=0,"DNP",SUMIFS(TEAMS_GbG[OPP 3PTM],TEAMS_GbG[[TM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9.4444444444444446</v>
      </c>
      <c r="DZ20" s="18">
        <f>IF($D20=0,"DNP",SUMIFS(TEAMS_GbG[OPP 3PTA],TEAMS_GbG[[TM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26.333333333333332</v>
      </c>
      <c r="EA20" s="16">
        <f t="shared" si="44"/>
        <v>0.35864978902953587</v>
      </c>
      <c r="EB20" s="18">
        <f>IF($D20=0,"DNP",SUMIFS(TEAMS_GbG[OPP FGM],TEAMS_GbG[[TM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30.444444444444443</v>
      </c>
      <c r="EC20" s="18">
        <f>IF($D20=0,"DNP",SUMIFS(TEAMS_GbG[OPP FGA],TEAMS_GbG[[TM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65.333333333333329</v>
      </c>
      <c r="ED20" s="16">
        <f t="shared" si="45"/>
        <v>0.46598639455782315</v>
      </c>
      <c r="EE20" s="18">
        <f>IF($D20=0,"DNP",SUMIFS(TEAMS_GbG[OPP FTM],TEAMS_GbG[[TM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9.7777777777777786</v>
      </c>
      <c r="EF20" s="18">
        <f>IF($D20=0,"DNP",SUMIFS(TEAMS_GbG[OPP FTA],TEAMS_GbG[[TM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13</v>
      </c>
      <c r="EG20" s="16">
        <f t="shared" si="46"/>
        <v>0.75213675213675224</v>
      </c>
      <c r="EH20" s="18">
        <f>IF($D20=0,"DNP",SUMIFS(TEAMS_GbG[OPP OR],TEAMS_GbG[[TM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11.666666666666666</v>
      </c>
      <c r="EI20" s="18">
        <f>IF($D20=0,"DNP",SUMIFS(TEAMS_GbG[OPP DR],TEAMS_GbG[[TM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23.333333333333332</v>
      </c>
      <c r="EJ20" s="18">
        <f>IF($D20=0,"DNP",SUMIFS(TEAMS_GbG[OPP TR],TEAMS_GbG[[TM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35</v>
      </c>
      <c r="EK20" s="18">
        <f>IF($D20=0,"DNP",SUMIFS(TEAMS_GbG[OPP AST],TEAMS_GbG[[TM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16.666666666666668</v>
      </c>
      <c r="EL20" s="18">
        <f>IF($D20=0,"DNP",SUMIFS(TEAMS_GbG[OPP PF],TEAMS_GbG[[TM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23</v>
      </c>
      <c r="EM20" s="18">
        <f>IF($D20=0,"DNP",SUMIFS(TEAMS_GbG[OPP DF],TEAMS_GbG[[TM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17.444444444444443</v>
      </c>
      <c r="EN20" s="18">
        <f>IF($D20=0,"DNP",SUMIFS(TEAMS_GbG[OPP ST],TEAMS_GbG[[TM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7.7777777777777777</v>
      </c>
      <c r="EO20" s="18">
        <f>IF($D20=0,"DNP",SUMIFS(TEAMS_GbG[OPP TO],TEAMS_GbG[[TM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14.444444444444445</v>
      </c>
      <c r="EP20" s="18">
        <f>IF($D20=0,"DNP",SUMIFS(TEAMS_GbG[OPP BLK],TEAMS_GbG[[TM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2.5555555555555554</v>
      </c>
      <c r="EQ20" s="18">
        <f>IF($D20=0,"DNP",SUMIFS(TEAMS_GbG[OPP BLKA],TEAMS_GbG[[TM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2.7777777777777777</v>
      </c>
      <c r="ER20" s="18">
        <f>IF($D20=0,"DNP",SUMIFS(TEAMS_GbG[OPP VAL],TEAMS_GbG[[TM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81.222222222222229</v>
      </c>
      <c r="ES20" s="18">
        <f>IF($D20=0,"DNP",SUMIFS(TEAMS_GbG[OPP + / -],TEAMS_GbG[[TM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-1.5555555555555556</v>
      </c>
      <c r="ET20" s="18">
        <f>IF($D20=0,"DNP",SUMIFS(TEAMS_GbG[OPP POSS],TEAMS_GbG[[TM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73.333333333333329</v>
      </c>
      <c r="EU20" s="18">
        <f>IF($D20=0,"DNP",SUMIFS(TEAMS_GbG[OPP SHOOTING CHANCES],TEAMS_GbG[[TM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85.111111111111114</v>
      </c>
      <c r="EV20" s="18">
        <f>IF($D20=0,"DNP",SUMIFS(TEAMS_GbG[OPP KILLS],TEAMS_GbG[[TM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3.7777777777777777</v>
      </c>
      <c r="EW20" s="18">
        <f>IF($D20=0,"DNP",SUMIFS(TEAMS_GbG[OPP ASTED_2FG],TEAMS_GbG[[TM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8.7777777777777786</v>
      </c>
      <c r="EX20" s="18">
        <f>IF($D20=0,"DNP",SUMIFS(TEAMS_GbG[OPP ASTED_3FG],TEAMS_GbG[[TM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6.666666666666667</v>
      </c>
      <c r="EY20" s="18">
        <f>IF($D20=0,"DNP",SUMIFS(TEAMS_GbG[OPP ASTED_FT],TEAMS_GbG[[TM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1.2222222222222223</v>
      </c>
      <c r="EZ20" s="18">
        <f>IF($D20=0,"DNP",SUMIFS(TEAMS_GbG[OPP ASTED_FT PTS],TEAMS_GbG[[TM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2.1111111111111112</v>
      </c>
      <c r="FA20" s="18">
        <f>IF($D20=0,"DNP",SUMIFS(TEAMS_GbG[OPP OR_RIM],TEAMS_GbG[[TM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1.6666666666666667</v>
      </c>
      <c r="FB20" s="18">
        <f>IF($D20=0,"DNP",SUMIFS(TEAMS_GbG[OPP TM OR_RIM],TEAMS_GbG[[TM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FC20" s="18">
        <f>IF($D20=0,"DNP",SUMIFS(TEAMS_GbG[OPP OR_PAINT],TEAMS_GbG[[TM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2.7777777777777777</v>
      </c>
      <c r="FD20" s="18">
        <f>IF($D20=0,"DNP",SUMIFS(TEAMS_GbG[OPP TM OR_PAINT],TEAMS_GbG[[TM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FE20" s="18">
        <f>IF($D20=0,"DNP",SUMIFS(TEAMS_GbG[OPP OR_NP2],TEAMS_GbG[[TM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1.1111111111111112</v>
      </c>
      <c r="FF20" s="18">
        <f>IF($D20=0,"DNP",SUMIFS(TEAMS_GbG[OPP TM OR_NP2],TEAMS_GbG[[TM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0.1111111111111111</v>
      </c>
      <c r="FG20" s="18">
        <f>IF($D20=0,"DNP",SUMIFS(TEAMS_GbG[OPP OR_3C],TEAMS_GbG[[TM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1.1111111111111112</v>
      </c>
      <c r="FH20" s="18">
        <f>IF($D20=0,"DNP",SUMIFS(TEAMS_GbG[OPP TM OR_3C],TEAMS_GbG[[TM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0.22222222222222221</v>
      </c>
      <c r="FI20" s="18">
        <f>IF($D20=0,"DNP",SUMIFS(TEAMS_GbG[OPP OR_3L],TEAMS_GbG[[TM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4.4444444444444446</v>
      </c>
      <c r="FJ20" s="18">
        <f>IF($D20=0,"DNP",SUMIFS(TEAMS_GbG[OPP TM OR_3L],TEAMS_GbG[[TM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FK20" s="18">
        <f>IF($D20=0,"DNP",SUMIFS(TEAMS_GbG[OPP OR_FT],TEAMS_GbG[[TM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FL20" s="18">
        <f>IF($D20=0,"DNP",SUMIFS(TEAMS_GbG[OPP TM OR_FT],TEAMS_GbG[[TM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FM20" s="18">
        <f>IF($D20=0,"DNP",SUMIFS(TEAMS_GbG[OPP DR_RIM],TEAMS_GbG[[TM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1.3333333333333333</v>
      </c>
      <c r="FN20" s="18">
        <f>IF($D20=0,"DNP",SUMIFS(TEAMS_GbG[OPP TM DR_RIM],TEAMS_GbG[[TM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FO20" s="18">
        <f>IF($D20=0,"DNP",SUMIFS(TEAMS_GbG[OPP DR_PAINT],TEAMS_GbG[[TM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5.7777777777777777</v>
      </c>
      <c r="FP20" s="18">
        <f>IF($D20=0,"DNP",SUMIFS(TEAMS_GbG[OPP TM DR_PAINT],TEAMS_GbG[[TM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FQ20" s="18">
        <f>IF($D20=0,"DNP",SUMIFS(TEAMS_GbG[OPP DR_NP2],TEAMS_GbG[[TM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2.5555555555555554</v>
      </c>
      <c r="FR20" s="18">
        <f>IF($D20=0,"DNP",SUMIFS(TEAMS_GbG[OPP TM DR_NP2],TEAMS_GbG[[TM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0.1111111111111111</v>
      </c>
      <c r="FS20" s="18">
        <f>IF($D20=0,"DNP",SUMIFS(TEAMS_GbG[OPP DR_3C],TEAMS_GbG[[TM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1.1111111111111112</v>
      </c>
      <c r="FT20" s="18">
        <f>IF($D20=0,"DNP",SUMIFS(TEAMS_GbG[OPP TM DR_3C],TEAMS_GbG[[TM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FU20" s="18">
        <f>IF($D20=0,"DNP",SUMIFS(TEAMS_GbG[OPP DR_3L],TEAMS_GbG[[TM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9.7777777777777786</v>
      </c>
      <c r="FV20" s="18">
        <f>IF($D20=0,"DNP",SUMIFS(TEAMS_GbG[OPP TM DR_3L],TEAMS_GbG[[TM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</v>
      </c>
      <c r="FW20" s="18">
        <f>IF($D20=0,"DNP",SUMIFS(TEAMS_GbG[OPP DR_FT],TEAMS_GbG[[TM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2.6666666666666665</v>
      </c>
      <c r="FX20" s="18">
        <f>IF($D20=0,"DNP",SUMIFS(TEAMS_GbG[OPP TM DR_FT],TEAMS_GbG[[TM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0.22222222222222221</v>
      </c>
      <c r="FY20" s="18">
        <f>IF($D20=0,"DNP",SUMIFS(TEAMS_GbG[OPP FTM_T],TEAMS_GbG[[TM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FZ20" s="18">
        <f>IF($D20=0,"DNP",SUMIFS(TEAMS_GbG[OPP FTA_T],TEAMS_GbG[[TM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GA20" s="18">
        <f>IF($D20=0,"DNP",SUMIFS(TEAMS_GbG[OPP FTM_1],TEAMS_GbG[[TM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1.1111111111111112</v>
      </c>
      <c r="GB20" s="18">
        <f>IF($D20=0,"DNP",SUMIFS(TEAMS_GbG[OPP FTA_1],TEAMS_GbG[[TM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1.4444444444444444</v>
      </c>
      <c r="GC20" s="18">
        <f>IF($D20=0,"DNP",SUMIFS(TEAMS_GbG[OPP FTM_2],TEAMS_GbG[[TM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7.666666666666667</v>
      </c>
      <c r="GD20" s="18">
        <f>IF($D20=0,"DNP",SUMIFS(TEAMS_GbG[OPP FTA_2],TEAMS_GbG[[TM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10</v>
      </c>
      <c r="GE20" s="18">
        <f>IF($D20=0,"DNP",SUMIFS(TEAMS_GbG[OPP FT 0/2],TEAMS_GbG[[TM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GF20" s="18">
        <f>IF($D20=0,"DNP",SUMIFS(TEAMS_GbG[OPP FTM_3],TEAMS_GbG[[TM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GG20" s="18">
        <f>IF($D20=0,"DNP",SUMIFS(TEAMS_GbG[OPP FTA_3],TEAMS_GbG[[TM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</v>
      </c>
      <c r="GH20" s="18">
        <f>IF($D20=0,"DNP",SUMIFS(TEAMS_GbG[OPP FT 0/3],TEAMS_GbG[[TM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GI20" s="18">
        <f>IF($D20=0,"DNP",SUMIFS(TEAMS_GbG[OPP RIM_M],TEAMS_GbG[[TM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12.222222222222221</v>
      </c>
      <c r="GJ20" s="18">
        <f>IF($D20=0,"DNP",SUMIFS(TEAMS_GbG[OPP RIM_A],TEAMS_GbG[[TM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16.555555555555557</v>
      </c>
      <c r="GK20" s="18">
        <f>IF($D20=0,"DNP",SUMIFS(TEAMS_GbG[OPP PAINT_M],TEAMS_GbG[[TM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</v>
      </c>
      <c r="GL20" s="18">
        <f>IF($D20=0,"DNP",SUMIFS(TEAMS_GbG[OPP PAINT_A],TEAMS_GbG[[TM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16.222222222222221</v>
      </c>
      <c r="GM20" s="18">
        <f>IF($D20=0,"DNP",SUMIFS(TEAMS_GbG[OPP MID_M],TEAMS_GbG[[TM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1.7777777777777777</v>
      </c>
      <c r="GN20" s="18">
        <f>IF($D20=0,"DNP",SUMIFS(TEAMS_GbG[OPP MID_A],TEAMS_GbG[[TM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6.2222222222222223</v>
      </c>
      <c r="GO20" s="18">
        <f>IF($D20=0,"DNP",SUMIFS(TEAMS_GbG[OPP 3C_M],TEAMS_GbG[[TM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1.4444444444444444</v>
      </c>
      <c r="GP20" s="18">
        <f>IF($D20=0,"DNP",SUMIFS(TEAMS_GbG[OPP 3C_A],TEAMS_GbG[[TM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3.8888888888888888</v>
      </c>
      <c r="GQ20" s="18">
        <f>IF($D20=0,"DNP",SUMIFS(TEAMS_GbG[OPP 3L_M],TEAMS_GbG[[TM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7.8888888888888893</v>
      </c>
      <c r="GR20" s="18">
        <f>IF($D20=0,"DNP",SUMIFS(TEAMS_GbG[OPP 3L_A],TEAMS_GbG[[TM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21.777777777777779</v>
      </c>
      <c r="GS20" s="18">
        <f>IF($D20=0,"DNP",SUMIFS(TEAMS_GbG[OPP 3H_M],TEAMS_GbG[[TM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GT20" s="18">
        <f>IF($D20=0,"DNP",SUMIFS(TEAMS_GbG[OPP 3H_A],TEAMS_GbG[[TM NAME]:[TM NAME]],$C20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GU20" s="16">
        <f ca="1">IF(TEAMS_STATS[[#This Row],[TM NAME]]="","",INDEX(SoS!$C$113:$C$144,MATCH(TEAMS_STATS[[#This Row],[TM NAME]],SoS!$B$113:$B$144,0)))</f>
        <v>0.51036155202821865</v>
      </c>
    </row>
    <row r="21" spans="2:203" ht="15" customHeight="1" x14ac:dyDescent="0.25">
      <c r="B21" s="12">
        <f>_xlfn.AGGREGATE(3,5,$C$7:C20)</f>
        <v>14</v>
      </c>
      <c r="C21" s="14" t="str">
        <f>BASIS_INFO!F16</f>
        <v>Partizan Mozzart Bet Belgrade</v>
      </c>
      <c r="D21" s="20">
        <f>COUNTIFS(TEAMS_GbG[[TM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1" s="20">
        <f>COUNTIFS(TEAMS_GbG[[TM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4</v>
      </c>
      <c r="F21" s="20">
        <f>COUNTIFS(TEAMS_GbG[[TM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5</v>
      </c>
      <c r="G21" s="18">
        <f>IF($D21=0,"DNP",SUMIFS(TEAMS_GbG[MIN],TEAMS_GbG[[TM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202.77777777777777</v>
      </c>
      <c r="H21" s="18">
        <f>IF($D21=0,"DNP",SUMIFS(TEAMS_GbG[PTS],TEAMS_GbG[[TM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86.222222222222229</v>
      </c>
      <c r="I21" s="18">
        <f>IF($D21=0,"DNP",SUMIFS(TEAMS_GbG[2PTM],TEAMS_GbG[[TM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23.222222222222221</v>
      </c>
      <c r="J21" s="18">
        <f>IF($D21=0,"DNP",SUMIFS(TEAMS_GbG[2PTA],TEAMS_GbG[[TM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37.555555555555557</v>
      </c>
      <c r="K21" s="16">
        <f t="shared" si="38"/>
        <v>0.61834319526627213</v>
      </c>
      <c r="L21" s="18">
        <f>IF($D21=0,"DNP",SUMIFS(TEAMS_GbG[3PTM],TEAMS_GbG[[TM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7.5555555555555554</v>
      </c>
      <c r="M21" s="18">
        <f>IF($D21=0,"DNP",SUMIFS(TEAMS_GbG[3PTA],TEAMS_GbG[[TM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21.555555555555557</v>
      </c>
      <c r="N21" s="16">
        <f t="shared" si="39"/>
        <v>0.35051546391752575</v>
      </c>
      <c r="O21" s="18">
        <f>IF($D21=0,"DNP",SUMIFS(TEAMS_GbG[FGM],TEAMS_GbG[[TM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30.777777777777779</v>
      </c>
      <c r="P21" s="18">
        <f>IF($D21=0,"DNP",SUMIFS(TEAMS_GbG[FGA],TEAMS_GbG[[TM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59.111111111111114</v>
      </c>
      <c r="Q21" s="16">
        <f t="shared" si="40"/>
        <v>0.52067669172932329</v>
      </c>
      <c r="R21" s="18">
        <f>IF($D21=0,"DNP",SUMIFS(TEAMS_GbG[FTM],TEAMS_GbG[[TM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17.111111111111111</v>
      </c>
      <c r="S21" s="18">
        <f>IF($D21=0,"DNP",SUMIFS(TEAMS_GbG[FTA],TEAMS_GbG[[TM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20.333333333333332</v>
      </c>
      <c r="T21" s="16">
        <f t="shared" si="41"/>
        <v>0.84153005464480879</v>
      </c>
      <c r="U21" s="18">
        <f>IF($D21=0,"DNP",SUMIFS(TEAMS_GbG[OR],TEAMS_GbG[[TM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7.333333333333333</v>
      </c>
      <c r="V21" s="18">
        <f>IF($D21=0,"DNP",SUMIFS(TEAMS_GbG[DR],TEAMS_GbG[[TM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22.444444444444443</v>
      </c>
      <c r="W21" s="18">
        <f>IF($D21=0,"DNP",SUMIFS(TEAMS_GbG[TR],TEAMS_GbG[[TM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29.777777777777779</v>
      </c>
      <c r="X21" s="18">
        <f>IF($D21=0,"DNP",SUMIFS(TEAMS_GbG[AST],TEAMS_GbG[[TM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16.888888888888889</v>
      </c>
      <c r="Y21" s="18">
        <f>IF($D21=0,"DNP",SUMIFS(TEAMS_GbG[TO],TEAMS_GbG[[TM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11.777777777777779</v>
      </c>
      <c r="Z21" s="18">
        <f>IF($D21=0,"DNP",SUMIFS(TEAMS_GbG[ST],TEAMS_GbG[[TM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6.5555555555555554</v>
      </c>
      <c r="AA21" s="18">
        <f>IF($D21=0,"DNP",SUMIFS(TEAMS_GbG[BLK],TEAMS_GbG[[TM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3.3333333333333335</v>
      </c>
      <c r="AB21" s="18">
        <f>IF($D21=0,"DNP",SUMIFS(TEAMS_GbG[BLKA],TEAMS_GbG[[TM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1.6666666666666667</v>
      </c>
      <c r="AC21" s="18">
        <f>IF($D21=0,"DNP",SUMIFS(TEAMS_GbG[PF],TEAMS_GbG[[TM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21.333333333333332</v>
      </c>
      <c r="AD21" s="18">
        <f>IF($D21=0,"DNP",SUMIFS(TEAMS_GbG[DF],TEAMS_GbG[[TM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20.333333333333332</v>
      </c>
      <c r="AE21" s="18">
        <f>IF($D21=0,"DNP",SUMIFS(TEAMS_GbG[VAL],TEAMS_GbG[[TM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96.777777777777771</v>
      </c>
      <c r="AF21" s="18">
        <f>IF($D21=0,"DNP",SUMIFS(TEAMS_GbG[+ / -],TEAMS_GbG[[TM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0.66666666666666663</v>
      </c>
      <c r="AG21" s="26">
        <f t="shared" si="0"/>
        <v>70.575342465753437</v>
      </c>
      <c r="AH21" s="18">
        <f>IF($D21=0,"DNP",SUMIFS(TEAMS_GbG[POSS],TEAMS_GbG[[TM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71.555555555555557</v>
      </c>
      <c r="AI21" s="18">
        <f>IF($D21=0,"DNP",SUMIFS(TEAMS_GbG[SHOOTING CHANCES],TEAMS_GbG[[TM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79.222222222222229</v>
      </c>
      <c r="AJ21" s="19">
        <f t="shared" si="1"/>
        <v>1.0883590462833099</v>
      </c>
      <c r="AK21" s="19">
        <f t="shared" si="2"/>
        <v>0.99483204134366932</v>
      </c>
      <c r="AL21" s="18">
        <f t="shared" si="3"/>
        <v>120.49689440993789</v>
      </c>
      <c r="AM21" s="18">
        <f t="shared" si="4"/>
        <v>119.1950464396285</v>
      </c>
      <c r="AN21" s="18">
        <f t="shared" si="42"/>
        <v>1.3018479703093959</v>
      </c>
      <c r="AO21" s="27">
        <f t="shared" si="5"/>
        <v>0.58458646616541354</v>
      </c>
      <c r="AP21" s="28">
        <f t="shared" si="6"/>
        <v>0.6392092257001647</v>
      </c>
      <c r="AQ21" s="34">
        <f t="shared" si="7"/>
        <v>0.13183730715287517</v>
      </c>
      <c r="AR21" s="38">
        <f t="shared" si="8"/>
        <v>1.7446808510638296</v>
      </c>
      <c r="AS21" s="27">
        <f t="shared" si="9"/>
        <v>0.23141654978962128</v>
      </c>
      <c r="AT21" s="38">
        <f t="shared" si="10"/>
        <v>1.0909090909090911</v>
      </c>
      <c r="AU21" s="27">
        <f t="shared" si="11"/>
        <v>0.11079943899018233</v>
      </c>
      <c r="AV21" s="38">
        <f t="shared" si="12"/>
        <v>0.93670886075949344</v>
      </c>
      <c r="AW21" s="27">
        <f t="shared" si="13"/>
        <v>4.067321178120617E-2</v>
      </c>
      <c r="AX21" s="38">
        <f t="shared" si="14"/>
        <v>1.3448275862068964</v>
      </c>
      <c r="AY21" s="27">
        <f t="shared" si="15"/>
        <v>0.22580645161290322</v>
      </c>
      <c r="AZ21" s="38">
        <f t="shared" si="16"/>
        <v>1.0248447204968942</v>
      </c>
      <c r="BA21" s="28">
        <f t="shared" si="17"/>
        <v>0.10518934081346423</v>
      </c>
      <c r="BB21" s="34">
        <f t="shared" si="18"/>
        <v>0.14929577464788735</v>
      </c>
      <c r="BC21" s="27">
        <f t="shared" si="19"/>
        <v>0.43553008595988546</v>
      </c>
      <c r="BD21" s="27">
        <f t="shared" si="20"/>
        <v>0.38755980861244022</v>
      </c>
      <c r="BE21" s="27">
        <f t="shared" si="21"/>
        <v>0.77941176470588247</v>
      </c>
      <c r="BF21" s="27">
        <f t="shared" si="22"/>
        <v>0.25</v>
      </c>
      <c r="BG21" s="27">
        <f t="shared" si="23"/>
        <v>0.21408450704225354</v>
      </c>
      <c r="BH21" s="35">
        <f t="shared" si="24"/>
        <v>1.4339622641509433</v>
      </c>
      <c r="BI21" s="49">
        <f t="shared" si="25"/>
        <v>0.25384615384615383</v>
      </c>
      <c r="BJ21" s="45">
        <f t="shared" si="26"/>
        <v>0.29104477611940294</v>
      </c>
      <c r="BK21" s="45">
        <f t="shared" si="27"/>
        <v>0.27777777777777779</v>
      </c>
      <c r="BL21" s="45">
        <f t="shared" si="28"/>
        <v>0.26666666666666666</v>
      </c>
      <c r="BM21" s="45">
        <f t="shared" si="29"/>
        <v>0.6215384615384616</v>
      </c>
      <c r="BN21" s="45">
        <f t="shared" si="30"/>
        <v>0.59393939393939388</v>
      </c>
      <c r="BO21" s="45">
        <f t="shared" si="31"/>
        <v>0.61928934010152292</v>
      </c>
      <c r="BP21" s="45">
        <f t="shared" si="32"/>
        <v>0.75</v>
      </c>
      <c r="BQ21" s="46">
        <f t="shared" si="33"/>
        <v>0.45811965811965816</v>
      </c>
      <c r="BR21" s="49">
        <f t="shared" si="34"/>
        <v>9.1331269349845201E-2</v>
      </c>
      <c r="BS21" s="45">
        <f t="shared" si="35"/>
        <v>5.163511187607573E-2</v>
      </c>
      <c r="BT21" s="39">
        <f>IF($D21=0,"DNP",SUMIFS(TEAMS_GbG[KILLS],TEAMS_GbG[[TM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4.1111111111111107</v>
      </c>
      <c r="BU21" s="34">
        <f t="shared" si="36"/>
        <v>0.53645833333333337</v>
      </c>
      <c r="BV21" s="28">
        <f t="shared" si="37"/>
        <v>0.54098360655737709</v>
      </c>
      <c r="BW21" s="18">
        <f>IF($D21=0,"DNP",SUMIFS(TEAMS_GbG[ASTED_2FG],TEAMS_GbG[[TM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</v>
      </c>
      <c r="BX21" s="18">
        <f>IF($D21=0,"DNP",SUMIFS(TEAMS_GbG[ASTED_3FG],TEAMS_GbG[[TM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5.8888888888888893</v>
      </c>
      <c r="BY21" s="18">
        <f>IF($D21=0,"DNP",SUMIFS(TEAMS_GbG[ASTED_FT],TEAMS_GbG[[TM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BZ21" s="18">
        <f>IF($D21=0,"DNP",SUMIFS(TEAMS_GbG[ASTED_FT PTS],TEAMS_GbG[[TM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4.4444444444444446</v>
      </c>
      <c r="CA21" s="18">
        <f>IF($D21=0,"DNP",SUMIFS(TEAMS_GbG[OR_RIM],TEAMS_GbG[[TM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0.55555555555555558</v>
      </c>
      <c r="CB21" s="18">
        <f>IF($D21=0,"DNP",SUMIFS(TEAMS_GbG[TM OR_RIM],TEAMS_GbG[[TM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C21" s="18">
        <f>IF($D21=0,"DNP",SUMIFS(TEAMS_GbG[OR_PAINT],TEAMS_GbG[[TM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2.5555555555555554</v>
      </c>
      <c r="CD21" s="18">
        <f>IF($D21=0,"DNP",SUMIFS(TEAMS_GbG[TM OR_PAINT],TEAMS_GbG[[TM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CE21" s="18">
        <f>IF($D21=0,"DNP",SUMIFS(TEAMS_GbG[OR_NP2],TEAMS_GbG[[TM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0.66666666666666663</v>
      </c>
      <c r="CF21" s="18">
        <f>IF($D21=0,"DNP",SUMIFS(TEAMS_GbG[TM OR_NP2],TEAMS_GbG[[TM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G21" s="18">
        <f>IF($D21=0,"DNP",SUMIFS(TEAMS_GbG[OR_3C],TEAMS_GbG[[TM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0.44444444444444442</v>
      </c>
      <c r="CH21" s="18">
        <f>IF($D21=0,"DNP",SUMIFS(TEAMS_GbG[TM OR_3C],TEAMS_GbG[[TM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I21" s="18">
        <f>IF($D21=0,"DNP",SUMIFS(TEAMS_GbG[OR_3L],TEAMS_GbG[[TM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2.8888888888888888</v>
      </c>
      <c r="CJ21" s="18">
        <f>IF($D21=0,"DNP",SUMIFS(TEAMS_GbG[TM OR_3L],TEAMS_GbG[[TM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0.44444444444444442</v>
      </c>
      <c r="CK21" s="18">
        <f>IF($D21=0,"DNP",SUMIFS(TEAMS_GbG[OR_FT],TEAMS_GbG[[TM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CL21" s="18">
        <f>IF($D21=0,"DNP",SUMIFS(TEAMS_GbG[TM OR_FT],TEAMS_GbG[[TM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CM21" s="18">
        <f>IF($D21=0,"DNP",SUMIFS(TEAMS_GbG[DR_RIM],TEAMS_GbG[[TM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</v>
      </c>
      <c r="CN21" s="18">
        <f>IF($D21=0,"DNP",SUMIFS(TEAMS_GbG[TM DR_RIM],TEAMS_GbG[[TM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O21" s="18">
        <f>IF($D21=0,"DNP",SUMIFS(TEAMS_GbG[DR_PAINT],TEAMS_GbG[[TM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6.5555555555555554</v>
      </c>
      <c r="CP21" s="18">
        <f>IF($D21=0,"DNP",SUMIFS(TEAMS_GbG[TM DR_PAINT],TEAMS_GbG[[TM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0.66666666666666663</v>
      </c>
      <c r="CQ21" s="18">
        <f>IF($D21=0,"DNP",SUMIFS(TEAMS_GbG[DR_NP2],TEAMS_GbG[[TM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2.3333333333333335</v>
      </c>
      <c r="CR21" s="18">
        <f>IF($D21=0,"DNP",SUMIFS(TEAMS_GbG[TM DR_NP2],TEAMS_GbG[[TM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CS21" s="18">
        <f>IF($D21=0,"DNP",SUMIFS(TEAMS_GbG[DR_3C],TEAMS_GbG[[TM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CT21" s="18">
        <f>IF($D21=0,"DNP",SUMIFS(TEAMS_GbG[TM DR_3C],TEAMS_GbG[[TM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CU21" s="18">
        <f>IF($D21=0,"DNP",SUMIFS(TEAMS_GbG[DR_3L],TEAMS_GbG[[TM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9.3333333333333339</v>
      </c>
      <c r="CV21" s="18">
        <f>IF($D21=0,"DNP",SUMIFS(TEAMS_GbG[TM DR_3L],TEAMS_GbG[[TM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CW21" s="18">
        <f>IF($D21=0,"DNP",SUMIFS(TEAMS_GbG[DR_FT],TEAMS_GbG[[TM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1.2222222222222223</v>
      </c>
      <c r="CX21" s="18">
        <f>IF($D21=0,"DNP",SUMIFS(TEAMS_GbG[TM DR_FT],TEAMS_GbG[[TM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Y21" s="18">
        <f>IF($D21=0,"DNP",SUMIFS(TEAMS_GbG[FTM_T],TEAMS_GbG[[TM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CZ21" s="18">
        <f>IF($D21=0,"DNP",SUMIFS(TEAMS_GbG[FTA_T],TEAMS_GbG[[TM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DA21" s="18">
        <f>IF($D21=0,"DNP",SUMIFS(TEAMS_GbG[FTM_1],TEAMS_GbG[[TM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2.1111111111111112</v>
      </c>
      <c r="DB21" s="18">
        <f>IF($D21=0,"DNP",SUMIFS(TEAMS_GbG[FTA_1],TEAMS_GbG[[TM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2.6666666666666665</v>
      </c>
      <c r="DC21" s="18">
        <f>IF($D21=0,"DNP",SUMIFS(TEAMS_GbG[FTM_2],TEAMS_GbG[[TM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12.777777777777779</v>
      </c>
      <c r="DD21" s="18">
        <f>IF($D21=0,"DNP",SUMIFS(TEAMS_GbG[FTA_2],TEAMS_GbG[[TM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15.333333333333334</v>
      </c>
      <c r="DE21" s="18">
        <f>IF($D21=0,"DNP",SUMIFS(TEAMS_GbG[FT 0/2],TEAMS_GbG[[TM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DF21" s="18">
        <f>IF($D21=0,"DNP",SUMIFS(TEAMS_GbG[FTM_3],TEAMS_GbG[[TM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1.8888888888888888</v>
      </c>
      <c r="DG21" s="18">
        <f>IF($D21=0,"DNP",SUMIFS(TEAMS_GbG[FTA_3],TEAMS_GbG[[TM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DH21" s="18">
        <f>IF($D21=0,"DNP",SUMIFS(TEAMS_GbG[FT 0/3],TEAMS_GbG[[TM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DI21" s="18">
        <f>IF($D21=0,"DNP",SUMIFS(TEAMS_GbG[RIM_M],TEAMS_GbG[[TM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9.1111111111111107</v>
      </c>
      <c r="DJ21" s="18">
        <f>IF($D21=0,"DNP",SUMIFS(TEAMS_GbG[RIM_A],TEAMS_GbG[[TM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10.444444444444445</v>
      </c>
      <c r="DK21" s="18">
        <f>IF($D21=0,"DNP",SUMIFS(TEAMS_GbG[PAINT_M],TEAMS_GbG[[TM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10</v>
      </c>
      <c r="DL21" s="18">
        <f>IF($D21=0,"DNP",SUMIFS(TEAMS_GbG[PAINT_A],TEAMS_GbG[[TM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18.333333333333332</v>
      </c>
      <c r="DM21" s="18">
        <f>IF($D21=0,"DNP",SUMIFS(TEAMS_GbG[MID_M],TEAMS_GbG[[TM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4.1111111111111107</v>
      </c>
      <c r="DN21" s="18">
        <f>IF($D21=0,"DNP",SUMIFS(TEAMS_GbG[MID_A],TEAMS_GbG[[TM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8.7777777777777786</v>
      </c>
      <c r="DO21" s="18">
        <f>IF($D21=0,"DNP",SUMIFS(TEAMS_GbG[3C_M],TEAMS_GbG[[TM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1.4444444444444444</v>
      </c>
      <c r="DP21" s="18">
        <f>IF($D21=0,"DNP",SUMIFS(TEAMS_GbG[3C_A],TEAMS_GbG[[TM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3.2222222222222223</v>
      </c>
      <c r="DQ21" s="18">
        <f>IF($D21=0,"DNP",SUMIFS(TEAMS_GbG[3L_M],TEAMS_GbG[[TM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6.1111111111111107</v>
      </c>
      <c r="DR21" s="18">
        <f>IF($D21=0,"DNP",SUMIFS(TEAMS_GbG[3L_A],TEAMS_GbG[[TM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17.888888888888889</v>
      </c>
      <c r="DS21" s="18">
        <f>IF($D21=0,"DNP",SUMIFS(TEAMS_GbG[3H_M],TEAMS_GbG[[TM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DT21" s="18">
        <f>IF($D21=0,"DNP",SUMIFS(TEAMS_GbG[3H_A],TEAMS_GbG[[TM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0.44444444444444442</v>
      </c>
      <c r="DU21" s="18">
        <f>IF($D21=0,"DNP",SUMIFS(TEAMS_GbG[OPP PTS],TEAMS_GbG[[TM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85.555555555555557</v>
      </c>
      <c r="DV21" s="18">
        <f>IF($D21=0,"DNP",SUMIFS(TEAMS_GbG[OPP 2PTM],TEAMS_GbG[[TM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18.777777777777779</v>
      </c>
      <c r="DW21" s="18">
        <f>IF($D21=0,"DNP",SUMIFS(TEAMS_GbG[OPP 2PTA],TEAMS_GbG[[TM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35</v>
      </c>
      <c r="DX21" s="16">
        <f t="shared" si="43"/>
        <v>0.53650793650793649</v>
      </c>
      <c r="DY21" s="18">
        <f>IF($D21=0,"DNP",SUMIFS(TEAMS_GbG[OPP 3PTM],TEAMS_GbG[[TM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10</v>
      </c>
      <c r="DZ21" s="18">
        <f>IF($D21=0,"DNP",SUMIFS(TEAMS_GbG[OPP 3PTA],TEAMS_GbG[[TM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29.555555555555557</v>
      </c>
      <c r="EA21" s="16">
        <f t="shared" si="44"/>
        <v>0.33834586466165412</v>
      </c>
      <c r="EB21" s="18">
        <f>IF($D21=0,"DNP",SUMIFS(TEAMS_GbG[OPP FGM],TEAMS_GbG[[TM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28.777777777777779</v>
      </c>
      <c r="EC21" s="18">
        <f>IF($D21=0,"DNP",SUMIFS(TEAMS_GbG[OPP FGA],TEAMS_GbG[[TM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64.555555555555557</v>
      </c>
      <c r="ED21" s="16">
        <f t="shared" si="45"/>
        <v>0.44578313253012047</v>
      </c>
      <c r="EE21" s="18">
        <f>IF($D21=0,"DNP",SUMIFS(TEAMS_GbG[OPP FTM],TEAMS_GbG[[TM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18</v>
      </c>
      <c r="EF21" s="18">
        <f>IF($D21=0,"DNP",SUMIFS(TEAMS_GbG[OPP FTA],TEAMS_GbG[[TM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21.333333333333332</v>
      </c>
      <c r="EG21" s="16">
        <f t="shared" si="46"/>
        <v>0.84375</v>
      </c>
      <c r="EH21" s="18">
        <f>IF($D21=0,"DNP",SUMIFS(TEAMS_GbG[OPP OR],TEAMS_GbG[[TM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13.666666666666666</v>
      </c>
      <c r="EI21" s="18">
        <f>IF($D21=0,"DNP",SUMIFS(TEAMS_GbG[OPP DR],TEAMS_GbG[[TM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21.555555555555557</v>
      </c>
      <c r="EJ21" s="18">
        <f>IF($D21=0,"DNP",SUMIFS(TEAMS_GbG[OPP TR],TEAMS_GbG[[TM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35.222222222222221</v>
      </c>
      <c r="EK21" s="18">
        <f>IF($D21=0,"DNP",SUMIFS(TEAMS_GbG[OPP AST],TEAMS_GbG[[TM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19.333333333333332</v>
      </c>
      <c r="EL21" s="18">
        <f>IF($D21=0,"DNP",SUMIFS(TEAMS_GbG[OPP PF],TEAMS_GbG[[TM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20.666666666666668</v>
      </c>
      <c r="EM21" s="18">
        <f>IF($D21=0,"DNP",SUMIFS(TEAMS_GbG[OPP DF],TEAMS_GbG[[TM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21.222222222222221</v>
      </c>
      <c r="EN21" s="18">
        <f>IF($D21=0,"DNP",SUMIFS(TEAMS_GbG[OPP ST],TEAMS_GbG[[TM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6.666666666666667</v>
      </c>
      <c r="EO21" s="18">
        <f>IF($D21=0,"DNP",SUMIFS(TEAMS_GbG[OPP TO],TEAMS_GbG[[TM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12.111111111111111</v>
      </c>
      <c r="EP21" s="18">
        <f>IF($D21=0,"DNP",SUMIFS(TEAMS_GbG[OPP BLK],TEAMS_GbG[[TM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1.6666666666666667</v>
      </c>
      <c r="EQ21" s="18">
        <f>IF($D21=0,"DNP",SUMIFS(TEAMS_GbG[OPP BLKA],TEAMS_GbG[[TM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3.3333333333333335</v>
      </c>
      <c r="ER21" s="18">
        <f>IF($D21=0,"DNP",SUMIFS(TEAMS_GbG[OPP VAL],TEAMS_GbG[[TM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94.444444444444443</v>
      </c>
      <c r="ES21" s="18">
        <f>IF($D21=0,"DNP",SUMIFS(TEAMS_GbG[OPP + / -],TEAMS_GbG[[TM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-0.66666666666666663</v>
      </c>
      <c r="ET21" s="18">
        <f>IF($D21=0,"DNP",SUMIFS(TEAMS_GbG[OPP POSS],TEAMS_GbG[[TM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71.777777777777771</v>
      </c>
      <c r="EU21" s="18">
        <f>IF($D21=0,"DNP",SUMIFS(TEAMS_GbG[OPP SHOOTING CHANCES],TEAMS_GbG[[TM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86</v>
      </c>
      <c r="EV21" s="18">
        <f>IF($D21=0,"DNP",SUMIFS(TEAMS_GbG[OPP KILLS],TEAMS_GbG[[TM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4.1111111111111107</v>
      </c>
      <c r="EW21" s="18">
        <f>IF($D21=0,"DNP",SUMIFS(TEAMS_GbG[OPP ASTED_2FG],TEAMS_GbG[[TM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8.6666666666666661</v>
      </c>
      <c r="EX21" s="18">
        <f>IF($D21=0,"DNP",SUMIFS(TEAMS_GbG[OPP ASTED_3FG],TEAMS_GbG[[TM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7.333333333333333</v>
      </c>
      <c r="EY21" s="18">
        <f>IF($D21=0,"DNP",SUMIFS(TEAMS_GbG[OPP ASTED_FT],TEAMS_GbG[[TM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3.3333333333333335</v>
      </c>
      <c r="EZ21" s="18">
        <f>IF($D21=0,"DNP",SUMIFS(TEAMS_GbG[OPP ASTED_FT PTS],TEAMS_GbG[[TM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5.7777777777777777</v>
      </c>
      <c r="FA21" s="18">
        <f>IF($D21=0,"DNP",SUMIFS(TEAMS_GbG[OPP OR_RIM],TEAMS_GbG[[TM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0.77777777777777779</v>
      </c>
      <c r="FB21" s="18">
        <f>IF($D21=0,"DNP",SUMIFS(TEAMS_GbG[OPP TM OR_RIM],TEAMS_GbG[[TM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FC21" s="18">
        <f>IF($D21=0,"DNP",SUMIFS(TEAMS_GbG[OPP OR_PAINT],TEAMS_GbG[[TM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4.333333333333333</v>
      </c>
      <c r="FD21" s="18">
        <f>IF($D21=0,"DNP",SUMIFS(TEAMS_GbG[OPP TM OR_PAINT],TEAMS_GbG[[TM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</v>
      </c>
      <c r="FE21" s="18">
        <f>IF($D21=0,"DNP",SUMIFS(TEAMS_GbG[OPP OR_NP2],TEAMS_GbG[[TM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0.77777777777777779</v>
      </c>
      <c r="FF21" s="18">
        <f>IF($D21=0,"DNP",SUMIFS(TEAMS_GbG[OPP TM OR_NP2],TEAMS_GbG[[TM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FG21" s="18">
        <f>IF($D21=0,"DNP",SUMIFS(TEAMS_GbG[OPP OR_3C],TEAMS_GbG[[TM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</v>
      </c>
      <c r="FH21" s="18">
        <f>IF($D21=0,"DNP",SUMIFS(TEAMS_GbG[OPP TM OR_3C],TEAMS_GbG[[TM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FI21" s="18">
        <f>IF($D21=0,"DNP",SUMIFS(TEAMS_GbG[OPP OR_3L],TEAMS_GbG[[TM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6.333333333333333</v>
      </c>
      <c r="FJ21" s="18">
        <f>IF($D21=0,"DNP",SUMIFS(TEAMS_GbG[OPP TM OR_3L],TEAMS_GbG[[TM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0.77777777777777779</v>
      </c>
      <c r="FK21" s="18">
        <f>IF($D21=0,"DNP",SUMIFS(TEAMS_GbG[OPP OR_FT],TEAMS_GbG[[TM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FL21" s="18">
        <f>IF($D21=0,"DNP",SUMIFS(TEAMS_GbG[OPP TM OR_FT],TEAMS_GbG[[TM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M21" s="18">
        <f>IF($D21=0,"DNP",SUMIFS(TEAMS_GbG[OPP DR_RIM],TEAMS_GbG[[TM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0.66666666666666663</v>
      </c>
      <c r="FN21" s="18">
        <f>IF($D21=0,"DNP",SUMIFS(TEAMS_GbG[OPP TM DR_RIM],TEAMS_GbG[[TM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FO21" s="18">
        <f>IF($D21=0,"DNP",SUMIFS(TEAMS_GbG[OPP DR_PAINT],TEAMS_GbG[[TM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5.666666666666667</v>
      </c>
      <c r="FP21" s="18">
        <f>IF($D21=0,"DNP",SUMIFS(TEAMS_GbG[OPP TM DR_PAINT],TEAMS_GbG[[TM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Q21" s="18">
        <f>IF($D21=0,"DNP",SUMIFS(TEAMS_GbG[OPP DR_NP2],TEAMS_GbG[[TM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</v>
      </c>
      <c r="FR21" s="18">
        <f>IF($D21=0,"DNP",SUMIFS(TEAMS_GbG[OPP TM DR_NP2],TEAMS_GbG[[TM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S21" s="18">
        <f>IF($D21=0,"DNP",SUMIFS(TEAMS_GbG[OPP DR_3C],TEAMS_GbG[[TM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1.1111111111111112</v>
      </c>
      <c r="FT21" s="18">
        <f>IF($D21=0,"DNP",SUMIFS(TEAMS_GbG[OPP TM DR_3C],TEAMS_GbG[[TM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U21" s="18">
        <f>IF($D21=0,"DNP",SUMIFS(TEAMS_GbG[OPP DR_3L],TEAMS_GbG[[TM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8.5555555555555554</v>
      </c>
      <c r="FV21" s="18">
        <f>IF($D21=0,"DNP",SUMIFS(TEAMS_GbG[OPP TM DR_3L],TEAMS_GbG[[TM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FW21" s="18">
        <f>IF($D21=0,"DNP",SUMIFS(TEAMS_GbG[OPP DR_FT],TEAMS_GbG[[TM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1.2222222222222223</v>
      </c>
      <c r="FX21" s="18">
        <f>IF($D21=0,"DNP",SUMIFS(TEAMS_GbG[OPP TM DR_FT],TEAMS_GbG[[TM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FY21" s="18">
        <f>IF($D21=0,"DNP",SUMIFS(TEAMS_GbG[OPP FTM_T],TEAMS_GbG[[TM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FZ21" s="18">
        <f>IF($D21=0,"DNP",SUMIFS(TEAMS_GbG[OPP FTA_T],TEAMS_GbG[[TM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GA21" s="18">
        <f>IF($D21=0,"DNP",SUMIFS(TEAMS_GbG[OPP FTM_1],TEAMS_GbG[[TM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GB21" s="18">
        <f>IF($D21=0,"DNP",SUMIFS(TEAMS_GbG[OPP FTA_1],TEAMS_GbG[[TM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2.1111111111111112</v>
      </c>
      <c r="GC21" s="18">
        <f>IF($D21=0,"DNP",SUMIFS(TEAMS_GbG[OPP FTM_2],TEAMS_GbG[[TM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15.111111111111111</v>
      </c>
      <c r="GD21" s="18">
        <f>IF($D21=0,"DNP",SUMIFS(TEAMS_GbG[OPP FTA_2],TEAMS_GbG[[TM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17.777777777777779</v>
      </c>
      <c r="GE21" s="18">
        <f>IF($D21=0,"DNP",SUMIFS(TEAMS_GbG[OPP FT 0/2],TEAMS_GbG[[TM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0.44444444444444442</v>
      </c>
      <c r="GF21" s="18">
        <f>IF($D21=0,"DNP",SUMIFS(TEAMS_GbG[OPP FTM_3],TEAMS_GbG[[TM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0.88888888888888884</v>
      </c>
      <c r="GG21" s="18">
        <f>IF($D21=0,"DNP",SUMIFS(TEAMS_GbG[OPP FTA_3],TEAMS_GbG[[TM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1.3333333333333333</v>
      </c>
      <c r="GH21" s="18">
        <f>IF($D21=0,"DNP",SUMIFS(TEAMS_GbG[OPP FT 0/3],TEAMS_GbG[[TM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GI21" s="18">
        <f>IF($D21=0,"DNP",SUMIFS(TEAMS_GbG[OPP RIM_M],TEAMS_GbG[[TM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9.4444444444444446</v>
      </c>
      <c r="GJ21" s="18">
        <f>IF($D21=0,"DNP",SUMIFS(TEAMS_GbG[OPP RIM_A],TEAMS_GbG[[TM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11.222222222222221</v>
      </c>
      <c r="GK21" s="18">
        <f>IF($D21=0,"DNP",SUMIFS(TEAMS_GbG[OPP PAINT_M],TEAMS_GbG[[TM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</v>
      </c>
      <c r="GL21" s="18">
        <f>IF($D21=0,"DNP",SUMIFS(TEAMS_GbG[OPP PAINT_A],TEAMS_GbG[[TM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18.222222222222221</v>
      </c>
      <c r="GM21" s="18">
        <f>IF($D21=0,"DNP",SUMIFS(TEAMS_GbG[OPP MID_M],TEAMS_GbG[[TM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2.3333333333333335</v>
      </c>
      <c r="GN21" s="18">
        <f>IF($D21=0,"DNP",SUMIFS(TEAMS_GbG[OPP MID_A],TEAMS_GbG[[TM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5.5555555555555554</v>
      </c>
      <c r="GO21" s="18">
        <f>IF($D21=0,"DNP",SUMIFS(TEAMS_GbG[OPP 3C_M],TEAMS_GbG[[TM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1.7777777777777777</v>
      </c>
      <c r="GP21" s="18">
        <f>IF($D21=0,"DNP",SUMIFS(TEAMS_GbG[OPP 3C_A],TEAMS_GbG[[TM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4.8888888888888893</v>
      </c>
      <c r="GQ21" s="18">
        <f>IF($D21=0,"DNP",SUMIFS(TEAMS_GbG[OPP 3L_M],TEAMS_GbG[[TM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8.2222222222222214</v>
      </c>
      <c r="GR21" s="18">
        <f>IF($D21=0,"DNP",SUMIFS(TEAMS_GbG[OPP 3L_A],TEAMS_GbG[[TM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24.444444444444443</v>
      </c>
      <c r="GS21" s="18">
        <f>IF($D21=0,"DNP",SUMIFS(TEAMS_GbG[OPP 3H_M],TEAMS_GbG[[TM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GT21" s="18">
        <f>IF($D21=0,"DNP",SUMIFS(TEAMS_GbG[OPP 3H_A],TEAMS_GbG[[TM NAME]:[TM NAME]],$C21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GU21" s="16">
        <f ca="1">IF(TEAMS_STATS[[#This Row],[TM NAME]]="","",INDEX(SoS!$C$113:$C$144,MATCH(TEAMS_STATS[[#This Row],[TM NAME]],SoS!$B$113:$B$144,0)))</f>
        <v>0.4522339800117578</v>
      </c>
    </row>
    <row r="22" spans="2:203" ht="15" customHeight="1" x14ac:dyDescent="0.25">
      <c r="B22" s="12">
        <f>_xlfn.AGGREGATE(3,5,$C$7:C21)</f>
        <v>15</v>
      </c>
      <c r="C22" s="14" t="str">
        <f>BASIS_INFO!F17</f>
        <v>Real Madrid</v>
      </c>
      <c r="D22" s="20">
        <f>COUNTIFS(TEAMS_GbG[[TM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8</v>
      </c>
      <c r="E22" s="20">
        <f>COUNTIFS(TEAMS_GbG[[TM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8</v>
      </c>
      <c r="F22" s="20">
        <f>COUNTIFS(TEAMS_GbG[[TM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22" s="18">
        <f>IF($D22=0,"DNP",SUMIFS(TEAMS_GbG[MIN],TEAMS_GbG[[TM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200</v>
      </c>
      <c r="H22" s="18">
        <f>IF($D22=0,"DNP",SUMIFS(TEAMS_GbG[PTS],TEAMS_GbG[[TM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86.875</v>
      </c>
      <c r="I22" s="18">
        <f>IF($D22=0,"DNP",SUMIFS(TEAMS_GbG[2PTM],TEAMS_GbG[[TM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19.375</v>
      </c>
      <c r="J22" s="18">
        <f>IF($D22=0,"DNP",SUMIFS(TEAMS_GbG[2PTA],TEAMS_GbG[[TM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32.875</v>
      </c>
      <c r="K22" s="16">
        <f t="shared" si="38"/>
        <v>0.58935361216730042</v>
      </c>
      <c r="L22" s="18">
        <f>IF($D22=0,"DNP",SUMIFS(TEAMS_GbG[3PTM],TEAMS_GbG[[TM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10.5</v>
      </c>
      <c r="M22" s="18">
        <f>IF($D22=0,"DNP",SUMIFS(TEAMS_GbG[3PTA],TEAMS_GbG[[TM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28.125</v>
      </c>
      <c r="N22" s="16">
        <f t="shared" si="39"/>
        <v>0.37333333333333335</v>
      </c>
      <c r="O22" s="18">
        <f>IF($D22=0,"DNP",SUMIFS(TEAMS_GbG[FGM],TEAMS_GbG[[TM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29.875</v>
      </c>
      <c r="P22" s="18">
        <f>IF($D22=0,"DNP",SUMIFS(TEAMS_GbG[FGA],TEAMS_GbG[[TM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61</v>
      </c>
      <c r="Q22" s="16">
        <f t="shared" si="40"/>
        <v>0.48975409836065575</v>
      </c>
      <c r="R22" s="18">
        <f>IF($D22=0,"DNP",SUMIFS(TEAMS_GbG[FTM],TEAMS_GbG[[TM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16.625</v>
      </c>
      <c r="S22" s="18">
        <f>IF($D22=0,"DNP",SUMIFS(TEAMS_GbG[FTA],TEAMS_GbG[[TM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20.5</v>
      </c>
      <c r="T22" s="16">
        <f t="shared" si="41"/>
        <v>0.81097560975609762</v>
      </c>
      <c r="U22" s="18">
        <f>IF($D22=0,"DNP",SUMIFS(TEAMS_GbG[OR],TEAMS_GbG[[TM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</v>
      </c>
      <c r="V22" s="18">
        <f>IF($D22=0,"DNP",SUMIFS(TEAMS_GbG[DR],TEAMS_GbG[[TM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27.5</v>
      </c>
      <c r="W22" s="18">
        <f>IF($D22=0,"DNP",SUMIFS(TEAMS_GbG[TR],TEAMS_GbG[[TM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36.5</v>
      </c>
      <c r="X22" s="18">
        <f>IF($D22=0,"DNP",SUMIFS(TEAMS_GbG[AST],TEAMS_GbG[[TM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21.875</v>
      </c>
      <c r="Y22" s="18">
        <f>IF($D22=0,"DNP",SUMIFS(TEAMS_GbG[TO],TEAMS_GbG[[TM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12</v>
      </c>
      <c r="Z22" s="18">
        <f>IF($D22=0,"DNP",SUMIFS(TEAMS_GbG[ST],TEAMS_GbG[[TM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5.25</v>
      </c>
      <c r="AA22" s="18">
        <f>IF($D22=0,"DNP",SUMIFS(TEAMS_GbG[BLK],TEAMS_GbG[[TM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3.875</v>
      </c>
      <c r="AB22" s="18">
        <f>IF($D22=0,"DNP",SUMIFS(TEAMS_GbG[BLKA],TEAMS_GbG[[TM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1.375</v>
      </c>
      <c r="AC22" s="18">
        <f>IF($D22=0,"DNP",SUMIFS(TEAMS_GbG[PF],TEAMS_GbG[[TM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19.875</v>
      </c>
      <c r="AD22" s="18">
        <f>IF($D22=0,"DNP",SUMIFS(TEAMS_GbG[DF],TEAMS_GbG[[TM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20.5</v>
      </c>
      <c r="AE22" s="18">
        <f>IF($D22=0,"DNP",SUMIFS(TEAMS_GbG[VAL],TEAMS_GbG[[TM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106.625</v>
      </c>
      <c r="AF22" s="18">
        <f>IF($D22=0,"DNP",SUMIFS(TEAMS_GbG[+ / -],TEAMS_GbG[[TM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13</v>
      </c>
      <c r="AG22" s="26">
        <f t="shared" si="0"/>
        <v>73</v>
      </c>
      <c r="AH22" s="18">
        <f>IF($D22=0,"DNP",SUMIFS(TEAMS_GbG[POSS],TEAMS_GbG[[TM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73</v>
      </c>
      <c r="AI22" s="18">
        <f>IF($D22=0,"DNP",SUMIFS(TEAMS_GbG[SHOOTING CHANCES],TEAMS_GbG[[TM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82</v>
      </c>
      <c r="AJ22" s="19">
        <f t="shared" si="1"/>
        <v>1.0594512195121952</v>
      </c>
      <c r="AK22" s="19">
        <f t="shared" si="2"/>
        <v>0.86656891495601174</v>
      </c>
      <c r="AL22" s="18">
        <f t="shared" si="3"/>
        <v>119.00684931506848</v>
      </c>
      <c r="AM22" s="18">
        <f t="shared" si="4"/>
        <v>101.72117039586919</v>
      </c>
      <c r="AN22" s="18">
        <f t="shared" si="42"/>
        <v>17.285678919199285</v>
      </c>
      <c r="AO22" s="27">
        <f t="shared" si="5"/>
        <v>0.57581967213114749</v>
      </c>
      <c r="AP22" s="28">
        <f t="shared" si="6"/>
        <v>0.6205357142857143</v>
      </c>
      <c r="AQ22" s="34">
        <f t="shared" si="7"/>
        <v>0.13567073170731708</v>
      </c>
      <c r="AR22" s="38">
        <f t="shared" si="8"/>
        <v>1.6404494382022472</v>
      </c>
      <c r="AS22" s="27">
        <f t="shared" si="9"/>
        <v>0.22408536585365854</v>
      </c>
      <c r="AT22" s="38">
        <f t="shared" si="10"/>
        <v>0.96598639455782309</v>
      </c>
      <c r="AU22" s="27">
        <f t="shared" si="11"/>
        <v>4.1158536585365856E-2</v>
      </c>
      <c r="AV22" s="38">
        <f t="shared" si="12"/>
        <v>0.81481481481481477</v>
      </c>
      <c r="AW22" s="27">
        <f t="shared" si="13"/>
        <v>3.3536585365853661E-2</v>
      </c>
      <c r="AX22" s="38">
        <f t="shared" si="14"/>
        <v>1.9090909090909092</v>
      </c>
      <c r="AY22" s="27">
        <f t="shared" si="15"/>
        <v>0.3048780487804878</v>
      </c>
      <c r="AZ22" s="38">
        <f t="shared" si="16"/>
        <v>1.05</v>
      </c>
      <c r="BA22" s="28">
        <f t="shared" si="17"/>
        <v>0.10975609756097561</v>
      </c>
      <c r="BB22" s="34">
        <f t="shared" si="18"/>
        <v>0.14634146341463414</v>
      </c>
      <c r="BC22" s="27">
        <f t="shared" si="19"/>
        <v>0.56129032258064515</v>
      </c>
      <c r="BD22" s="27">
        <f t="shared" si="20"/>
        <v>0.5741935483870968</v>
      </c>
      <c r="BE22" s="27">
        <f t="shared" si="21"/>
        <v>0.76190476190476186</v>
      </c>
      <c r="BF22" s="27">
        <f t="shared" si="22"/>
        <v>0.29577464788732394</v>
      </c>
      <c r="BG22" s="27">
        <f t="shared" si="23"/>
        <v>0.26676829268292684</v>
      </c>
      <c r="BH22" s="35">
        <f t="shared" si="24"/>
        <v>1.8229166666666667</v>
      </c>
      <c r="BI22" s="49">
        <f t="shared" si="25"/>
        <v>0.28346456692913385</v>
      </c>
      <c r="BJ22" s="45">
        <f t="shared" si="26"/>
        <v>0.40517241379310343</v>
      </c>
      <c r="BK22" s="45">
        <f t="shared" si="27"/>
        <v>0.23448275862068965</v>
      </c>
      <c r="BL22" s="45">
        <f t="shared" si="28"/>
        <v>0.26666666666666666</v>
      </c>
      <c r="BM22" s="45">
        <f t="shared" si="29"/>
        <v>0.68965517241379315</v>
      </c>
      <c r="BN22" s="45">
        <f t="shared" si="30"/>
        <v>0.65789473684210531</v>
      </c>
      <c r="BO22" s="45">
        <f t="shared" si="31"/>
        <v>0.69696969696969702</v>
      </c>
      <c r="BP22" s="45">
        <f t="shared" si="32"/>
        <v>0.8571428571428571</v>
      </c>
      <c r="BQ22" s="46">
        <f t="shared" si="33"/>
        <v>0.50959860383944156</v>
      </c>
      <c r="BR22" s="49">
        <f t="shared" si="34"/>
        <v>7.2289156626506021E-2</v>
      </c>
      <c r="BS22" s="45">
        <f t="shared" si="35"/>
        <v>5.7835820895522388E-2</v>
      </c>
      <c r="BT22" s="39">
        <f>IF($D22=0,"DNP",SUMIFS(TEAMS_GbG[KILLS],TEAMS_GbG[[TM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5.875</v>
      </c>
      <c r="BU22" s="34">
        <f t="shared" si="36"/>
        <v>0.38364779874213839</v>
      </c>
      <c r="BV22" s="28">
        <f t="shared" si="37"/>
        <v>0.51219512195121952</v>
      </c>
      <c r="BW22" s="18">
        <f>IF($D22=0,"DNP",SUMIFS(TEAMS_GbG[ASTED_2FG],TEAMS_GbG[[TM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11.125</v>
      </c>
      <c r="BX22" s="18">
        <f>IF($D22=0,"DNP",SUMIFS(TEAMS_GbG[ASTED_3FG],TEAMS_GbG[[TM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</v>
      </c>
      <c r="BY22" s="18">
        <f>IF($D22=0,"DNP",SUMIFS(TEAMS_GbG[ASTED_FT],TEAMS_GbG[[TM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2.625</v>
      </c>
      <c r="BZ22" s="18">
        <f>IF($D22=0,"DNP",SUMIFS(TEAMS_GbG[ASTED_FT PTS],TEAMS_GbG[[TM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4.25</v>
      </c>
      <c r="CA22" s="18">
        <f>IF($D22=0,"DNP",SUMIFS(TEAMS_GbG[OR_RIM],TEAMS_GbG[[TM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CB22" s="18">
        <f>IF($D22=0,"DNP",SUMIFS(TEAMS_GbG[TM OR_RIM],TEAMS_GbG[[TM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CC22" s="18">
        <f>IF($D22=0,"DNP",SUMIFS(TEAMS_GbG[OR_PAINT],TEAMS_GbG[[TM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3.25</v>
      </c>
      <c r="CD22" s="18">
        <f>IF($D22=0,"DNP",SUMIFS(TEAMS_GbG[TM OR_PAINT],TEAMS_GbG[[TM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CE22" s="18">
        <f>IF($D22=0,"DNP",SUMIFS(TEAMS_GbG[OR_NP2],TEAMS_GbG[[TM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CF22" s="18">
        <f>IF($D22=0,"DNP",SUMIFS(TEAMS_GbG[TM OR_NP2],TEAMS_GbG[[TM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G22" s="18">
        <f>IF($D22=0,"DNP",SUMIFS(TEAMS_GbG[OR_3C],TEAMS_GbG[[TM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CH22" s="18">
        <f>IF($D22=0,"DNP",SUMIFS(TEAMS_GbG[TM OR_3C],TEAMS_GbG[[TM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I22" s="18">
        <f>IF($D22=0,"DNP",SUMIFS(TEAMS_GbG[OR_3L],TEAMS_GbG[[TM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3.5</v>
      </c>
      <c r="CJ22" s="18">
        <f>IF($D22=0,"DNP",SUMIFS(TEAMS_GbG[TM OR_3L],TEAMS_GbG[[TM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0.375</v>
      </c>
      <c r="CK22" s="18">
        <f>IF($D22=0,"DNP",SUMIFS(TEAMS_GbG[OR_FT],TEAMS_GbG[[TM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CL22" s="18">
        <f>IF($D22=0,"DNP",SUMIFS(TEAMS_GbG[TM OR_FT],TEAMS_GbG[[TM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CM22" s="18">
        <f>IF($D22=0,"DNP",SUMIFS(TEAMS_GbG[DR_RIM],TEAMS_GbG[[TM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1.75</v>
      </c>
      <c r="CN22" s="18">
        <f>IF($D22=0,"DNP",SUMIFS(TEAMS_GbG[TM DR_RIM],TEAMS_GbG[[TM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CO22" s="18">
        <f>IF($D22=0,"DNP",SUMIFS(TEAMS_GbG[DR_PAINT],TEAMS_GbG[[TM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10.125</v>
      </c>
      <c r="CP22" s="18">
        <f>IF($D22=0,"DNP",SUMIFS(TEAMS_GbG[TM DR_PAINT],TEAMS_GbG[[TM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CQ22" s="18">
        <f>IF($D22=0,"DNP",SUMIFS(TEAMS_GbG[DR_NP2],TEAMS_GbG[[TM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3.375</v>
      </c>
      <c r="CR22" s="18">
        <f>IF($D22=0,"DNP",SUMIFS(TEAMS_GbG[TM DR_NP2],TEAMS_GbG[[TM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S22" s="18">
        <f>IF($D22=0,"DNP",SUMIFS(TEAMS_GbG[DR_3C],TEAMS_GbG[[TM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0.375</v>
      </c>
      <c r="CT22" s="18">
        <f>IF($D22=0,"DNP",SUMIFS(TEAMS_GbG[TM DR_3C],TEAMS_GbG[[TM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CU22" s="18">
        <f>IF($D22=0,"DNP",SUMIFS(TEAMS_GbG[DR_3L],TEAMS_GbG[[TM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10.375</v>
      </c>
      <c r="CV22" s="18">
        <f>IF($D22=0,"DNP",SUMIFS(TEAMS_GbG[TM DR_3L],TEAMS_GbG[[TM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CW22" s="18">
        <f>IF($D22=0,"DNP",SUMIFS(TEAMS_GbG[DR_FT],TEAMS_GbG[[TM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1.25</v>
      </c>
      <c r="CX22" s="18">
        <f>IF($D22=0,"DNP",SUMIFS(TEAMS_GbG[TM DR_FT],TEAMS_GbG[[TM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CY22" s="18">
        <f>IF($D22=0,"DNP",SUMIFS(TEAMS_GbG[FTM_T],TEAMS_GbG[[TM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CZ22" s="18">
        <f>IF($D22=0,"DNP",SUMIFS(TEAMS_GbG[FTA_T],TEAMS_GbG[[TM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DA22" s="18">
        <f>IF($D22=0,"DNP",SUMIFS(TEAMS_GbG[FTM_1],TEAMS_GbG[[TM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0.875</v>
      </c>
      <c r="DB22" s="18">
        <f>IF($D22=0,"DNP",SUMIFS(TEAMS_GbG[FTA_1],TEAMS_GbG[[TM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1.5</v>
      </c>
      <c r="DC22" s="18">
        <f>IF($D22=0,"DNP",SUMIFS(TEAMS_GbG[FTM_2],TEAMS_GbG[[TM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14.75</v>
      </c>
      <c r="DD22" s="18">
        <f>IF($D22=0,"DNP",SUMIFS(TEAMS_GbG[FTA_2],TEAMS_GbG[[TM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17.5</v>
      </c>
      <c r="DE22" s="18">
        <f>IF($D22=0,"DNP",SUMIFS(TEAMS_GbG[FT 0/2],TEAMS_GbG[[TM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DF22" s="18">
        <f>IF($D22=0,"DNP",SUMIFS(TEAMS_GbG[FTM_3],TEAMS_GbG[[TM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DG22" s="18">
        <f>IF($D22=0,"DNP",SUMIFS(TEAMS_GbG[FTA_3],TEAMS_GbG[[TM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DH22" s="18">
        <f>IF($D22=0,"DNP",SUMIFS(TEAMS_GbG[FT 0/3],TEAMS_GbG[[TM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DI22" s="18">
        <f>IF($D22=0,"DNP",SUMIFS(TEAMS_GbG[RIM_M],TEAMS_GbG[[TM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9.125</v>
      </c>
      <c r="DJ22" s="18">
        <f>IF($D22=0,"DNP",SUMIFS(TEAMS_GbG[RIM_A],TEAMS_GbG[[TM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11.125</v>
      </c>
      <c r="DK22" s="18">
        <f>IF($D22=0,"DNP",SUMIFS(TEAMS_GbG[PAINT_M],TEAMS_GbG[[TM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8.875</v>
      </c>
      <c r="DL22" s="18">
        <f>IF($D22=0,"DNP",SUMIFS(TEAMS_GbG[PAINT_A],TEAMS_GbG[[TM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18.375</v>
      </c>
      <c r="DM22" s="18">
        <f>IF($D22=0,"DNP",SUMIFS(TEAMS_GbG[MID_M],TEAMS_GbG[[TM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1.375</v>
      </c>
      <c r="DN22" s="18">
        <f>IF($D22=0,"DNP",SUMIFS(TEAMS_GbG[MID_A],TEAMS_GbG[[TM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3.375</v>
      </c>
      <c r="DO22" s="18">
        <f>IF($D22=0,"DNP",SUMIFS(TEAMS_GbG[3C_M],TEAMS_GbG[[TM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1.75</v>
      </c>
      <c r="DP22" s="18">
        <f>IF($D22=0,"DNP",SUMIFS(TEAMS_GbG[3C_A],TEAMS_GbG[[TM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2.75</v>
      </c>
      <c r="DQ22" s="18">
        <f>IF($D22=0,"DNP",SUMIFS(TEAMS_GbG[3L_M],TEAMS_GbG[[TM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8.75</v>
      </c>
      <c r="DR22" s="18">
        <f>IF($D22=0,"DNP",SUMIFS(TEAMS_GbG[3L_A],TEAMS_GbG[[TM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25</v>
      </c>
      <c r="DS22" s="18">
        <f>IF($D22=0,"DNP",SUMIFS(TEAMS_GbG[3H_M],TEAMS_GbG[[TM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DT22" s="18">
        <f>IF($D22=0,"DNP",SUMIFS(TEAMS_GbG[3H_A],TEAMS_GbG[[TM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0.375</v>
      </c>
      <c r="DU22" s="18">
        <f>IF($D22=0,"DNP",SUMIFS(TEAMS_GbG[OPP PTS],TEAMS_GbG[[TM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73.875</v>
      </c>
      <c r="DV22" s="18">
        <f>IF($D22=0,"DNP",SUMIFS(TEAMS_GbG[OPP 2PTM],TEAMS_GbG[[TM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21.875</v>
      </c>
      <c r="DW22" s="18">
        <f>IF($D22=0,"DNP",SUMIFS(TEAMS_GbG[OPP 2PTA],TEAMS_GbG[[TM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44.875</v>
      </c>
      <c r="DX22" s="16">
        <f t="shared" si="43"/>
        <v>0.48746518105849584</v>
      </c>
      <c r="DY22" s="18">
        <f>IF($D22=0,"DNP",SUMIFS(TEAMS_GbG[OPP 3PTM],TEAMS_GbG[[TM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6.5</v>
      </c>
      <c r="DZ22" s="18">
        <f>IF($D22=0,"DNP",SUMIFS(TEAMS_GbG[OPP 3PTA],TEAMS_GbG[[TM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22.125</v>
      </c>
      <c r="EA22" s="16">
        <f t="shared" si="44"/>
        <v>0.29378531073446329</v>
      </c>
      <c r="EB22" s="18">
        <f>IF($D22=0,"DNP",SUMIFS(TEAMS_GbG[OPP FGM],TEAMS_GbG[[TM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28.375</v>
      </c>
      <c r="EC22" s="18">
        <f>IF($D22=0,"DNP",SUMIFS(TEAMS_GbG[OPP FGA],TEAMS_GbG[[TM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67</v>
      </c>
      <c r="ED22" s="16">
        <f t="shared" si="45"/>
        <v>0.42350746268656714</v>
      </c>
      <c r="EE22" s="18">
        <f>IF($D22=0,"DNP",SUMIFS(TEAMS_GbG[OPP FTM],TEAMS_GbG[[TM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10.625</v>
      </c>
      <c r="EF22" s="18">
        <f>IF($D22=0,"DNP",SUMIFS(TEAMS_GbG[OPP FTA],TEAMS_GbG[[TM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14.125</v>
      </c>
      <c r="EG22" s="16">
        <f t="shared" si="46"/>
        <v>0.75221238938053092</v>
      </c>
      <c r="EH22" s="18">
        <f>IF($D22=0,"DNP",SUMIFS(TEAMS_GbG[OPP OR],TEAMS_GbG[[TM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12.375</v>
      </c>
      <c r="EI22" s="18">
        <f>IF($D22=0,"DNP",SUMIFS(TEAMS_GbG[OPP DR],TEAMS_GbG[[TM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22.75</v>
      </c>
      <c r="EJ22" s="18">
        <f>IF($D22=0,"DNP",SUMIFS(TEAMS_GbG[OPP TR],TEAMS_GbG[[TM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35.125</v>
      </c>
      <c r="EK22" s="18">
        <f>IF($D22=0,"DNP",SUMIFS(TEAMS_GbG[OPP AST],TEAMS_GbG[[TM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15.125</v>
      </c>
      <c r="EL22" s="18">
        <f>IF($D22=0,"DNP",SUMIFS(TEAMS_GbG[OPP PF],TEAMS_GbG[[TM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21.375</v>
      </c>
      <c r="EM22" s="18">
        <f>IF($D22=0,"DNP",SUMIFS(TEAMS_GbG[OPP DF],TEAMS_GbG[[TM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19.125</v>
      </c>
      <c r="EN22" s="18">
        <f>IF($D22=0,"DNP",SUMIFS(TEAMS_GbG[OPP ST],TEAMS_GbG[[TM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5.625</v>
      </c>
      <c r="EO22" s="18">
        <f>IF($D22=0,"DNP",SUMIFS(TEAMS_GbG[OPP TO],TEAMS_GbG[[TM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13</v>
      </c>
      <c r="EP22" s="18">
        <f>IF($D22=0,"DNP",SUMIFS(TEAMS_GbG[OPP BLK],TEAMS_GbG[[TM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1.375</v>
      </c>
      <c r="EQ22" s="18">
        <f>IF($D22=0,"DNP",SUMIFS(TEAMS_GbG[OPP BLKA],TEAMS_GbG[[TM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3.875</v>
      </c>
      <c r="ER22" s="18">
        <f>IF($D22=0,"DNP",SUMIFS(TEAMS_GbG[OPP VAL],TEAMS_GbG[[TM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69.875</v>
      </c>
      <c r="ES22" s="18">
        <f>IF($D22=0,"DNP",SUMIFS(TEAMS_GbG[OPP + / -],TEAMS_GbG[[TM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-13</v>
      </c>
      <c r="ET22" s="18">
        <f>IF($D22=0,"DNP",SUMIFS(TEAMS_GbG[OPP POSS],TEAMS_GbG[[TM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72.625</v>
      </c>
      <c r="EU22" s="18">
        <f>IF($D22=0,"DNP",SUMIFS(TEAMS_GbG[OPP SHOOTING CHANCES],TEAMS_GbG[[TM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85.25</v>
      </c>
      <c r="EV22" s="18">
        <f>IF($D22=0,"DNP",SUMIFS(TEAMS_GbG[OPP KILLS],TEAMS_GbG[[TM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</v>
      </c>
      <c r="EW22" s="18">
        <f>IF($D22=0,"DNP",SUMIFS(TEAMS_GbG[OPP ASTED_2FG],TEAMS_GbG[[TM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9.375</v>
      </c>
      <c r="EX22" s="18">
        <f>IF($D22=0,"DNP",SUMIFS(TEAMS_GbG[OPP ASTED_3FG],TEAMS_GbG[[TM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5.125</v>
      </c>
      <c r="EY22" s="18">
        <f>IF($D22=0,"DNP",SUMIFS(TEAMS_GbG[OPP ASTED_FT],TEAMS_GbG[[TM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0.625</v>
      </c>
      <c r="EZ22" s="18">
        <f>IF($D22=0,"DNP",SUMIFS(TEAMS_GbG[OPP ASTED_FT PTS],TEAMS_GbG[[TM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</v>
      </c>
      <c r="FA22" s="18">
        <f>IF($D22=0,"DNP",SUMIFS(TEAMS_GbG[OPP OR_RIM],TEAMS_GbG[[TM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1.125</v>
      </c>
      <c r="FB22" s="18">
        <f>IF($D22=0,"DNP",SUMIFS(TEAMS_GbG[OPP TM OR_RIM],TEAMS_GbG[[TM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C22" s="18">
        <f>IF($D22=0,"DNP",SUMIFS(TEAMS_GbG[OPP OR_PAINT],TEAMS_GbG[[TM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4.75</v>
      </c>
      <c r="FD22" s="18">
        <f>IF($D22=0,"DNP",SUMIFS(TEAMS_GbG[OPP TM OR_PAINT],TEAMS_GbG[[TM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FE22" s="18">
        <f>IF($D22=0,"DNP",SUMIFS(TEAMS_GbG[OPP OR_NP2],TEAMS_GbG[[TM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1.5</v>
      </c>
      <c r="FF22" s="18">
        <f>IF($D22=0,"DNP",SUMIFS(TEAMS_GbG[OPP TM OR_NP2],TEAMS_GbG[[TM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G22" s="18">
        <f>IF($D22=0,"DNP",SUMIFS(TEAMS_GbG[OPP OR_3C],TEAMS_GbG[[TM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FH22" s="18">
        <f>IF($D22=0,"DNP",SUMIFS(TEAMS_GbG[OPP TM OR_3C],TEAMS_GbG[[TM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I22" s="18">
        <f>IF($D22=0,"DNP",SUMIFS(TEAMS_GbG[OPP OR_3L],TEAMS_GbG[[TM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4.375</v>
      </c>
      <c r="FJ22" s="18">
        <f>IF($D22=0,"DNP",SUMIFS(TEAMS_GbG[OPP TM OR_3L],TEAMS_GbG[[TM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FK22" s="18">
        <f>IF($D22=0,"DNP",SUMIFS(TEAMS_GbG[OPP OR_FT],TEAMS_GbG[[TM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FL22" s="18">
        <f>IF($D22=0,"DNP",SUMIFS(TEAMS_GbG[OPP TM OR_FT],TEAMS_GbG[[TM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FM22" s="18">
        <f>IF($D22=0,"DNP",SUMIFS(TEAMS_GbG[OPP DR_RIM],TEAMS_GbG[[TM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1.25</v>
      </c>
      <c r="FN22" s="18">
        <f>IF($D22=0,"DNP",SUMIFS(TEAMS_GbG[OPP TM DR_RIM],TEAMS_GbG[[TM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O22" s="18">
        <f>IF($D22=0,"DNP",SUMIFS(TEAMS_GbG[OPP DR_PAINT],TEAMS_GbG[[TM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6.125</v>
      </c>
      <c r="FP22" s="18">
        <f>IF($D22=0,"DNP",SUMIFS(TEAMS_GbG[OPP TM DR_PAINT],TEAMS_GbG[[TM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Q22" s="18">
        <f>IF($D22=0,"DNP",SUMIFS(TEAMS_GbG[OPP DR_NP2],TEAMS_GbG[[TM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</v>
      </c>
      <c r="FR22" s="18">
        <f>IF($D22=0,"DNP",SUMIFS(TEAMS_GbG[OPP TM DR_NP2],TEAMS_GbG[[TM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FS22" s="18">
        <f>IF($D22=0,"DNP",SUMIFS(TEAMS_GbG[OPP DR_3C],TEAMS_GbG[[TM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FT22" s="18">
        <f>IF($D22=0,"DNP",SUMIFS(TEAMS_GbG[OPP TM DR_3C],TEAMS_GbG[[TM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U22" s="18">
        <f>IF($D22=0,"DNP",SUMIFS(TEAMS_GbG[OPP DR_3L],TEAMS_GbG[[TM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12.25</v>
      </c>
      <c r="FV22" s="18">
        <f>IF($D22=0,"DNP",SUMIFS(TEAMS_GbG[OPP TM DR_3L],TEAMS_GbG[[TM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FW22" s="18">
        <f>IF($D22=0,"DNP",SUMIFS(TEAMS_GbG[OPP DR_FT],TEAMS_GbG[[TM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1.25</v>
      </c>
      <c r="FX22" s="18">
        <f>IF($D22=0,"DNP",SUMIFS(TEAMS_GbG[OPP TM DR_FT],TEAMS_GbG[[TM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Y22" s="18">
        <f>IF($D22=0,"DNP",SUMIFS(TEAMS_GbG[OPP FTM_T],TEAMS_GbG[[TM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0.625</v>
      </c>
      <c r="FZ22" s="18">
        <f>IF($D22=0,"DNP",SUMIFS(TEAMS_GbG[OPP FTA_T],TEAMS_GbG[[TM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GA22" s="18">
        <f>IF($D22=0,"DNP",SUMIFS(TEAMS_GbG[OPP FTM_1],TEAMS_GbG[[TM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1.625</v>
      </c>
      <c r="GB22" s="18">
        <f>IF($D22=0,"DNP",SUMIFS(TEAMS_GbG[OPP FTA_1],TEAMS_GbG[[TM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2.375</v>
      </c>
      <c r="GC22" s="18">
        <f>IF($D22=0,"DNP",SUMIFS(TEAMS_GbG[OPP FTM_2],TEAMS_GbG[[TM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7.625</v>
      </c>
      <c r="GD22" s="18">
        <f>IF($D22=0,"DNP",SUMIFS(TEAMS_GbG[OPP FTA_2],TEAMS_GbG[[TM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9.75</v>
      </c>
      <c r="GE22" s="18">
        <f>IF($D22=0,"DNP",SUMIFS(TEAMS_GbG[OPP FT 0/2],TEAMS_GbG[[TM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GF22" s="18">
        <f>IF($D22=0,"DNP",SUMIFS(TEAMS_GbG[OPP FTM_3],TEAMS_GbG[[TM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0.625</v>
      </c>
      <c r="GG22" s="18">
        <f>IF($D22=0,"DNP",SUMIFS(TEAMS_GbG[OPP FTA_3],TEAMS_GbG[[TM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1.125</v>
      </c>
      <c r="GH22" s="18">
        <f>IF($D22=0,"DNP",SUMIFS(TEAMS_GbG[OPP FT 0/3],TEAMS_GbG[[TM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GI22" s="18">
        <f>IF($D22=0,"DNP",SUMIFS(TEAMS_GbG[OPP RIM_M],TEAMS_GbG[[TM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9.125</v>
      </c>
      <c r="GJ22" s="18">
        <f>IF($D22=0,"DNP",SUMIFS(TEAMS_GbG[OPP RIM_A],TEAMS_GbG[[TM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12.25</v>
      </c>
      <c r="GK22" s="18">
        <f>IF($D22=0,"DNP",SUMIFS(TEAMS_GbG[OPP PAINT_M],TEAMS_GbG[[TM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10.375</v>
      </c>
      <c r="GL22" s="18">
        <f>IF($D22=0,"DNP",SUMIFS(TEAMS_GbG[OPP PAINT_A],TEAMS_GbG[[TM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25.25</v>
      </c>
      <c r="GM22" s="18">
        <f>IF($D22=0,"DNP",SUMIFS(TEAMS_GbG[OPP MID_M],TEAMS_GbG[[TM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2.375</v>
      </c>
      <c r="GN22" s="18">
        <f>IF($D22=0,"DNP",SUMIFS(TEAMS_GbG[OPP MID_A],TEAMS_GbG[[TM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7.375</v>
      </c>
      <c r="GO22" s="18">
        <f>IF($D22=0,"DNP",SUMIFS(TEAMS_GbG[OPP 3C_M],TEAMS_GbG[[TM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GP22" s="18">
        <f>IF($D22=0,"DNP",SUMIFS(TEAMS_GbG[OPP 3C_A],TEAMS_GbG[[TM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1.125</v>
      </c>
      <c r="GQ22" s="18">
        <f>IF($D22=0,"DNP",SUMIFS(TEAMS_GbG[OPP 3L_M],TEAMS_GbG[[TM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</v>
      </c>
      <c r="GR22" s="18">
        <f>IF($D22=0,"DNP",SUMIFS(TEAMS_GbG[OPP 3L_A],TEAMS_GbG[[TM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21</v>
      </c>
      <c r="GS22" s="18">
        <f>IF($D22=0,"DNP",SUMIFS(TEAMS_GbG[OPP 3H_M],TEAMS_GbG[[TM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GT22" s="18">
        <f>IF($D22=0,"DNP",SUMIFS(TEAMS_GbG[OPP 3H_A],TEAMS_GbG[[TM NAME]:[TM NAME]],$C22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GU22" s="16">
        <f ca="1">IF(TEAMS_STATS[[#This Row],[TM NAME]]="","",INDEX(SoS!$C$113:$C$144,MATCH(TEAMS_STATS[[#This Row],[TM NAME]],SoS!$B$113:$B$144,0)))</f>
        <v>0.58101851851851849</v>
      </c>
    </row>
    <row r="23" spans="2:203" ht="15" customHeight="1" x14ac:dyDescent="0.25">
      <c r="B23" s="12">
        <f>_xlfn.AGGREGATE(3,5,$C$7:C22)</f>
        <v>16</v>
      </c>
      <c r="C23" s="14" t="str">
        <f>BASIS_INFO!F18</f>
        <v>Valencia Basket</v>
      </c>
      <c r="D23" s="20">
        <f>COUNTIFS(TEAMS_GbG[[TM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3" s="20">
        <f>COUNTIFS(TEAMS_GbG[[TM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5</v>
      </c>
      <c r="F23" s="20">
        <f>COUNTIFS(TEAMS_GbG[[TM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4</v>
      </c>
      <c r="G23" s="18">
        <f>IF($D23=0,"DNP",SUMIFS(TEAMS_GbG[MIN],TEAMS_GbG[[TM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200</v>
      </c>
      <c r="H23" s="18">
        <f>IF($D23=0,"DNP",SUMIFS(TEAMS_GbG[PTS],TEAMS_GbG[[TM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72.888888888888886</v>
      </c>
      <c r="I23" s="18">
        <f>IF($D23=0,"DNP",SUMIFS(TEAMS_GbG[2PTM],TEAMS_GbG[[TM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20.111111111111111</v>
      </c>
      <c r="J23" s="18">
        <f>IF($D23=0,"DNP",SUMIFS(TEAMS_GbG[2PTA],TEAMS_GbG[[TM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41.222222222222221</v>
      </c>
      <c r="K23" s="16">
        <f t="shared" si="38"/>
        <v>0.48787061994609165</v>
      </c>
      <c r="L23" s="18">
        <f>IF($D23=0,"DNP",SUMIFS(TEAMS_GbG[3PTM],TEAMS_GbG[[TM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6.8888888888888893</v>
      </c>
      <c r="M23" s="18">
        <f>IF($D23=0,"DNP",SUMIFS(TEAMS_GbG[3PTA],TEAMS_GbG[[TM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19</v>
      </c>
      <c r="N23" s="16">
        <f t="shared" si="39"/>
        <v>0.36257309941520471</v>
      </c>
      <c r="O23" s="18">
        <f>IF($D23=0,"DNP",SUMIFS(TEAMS_GbG[FGM],TEAMS_GbG[[TM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27</v>
      </c>
      <c r="P23" s="18">
        <f>IF($D23=0,"DNP",SUMIFS(TEAMS_GbG[FGA],TEAMS_GbG[[TM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60.222222222222221</v>
      </c>
      <c r="Q23" s="16">
        <f t="shared" si="40"/>
        <v>0.44833948339483398</v>
      </c>
      <c r="R23" s="18">
        <f>IF($D23=0,"DNP",SUMIFS(TEAMS_GbG[FTM],TEAMS_GbG[[TM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12</v>
      </c>
      <c r="S23" s="18">
        <f>IF($D23=0,"DNP",SUMIFS(TEAMS_GbG[FTA],TEAMS_GbG[[TM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15.888888888888889</v>
      </c>
      <c r="T23" s="16">
        <f t="shared" si="41"/>
        <v>0.75524475524475521</v>
      </c>
      <c r="U23" s="18">
        <f>IF($D23=0,"DNP",SUMIFS(TEAMS_GbG[OR],TEAMS_GbG[[TM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10.888888888888889</v>
      </c>
      <c r="V23" s="18">
        <f>IF($D23=0,"DNP",SUMIFS(TEAMS_GbG[DR],TEAMS_GbG[[TM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24.666666666666668</v>
      </c>
      <c r="W23" s="18">
        <f>IF($D23=0,"DNP",SUMIFS(TEAMS_GbG[TR],TEAMS_GbG[[TM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35.555555555555557</v>
      </c>
      <c r="X23" s="18">
        <f>IF($D23=0,"DNP",SUMIFS(TEAMS_GbG[AST],TEAMS_GbG[[TM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15.444444444444445</v>
      </c>
      <c r="Y23" s="18">
        <f>IF($D23=0,"DNP",SUMIFS(TEAMS_GbG[TO],TEAMS_GbG[[TM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14.222222222222221</v>
      </c>
      <c r="Z23" s="18">
        <f>IF($D23=0,"DNP",SUMIFS(TEAMS_GbG[ST],TEAMS_GbG[[TM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5.5555555555555554</v>
      </c>
      <c r="AA23" s="18">
        <f>IF($D23=0,"DNP",SUMIFS(TEAMS_GbG[BLK],TEAMS_GbG[[TM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</v>
      </c>
      <c r="AB23" s="18">
        <f>IF($D23=0,"DNP",SUMIFS(TEAMS_GbG[BLKA],TEAMS_GbG[[TM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3.6666666666666665</v>
      </c>
      <c r="AC23" s="18">
        <f>IF($D23=0,"DNP",SUMIFS(TEAMS_GbG[PF],TEAMS_GbG[[TM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20.777777777777779</v>
      </c>
      <c r="AD23" s="18">
        <f>IF($D23=0,"DNP",SUMIFS(TEAMS_GbG[DF],TEAMS_GbG[[TM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18.444444444444443</v>
      </c>
      <c r="AE23" s="18">
        <f>IF($D23=0,"DNP",SUMIFS(TEAMS_GbG[VAL],TEAMS_GbG[[TM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74.111111111111114</v>
      </c>
      <c r="AF23" s="18">
        <f>IF($D23=0,"DNP",SUMIFS(TEAMS_GbG[+ / -],TEAMS_GbG[[TM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-0.22222222222222221</v>
      </c>
      <c r="AG23" s="26">
        <f t="shared" si="0"/>
        <v>70</v>
      </c>
      <c r="AH23" s="18">
        <f>IF($D23=0,"DNP",SUMIFS(TEAMS_GbG[POSS],TEAMS_GbG[[TM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70</v>
      </c>
      <c r="AI23" s="18">
        <f>IF($D23=0,"DNP",SUMIFS(TEAMS_GbG[SHOOTING CHANCES],TEAMS_GbG[[TM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81</v>
      </c>
      <c r="AJ23" s="19">
        <f t="shared" si="1"/>
        <v>0.89986282578875165</v>
      </c>
      <c r="AK23" s="19">
        <f t="shared" si="2"/>
        <v>0.91388888888888897</v>
      </c>
      <c r="AL23" s="18">
        <f t="shared" si="3"/>
        <v>104.12698412698411</v>
      </c>
      <c r="AM23" s="18">
        <f t="shared" si="4"/>
        <v>104.44444444444446</v>
      </c>
      <c r="AN23" s="18">
        <f t="shared" si="42"/>
        <v>-0.31746031746034475</v>
      </c>
      <c r="AO23" s="27">
        <f t="shared" si="5"/>
        <v>0.50553505535055343</v>
      </c>
      <c r="AP23" s="28">
        <f t="shared" si="6"/>
        <v>0.54575707154742092</v>
      </c>
      <c r="AQ23" s="34">
        <f t="shared" si="7"/>
        <v>0.18930041152263374</v>
      </c>
      <c r="AR23" s="38">
        <f t="shared" si="8"/>
        <v>1.4492753623188406</v>
      </c>
      <c r="AS23" s="27">
        <f t="shared" si="9"/>
        <v>0.22222222222222221</v>
      </c>
      <c r="AT23" s="38">
        <f t="shared" si="10"/>
        <v>0.71604938271604945</v>
      </c>
      <c r="AU23" s="27">
        <f t="shared" si="11"/>
        <v>9.7393689986282589E-2</v>
      </c>
      <c r="AV23" s="38">
        <f t="shared" si="12"/>
        <v>0.64788732394366189</v>
      </c>
      <c r="AW23" s="27">
        <f t="shared" si="13"/>
        <v>3.7037037037037035E-2</v>
      </c>
      <c r="AX23" s="38">
        <f t="shared" si="14"/>
        <v>1.1111111111111112</v>
      </c>
      <c r="AY23" s="27">
        <f t="shared" si="15"/>
        <v>0.19615912208504802</v>
      </c>
      <c r="AZ23" s="38">
        <f t="shared" si="16"/>
        <v>1.0909090909090908</v>
      </c>
      <c r="BA23" s="28">
        <f t="shared" si="17"/>
        <v>8.0932784636488342E-2</v>
      </c>
      <c r="BB23" s="34">
        <f t="shared" si="18"/>
        <v>0.17582417582417581</v>
      </c>
      <c r="BC23" s="27">
        <f t="shared" si="19"/>
        <v>0.4617940199335549</v>
      </c>
      <c r="BD23" s="27">
        <f t="shared" si="20"/>
        <v>0.39779005524861877</v>
      </c>
      <c r="BE23" s="27">
        <f t="shared" si="21"/>
        <v>0.75806451612903225</v>
      </c>
      <c r="BF23" s="27">
        <f t="shared" si="22"/>
        <v>0.34482758620689652</v>
      </c>
      <c r="BG23" s="27">
        <f t="shared" si="23"/>
        <v>0.19093406593406595</v>
      </c>
      <c r="BH23" s="35">
        <f t="shared" si="24"/>
        <v>1.0859375</v>
      </c>
      <c r="BI23" s="49">
        <f t="shared" si="25"/>
        <v>0.32236842105263158</v>
      </c>
      <c r="BJ23" s="45">
        <f t="shared" si="26"/>
        <v>0.34299516908212552</v>
      </c>
      <c r="BK23" s="45">
        <f t="shared" si="27"/>
        <v>0.37288135593220345</v>
      </c>
      <c r="BL23" s="45">
        <f t="shared" si="28"/>
        <v>0.25</v>
      </c>
      <c r="BM23" s="45">
        <f t="shared" si="29"/>
        <v>0.71153846153846145</v>
      </c>
      <c r="BN23" s="45">
        <f t="shared" si="30"/>
        <v>0.71323529411764708</v>
      </c>
      <c r="BO23" s="45">
        <f t="shared" si="31"/>
        <v>0.67195767195767198</v>
      </c>
      <c r="BP23" s="45">
        <f t="shared" si="32"/>
        <v>0.5714285714285714</v>
      </c>
      <c r="BQ23" s="46">
        <f t="shared" si="33"/>
        <v>0.51948051948051954</v>
      </c>
      <c r="BR23" s="49">
        <f t="shared" si="34"/>
        <v>7.9365079365079361E-2</v>
      </c>
      <c r="BS23" s="45">
        <f t="shared" si="35"/>
        <v>3.3395176252319109E-2</v>
      </c>
      <c r="BT23" s="39">
        <f>IF($D23=0,"DNP",SUMIFS(TEAMS_GbG[KILLS],TEAMS_GbG[[TM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5.1111111111111107</v>
      </c>
      <c r="BU23" s="34">
        <f t="shared" si="36"/>
        <v>0.42780748663101603</v>
      </c>
      <c r="BV23" s="28">
        <f t="shared" si="37"/>
        <v>0.44578313253012058</v>
      </c>
      <c r="BW23" s="18">
        <f>IF($D23=0,"DNP",SUMIFS(TEAMS_GbG[ASTED_2FG],TEAMS_GbG[[TM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</v>
      </c>
      <c r="BX23" s="18">
        <f>IF($D23=0,"DNP",SUMIFS(TEAMS_GbG[ASTED_3FG],TEAMS_GbG[[TM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5.2222222222222223</v>
      </c>
      <c r="BY23" s="18">
        <f>IF($D23=0,"DNP",SUMIFS(TEAMS_GbG[ASTED_FT],TEAMS_GbG[[TM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2.2222222222222223</v>
      </c>
      <c r="BZ23" s="18">
        <f>IF($D23=0,"DNP",SUMIFS(TEAMS_GbG[ASTED_FT PTS],TEAMS_GbG[[TM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4.5555555555555554</v>
      </c>
      <c r="CA23" s="18">
        <f>IF($D23=0,"DNP",SUMIFS(TEAMS_GbG[OR_RIM],TEAMS_GbG[[TM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1.7777777777777777</v>
      </c>
      <c r="CB23" s="18">
        <f>IF($D23=0,"DNP",SUMIFS(TEAMS_GbG[TM OR_RIM],TEAMS_GbG[[TM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0.66666666666666663</v>
      </c>
      <c r="CC23" s="18">
        <f>IF($D23=0,"DNP",SUMIFS(TEAMS_GbG[OR_PAINT],TEAMS_GbG[[TM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3.7777777777777777</v>
      </c>
      <c r="CD23" s="18">
        <f>IF($D23=0,"DNP",SUMIFS(TEAMS_GbG[TM OR_PAINT],TEAMS_GbG[[TM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0.77777777777777779</v>
      </c>
      <c r="CE23" s="18">
        <f>IF($D23=0,"DNP",SUMIFS(TEAMS_GbG[OR_NP2],TEAMS_GbG[[TM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0.88888888888888884</v>
      </c>
      <c r="CF23" s="18">
        <f>IF($D23=0,"DNP",SUMIFS(TEAMS_GbG[TM OR_NP2],TEAMS_GbG[[TM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CG23" s="18">
        <f>IF($D23=0,"DNP",SUMIFS(TEAMS_GbG[OR_3C],TEAMS_GbG[[TM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CH23" s="18">
        <f>IF($D23=0,"DNP",SUMIFS(TEAMS_GbG[TM OR_3C],TEAMS_GbG[[TM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CI23" s="18">
        <f>IF($D23=0,"DNP",SUMIFS(TEAMS_GbG[OR_3L],TEAMS_GbG[[TM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3.5555555555555554</v>
      </c>
      <c r="CJ23" s="18">
        <f>IF($D23=0,"DNP",SUMIFS(TEAMS_GbG[TM OR_3L],TEAMS_GbG[[TM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0.66666666666666663</v>
      </c>
      <c r="CK23" s="18">
        <f>IF($D23=0,"DNP",SUMIFS(TEAMS_GbG[OR_FT],TEAMS_GbG[[TM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CL23" s="18">
        <f>IF($D23=0,"DNP",SUMIFS(TEAMS_GbG[TM OR_FT],TEAMS_GbG[[TM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CM23" s="18">
        <f>IF($D23=0,"DNP",SUMIFS(TEAMS_GbG[DR_RIM],TEAMS_GbG[[TM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2.4444444444444446</v>
      </c>
      <c r="CN23" s="18">
        <f>IF($D23=0,"DNP",SUMIFS(TEAMS_GbG[TM DR_RIM],TEAMS_GbG[[TM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CO23" s="18">
        <f>IF($D23=0,"DNP",SUMIFS(TEAMS_GbG[DR_PAINT],TEAMS_GbG[[TM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5.333333333333333</v>
      </c>
      <c r="CP23" s="18">
        <f>IF($D23=0,"DNP",SUMIFS(TEAMS_GbG[TM DR_PAINT],TEAMS_GbG[[TM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CQ23" s="18">
        <f>IF($D23=0,"DNP",SUMIFS(TEAMS_GbG[DR_NP2],TEAMS_GbG[[TM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2.3333333333333335</v>
      </c>
      <c r="CR23" s="18">
        <f>IF($D23=0,"DNP",SUMIFS(TEAMS_GbG[TM DR_NP2],TEAMS_GbG[[TM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0.33333333333333331</v>
      </c>
      <c r="CS23" s="18">
        <f>IF($D23=0,"DNP",SUMIFS(TEAMS_GbG[DR_3C],TEAMS_GbG[[TM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1.6666666666666667</v>
      </c>
      <c r="CT23" s="18">
        <f>IF($D23=0,"DNP",SUMIFS(TEAMS_GbG[TM DR_3C],TEAMS_GbG[[TM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CU23" s="18">
        <f>IF($D23=0,"DNP",SUMIFS(TEAMS_GbG[DR_3L],TEAMS_GbG[[TM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11.444444444444445</v>
      </c>
      <c r="CV23" s="18">
        <f>IF($D23=0,"DNP",SUMIFS(TEAMS_GbG[TM DR_3L],TEAMS_GbG[[TM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0.88888888888888884</v>
      </c>
      <c r="CW23" s="18">
        <f>IF($D23=0,"DNP",SUMIFS(TEAMS_GbG[DR_FT],TEAMS_GbG[[TM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1.3333333333333333</v>
      </c>
      <c r="CX23" s="18">
        <f>IF($D23=0,"DNP",SUMIFS(TEAMS_GbG[TM DR_FT],TEAMS_GbG[[TM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CY23" s="18">
        <f>IF($D23=0,"DNP",SUMIFS(TEAMS_GbG[FTM_T],TEAMS_GbG[[TM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CZ23" s="18">
        <f>IF($D23=0,"DNP",SUMIFS(TEAMS_GbG[FTA_T],TEAMS_GbG[[TM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DA23" s="18">
        <f>IF($D23=0,"DNP",SUMIFS(TEAMS_GbG[FTM_1],TEAMS_GbG[[TM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</v>
      </c>
      <c r="DB23" s="18">
        <f>IF($D23=0,"DNP",SUMIFS(TEAMS_GbG[FTA_1],TEAMS_GbG[[TM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1.6666666666666667</v>
      </c>
      <c r="DC23" s="18">
        <f>IF($D23=0,"DNP",SUMIFS(TEAMS_GbG[FTM_2],TEAMS_GbG[[TM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8.6666666666666661</v>
      </c>
      <c r="DD23" s="18">
        <f>IF($D23=0,"DNP",SUMIFS(TEAMS_GbG[FTA_2],TEAMS_GbG[[TM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11.777777777777779</v>
      </c>
      <c r="DE23" s="18">
        <f>IF($D23=0,"DNP",SUMIFS(TEAMS_GbG[FT 0/2],TEAMS_GbG[[TM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DF23" s="18">
        <f>IF($D23=0,"DNP",SUMIFS(TEAMS_GbG[FTM_3],TEAMS_GbG[[TM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1.8888888888888888</v>
      </c>
      <c r="DG23" s="18">
        <f>IF($D23=0,"DNP",SUMIFS(TEAMS_GbG[FTA_3],TEAMS_GbG[[TM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</v>
      </c>
      <c r="DH23" s="18">
        <f>IF($D23=0,"DNP",SUMIFS(TEAMS_GbG[FT 0/3],TEAMS_GbG[[TM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DI23" s="18">
        <f>IF($D23=0,"DNP",SUMIFS(TEAMS_GbG[RIM_M],TEAMS_GbG[[TM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11.111111111111111</v>
      </c>
      <c r="DJ23" s="18">
        <f>IF($D23=0,"DNP",SUMIFS(TEAMS_GbG[RIM_A],TEAMS_GbG[[TM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15.333333333333334</v>
      </c>
      <c r="DK23" s="18">
        <f>IF($D23=0,"DNP",SUMIFS(TEAMS_GbG[PAINT_M],TEAMS_GbG[[TM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6.4444444444444446</v>
      </c>
      <c r="DL23" s="18">
        <f>IF($D23=0,"DNP",SUMIFS(TEAMS_GbG[PAINT_A],TEAMS_GbG[[TM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18</v>
      </c>
      <c r="DM23" s="18">
        <f>IF($D23=0,"DNP",SUMIFS(TEAMS_GbG[MID_M],TEAMS_GbG[[TM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2.5555555555555554</v>
      </c>
      <c r="DN23" s="18">
        <f>IF($D23=0,"DNP",SUMIFS(TEAMS_GbG[MID_A],TEAMS_GbG[[TM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7.8888888888888893</v>
      </c>
      <c r="DO23" s="18">
        <f>IF($D23=0,"DNP",SUMIFS(TEAMS_GbG[3C_M],TEAMS_GbG[[TM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1.1111111111111112</v>
      </c>
      <c r="DP23" s="18">
        <f>IF($D23=0,"DNP",SUMIFS(TEAMS_GbG[3C_A],TEAMS_GbG[[TM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</v>
      </c>
      <c r="DQ23" s="18">
        <f>IF($D23=0,"DNP",SUMIFS(TEAMS_GbG[3L_M],TEAMS_GbG[[TM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5.7777777777777777</v>
      </c>
      <c r="DR23" s="18">
        <f>IF($D23=0,"DNP",SUMIFS(TEAMS_GbG[3L_A],TEAMS_GbG[[TM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15.888888888888889</v>
      </c>
      <c r="DS23" s="18">
        <f>IF($D23=0,"DNP",SUMIFS(TEAMS_GbG[3H_M],TEAMS_GbG[[TM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DT23" s="18">
        <f>IF($D23=0,"DNP",SUMIFS(TEAMS_GbG[3H_A],TEAMS_GbG[[TM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DU23" s="18">
        <f>IF($D23=0,"DNP",SUMIFS(TEAMS_GbG[OPP PTS],TEAMS_GbG[[TM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73.111111111111114</v>
      </c>
      <c r="DV23" s="18">
        <f>IF($D23=0,"DNP",SUMIFS(TEAMS_GbG[OPP 2PTM],TEAMS_GbG[[TM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17.555555555555557</v>
      </c>
      <c r="DW23" s="18">
        <f>IF($D23=0,"DNP",SUMIFS(TEAMS_GbG[OPP 2PTA],TEAMS_GbG[[TM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31.777777777777779</v>
      </c>
      <c r="DX23" s="16">
        <f t="shared" si="43"/>
        <v>0.5524475524475525</v>
      </c>
      <c r="DY23" s="18">
        <f>IF($D23=0,"DNP",SUMIFS(TEAMS_GbG[OPP 3PTM],TEAMS_GbG[[TM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8.3333333333333339</v>
      </c>
      <c r="DZ23" s="18">
        <f>IF($D23=0,"DNP",SUMIFS(TEAMS_GbG[OPP 3PTA],TEAMS_GbG[[TM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28.111111111111111</v>
      </c>
      <c r="EA23" s="16">
        <f t="shared" si="44"/>
        <v>0.29644268774703558</v>
      </c>
      <c r="EB23" s="18">
        <f>IF($D23=0,"DNP",SUMIFS(TEAMS_GbG[OPP FGM],TEAMS_GbG[[TM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25.888888888888889</v>
      </c>
      <c r="EC23" s="18">
        <f>IF($D23=0,"DNP",SUMIFS(TEAMS_GbG[OPP FGA],TEAMS_GbG[[TM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59.888888888888886</v>
      </c>
      <c r="ED23" s="16">
        <f t="shared" si="45"/>
        <v>0.43228200371057518</v>
      </c>
      <c r="EE23" s="18">
        <f>IF($D23=0,"DNP",SUMIFS(TEAMS_GbG[OPP FTM],TEAMS_GbG[[TM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13</v>
      </c>
      <c r="EF23" s="18">
        <f>IF($D23=0,"DNP",SUMIFS(TEAMS_GbG[OPP FTA],TEAMS_GbG[[TM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17.111111111111111</v>
      </c>
      <c r="EG23" s="16">
        <f t="shared" si="46"/>
        <v>0.75974025974025972</v>
      </c>
      <c r="EH23" s="18">
        <f>IF($D23=0,"DNP",SUMIFS(TEAMS_GbG[OPP OR],TEAMS_GbG[[TM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10</v>
      </c>
      <c r="EI23" s="18">
        <f>IF($D23=0,"DNP",SUMIFS(TEAMS_GbG[OPP DR],TEAMS_GbG[[TM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22.888888888888889</v>
      </c>
      <c r="EJ23" s="18">
        <f>IF($D23=0,"DNP",SUMIFS(TEAMS_GbG[OPP TR],TEAMS_GbG[[TM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32.888888888888886</v>
      </c>
      <c r="EK23" s="18">
        <f>IF($D23=0,"DNP",SUMIFS(TEAMS_GbG[OPP AST],TEAMS_GbG[[TM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16</v>
      </c>
      <c r="EL23" s="18">
        <f>IF($D23=0,"DNP",SUMIFS(TEAMS_GbG[OPP PF],TEAMS_GbG[[TM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18.888888888888889</v>
      </c>
      <c r="EM23" s="18">
        <f>IF($D23=0,"DNP",SUMIFS(TEAMS_GbG[OPP DF],TEAMS_GbG[[TM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20.555555555555557</v>
      </c>
      <c r="EN23" s="18">
        <f>IF($D23=0,"DNP",SUMIFS(TEAMS_GbG[OPP ST],TEAMS_GbG[[TM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7.1111111111111107</v>
      </c>
      <c r="EO23" s="18">
        <f>IF($D23=0,"DNP",SUMIFS(TEAMS_GbG[OPP TO],TEAMS_GbG[[TM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12.888888888888889</v>
      </c>
      <c r="EP23" s="18">
        <f>IF($D23=0,"DNP",SUMIFS(TEAMS_GbG[OPP BLK],TEAMS_GbG[[TM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3.6666666666666665</v>
      </c>
      <c r="EQ23" s="18">
        <f>IF($D23=0,"DNP",SUMIFS(TEAMS_GbG[OPP BLKA],TEAMS_GbG[[TM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</v>
      </c>
      <c r="ER23" s="18">
        <f>IF($D23=0,"DNP",SUMIFS(TEAMS_GbG[OPP VAL],TEAMS_GbG[[TM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81.444444444444443</v>
      </c>
      <c r="ES23" s="18">
        <f>IF($D23=0,"DNP",SUMIFS(TEAMS_GbG[OPP + / -],TEAMS_GbG[[TM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ET23" s="18">
        <f>IF($D23=0,"DNP",SUMIFS(TEAMS_GbG[OPP POSS],TEAMS_GbG[[TM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70</v>
      </c>
      <c r="EU23" s="18">
        <f>IF($D23=0,"DNP",SUMIFS(TEAMS_GbG[OPP SHOOTING CHANCES],TEAMS_GbG[[TM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80</v>
      </c>
      <c r="EV23" s="18">
        <f>IF($D23=0,"DNP",SUMIFS(TEAMS_GbG[OPP KILLS],TEAMS_GbG[[TM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</v>
      </c>
      <c r="EW23" s="18">
        <f>IF($D23=0,"DNP",SUMIFS(TEAMS_GbG[OPP ASTED_2FG],TEAMS_GbG[[TM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9</v>
      </c>
      <c r="EX23" s="18">
        <f>IF($D23=0,"DNP",SUMIFS(TEAMS_GbG[OPP ASTED_3FG],TEAMS_GbG[[TM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5.8888888888888893</v>
      </c>
      <c r="EY23" s="18">
        <f>IF($D23=0,"DNP",SUMIFS(TEAMS_GbG[OPP ASTED_FT],TEAMS_GbG[[TM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1.1111111111111112</v>
      </c>
      <c r="EZ23" s="18">
        <f>IF($D23=0,"DNP",SUMIFS(TEAMS_GbG[OPP ASTED_FT PTS],TEAMS_GbG[[TM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1.7777777777777777</v>
      </c>
      <c r="FA23" s="18">
        <f>IF($D23=0,"DNP",SUMIFS(TEAMS_GbG[OPP OR_RIM],TEAMS_GbG[[TM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1.3333333333333333</v>
      </c>
      <c r="FB23" s="18">
        <f>IF($D23=0,"DNP",SUMIFS(TEAMS_GbG[OPP TM OR_RIM],TEAMS_GbG[[TM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FC23" s="18">
        <f>IF($D23=0,"DNP",SUMIFS(TEAMS_GbG[OPP OR_PAINT],TEAMS_GbG[[TM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1.8888888888888888</v>
      </c>
      <c r="FD23" s="18">
        <f>IF($D23=0,"DNP",SUMIFS(TEAMS_GbG[OPP TM OR_PAINT],TEAMS_GbG[[TM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FE23" s="18">
        <f>IF($D23=0,"DNP",SUMIFS(TEAMS_GbG[OPP OR_NP2],TEAMS_GbG[[TM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FF23" s="18">
        <f>IF($D23=0,"DNP",SUMIFS(TEAMS_GbG[OPP TM OR_NP2],TEAMS_GbG[[TM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FG23" s="18">
        <f>IF($D23=0,"DNP",SUMIFS(TEAMS_GbG[OPP OR_3C],TEAMS_GbG[[TM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FH23" s="18">
        <f>IF($D23=0,"DNP",SUMIFS(TEAMS_GbG[OPP TM OR_3C],TEAMS_GbG[[TM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FI23" s="18">
        <f>IF($D23=0,"DNP",SUMIFS(TEAMS_GbG[OPP OR_3L],TEAMS_GbG[[TM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5.333333333333333</v>
      </c>
      <c r="FJ23" s="18">
        <f>IF($D23=0,"DNP",SUMIFS(TEAMS_GbG[OPP TM OR_3L],TEAMS_GbG[[TM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1.3333333333333333</v>
      </c>
      <c r="FK23" s="18">
        <f>IF($D23=0,"DNP",SUMIFS(TEAMS_GbG[OPP OR_FT],TEAMS_GbG[[TM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0.66666666666666663</v>
      </c>
      <c r="FL23" s="18">
        <f>IF($D23=0,"DNP",SUMIFS(TEAMS_GbG[OPP TM OR_FT],TEAMS_GbG[[TM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0.33333333333333331</v>
      </c>
      <c r="FM23" s="18">
        <f>IF($D23=0,"DNP",SUMIFS(TEAMS_GbG[OPP DR_RIM],TEAMS_GbG[[TM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2.2222222222222223</v>
      </c>
      <c r="FN23" s="18">
        <f>IF($D23=0,"DNP",SUMIFS(TEAMS_GbG[OPP TM DR_RIM],TEAMS_GbG[[TM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FO23" s="18">
        <f>IF($D23=0,"DNP",SUMIFS(TEAMS_GbG[OPP DR_PAINT],TEAMS_GbG[[TM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7.666666666666667</v>
      </c>
      <c r="FP23" s="18">
        <f>IF($D23=0,"DNP",SUMIFS(TEAMS_GbG[OPP TM DR_PAINT],TEAMS_GbG[[TM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FQ23" s="18">
        <f>IF($D23=0,"DNP",SUMIFS(TEAMS_GbG[OPP DR_NP2],TEAMS_GbG[[TM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4.2222222222222223</v>
      </c>
      <c r="FR23" s="18">
        <f>IF($D23=0,"DNP",SUMIFS(TEAMS_GbG[OPP TM DR_NP2],TEAMS_GbG[[TM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FS23" s="18">
        <f>IF($D23=0,"DNP",SUMIFS(TEAMS_GbG[OPP DR_3C],TEAMS_GbG[[TM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1.3333333333333333</v>
      </c>
      <c r="FT23" s="18">
        <f>IF($D23=0,"DNP",SUMIFS(TEAMS_GbG[OPP TM DR_3C],TEAMS_GbG[[TM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FU23" s="18">
        <f>IF($D23=0,"DNP",SUMIFS(TEAMS_GbG[OPP DR_3L],TEAMS_GbG[[TM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6.1111111111111107</v>
      </c>
      <c r="FV23" s="18">
        <f>IF($D23=0,"DNP",SUMIFS(TEAMS_GbG[OPP TM DR_3L],TEAMS_GbG[[TM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FW23" s="18">
        <f>IF($D23=0,"DNP",SUMIFS(TEAMS_GbG[OPP DR_FT],TEAMS_GbG[[TM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1.1111111111111112</v>
      </c>
      <c r="FX23" s="18">
        <f>IF($D23=0,"DNP",SUMIFS(TEAMS_GbG[OPP TM DR_FT],TEAMS_GbG[[TM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FY23" s="18">
        <f>IF($D23=0,"DNP",SUMIFS(TEAMS_GbG[OPP FTM_T],TEAMS_GbG[[TM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0.33333333333333331</v>
      </c>
      <c r="FZ23" s="18">
        <f>IF($D23=0,"DNP",SUMIFS(TEAMS_GbG[OPP FTA_T],TEAMS_GbG[[TM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GA23" s="18">
        <f>IF($D23=0,"DNP",SUMIFS(TEAMS_GbG[OPP FTM_1],TEAMS_GbG[[TM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0.77777777777777779</v>
      </c>
      <c r="GB23" s="18">
        <f>IF($D23=0,"DNP",SUMIFS(TEAMS_GbG[OPP FTA_1],TEAMS_GbG[[TM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1.6666666666666667</v>
      </c>
      <c r="GC23" s="18">
        <f>IF($D23=0,"DNP",SUMIFS(TEAMS_GbG[OPP FTM_2],TEAMS_GbG[[TM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11.333333333333334</v>
      </c>
      <c r="GD23" s="18">
        <f>IF($D23=0,"DNP",SUMIFS(TEAMS_GbG[OPP FTA_2],TEAMS_GbG[[TM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13.777777777777779</v>
      </c>
      <c r="GE23" s="18">
        <f>IF($D23=0,"DNP",SUMIFS(TEAMS_GbG[OPP FT 0/2],TEAMS_GbG[[TM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GF23" s="18">
        <f>IF($D23=0,"DNP",SUMIFS(TEAMS_GbG[OPP FTM_3],TEAMS_GbG[[TM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GG23" s="18">
        <f>IF($D23=0,"DNP",SUMIFS(TEAMS_GbG[OPP FTA_3],TEAMS_GbG[[TM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</v>
      </c>
      <c r="GH23" s="18">
        <f>IF($D23=0,"DNP",SUMIFS(TEAMS_GbG[OPP FT 0/3],TEAMS_GbG[[TM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GI23" s="18">
        <f>IF($D23=0,"DNP",SUMIFS(TEAMS_GbG[OPP RIM_M],TEAMS_GbG[[TM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9</v>
      </c>
      <c r="GJ23" s="18">
        <f>IF($D23=0,"DNP",SUMIFS(TEAMS_GbG[OPP RIM_A],TEAMS_GbG[[TM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12.888888888888889</v>
      </c>
      <c r="GK23" s="18">
        <f>IF($D23=0,"DNP",SUMIFS(TEAMS_GbG[OPP PAINT_M],TEAMS_GbG[[TM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6.8888888888888893</v>
      </c>
      <c r="GL23" s="18">
        <f>IF($D23=0,"DNP",SUMIFS(TEAMS_GbG[OPP PAINT_A],TEAMS_GbG[[TM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14.444444444444445</v>
      </c>
      <c r="GM23" s="18">
        <f>IF($D23=0,"DNP",SUMIFS(TEAMS_GbG[OPP MID_M],TEAMS_GbG[[TM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1.6666666666666667</v>
      </c>
      <c r="GN23" s="18">
        <f>IF($D23=0,"DNP",SUMIFS(TEAMS_GbG[OPP MID_A],TEAMS_GbG[[TM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4.4444444444444446</v>
      </c>
      <c r="GO23" s="18">
        <f>IF($D23=0,"DNP",SUMIFS(TEAMS_GbG[OPP 3C_M],TEAMS_GbG[[TM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1.4444444444444444</v>
      </c>
      <c r="GP23" s="18">
        <f>IF($D23=0,"DNP",SUMIFS(TEAMS_GbG[OPP 3C_A],TEAMS_GbG[[TM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3.3333333333333335</v>
      </c>
      <c r="GQ23" s="18">
        <f>IF($D23=0,"DNP",SUMIFS(TEAMS_GbG[OPP 3L_M],TEAMS_GbG[[TM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6.8888888888888893</v>
      </c>
      <c r="GR23" s="18">
        <f>IF($D23=0,"DNP",SUMIFS(TEAMS_GbG[OPP 3L_A],TEAMS_GbG[[TM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24.111111111111111</v>
      </c>
      <c r="GS23" s="18">
        <f>IF($D23=0,"DNP",SUMIFS(TEAMS_GbG[OPP 3H_M],TEAMS_GbG[[TM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GT23" s="18">
        <f>IF($D23=0,"DNP",SUMIFS(TEAMS_GbG[OPP 3H_A],TEAMS_GbG[[TM NAME]:[TM NAME]],$C23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GU23" s="16">
        <f ca="1">IF(TEAMS_STATS[[#This Row],[TM NAME]]="","",INDEX(SoS!$C$113:$C$144,MATCH(TEAMS_STATS[[#This Row],[TM NAME]],SoS!$B$113:$B$144,0)))</f>
        <v>0.53991218400940622</v>
      </c>
    </row>
    <row r="24" spans="2:203" ht="15" customHeight="1" x14ac:dyDescent="0.25">
      <c r="B24" s="12">
        <f>_xlfn.AGGREGATE(3,5,$C$7:C23)</f>
        <v>17</v>
      </c>
      <c r="C24" s="14" t="str">
        <f>BASIS_INFO!F19</f>
        <v>Virtus Segafredo Bologna</v>
      </c>
      <c r="D24" s="20">
        <f>COUNTIFS(TEAMS_GbG[[TM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4" s="20">
        <f>COUNTIFS(TEAMS_GbG[[TM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6</v>
      </c>
      <c r="F24" s="20">
        <f>COUNTIFS(TEAMS_GbG[[TM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3</v>
      </c>
      <c r="G24" s="18">
        <f>IF($D24=0,"DNP",SUMIFS(TEAMS_GbG[MIN],TEAMS_GbG[[TM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200</v>
      </c>
      <c r="H24" s="18">
        <f>IF($D24=0,"DNP",SUMIFS(TEAMS_GbG[PTS],TEAMS_GbG[[TM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83.333333333333329</v>
      </c>
      <c r="I24" s="18">
        <f>IF($D24=0,"DNP",SUMIFS(TEAMS_GbG[2PTM],TEAMS_GbG[[TM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20.888888888888889</v>
      </c>
      <c r="J24" s="18">
        <f>IF($D24=0,"DNP",SUMIFS(TEAMS_GbG[2PTA],TEAMS_GbG[[TM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36</v>
      </c>
      <c r="K24" s="16">
        <f t="shared" ref="K24:K25" si="47">IF($D24=0,"DNP",IF(J24=0,"-",I24/J24))</f>
        <v>0.58024691358024694</v>
      </c>
      <c r="L24" s="18">
        <f>IF($D24=0,"DNP",SUMIFS(TEAMS_GbG[3PTM],TEAMS_GbG[[TM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9.8888888888888893</v>
      </c>
      <c r="M24" s="18">
        <f>IF($D24=0,"DNP",SUMIFS(TEAMS_GbG[3PTA],TEAMS_GbG[[TM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25.888888888888889</v>
      </c>
      <c r="N24" s="16">
        <f t="shared" ref="N24:N25" si="48">IF($D24=0,"DNP",IF(M24=0,"-",L24/M24))</f>
        <v>0.38197424892703863</v>
      </c>
      <c r="O24" s="18">
        <f>IF($D24=0,"DNP",SUMIFS(TEAMS_GbG[FGM],TEAMS_GbG[[TM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30.777777777777779</v>
      </c>
      <c r="P24" s="18">
        <f>IF($D24=0,"DNP",SUMIFS(TEAMS_GbG[FGA],TEAMS_GbG[[TM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61.888888888888886</v>
      </c>
      <c r="Q24" s="16">
        <f t="shared" ref="Q24:Q25" si="49">IF($D24=0,"DNP",IF(P24=0,"-",O24/P24))</f>
        <v>0.49730700179533216</v>
      </c>
      <c r="R24" s="18">
        <f>IF($D24=0,"DNP",SUMIFS(TEAMS_GbG[FTM],TEAMS_GbG[[TM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11.888888888888889</v>
      </c>
      <c r="S24" s="18">
        <f>IF($D24=0,"DNP",SUMIFS(TEAMS_GbG[FTA],TEAMS_GbG[[TM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15.666666666666666</v>
      </c>
      <c r="T24" s="16">
        <f t="shared" ref="T24:T25" si="50">IF($D24=0,"DNP",IF(S24=0,"-",R24/S24))</f>
        <v>0.75886524822695045</v>
      </c>
      <c r="U24" s="18">
        <f>IF($D24=0,"DNP",SUMIFS(TEAMS_GbG[OR],TEAMS_GbG[[TM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9.5555555555555554</v>
      </c>
      <c r="V24" s="18">
        <f>IF($D24=0,"DNP",SUMIFS(TEAMS_GbG[DR],TEAMS_GbG[[TM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22.888888888888889</v>
      </c>
      <c r="W24" s="18">
        <f>IF($D24=0,"DNP",SUMIFS(TEAMS_GbG[TR],TEAMS_GbG[[TM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32.444444444444443</v>
      </c>
      <c r="X24" s="18">
        <f>IF($D24=0,"DNP",SUMIFS(TEAMS_GbG[AST],TEAMS_GbG[[TM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19.777777777777779</v>
      </c>
      <c r="Y24" s="18">
        <f>IF($D24=0,"DNP",SUMIFS(TEAMS_GbG[TO],TEAMS_GbG[[TM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12.888888888888889</v>
      </c>
      <c r="Z24" s="18">
        <f>IF($D24=0,"DNP",SUMIFS(TEAMS_GbG[ST],TEAMS_GbG[[TM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6.1111111111111107</v>
      </c>
      <c r="AA24" s="18">
        <f>IF($D24=0,"DNP",SUMIFS(TEAMS_GbG[BLK],TEAMS_GbG[[TM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2.7777777777777777</v>
      </c>
      <c r="AB24" s="18">
        <f>IF($D24=0,"DNP",SUMIFS(TEAMS_GbG[BLKA],TEAMS_GbG[[TM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AC24" s="18">
        <f>IF($D24=0,"DNP",SUMIFS(TEAMS_GbG[PF],TEAMS_GbG[[TM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22</v>
      </c>
      <c r="AD24" s="18">
        <f>IF($D24=0,"DNP",SUMIFS(TEAMS_GbG[DF],TEAMS_GbG[[TM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18.555555555555557</v>
      </c>
      <c r="AE24" s="18">
        <f>IF($D24=0,"DNP",SUMIFS(TEAMS_GbG[VAL],TEAMS_GbG[[TM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91.555555555555557</v>
      </c>
      <c r="AF24" s="18">
        <f>IF($D24=0,"DNP",SUMIFS(TEAMS_GbG[+ / -],TEAMS_GbG[[TM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2.2222222222222223</v>
      </c>
      <c r="AG24" s="26">
        <f t="shared" si="0"/>
        <v>71.333333333333329</v>
      </c>
      <c r="AH24" s="18">
        <f>IF($D24=0,"DNP",SUMIFS(TEAMS_GbG[POSS],TEAMS_GbG[[TM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71.333333333333329</v>
      </c>
      <c r="AI24" s="18">
        <f>IF($D24=0,"DNP",SUMIFS(TEAMS_GbG[SHOOTING CHANCES],TEAMS_GbG[[TM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80.888888888888886</v>
      </c>
      <c r="AJ24" s="19">
        <f t="shared" si="1"/>
        <v>1.0302197802197801</v>
      </c>
      <c r="AK24" s="19">
        <f t="shared" si="2"/>
        <v>0.99726775956284164</v>
      </c>
      <c r="AL24" s="18">
        <f t="shared" si="3"/>
        <v>116.82242990654206</v>
      </c>
      <c r="AM24" s="18">
        <f t="shared" si="4"/>
        <v>114.0625</v>
      </c>
      <c r="AN24" s="18">
        <f t="shared" ref="AN24:AN25" si="51">IF($D24=0,"DNP",AL24-AM24)</f>
        <v>2.7599299065420553</v>
      </c>
      <c r="AO24" s="27">
        <f t="shared" si="5"/>
        <v>0.57719928186714542</v>
      </c>
      <c r="AP24" s="28">
        <f t="shared" si="6"/>
        <v>0.61274509803921562</v>
      </c>
      <c r="AQ24" s="34">
        <f t="shared" si="7"/>
        <v>0.11675824175824176</v>
      </c>
      <c r="AR24" s="38">
        <f t="shared" si="8"/>
        <v>1.7176470588235293</v>
      </c>
      <c r="AS24" s="27">
        <f t="shared" si="9"/>
        <v>0.24313186813186816</v>
      </c>
      <c r="AT24" s="38">
        <f t="shared" si="10"/>
        <v>1.0508474576271187</v>
      </c>
      <c r="AU24" s="27">
        <f t="shared" si="11"/>
        <v>8.5164835164835168E-2</v>
      </c>
      <c r="AV24" s="38">
        <f t="shared" si="12"/>
        <v>0.70967741935483875</v>
      </c>
      <c r="AW24" s="27">
        <f t="shared" si="13"/>
        <v>1.2362637362637364E-2</v>
      </c>
      <c r="AX24" s="38">
        <f t="shared" si="14"/>
        <v>0.66666666666666663</v>
      </c>
      <c r="AY24" s="27">
        <f t="shared" si="15"/>
        <v>0.30494505494505497</v>
      </c>
      <c r="AZ24" s="38">
        <f t="shared" si="16"/>
        <v>1.1756756756756757</v>
      </c>
      <c r="BA24" s="28">
        <f t="shared" si="17"/>
        <v>7.5549450549450559E-2</v>
      </c>
      <c r="BB24" s="34">
        <f t="shared" si="18"/>
        <v>0.15934065934065936</v>
      </c>
      <c r="BC24" s="27">
        <f t="shared" si="19"/>
        <v>0.53939393939393931</v>
      </c>
      <c r="BD24" s="27">
        <f t="shared" si="20"/>
        <v>0.4893617021276595</v>
      </c>
      <c r="BE24" s="27">
        <f t="shared" si="21"/>
        <v>0.82022471910112349</v>
      </c>
      <c r="BF24" s="27">
        <f t="shared" si="22"/>
        <v>0.2452830188679245</v>
      </c>
      <c r="BG24" s="27">
        <f t="shared" si="23"/>
        <v>0.24450549450549453</v>
      </c>
      <c r="BH24" s="35">
        <f t="shared" si="24"/>
        <v>1.5344827586206897</v>
      </c>
      <c r="BI24" s="49">
        <f t="shared" si="25"/>
        <v>0.2986111111111111</v>
      </c>
      <c r="BJ24" s="45">
        <f t="shared" si="26"/>
        <v>0.30344827586206902</v>
      </c>
      <c r="BK24" s="45">
        <f t="shared" si="27"/>
        <v>0.3241379310344828</v>
      </c>
      <c r="BL24" s="45">
        <f t="shared" si="28"/>
        <v>0.25</v>
      </c>
      <c r="BM24" s="45">
        <f t="shared" si="29"/>
        <v>0.69594594594594605</v>
      </c>
      <c r="BN24" s="45">
        <f t="shared" si="30"/>
        <v>0.66081871345029242</v>
      </c>
      <c r="BO24" s="45">
        <f t="shared" si="31"/>
        <v>0.70895522388059706</v>
      </c>
      <c r="BP24" s="45">
        <f t="shared" si="32"/>
        <v>0.69565217391304346</v>
      </c>
      <c r="BQ24" s="46">
        <f t="shared" si="33"/>
        <v>0.5</v>
      </c>
      <c r="BR24" s="49">
        <f t="shared" si="34"/>
        <v>8.5937499999999986E-2</v>
      </c>
      <c r="BS24" s="45">
        <f t="shared" si="35"/>
        <v>4.6468401486988845E-2</v>
      </c>
      <c r="BT24" s="39">
        <f>IF($D24=0,"DNP",SUMIFS(TEAMS_GbG[KILLS],TEAMS_GbG[[TM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4.333333333333333</v>
      </c>
      <c r="BU24" s="34">
        <f t="shared" si="36"/>
        <v>0.51515151515151514</v>
      </c>
      <c r="BV24" s="28">
        <f t="shared" si="37"/>
        <v>0.45508982035928142</v>
      </c>
      <c r="BW24" s="18">
        <f>IF($D24=0,"DNP",SUMIFS(TEAMS_GbG[ASTED_2FG],TEAMS_GbG[[TM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10.222222222222221</v>
      </c>
      <c r="BX24" s="18">
        <f>IF($D24=0,"DNP",SUMIFS(TEAMS_GbG[ASTED_3FG],TEAMS_GbG[[TM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8.1111111111111107</v>
      </c>
      <c r="BY24" s="18">
        <f>IF($D24=0,"DNP",SUMIFS(TEAMS_GbG[ASTED_FT],TEAMS_GbG[[TM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1.4444444444444444</v>
      </c>
      <c r="BZ24" s="18">
        <f>IF($D24=0,"DNP",SUMIFS(TEAMS_GbG[ASTED_FT PTS],TEAMS_GbG[[TM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2.3333333333333335</v>
      </c>
      <c r="CA24" s="18">
        <f>IF($D24=0,"DNP",SUMIFS(TEAMS_GbG[OR_RIM],TEAMS_GbG[[TM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CB24" s="18">
        <f>IF($D24=0,"DNP",SUMIFS(TEAMS_GbG[TM OR_RIM],TEAMS_GbG[[TM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CC24" s="18">
        <f>IF($D24=0,"DNP",SUMIFS(TEAMS_GbG[OR_PAINT],TEAMS_GbG[[TM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2.6666666666666665</v>
      </c>
      <c r="CD24" s="18">
        <f>IF($D24=0,"DNP",SUMIFS(TEAMS_GbG[TM OR_PAINT],TEAMS_GbG[[TM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CE24" s="18">
        <f>IF($D24=0,"DNP",SUMIFS(TEAMS_GbG[OR_NP2],TEAMS_GbG[[TM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1.1111111111111112</v>
      </c>
      <c r="CF24" s="18">
        <f>IF($D24=0,"DNP",SUMIFS(TEAMS_GbG[TM OR_NP2],TEAMS_GbG[[TM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CG24" s="18">
        <f>IF($D24=0,"DNP",SUMIFS(TEAMS_GbG[OR_3C],TEAMS_GbG[[TM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CH24" s="18">
        <f>IF($D24=0,"DNP",SUMIFS(TEAMS_GbG[TM OR_3C],TEAMS_GbG[[TM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CI24" s="18">
        <f>IF($D24=0,"DNP",SUMIFS(TEAMS_GbG[OR_3L],TEAMS_GbG[[TM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4.8888888888888893</v>
      </c>
      <c r="CJ24" s="18">
        <f>IF($D24=0,"DNP",SUMIFS(TEAMS_GbG[TM OR_3L],TEAMS_GbG[[TM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CK24" s="18">
        <f>IF($D24=0,"DNP",SUMIFS(TEAMS_GbG[OR_FT],TEAMS_GbG[[TM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CL24" s="18">
        <f>IF($D24=0,"DNP",SUMIFS(TEAMS_GbG[TM OR_FT],TEAMS_GbG[[TM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CM24" s="18">
        <f>IF($D24=0,"DNP",SUMIFS(TEAMS_GbG[DR_RIM],TEAMS_GbG[[TM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1.2222222222222223</v>
      </c>
      <c r="CN24" s="18">
        <f>IF($D24=0,"DNP",SUMIFS(TEAMS_GbG[TM DR_RIM],TEAMS_GbG[[TM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CO24" s="18">
        <f>IF($D24=0,"DNP",SUMIFS(TEAMS_GbG[DR_PAINT],TEAMS_GbG[[TM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7.333333333333333</v>
      </c>
      <c r="CP24" s="18">
        <f>IF($D24=0,"DNP",SUMIFS(TEAMS_GbG[TM DR_PAINT],TEAMS_GbG[[TM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0.55555555555555558</v>
      </c>
      <c r="CQ24" s="18">
        <f>IF($D24=0,"DNP",SUMIFS(TEAMS_GbG[DR_NP2],TEAMS_GbG[[TM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</v>
      </c>
      <c r="CR24" s="18">
        <f>IF($D24=0,"DNP",SUMIFS(TEAMS_GbG[TM DR_NP2],TEAMS_GbG[[TM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CS24" s="18">
        <f>IF($D24=0,"DNP",SUMIFS(TEAMS_GbG[DR_3C],TEAMS_GbG[[TM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CT24" s="18">
        <f>IF($D24=0,"DNP",SUMIFS(TEAMS_GbG[TM DR_3C],TEAMS_GbG[[TM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CU24" s="18">
        <f>IF($D24=0,"DNP",SUMIFS(TEAMS_GbG[DR_3L],TEAMS_GbG[[TM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9.2222222222222214</v>
      </c>
      <c r="CV24" s="18">
        <f>IF($D24=0,"DNP",SUMIFS(TEAMS_GbG[TM DR_3L],TEAMS_GbG[[TM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0.88888888888888884</v>
      </c>
      <c r="CW24" s="18">
        <f>IF($D24=0,"DNP",SUMIFS(TEAMS_GbG[DR_FT],TEAMS_GbG[[TM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CX24" s="18">
        <f>IF($D24=0,"DNP",SUMIFS(TEAMS_GbG[TM DR_FT],TEAMS_GbG[[TM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CY24" s="18">
        <f>IF($D24=0,"DNP",SUMIFS(TEAMS_GbG[FTM_T],TEAMS_GbG[[TM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CZ24" s="18">
        <f>IF($D24=0,"DNP",SUMIFS(TEAMS_GbG[FTA_T],TEAMS_GbG[[TM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DA24" s="18">
        <f>IF($D24=0,"DNP",SUMIFS(TEAMS_GbG[FTM_1],TEAMS_GbG[[TM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1.4444444444444444</v>
      </c>
      <c r="DB24" s="18">
        <f>IF($D24=0,"DNP",SUMIFS(TEAMS_GbG[FTA_1],TEAMS_GbG[[TM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2.3333333333333335</v>
      </c>
      <c r="DC24" s="18">
        <f>IF($D24=0,"DNP",SUMIFS(TEAMS_GbG[FTM_2],TEAMS_GbG[[TM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8.3333333333333339</v>
      </c>
      <c r="DD24" s="18">
        <f>IF($D24=0,"DNP",SUMIFS(TEAMS_GbG[FTA_2],TEAMS_GbG[[TM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10.888888888888889</v>
      </c>
      <c r="DE24" s="18">
        <f>IF($D24=0,"DNP",SUMIFS(TEAMS_GbG[FT 0/2],TEAMS_GbG[[TM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DF24" s="18">
        <f>IF($D24=0,"DNP",SUMIFS(TEAMS_GbG[FTM_3],TEAMS_GbG[[TM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DG24" s="18">
        <f>IF($D24=0,"DNP",SUMIFS(TEAMS_GbG[FTA_3],TEAMS_GbG[[TM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</v>
      </c>
      <c r="DH24" s="18">
        <f>IF($D24=0,"DNP",SUMIFS(TEAMS_GbG[FT 0/3],TEAMS_GbG[[TM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DI24" s="18">
        <f>IF($D24=0,"DNP",SUMIFS(TEAMS_GbG[RIM_M],TEAMS_GbG[[TM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8.1111111111111107</v>
      </c>
      <c r="DJ24" s="18">
        <f>IF($D24=0,"DNP",SUMIFS(TEAMS_GbG[RIM_A],TEAMS_GbG[[TM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9.4444444444444446</v>
      </c>
      <c r="DK24" s="18">
        <f>IF($D24=0,"DNP",SUMIFS(TEAMS_GbG[PAINT_M],TEAMS_GbG[[TM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10.333333333333334</v>
      </c>
      <c r="DL24" s="18">
        <f>IF($D24=0,"DNP",SUMIFS(TEAMS_GbG[PAINT_A],TEAMS_GbG[[TM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19.666666666666668</v>
      </c>
      <c r="DM24" s="18">
        <f>IF($D24=0,"DNP",SUMIFS(TEAMS_GbG[MID_M],TEAMS_GbG[[TM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2.4444444444444446</v>
      </c>
      <c r="DN24" s="18">
        <f>IF($D24=0,"DNP",SUMIFS(TEAMS_GbG[MID_A],TEAMS_GbG[[TM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6.8888888888888893</v>
      </c>
      <c r="DO24" s="18">
        <f>IF($D24=0,"DNP",SUMIFS(TEAMS_GbG[3C_M],TEAMS_GbG[[TM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DP24" s="18">
        <f>IF($D24=0,"DNP",SUMIFS(TEAMS_GbG[3C_A],TEAMS_GbG[[TM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</v>
      </c>
      <c r="DQ24" s="18">
        <f>IF($D24=0,"DNP",SUMIFS(TEAMS_GbG[3L_M],TEAMS_GbG[[TM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9.6666666666666661</v>
      </c>
      <c r="DR24" s="18">
        <f>IF($D24=0,"DNP",SUMIFS(TEAMS_GbG[3L_A],TEAMS_GbG[[TM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24.666666666666668</v>
      </c>
      <c r="DS24" s="18">
        <f>IF($D24=0,"DNP",SUMIFS(TEAMS_GbG[3H_M],TEAMS_GbG[[TM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DT24" s="18">
        <f>IF($D24=0,"DNP",SUMIFS(TEAMS_GbG[3H_A],TEAMS_GbG[[TM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DU24" s="18">
        <f>IF($D24=0,"DNP",SUMIFS(TEAMS_GbG[OPP PTS],TEAMS_GbG[[TM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81.111111111111114</v>
      </c>
      <c r="DV24" s="18">
        <f>IF($D24=0,"DNP",SUMIFS(TEAMS_GbG[OPP 2PTM],TEAMS_GbG[[TM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19.555555555555557</v>
      </c>
      <c r="DW24" s="18">
        <f>IF($D24=0,"DNP",SUMIFS(TEAMS_GbG[OPP 2PTA],TEAMS_GbG[[TM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37.222222222222221</v>
      </c>
      <c r="DX24" s="16">
        <f t="shared" ref="DX24:DX25" si="52">IF($D24=0,"DNP",IF(DW24=0,"-",DV24/DW24))</f>
        <v>0.5253731343283583</v>
      </c>
      <c r="DY24" s="18">
        <f>IF($D24=0,"DNP",SUMIFS(TEAMS_GbG[OPP 3PTM],TEAMS_GbG[[TM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8.6666666666666661</v>
      </c>
      <c r="DZ24" s="18">
        <f>IF($D24=0,"DNP",SUMIFS(TEAMS_GbG[OPP 3PTA],TEAMS_GbG[[TM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22.555555555555557</v>
      </c>
      <c r="EA24" s="16">
        <f t="shared" ref="EA24:EA25" si="53">IF($D24=0,"DNP",IF(DZ24=0,"-",DY24/DZ24))</f>
        <v>0.38423645320197036</v>
      </c>
      <c r="EB24" s="18">
        <f>IF($D24=0,"DNP",SUMIFS(TEAMS_GbG[OPP FGM],TEAMS_GbG[[TM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28.222222222222221</v>
      </c>
      <c r="EC24" s="18">
        <f>IF($D24=0,"DNP",SUMIFS(TEAMS_GbG[OPP FGA],TEAMS_GbG[[TM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59.777777777777779</v>
      </c>
      <c r="ED24" s="16">
        <f t="shared" ref="ED24:ED25" si="54">IF($D24=0,"DNP",IF(EC24=0,"-",EB24/EC24))</f>
        <v>0.47211895910780666</v>
      </c>
      <c r="EE24" s="18">
        <f>IF($D24=0,"DNP",SUMIFS(TEAMS_GbG[OPP FTM],TEAMS_GbG[[TM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16</v>
      </c>
      <c r="EF24" s="18">
        <f>IF($D24=0,"DNP",SUMIFS(TEAMS_GbG[OPP FTA],TEAMS_GbG[[TM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21.333333333333332</v>
      </c>
      <c r="EG24" s="16">
        <f t="shared" ref="EG24:EG25" si="55">IF($D24=0,"DNP",IF(EF24=0,"-",EE24/EF24))</f>
        <v>0.75</v>
      </c>
      <c r="EH24" s="18">
        <f>IF($D24=0,"DNP",SUMIFS(TEAMS_GbG[OPP OR],TEAMS_GbG[[TM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</v>
      </c>
      <c r="EI24" s="18">
        <f>IF($D24=0,"DNP",SUMIFS(TEAMS_GbG[OPP DR],TEAMS_GbG[[TM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22.444444444444443</v>
      </c>
      <c r="EJ24" s="18">
        <f>IF($D24=0,"DNP",SUMIFS(TEAMS_GbG[OPP TR],TEAMS_GbG[[TM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32.444444444444443</v>
      </c>
      <c r="EK24" s="18">
        <f>IF($D24=0,"DNP",SUMIFS(TEAMS_GbG[OPP AST],TEAMS_GbG[[TM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15.888888888888889</v>
      </c>
      <c r="EL24" s="18">
        <f>IF($D24=0,"DNP",SUMIFS(TEAMS_GbG[OPP PF],TEAMS_GbG[[TM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18.777777777777779</v>
      </c>
      <c r="EM24" s="18">
        <f>IF($D24=0,"DNP",SUMIFS(TEAMS_GbG[OPP DF],TEAMS_GbG[[TM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21.666666666666668</v>
      </c>
      <c r="EN24" s="18">
        <f>IF($D24=0,"DNP",SUMIFS(TEAMS_GbG[OPP ST],TEAMS_GbG[[TM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6.2222222222222223</v>
      </c>
      <c r="EO24" s="18">
        <f>IF($D24=0,"DNP",SUMIFS(TEAMS_GbG[OPP TO],TEAMS_GbG[[TM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12.222222222222221</v>
      </c>
      <c r="EP24" s="18">
        <f>IF($D24=0,"DNP",SUMIFS(TEAMS_GbG[OPP BLK],TEAMS_GbG[[TM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EQ24" s="18">
        <f>IF($D24=0,"DNP",SUMIFS(TEAMS_GbG[OPP BLKA],TEAMS_GbG[[TM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2.7777777777777777</v>
      </c>
      <c r="ER24" s="18">
        <f>IF($D24=0,"DNP",SUMIFS(TEAMS_GbG[OPP VAL],TEAMS_GbG[[TM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88.333333333333329</v>
      </c>
      <c r="ES24" s="18">
        <f>IF($D24=0,"DNP",SUMIFS(TEAMS_GbG[OPP + / -],TEAMS_GbG[[TM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-2.2222222222222223</v>
      </c>
      <c r="ET24" s="18">
        <f>IF($D24=0,"DNP",SUMIFS(TEAMS_GbG[OPP POSS],TEAMS_GbG[[TM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71.111111111111114</v>
      </c>
      <c r="EU24" s="18">
        <f>IF($D24=0,"DNP",SUMIFS(TEAMS_GbG[OPP SHOOTING CHANCES],TEAMS_GbG[[TM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81.333333333333329</v>
      </c>
      <c r="EV24" s="18">
        <f>IF($D24=0,"DNP",SUMIFS(TEAMS_GbG[OPP KILLS],TEAMS_GbG[[TM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4.333333333333333</v>
      </c>
      <c r="EW24" s="18">
        <f>IF($D24=0,"DNP",SUMIFS(TEAMS_GbG[OPP ASTED_2FG],TEAMS_GbG[[TM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7.8888888888888893</v>
      </c>
      <c r="EX24" s="18">
        <f>IF($D24=0,"DNP",SUMIFS(TEAMS_GbG[OPP ASTED_3FG],TEAMS_GbG[[TM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6.666666666666667</v>
      </c>
      <c r="EY24" s="18">
        <f>IF($D24=0,"DNP",SUMIFS(TEAMS_GbG[OPP ASTED_FT],TEAMS_GbG[[TM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1.3333333333333333</v>
      </c>
      <c r="EZ24" s="18">
        <f>IF($D24=0,"DNP",SUMIFS(TEAMS_GbG[OPP ASTED_FT PTS],TEAMS_GbG[[TM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2.2222222222222223</v>
      </c>
      <c r="FA24" s="18">
        <f>IF($D24=0,"DNP",SUMIFS(TEAMS_GbG[OPP OR_RIM],TEAMS_GbG[[TM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1.3333333333333333</v>
      </c>
      <c r="FB24" s="18">
        <f>IF($D24=0,"DNP",SUMIFS(TEAMS_GbG[OPP TM OR_RIM],TEAMS_GbG[[TM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FC24" s="18">
        <f>IF($D24=0,"DNP",SUMIFS(TEAMS_GbG[OPP OR_PAINT],TEAMS_GbG[[TM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3.4444444444444446</v>
      </c>
      <c r="FD24" s="18">
        <f>IF($D24=0,"DNP",SUMIFS(TEAMS_GbG[OPP TM OR_PAINT],TEAMS_GbG[[TM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FE24" s="18">
        <f>IF($D24=0,"DNP",SUMIFS(TEAMS_GbG[OPP OR_NP2],TEAMS_GbG[[TM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0.88888888888888884</v>
      </c>
      <c r="FF24" s="18">
        <f>IF($D24=0,"DNP",SUMIFS(TEAMS_GbG[OPP TM OR_NP2],TEAMS_GbG[[TM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FG24" s="18">
        <f>IF($D24=0,"DNP",SUMIFS(TEAMS_GbG[OPP OR_3C],TEAMS_GbG[[TM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FH24" s="18">
        <f>IF($D24=0,"DNP",SUMIFS(TEAMS_GbG[OPP TM OR_3C],TEAMS_GbG[[TM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FI24" s="18">
        <f>IF($D24=0,"DNP",SUMIFS(TEAMS_GbG[OPP OR_3L],TEAMS_GbG[[TM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3.6666666666666665</v>
      </c>
      <c r="FJ24" s="18">
        <f>IF($D24=0,"DNP",SUMIFS(TEAMS_GbG[OPP TM OR_3L],TEAMS_GbG[[TM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FK24" s="18">
        <f>IF($D24=0,"DNP",SUMIFS(TEAMS_GbG[OPP OR_FT],TEAMS_GbG[[TM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FL24" s="18">
        <f>IF($D24=0,"DNP",SUMIFS(TEAMS_GbG[OPP TM OR_FT],TEAMS_GbG[[TM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FM24" s="18">
        <f>IF($D24=0,"DNP",SUMIFS(TEAMS_GbG[OPP DR_RIM],TEAMS_GbG[[TM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0.88888888888888884</v>
      </c>
      <c r="FN24" s="18">
        <f>IF($D24=0,"DNP",SUMIFS(TEAMS_GbG[OPP TM DR_RIM],TEAMS_GbG[[TM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FO24" s="18">
        <f>IF($D24=0,"DNP",SUMIFS(TEAMS_GbG[OPP DR_PAINT],TEAMS_GbG[[TM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6.4444444444444446</v>
      </c>
      <c r="FP24" s="18">
        <f>IF($D24=0,"DNP",SUMIFS(TEAMS_GbG[OPP TM DR_PAINT],TEAMS_GbG[[TM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FQ24" s="18">
        <f>IF($D24=0,"DNP",SUMIFS(TEAMS_GbG[OPP DR_NP2],TEAMS_GbG[[TM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3.1111111111111112</v>
      </c>
      <c r="FR24" s="18">
        <f>IF($D24=0,"DNP",SUMIFS(TEAMS_GbG[OPP TM DR_NP2],TEAMS_GbG[[TM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FS24" s="18">
        <f>IF($D24=0,"DNP",SUMIFS(TEAMS_GbG[OPP DR_3C],TEAMS_GbG[[TM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FT24" s="18">
        <f>IF($D24=0,"DNP",SUMIFS(TEAMS_GbG[OPP TM DR_3C],TEAMS_GbG[[TM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FU24" s="18">
        <f>IF($D24=0,"DNP",SUMIFS(TEAMS_GbG[OPP DR_3L],TEAMS_GbG[[TM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9.5555555555555554</v>
      </c>
      <c r="FV24" s="18">
        <f>IF($D24=0,"DNP",SUMIFS(TEAMS_GbG[OPP TM DR_3L],TEAMS_GbG[[TM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FW24" s="18">
        <f>IF($D24=0,"DNP",SUMIFS(TEAMS_GbG[OPP DR_FT],TEAMS_GbG[[TM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FX24" s="18">
        <f>IF($D24=0,"DNP",SUMIFS(TEAMS_GbG[OPP TM DR_FT],TEAMS_GbG[[TM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FY24" s="18">
        <f>IF($D24=0,"DNP",SUMIFS(TEAMS_GbG[OPP FTM_T],TEAMS_GbG[[TM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FZ24" s="18">
        <f>IF($D24=0,"DNP",SUMIFS(TEAMS_GbG[OPP FTA_T],TEAMS_GbG[[TM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GA24" s="18">
        <f>IF($D24=0,"DNP",SUMIFS(TEAMS_GbG[OPP FTM_1],TEAMS_GbG[[TM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GB24" s="18">
        <f>IF($D24=0,"DNP",SUMIFS(TEAMS_GbG[OPP FTA_1],TEAMS_GbG[[TM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</v>
      </c>
      <c r="GC24" s="18">
        <f>IF($D24=0,"DNP",SUMIFS(TEAMS_GbG[OPP FTM_2],TEAMS_GbG[[TM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13.333333333333334</v>
      </c>
      <c r="GD24" s="18">
        <f>IF($D24=0,"DNP",SUMIFS(TEAMS_GbG[OPP FTA_2],TEAMS_GbG[[TM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18.222222222222221</v>
      </c>
      <c r="GE24" s="18">
        <f>IF($D24=0,"DNP",SUMIFS(TEAMS_GbG[OPP FT 0/2],TEAMS_GbG[[TM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0.88888888888888884</v>
      </c>
      <c r="GF24" s="18">
        <f>IF($D24=0,"DNP",SUMIFS(TEAMS_GbG[OPP FTM_3],TEAMS_GbG[[TM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0.55555555555555558</v>
      </c>
      <c r="GG24" s="18">
        <f>IF($D24=0,"DNP",SUMIFS(TEAMS_GbG[OPP FTA_3],TEAMS_GbG[[TM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GH24" s="18">
        <f>IF($D24=0,"DNP",SUMIFS(TEAMS_GbG[OPP FT 0/3],TEAMS_GbG[[TM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GI24" s="18">
        <f>IF($D24=0,"DNP",SUMIFS(TEAMS_GbG[OPP RIM_M],TEAMS_GbG[[TM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6.7777777777777777</v>
      </c>
      <c r="GJ24" s="18">
        <f>IF($D24=0,"DNP",SUMIFS(TEAMS_GbG[OPP RIM_A],TEAMS_GbG[[TM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9.4444444444444446</v>
      </c>
      <c r="GK24" s="18">
        <f>IF($D24=0,"DNP",SUMIFS(TEAMS_GbG[OPP PAINT_M],TEAMS_GbG[[TM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10.555555555555555</v>
      </c>
      <c r="GL24" s="18">
        <f>IF($D24=0,"DNP",SUMIFS(TEAMS_GbG[OPP PAINT_A],TEAMS_GbG[[TM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21.444444444444443</v>
      </c>
      <c r="GM24" s="18">
        <f>IF($D24=0,"DNP",SUMIFS(TEAMS_GbG[OPP MID_M],TEAMS_GbG[[TM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2.2222222222222223</v>
      </c>
      <c r="GN24" s="18">
        <f>IF($D24=0,"DNP",SUMIFS(TEAMS_GbG[OPP MID_A],TEAMS_GbG[[TM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6.333333333333333</v>
      </c>
      <c r="GO24" s="18">
        <f>IF($D24=0,"DNP",SUMIFS(TEAMS_GbG[OPP 3C_M],TEAMS_GbG[[TM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</v>
      </c>
      <c r="GP24" s="18">
        <f>IF($D24=0,"DNP",SUMIFS(TEAMS_GbG[OPP 3C_A],TEAMS_GbG[[TM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1.4444444444444444</v>
      </c>
      <c r="GQ24" s="18">
        <f>IF($D24=0,"DNP",SUMIFS(TEAMS_GbG[OPP 3L_M],TEAMS_GbG[[TM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7.666666666666667</v>
      </c>
      <c r="GR24" s="18">
        <f>IF($D24=0,"DNP",SUMIFS(TEAMS_GbG[OPP 3L_A],TEAMS_GbG[[TM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21.111111111111111</v>
      </c>
      <c r="GS24" s="18">
        <f>IF($D24=0,"DNP",SUMIFS(TEAMS_GbG[OPP 3H_M],TEAMS_GbG[[TM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GT24" s="18">
        <f>IF($D24=0,"DNP",SUMIFS(TEAMS_GbG[OPP 3H_A],TEAMS_GbG[[TM NAME]:[TM NAME]],$C24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GU24" s="16">
        <f ca="1">IF(TEAMS_STATS[[#This Row],[TM NAME]]="","",INDEX(SoS!$C$113:$C$144,MATCH(TEAMS_STATS[[#This Row],[TM NAME]],SoS!$B$113:$B$144,0)))</f>
        <v>0.47465645208700763</v>
      </c>
    </row>
    <row r="25" spans="2:203" ht="15" customHeight="1" x14ac:dyDescent="0.25">
      <c r="B25" s="12">
        <f>_xlfn.AGGREGATE(3,5,$C$7:C24)</f>
        <v>18</v>
      </c>
      <c r="C25" s="14" t="str">
        <f>BASIS_INFO!F20</f>
        <v>Zalgiris Kaunas</v>
      </c>
      <c r="D25" s="20">
        <f>COUNTIFS(TEAMS_GbG[[TM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5" s="20">
        <f>COUNTIFS(TEAMS_GbG[[TM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4</v>
      </c>
      <c r="F25" s="20">
        <f>COUNTIFS(TEAMS_GbG[[TM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5</v>
      </c>
      <c r="G25" s="18">
        <f>IF($D25=0,"DNP",SUMIFS(TEAMS_GbG[MIN],TEAMS_GbG[[TM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202.77777777777777</v>
      </c>
      <c r="H25" s="18">
        <f>IF($D25=0,"DNP",SUMIFS(TEAMS_GbG[PTS],TEAMS_GbG[[TM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80.666666666666671</v>
      </c>
      <c r="I25" s="18">
        <f>IF($D25=0,"DNP",SUMIFS(TEAMS_GbG[2PTM],TEAMS_GbG[[TM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19.222222222222221</v>
      </c>
      <c r="J25" s="18">
        <f>IF($D25=0,"DNP",SUMIFS(TEAMS_GbG[2PTA],TEAMS_GbG[[TM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36.888888888888886</v>
      </c>
      <c r="K25" s="16">
        <f t="shared" si="47"/>
        <v>0.52108433734939763</v>
      </c>
      <c r="L25" s="18">
        <f>IF($D25=0,"DNP",SUMIFS(TEAMS_GbG[3PTM],TEAMS_GbG[[TM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10.555555555555555</v>
      </c>
      <c r="M25" s="18">
        <f>IF($D25=0,"DNP",SUMIFS(TEAMS_GbG[3PTA],TEAMS_GbG[[TM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24.888888888888889</v>
      </c>
      <c r="N25" s="16">
        <f t="shared" si="48"/>
        <v>0.42410714285714285</v>
      </c>
      <c r="O25" s="18">
        <f>IF($D25=0,"DNP",SUMIFS(TEAMS_GbG[FGM],TEAMS_GbG[[TM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29.777777777777779</v>
      </c>
      <c r="P25" s="18">
        <f>IF($D25=0,"DNP",SUMIFS(TEAMS_GbG[FGA],TEAMS_GbG[[TM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61.777777777777779</v>
      </c>
      <c r="Q25" s="16">
        <f t="shared" si="49"/>
        <v>0.48201438848920863</v>
      </c>
      <c r="R25" s="18">
        <f>IF($D25=0,"DNP",SUMIFS(TEAMS_GbG[FTM],TEAMS_GbG[[TM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10.555555555555555</v>
      </c>
      <c r="S25" s="18">
        <f>IF($D25=0,"DNP",SUMIFS(TEAMS_GbG[FTA],TEAMS_GbG[[TM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13.555555555555555</v>
      </c>
      <c r="T25" s="16">
        <f t="shared" si="50"/>
        <v>0.77868852459016391</v>
      </c>
      <c r="U25" s="18">
        <f>IF($D25=0,"DNP",SUMIFS(TEAMS_GbG[OR],TEAMS_GbG[[TM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8.7777777777777786</v>
      </c>
      <c r="V25" s="18">
        <f>IF($D25=0,"DNP",SUMIFS(TEAMS_GbG[DR],TEAMS_GbG[[TM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23.555555555555557</v>
      </c>
      <c r="W25" s="18">
        <f>IF($D25=0,"DNP",SUMIFS(TEAMS_GbG[TR],TEAMS_GbG[[TM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32.333333333333336</v>
      </c>
      <c r="X25" s="18">
        <f>IF($D25=0,"DNP",SUMIFS(TEAMS_GbG[AST],TEAMS_GbG[[TM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15.666666666666666</v>
      </c>
      <c r="Y25" s="18">
        <f>IF($D25=0,"DNP",SUMIFS(TEAMS_GbG[TO],TEAMS_GbG[[TM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12.333333333333334</v>
      </c>
      <c r="Z25" s="18">
        <f>IF($D25=0,"DNP",SUMIFS(TEAMS_GbG[ST],TEAMS_GbG[[TM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5</v>
      </c>
      <c r="AA25" s="18">
        <f>IF($D25=0,"DNP",SUMIFS(TEAMS_GbG[BLK],TEAMS_GbG[[TM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2.1111111111111112</v>
      </c>
      <c r="AB25" s="18">
        <f>IF($D25=0,"DNP",SUMIFS(TEAMS_GbG[BLKA],TEAMS_GbG[[TM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AC25" s="18">
        <f>IF($D25=0,"DNP",SUMIFS(TEAMS_GbG[PF],TEAMS_GbG[[TM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20.666666666666668</v>
      </c>
      <c r="AD25" s="18">
        <f>IF($D25=0,"DNP",SUMIFS(TEAMS_GbG[DF],TEAMS_GbG[[TM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17.666666666666668</v>
      </c>
      <c r="AE25" s="18">
        <f>IF($D25=0,"DNP",SUMIFS(TEAMS_GbG[VAL],TEAMS_GbG[[TM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82.555555555555557</v>
      </c>
      <c r="AF25" s="18">
        <f>IF($D25=0,"DNP",SUMIFS(TEAMS_GbG[+ / -],TEAMS_GbG[[TM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-1.3333333333333333</v>
      </c>
      <c r="AG25" s="26">
        <f t="shared" si="0"/>
        <v>69.808219178082183</v>
      </c>
      <c r="AH25" s="18">
        <f>IF($D25=0,"DNP",SUMIFS(TEAMS_GbG[POSS],TEAMS_GbG[[TM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70.777777777777771</v>
      </c>
      <c r="AI25" s="18">
        <f>IF($D25=0,"DNP",SUMIFS(TEAMS_GbG[SHOOTING CHANCES],TEAMS_GbG[[TM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79.666666666666671</v>
      </c>
      <c r="AJ25" s="19">
        <f t="shared" si="1"/>
        <v>1.0125523012552302</v>
      </c>
      <c r="AK25" s="19">
        <f t="shared" si="2"/>
        <v>1.010958904109589</v>
      </c>
      <c r="AL25" s="18">
        <f t="shared" si="3"/>
        <v>113.97174254317113</v>
      </c>
      <c r="AM25" s="18">
        <f t="shared" si="4"/>
        <v>115.49295774647888</v>
      </c>
      <c r="AN25" s="18">
        <f t="shared" si="51"/>
        <v>-1.5212152033077473</v>
      </c>
      <c r="AO25" s="27">
        <f t="shared" si="5"/>
        <v>0.56744604316546765</v>
      </c>
      <c r="AP25" s="28">
        <f t="shared" si="6"/>
        <v>0.5990099009900991</v>
      </c>
      <c r="AQ25" s="34">
        <f t="shared" si="7"/>
        <v>0.13668061366806136</v>
      </c>
      <c r="AR25" s="38">
        <f t="shared" si="8"/>
        <v>1.5306122448979593</v>
      </c>
      <c r="AS25" s="27">
        <f t="shared" si="9"/>
        <v>0.25662482566248251</v>
      </c>
      <c r="AT25" s="38">
        <f t="shared" si="10"/>
        <v>0.90217391304347827</v>
      </c>
      <c r="AU25" s="27">
        <f t="shared" si="11"/>
        <v>6.9735006973500685E-2</v>
      </c>
      <c r="AV25" s="38">
        <f t="shared" si="12"/>
        <v>0.60000000000000009</v>
      </c>
      <c r="AW25" s="27">
        <f t="shared" si="13"/>
        <v>2.7894002789400279E-2</v>
      </c>
      <c r="AX25" s="38">
        <f t="shared" si="14"/>
        <v>1.5</v>
      </c>
      <c r="AY25" s="27">
        <f t="shared" si="15"/>
        <v>0.28172942817294278</v>
      </c>
      <c r="AZ25" s="38">
        <f t="shared" si="16"/>
        <v>1.2623762376237626</v>
      </c>
      <c r="BA25" s="28">
        <f t="shared" si="17"/>
        <v>6.9735006973500685E-2</v>
      </c>
      <c r="BB25" s="34">
        <f t="shared" si="18"/>
        <v>0.1550279329608939</v>
      </c>
      <c r="BC25" s="27">
        <f t="shared" si="19"/>
        <v>0.44761904761904758</v>
      </c>
      <c r="BD25" s="27">
        <f t="shared" si="20"/>
        <v>0.3641618497109827</v>
      </c>
      <c r="BE25" s="27">
        <f t="shared" si="21"/>
        <v>0.6947368421052631</v>
      </c>
      <c r="BF25" s="27">
        <f t="shared" si="22"/>
        <v>0.25531914893617019</v>
      </c>
      <c r="BG25" s="27">
        <f t="shared" si="23"/>
        <v>0.19692737430167601</v>
      </c>
      <c r="BH25" s="35">
        <f t="shared" si="24"/>
        <v>1.2702702702702702</v>
      </c>
      <c r="BI25" s="49">
        <f t="shared" si="25"/>
        <v>0.27335640138408307</v>
      </c>
      <c r="BJ25" s="45">
        <f t="shared" si="26"/>
        <v>0.27380952380952378</v>
      </c>
      <c r="BK25" s="45">
        <f t="shared" si="27"/>
        <v>0.28358208955223879</v>
      </c>
      <c r="BL25" s="45">
        <f t="shared" si="28"/>
        <v>0.45454545454545453</v>
      </c>
      <c r="BM25" s="45">
        <f t="shared" si="29"/>
        <v>0.70198675496688745</v>
      </c>
      <c r="BN25" s="45">
        <f t="shared" si="30"/>
        <v>0.66666666666666663</v>
      </c>
      <c r="BO25" s="45">
        <f t="shared" si="31"/>
        <v>0.63829787234042545</v>
      </c>
      <c r="BP25" s="45">
        <f t="shared" si="32"/>
        <v>0.80952380952380942</v>
      </c>
      <c r="BQ25" s="46">
        <f t="shared" si="33"/>
        <v>0.49238578680203043</v>
      </c>
      <c r="BR25" s="49">
        <f t="shared" si="34"/>
        <v>7.0422535211267609E-2</v>
      </c>
      <c r="BS25" s="45">
        <f t="shared" si="35"/>
        <v>3.3868092691622102E-2</v>
      </c>
      <c r="BT25" s="39">
        <f>IF($D25=0,"DNP",SUMIFS(TEAMS_GbG[KILLS],TEAMS_GbG[[TM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4.2222222222222223</v>
      </c>
      <c r="BU25" s="34">
        <f t="shared" si="36"/>
        <v>0.45161290322580644</v>
      </c>
      <c r="BV25" s="28">
        <f t="shared" si="37"/>
        <v>0.42138364779874204</v>
      </c>
      <c r="BW25" s="18">
        <f>IF($D25=0,"DNP",SUMIFS(TEAMS_GbG[ASTED_2FG],TEAMS_GbG[[TM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</v>
      </c>
      <c r="BX25" s="18">
        <f>IF($D25=0,"DNP",SUMIFS(TEAMS_GbG[ASTED_3FG],TEAMS_GbG[[TM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7.333333333333333</v>
      </c>
      <c r="BY25" s="18">
        <f>IF($D25=0,"DNP",SUMIFS(TEAMS_GbG[ASTED_FT],TEAMS_GbG[[TM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BZ25" s="18">
        <f>IF($D25=0,"DNP",SUMIFS(TEAMS_GbG[ASTED_FT PTS],TEAMS_GbG[[TM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CA25" s="18">
        <f>IF($D25=0,"DNP",SUMIFS(TEAMS_GbG[OR_RIM],TEAMS_GbG[[TM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0.88888888888888884</v>
      </c>
      <c r="CB25" s="18">
        <f>IF($D25=0,"DNP",SUMIFS(TEAMS_GbG[TM OR_RIM],TEAMS_GbG[[TM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CC25" s="18">
        <f>IF($D25=0,"DNP",SUMIFS(TEAMS_GbG[OR_PAINT],TEAMS_GbG[[TM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CD25" s="18">
        <f>IF($D25=0,"DNP",SUMIFS(TEAMS_GbG[TM OR_PAINT],TEAMS_GbG[[TM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CE25" s="18">
        <f>IF($D25=0,"DNP",SUMIFS(TEAMS_GbG[OR_NP2],TEAMS_GbG[[TM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0.88888888888888884</v>
      </c>
      <c r="CF25" s="18">
        <f>IF($D25=0,"DNP",SUMIFS(TEAMS_GbG[TM OR_NP2],TEAMS_GbG[[TM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CG25" s="18">
        <f>IF($D25=0,"DNP",SUMIFS(TEAMS_GbG[OR_3C],TEAMS_GbG[[TM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CH25" s="18">
        <f>IF($D25=0,"DNP",SUMIFS(TEAMS_GbG[TM OR_3C],TEAMS_GbG[[TM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CI25" s="18">
        <f>IF($D25=0,"DNP",SUMIFS(TEAMS_GbG[OR_3L],TEAMS_GbG[[TM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3.2222222222222223</v>
      </c>
      <c r="CJ25" s="18">
        <f>IF($D25=0,"DNP",SUMIFS(TEAMS_GbG[TM OR_3L],TEAMS_GbG[[TM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CK25" s="18">
        <f>IF($D25=0,"DNP",SUMIFS(TEAMS_GbG[OR_FT],TEAMS_GbG[[TM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0.44444444444444442</v>
      </c>
      <c r="CL25" s="18">
        <f>IF($D25=0,"DNP",SUMIFS(TEAMS_GbG[TM OR_FT],TEAMS_GbG[[TM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CM25" s="18">
        <f>IF($D25=0,"DNP",SUMIFS(TEAMS_GbG[DR_RIM],TEAMS_GbG[[TM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CN25" s="18">
        <f>IF($D25=0,"DNP",SUMIFS(TEAMS_GbG[TM DR_RIM],TEAMS_GbG[[TM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CO25" s="18">
        <f>IF($D25=0,"DNP",SUMIFS(TEAMS_GbG[DR_PAINT],TEAMS_GbG[[TM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</v>
      </c>
      <c r="CP25" s="18">
        <f>IF($D25=0,"DNP",SUMIFS(TEAMS_GbG[TM DR_PAINT],TEAMS_GbG[[TM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CQ25" s="18">
        <f>IF($D25=0,"DNP",SUMIFS(TEAMS_GbG[DR_NP2],TEAMS_GbG[[TM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3.7777777777777777</v>
      </c>
      <c r="CR25" s="18">
        <f>IF($D25=0,"DNP",SUMIFS(TEAMS_GbG[TM DR_NP2],TEAMS_GbG[[TM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CS25" s="18">
        <f>IF($D25=0,"DNP",SUMIFS(TEAMS_GbG[DR_3C],TEAMS_GbG[[TM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CT25" s="18">
        <f>IF($D25=0,"DNP",SUMIFS(TEAMS_GbG[TM DR_3C],TEAMS_GbG[[TM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CU25" s="18">
        <f>IF($D25=0,"DNP",SUMIFS(TEAMS_GbG[DR_3L],TEAMS_GbG[[TM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</v>
      </c>
      <c r="CV25" s="18">
        <f>IF($D25=0,"DNP",SUMIFS(TEAMS_GbG[TM DR_3L],TEAMS_GbG[[TM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CW25" s="18">
        <f>IF($D25=0,"DNP",SUMIFS(TEAMS_GbG[DR_FT],TEAMS_GbG[[TM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1.8888888888888888</v>
      </c>
      <c r="CX25" s="18">
        <f>IF($D25=0,"DNP",SUMIFS(TEAMS_GbG[TM DR_FT],TEAMS_GbG[[TM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CY25" s="18">
        <f>IF($D25=0,"DNP",SUMIFS(TEAMS_GbG[FTM_T],TEAMS_GbG[[TM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CZ25" s="18">
        <f>IF($D25=0,"DNP",SUMIFS(TEAMS_GbG[FTA_T],TEAMS_GbG[[TM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DA25" s="18">
        <f>IF($D25=0,"DNP",SUMIFS(TEAMS_GbG[FTM_1],TEAMS_GbG[[TM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1.6666666666666667</v>
      </c>
      <c r="DB25" s="18">
        <f>IF($D25=0,"DNP",SUMIFS(TEAMS_GbG[FTA_1],TEAMS_GbG[[TM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1.8888888888888888</v>
      </c>
      <c r="DC25" s="18">
        <f>IF($D25=0,"DNP",SUMIFS(TEAMS_GbG[FTM_2],TEAMS_GbG[[TM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</v>
      </c>
      <c r="DD25" s="18">
        <f>IF($D25=0,"DNP",SUMIFS(TEAMS_GbG[FTA_2],TEAMS_GbG[[TM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10.444444444444445</v>
      </c>
      <c r="DE25" s="18">
        <f>IF($D25=0,"DNP",SUMIFS(TEAMS_GbG[FT 0/2],TEAMS_GbG[[TM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DF25" s="18">
        <f>IF($D25=0,"DNP",SUMIFS(TEAMS_GbG[FTM_3],TEAMS_GbG[[TM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DG25" s="18">
        <f>IF($D25=0,"DNP",SUMIFS(TEAMS_GbG[FTA_3],TEAMS_GbG[[TM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</v>
      </c>
      <c r="DH25" s="18">
        <f>IF($D25=0,"DNP",SUMIFS(TEAMS_GbG[FT 0/3],TEAMS_GbG[[TM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DI25" s="18">
        <f>IF($D25=0,"DNP",SUMIFS(TEAMS_GbG[RIM_M],TEAMS_GbG[[TM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8.3333333333333339</v>
      </c>
      <c r="DJ25" s="18">
        <f>IF($D25=0,"DNP",SUMIFS(TEAMS_GbG[RIM_A],TEAMS_GbG[[TM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10.888888888888889</v>
      </c>
      <c r="DK25" s="18">
        <f>IF($D25=0,"DNP",SUMIFS(TEAMS_GbG[PAINT_M],TEAMS_GbG[[TM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9.2222222222222214</v>
      </c>
      <c r="DL25" s="18">
        <f>IF($D25=0,"DNP",SUMIFS(TEAMS_GbG[PAINT_A],TEAMS_GbG[[TM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20.444444444444443</v>
      </c>
      <c r="DM25" s="18">
        <f>IF($D25=0,"DNP",SUMIFS(TEAMS_GbG[MID_M],TEAMS_GbG[[TM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1.6666666666666667</v>
      </c>
      <c r="DN25" s="18">
        <f>IF($D25=0,"DNP",SUMIFS(TEAMS_GbG[MID_A],TEAMS_GbG[[TM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5.5555555555555554</v>
      </c>
      <c r="DO25" s="18">
        <f>IF($D25=0,"DNP",SUMIFS(TEAMS_GbG[3C_M],TEAMS_GbG[[TM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1.1111111111111112</v>
      </c>
      <c r="DP25" s="18">
        <f>IF($D25=0,"DNP",SUMIFS(TEAMS_GbG[3C_A],TEAMS_GbG[[TM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2.2222222222222223</v>
      </c>
      <c r="DQ25" s="18">
        <f>IF($D25=0,"DNP",SUMIFS(TEAMS_GbG[3L_M],TEAMS_GbG[[TM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9.4444444444444446</v>
      </c>
      <c r="DR25" s="18">
        <f>IF($D25=0,"DNP",SUMIFS(TEAMS_GbG[3L_A],TEAMS_GbG[[TM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22.444444444444443</v>
      </c>
      <c r="DS25" s="18">
        <f>IF($D25=0,"DNP",SUMIFS(TEAMS_GbG[3H_M],TEAMS_GbG[[TM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DT25" s="18">
        <f>IF($D25=0,"DNP",SUMIFS(TEAMS_GbG[3H_A],TEAMS_GbG[[TM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DU25" s="18">
        <f>IF($D25=0,"DNP",SUMIFS(TEAMS_GbG[OPP PTS],TEAMS_GbG[[TM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82</v>
      </c>
      <c r="DV25" s="18">
        <f>IF($D25=0,"DNP",SUMIFS(TEAMS_GbG[OPP 2PTM],TEAMS_GbG[[TM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21.444444444444443</v>
      </c>
      <c r="DW25" s="18">
        <f>IF($D25=0,"DNP",SUMIFS(TEAMS_GbG[OPP 2PTA],TEAMS_GbG[[TM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39.111111111111114</v>
      </c>
      <c r="DX25" s="16">
        <f t="shared" si="52"/>
        <v>0.54829545454545447</v>
      </c>
      <c r="DY25" s="18">
        <f>IF($D25=0,"DNP",SUMIFS(TEAMS_GbG[OPP 3PTM],TEAMS_GbG[[TM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8.5555555555555554</v>
      </c>
      <c r="DZ25" s="18">
        <f>IF($D25=0,"DNP",SUMIFS(TEAMS_GbG[OPP 3PTA],TEAMS_GbG[[TM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23.222222222222221</v>
      </c>
      <c r="EA25" s="16">
        <f t="shared" si="53"/>
        <v>0.36842105263157893</v>
      </c>
      <c r="EB25" s="18">
        <f>IF($D25=0,"DNP",SUMIFS(TEAMS_GbG[OPP FGM],TEAMS_GbG[[TM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30</v>
      </c>
      <c r="EC25" s="18">
        <f>IF($D25=0,"DNP",SUMIFS(TEAMS_GbG[OPP FGA],TEAMS_GbG[[TM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62.333333333333336</v>
      </c>
      <c r="ED25" s="16">
        <f t="shared" si="54"/>
        <v>0.48128342245989303</v>
      </c>
      <c r="EE25" s="18">
        <f>IF($D25=0,"DNP",SUMIFS(TEAMS_GbG[OPP FTM],TEAMS_GbG[[TM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13.444444444444445</v>
      </c>
      <c r="EF25" s="18">
        <f>IF($D25=0,"DNP",SUMIFS(TEAMS_GbG[OPP FTA],TEAMS_GbG[[TM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17.666666666666668</v>
      </c>
      <c r="EG25" s="16">
        <f t="shared" si="55"/>
        <v>0.76100628930817604</v>
      </c>
      <c r="EH25" s="18">
        <f>IF($D25=0,"DNP",SUMIFS(TEAMS_GbG[OPP OR],TEAMS_GbG[[TM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</v>
      </c>
      <c r="EI25" s="18">
        <f>IF($D25=0,"DNP",SUMIFS(TEAMS_GbG[OPP DR],TEAMS_GbG[[TM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23.333333333333332</v>
      </c>
      <c r="EJ25" s="18">
        <f>IF($D25=0,"DNP",SUMIFS(TEAMS_GbG[OPP TR],TEAMS_GbG[[TM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33.333333333333336</v>
      </c>
      <c r="EK25" s="18">
        <f>IF($D25=0,"DNP",SUMIFS(TEAMS_GbG[OPP AST],TEAMS_GbG[[TM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17.777777777777779</v>
      </c>
      <c r="EL25" s="18">
        <f>IF($D25=0,"DNP",SUMIFS(TEAMS_GbG[OPP PF],TEAMS_GbG[[TM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17.888888888888889</v>
      </c>
      <c r="EM25" s="18">
        <f>IF($D25=0,"DNP",SUMIFS(TEAMS_GbG[OPP DF],TEAMS_GbG[[TM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20.555555555555557</v>
      </c>
      <c r="EN25" s="18">
        <f>IF($D25=0,"DNP",SUMIFS(TEAMS_GbG[OPP ST],TEAMS_GbG[[TM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6.1111111111111107</v>
      </c>
      <c r="EO25" s="18">
        <f>IF($D25=0,"DNP",SUMIFS(TEAMS_GbG[OPP TO],TEAMS_GbG[[TM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11.222222222222221</v>
      </c>
      <c r="EP25" s="18">
        <f>IF($D25=0,"DNP",SUMIFS(TEAMS_GbG[OPP BLK],TEAMS_GbG[[TM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EQ25" s="18">
        <f>IF($D25=0,"DNP",SUMIFS(TEAMS_GbG[OPP BLKA],TEAMS_GbG[[TM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2.1111111111111112</v>
      </c>
      <c r="ER25" s="18">
        <f>IF($D25=0,"DNP",SUMIFS(TEAMS_GbG[OPP VAL],TEAMS_GbG[[TM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94.888888888888886</v>
      </c>
      <c r="ES25" s="18">
        <f>IF($D25=0,"DNP",SUMIFS(TEAMS_GbG[OPP + / -],TEAMS_GbG[[TM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ET25" s="18">
        <f>IF($D25=0,"DNP",SUMIFS(TEAMS_GbG[OPP POSS],TEAMS_GbG[[TM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71</v>
      </c>
      <c r="EU25" s="18">
        <f>IF($D25=0,"DNP",SUMIFS(TEAMS_GbG[OPP SHOOTING CHANCES],TEAMS_GbG[[TM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81.111111111111114</v>
      </c>
      <c r="EV25" s="18">
        <f>IF($D25=0,"DNP",SUMIFS(TEAMS_GbG[OPP KILLS],TEAMS_GbG[[TM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4.5555555555555554</v>
      </c>
      <c r="EW25" s="18">
        <f>IF($D25=0,"DNP",SUMIFS(TEAMS_GbG[OPP ASTED_2FG],TEAMS_GbG[[TM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9.7777777777777786</v>
      </c>
      <c r="EX25" s="18">
        <f>IF($D25=0,"DNP",SUMIFS(TEAMS_GbG[OPP ASTED_3FG],TEAMS_GbG[[TM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6.4444444444444446</v>
      </c>
      <c r="EY25" s="18">
        <f>IF($D25=0,"DNP",SUMIFS(TEAMS_GbG[OPP ASTED_FT],TEAMS_GbG[[TM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1.5555555555555556</v>
      </c>
      <c r="EZ25" s="18">
        <f>IF($D25=0,"DNP",SUMIFS(TEAMS_GbG[OPP ASTED_FT PTS],TEAMS_GbG[[TM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2.5555555555555554</v>
      </c>
      <c r="FA25" s="18">
        <f>IF($D25=0,"DNP",SUMIFS(TEAMS_GbG[OPP OR_RIM],TEAMS_GbG[[TM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1.1111111111111112</v>
      </c>
      <c r="FB25" s="18">
        <f>IF($D25=0,"DNP",SUMIFS(TEAMS_GbG[OPP TM OR_RIM],TEAMS_GbG[[TM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0.55555555555555558</v>
      </c>
      <c r="FC25" s="18">
        <f>IF($D25=0,"DNP",SUMIFS(TEAMS_GbG[OPP OR_PAINT],TEAMS_GbG[[TM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FD25" s="18">
        <f>IF($D25=0,"DNP",SUMIFS(TEAMS_GbG[OPP TM OR_PAINT],TEAMS_GbG[[TM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FE25" s="18">
        <f>IF($D25=0,"DNP",SUMIFS(TEAMS_GbG[OPP OR_NP2],TEAMS_GbG[[TM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</v>
      </c>
      <c r="FF25" s="18">
        <f>IF($D25=0,"DNP",SUMIFS(TEAMS_GbG[OPP TM OR_NP2],TEAMS_GbG[[TM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FG25" s="18">
        <f>IF($D25=0,"DNP",SUMIFS(TEAMS_GbG[OPP OR_3C],TEAMS_GbG[[TM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0.77777777777777779</v>
      </c>
      <c r="FH25" s="18">
        <f>IF($D25=0,"DNP",SUMIFS(TEAMS_GbG[OPP TM OR_3C],TEAMS_GbG[[TM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FI25" s="18">
        <f>IF($D25=0,"DNP",SUMIFS(TEAMS_GbG[OPP OR_3L],TEAMS_GbG[[TM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3.8888888888888888</v>
      </c>
      <c r="FJ25" s="18">
        <f>IF($D25=0,"DNP",SUMIFS(TEAMS_GbG[OPP TM OR_3L],TEAMS_GbG[[TM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0.77777777777777779</v>
      </c>
      <c r="FK25" s="18">
        <f>IF($D25=0,"DNP",SUMIFS(TEAMS_GbG[OPP OR_FT],TEAMS_GbG[[TM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FL25" s="18">
        <f>IF($D25=0,"DNP",SUMIFS(TEAMS_GbG[OPP TM OR_FT],TEAMS_GbG[[TM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FM25" s="18">
        <f>IF($D25=0,"DNP",SUMIFS(TEAMS_GbG[OPP DR_RIM],TEAMS_GbG[[TM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FN25" s="18">
        <f>IF($D25=0,"DNP",SUMIFS(TEAMS_GbG[OPP TM DR_RIM],TEAMS_GbG[[TM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FO25" s="18">
        <f>IF($D25=0,"DNP",SUMIFS(TEAMS_GbG[OPP DR_PAINT],TEAMS_GbG[[TM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8.3333333333333339</v>
      </c>
      <c r="FP25" s="18">
        <f>IF($D25=0,"DNP",SUMIFS(TEAMS_GbG[OPP TM DR_PAINT],TEAMS_GbG[[TM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FQ25" s="18">
        <f>IF($D25=0,"DNP",SUMIFS(TEAMS_GbG[OPP DR_NP2],TEAMS_GbG[[TM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</v>
      </c>
      <c r="FR25" s="18">
        <f>IF($D25=0,"DNP",SUMIFS(TEAMS_GbG[OPP TM DR_NP2],TEAMS_GbG[[TM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FS25" s="18">
        <f>IF($D25=0,"DNP",SUMIFS(TEAMS_GbG[OPP DR_3C],TEAMS_GbG[[TM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0.77777777777777779</v>
      </c>
      <c r="FT25" s="18">
        <f>IF($D25=0,"DNP",SUMIFS(TEAMS_GbG[OPP TM DR_3C],TEAMS_GbG[[TM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FU25" s="18">
        <f>IF($D25=0,"DNP",SUMIFS(TEAMS_GbG[OPP DR_3L],TEAMS_GbG[[TM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9.1111111111111107</v>
      </c>
      <c r="FV25" s="18">
        <f>IF($D25=0,"DNP",SUMIFS(TEAMS_GbG[OPP TM DR_3L],TEAMS_GbG[[TM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0.77777777777777779</v>
      </c>
      <c r="FW25" s="18">
        <f>IF($D25=0,"DNP",SUMIFS(TEAMS_GbG[OPP DR_FT],TEAMS_GbG[[TM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FX25" s="18">
        <f>IF($D25=0,"DNP",SUMIFS(TEAMS_GbG[OPP TM DR_FT],TEAMS_GbG[[TM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FY25" s="18">
        <f>IF($D25=0,"DNP",SUMIFS(TEAMS_GbG[OPP FTM_T],TEAMS_GbG[[TM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FZ25" s="18">
        <f>IF($D25=0,"DNP",SUMIFS(TEAMS_GbG[OPP FTA_T],TEAMS_GbG[[TM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GA25" s="18">
        <f>IF($D25=0,"DNP",SUMIFS(TEAMS_GbG[OPP FTM_1],TEAMS_GbG[[TM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1.2222222222222223</v>
      </c>
      <c r="GB25" s="18">
        <f>IF($D25=0,"DNP",SUMIFS(TEAMS_GbG[OPP FTA_1],TEAMS_GbG[[TM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1.7777777777777777</v>
      </c>
      <c r="GC25" s="18">
        <f>IF($D25=0,"DNP",SUMIFS(TEAMS_GbG[OPP FTM_2],TEAMS_GbG[[TM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10.666666666666666</v>
      </c>
      <c r="GD25" s="18">
        <f>IF($D25=0,"DNP",SUMIFS(TEAMS_GbG[OPP FTA_2],TEAMS_GbG[[TM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14.222222222222221</v>
      </c>
      <c r="GE25" s="18">
        <f>IF($D25=0,"DNP",SUMIFS(TEAMS_GbG[OPP FT 0/2],TEAMS_GbG[[TM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GF25" s="18">
        <f>IF($D25=0,"DNP",SUMIFS(TEAMS_GbG[OPP FTM_3],TEAMS_GbG[[TM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GG25" s="18">
        <f>IF($D25=0,"DNP",SUMIFS(TEAMS_GbG[OPP FTA_3],TEAMS_GbG[[TM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GH25" s="18">
        <f>IF($D25=0,"DNP",SUMIFS(TEAMS_GbG[OPP FT 0/3],TEAMS_GbG[[TM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GI25" s="18">
        <f>IF($D25=0,"DNP",SUMIFS(TEAMS_GbG[OPP RIM_M],TEAMS_GbG[[TM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10.555555555555555</v>
      </c>
      <c r="GJ25" s="18">
        <f>IF($D25=0,"DNP",SUMIFS(TEAMS_GbG[OPP RIM_A],TEAMS_GbG[[TM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13</v>
      </c>
      <c r="GK25" s="18">
        <f>IF($D25=0,"DNP",SUMIFS(TEAMS_GbG[OPP PAINT_M],TEAMS_GbG[[TM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7.4444444444444446</v>
      </c>
      <c r="GL25" s="18">
        <f>IF($D25=0,"DNP",SUMIFS(TEAMS_GbG[OPP PAINT_A],TEAMS_GbG[[TM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17.333333333333332</v>
      </c>
      <c r="GM25" s="18">
        <f>IF($D25=0,"DNP",SUMIFS(TEAMS_GbG[OPP MID_M],TEAMS_GbG[[TM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3.4444444444444446</v>
      </c>
      <c r="GN25" s="18">
        <f>IF($D25=0,"DNP",SUMIFS(TEAMS_GbG[OPP MID_A],TEAMS_GbG[[TM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8.7777777777777786</v>
      </c>
      <c r="GO25" s="18">
        <f>IF($D25=0,"DNP",SUMIFS(TEAMS_GbG[OPP 3C_M],TEAMS_GbG[[TM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1.1111111111111112</v>
      </c>
      <c r="GP25" s="18">
        <f>IF($D25=0,"DNP",SUMIFS(TEAMS_GbG[OPP 3C_A],TEAMS_GbG[[TM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3.2222222222222223</v>
      </c>
      <c r="GQ25" s="18">
        <f>IF($D25=0,"DNP",SUMIFS(TEAMS_GbG[OPP 3L_M],TEAMS_GbG[[TM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7.4444444444444446</v>
      </c>
      <c r="GR25" s="18">
        <f>IF($D25=0,"DNP",SUMIFS(TEAMS_GbG[OPP 3L_A],TEAMS_GbG[[TM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19.888888888888889</v>
      </c>
      <c r="GS25" s="18">
        <f>IF($D25=0,"DNP",SUMIFS(TEAMS_GbG[OPP 3H_M],TEAMS_GbG[[TM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GT25" s="18">
        <f>IF($D25=0,"DNP",SUMIFS(TEAMS_GbG[OPP 3H_A],TEAMS_GbG[[TM NAME]:[TM NAME]],$C25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GU25" s="16">
        <f ca="1">IF(TEAMS_STATS[[#This Row],[TM NAME]]="","",INDEX(SoS!$C$113:$C$144,MATCH(TEAMS_STATS[[#This Row],[TM NAME]],SoS!$B$113:$B$144,0)))</f>
        <v>0.51220789241622577</v>
      </c>
    </row>
    <row r="26" spans="2:203" ht="15" hidden="1" customHeight="1" x14ac:dyDescent="0.25">
      <c r="B26" s="12">
        <f>_xlfn.AGGREGATE(3,5,$C$7:C25)</f>
        <v>19</v>
      </c>
      <c r="C26" s="14" t="str">
        <f>BASIS_INFO!F21</f>
        <v/>
      </c>
      <c r="D26" s="20">
        <f>COUNTIFS(TEAMS_GbG[[TM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26" s="20">
        <f>COUNTIFS(TEAMS_GbG[[TM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26" s="20">
        <f>COUNTIFS(TEAMS_GbG[[TM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26" s="18" t="str">
        <f>IF($D26=0,"DNP",SUMIFS(TEAMS_GbG[MIN],TEAMS_GbG[[TM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H26" s="18" t="str">
        <f>IF($D26=0,"DNP",SUMIFS(TEAMS_GbG[PTS],TEAMS_GbG[[TM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I26" s="18" t="str">
        <f>IF($D26=0,"DNP",SUMIFS(TEAMS_GbG[2PTM],TEAMS_GbG[[TM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J26" s="18" t="str">
        <f>IF($D26=0,"DNP",SUMIFS(TEAMS_GbG[2PTA],TEAMS_GbG[[TM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K26" s="16" t="str">
        <f t="shared" ref="K26:K39" si="56">IF($D26=0,"DNP",IF(J26=0,"-",I26/J26))</f>
        <v>DNP</v>
      </c>
      <c r="L26" s="18" t="str">
        <f>IF($D26=0,"DNP",SUMIFS(TEAMS_GbG[3PTM],TEAMS_GbG[[TM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M26" s="18" t="str">
        <f>IF($D26=0,"DNP",SUMIFS(TEAMS_GbG[3PTA],TEAMS_GbG[[TM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N26" s="16" t="str">
        <f t="shared" ref="N26:N39" si="57">IF($D26=0,"DNP",IF(M26=0,"-",L26/M26))</f>
        <v>DNP</v>
      </c>
      <c r="O26" s="18" t="str">
        <f>IF($D26=0,"DNP",SUMIFS(TEAMS_GbG[FGM],TEAMS_GbG[[TM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P26" s="18" t="str">
        <f>IF($D26=0,"DNP",SUMIFS(TEAMS_GbG[FGA],TEAMS_GbG[[TM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Q26" s="16" t="str">
        <f t="shared" ref="Q26:Q39" si="58">IF($D26=0,"DNP",IF(P26=0,"-",O26/P26))</f>
        <v>DNP</v>
      </c>
      <c r="R26" s="18" t="str">
        <f>IF($D26=0,"DNP",SUMIFS(TEAMS_GbG[FTM],TEAMS_GbG[[TM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S26" s="18" t="str">
        <f>IF($D26=0,"DNP",SUMIFS(TEAMS_GbG[FTA],TEAMS_GbG[[TM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T26" s="16" t="str">
        <f t="shared" ref="T26:T39" si="59">IF($D26=0,"DNP",IF(S26=0,"-",R26/S26))</f>
        <v>DNP</v>
      </c>
      <c r="U26" s="18" t="str">
        <f>IF($D26=0,"DNP",SUMIFS(TEAMS_GbG[OR],TEAMS_GbG[[TM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V26" s="18" t="str">
        <f>IF($D26=0,"DNP",SUMIFS(TEAMS_GbG[DR],TEAMS_GbG[[TM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W26" s="18" t="str">
        <f>IF($D26=0,"DNP",SUMIFS(TEAMS_GbG[TR],TEAMS_GbG[[TM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X26" s="18" t="str">
        <f>IF($D26=0,"DNP",SUMIFS(TEAMS_GbG[AST],TEAMS_GbG[[TM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Y26" s="18" t="str">
        <f>IF($D26=0,"DNP",SUMIFS(TEAMS_GbG[TO],TEAMS_GbG[[TM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Z26" s="18" t="str">
        <f>IF($D26=0,"DNP",SUMIFS(TEAMS_GbG[ST],TEAMS_GbG[[TM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A26" s="18" t="str">
        <f>IF($D26=0,"DNP",SUMIFS(TEAMS_GbG[BLK],TEAMS_GbG[[TM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B26" s="18" t="str">
        <f>IF($D26=0,"DNP",SUMIFS(TEAMS_GbG[BLKA],TEAMS_GbG[[TM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C26" s="18" t="str">
        <f>IF($D26=0,"DNP",SUMIFS(TEAMS_GbG[PF],TEAMS_GbG[[TM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D26" s="18" t="str">
        <f>IF($D26=0,"DNP",SUMIFS(TEAMS_GbG[DF],TEAMS_GbG[[TM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E26" s="18" t="str">
        <f>IF($D26=0,"DNP",SUMIFS(TEAMS_GbG[VAL],TEAMS_GbG[[TM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F26" s="18" t="str">
        <f>IF($D26=0,"DNP",SUMIFS(TEAMS_GbG[+ / -],TEAMS_GbG[[TM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G26" s="26" t="str">
        <f t="shared" si="0"/>
        <v>DNP</v>
      </c>
      <c r="AH26" s="18" t="str">
        <f>IF($D26=0,"DNP",SUMIFS(TEAMS_GbG[POSS],TEAMS_GbG[[TM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I26" s="18" t="str">
        <f>IF($D26=0,"DNP",SUMIFS(TEAMS_GbG[SHOOTING CHANCES],TEAMS_GbG[[TM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J26" s="19" t="str">
        <f t="shared" si="1"/>
        <v>DNP</v>
      </c>
      <c r="AK26" s="19" t="str">
        <f t="shared" si="2"/>
        <v>DNP</v>
      </c>
      <c r="AL26" s="18" t="str">
        <f t="shared" si="3"/>
        <v>DNP</v>
      </c>
      <c r="AM26" s="18" t="str">
        <f t="shared" si="4"/>
        <v>DNP</v>
      </c>
      <c r="AN26" s="18" t="str">
        <f t="shared" ref="AN26:AN39" si="60">IF($D26=0,"DNP",AL26-AM26)</f>
        <v>DNP</v>
      </c>
      <c r="AO26" s="27" t="str">
        <f t="shared" si="5"/>
        <v>DNP</v>
      </c>
      <c r="AP26" s="28" t="str">
        <f t="shared" si="6"/>
        <v>DNP</v>
      </c>
      <c r="AQ26" s="34" t="str">
        <f t="shared" si="7"/>
        <v>DNP</v>
      </c>
      <c r="AR26" s="19" t="str">
        <f t="shared" si="8"/>
        <v>DNP</v>
      </c>
      <c r="AS26" s="16" t="str">
        <f t="shared" si="9"/>
        <v>DNP</v>
      </c>
      <c r="AT26" s="18" t="str">
        <f t="shared" si="10"/>
        <v>DNP</v>
      </c>
      <c r="AU26" s="16" t="str">
        <f t="shared" si="11"/>
        <v>DNP</v>
      </c>
      <c r="AV26" s="18" t="str">
        <f t="shared" si="12"/>
        <v>DNP</v>
      </c>
      <c r="AW26" s="16" t="str">
        <f t="shared" si="13"/>
        <v>DNP</v>
      </c>
      <c r="AX26" s="19" t="str">
        <f t="shared" si="14"/>
        <v>DNP</v>
      </c>
      <c r="AY26" s="27" t="str">
        <f t="shared" si="15"/>
        <v>DNP</v>
      </c>
      <c r="AZ26" s="38" t="str">
        <f t="shared" si="16"/>
        <v>DNP</v>
      </c>
      <c r="BA26" s="28" t="str">
        <f t="shared" si="17"/>
        <v>DNP</v>
      </c>
      <c r="BB26" s="34" t="str">
        <f t="shared" si="18"/>
        <v>DNP</v>
      </c>
      <c r="BC26" s="27" t="str">
        <f t="shared" si="19"/>
        <v>DNP</v>
      </c>
      <c r="BD26" s="27" t="str">
        <f t="shared" si="20"/>
        <v>DNP</v>
      </c>
      <c r="BE26" s="27" t="str">
        <f t="shared" si="21"/>
        <v>DNP</v>
      </c>
      <c r="BF26" s="27" t="str">
        <f t="shared" si="22"/>
        <v>DNP</v>
      </c>
      <c r="BG26" s="27" t="str">
        <f t="shared" si="23"/>
        <v>DNP</v>
      </c>
      <c r="BH26" s="35" t="str">
        <f t="shared" si="24"/>
        <v>DNP</v>
      </c>
      <c r="BI26" s="49" t="str">
        <f t="shared" si="25"/>
        <v>DNP</v>
      </c>
      <c r="BJ26" s="45" t="str">
        <f t="shared" si="26"/>
        <v>DNP</v>
      </c>
      <c r="BK26" s="45" t="str">
        <f t="shared" si="27"/>
        <v>DNP</v>
      </c>
      <c r="BL26" s="45" t="str">
        <f t="shared" si="28"/>
        <v>DNP</v>
      </c>
      <c r="BM26" s="45" t="str">
        <f t="shared" si="29"/>
        <v>DNP</v>
      </c>
      <c r="BN26" s="45" t="str">
        <f t="shared" si="30"/>
        <v>DNP</v>
      </c>
      <c r="BO26" s="45" t="str">
        <f t="shared" si="31"/>
        <v>DNP</v>
      </c>
      <c r="BP26" s="45" t="str">
        <f t="shared" si="32"/>
        <v>DNP</v>
      </c>
      <c r="BQ26" s="46" t="str">
        <f t="shared" si="33"/>
        <v>DNP</v>
      </c>
      <c r="BR26" s="49" t="str">
        <f t="shared" si="34"/>
        <v>DNP</v>
      </c>
      <c r="BS26" s="45" t="str">
        <f t="shared" si="35"/>
        <v>DNP</v>
      </c>
      <c r="BT26" s="40" t="str">
        <f>IF($D26=0,"DNP",SUMIFS(TEAMS_GbG[KILLS],TEAMS_GbG[[TM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BU26" s="34" t="str">
        <f t="shared" si="36"/>
        <v>DNP</v>
      </c>
      <c r="BV26" s="28" t="str">
        <f t="shared" si="37"/>
        <v>DNP</v>
      </c>
      <c r="BW26" s="18" t="str">
        <f>IF($D26=0,"DNP",SUMIFS(TEAMS_GbG[ASTED_2FG],TEAMS_GbG[[TM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BX26" s="18" t="str">
        <f>IF($D26=0,"DNP",SUMIFS(TEAMS_GbG[ASTED_3FG],TEAMS_GbG[[TM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BY26" s="18" t="str">
        <f>IF($D26=0,"DNP",SUMIFS(TEAMS_GbG[ASTED_FT],TEAMS_GbG[[TM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BZ26" s="18" t="str">
        <f>IF($D26=0,"DNP",SUMIFS(TEAMS_GbG[ASTED_FT PTS],TEAMS_GbG[[TM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A26" s="18" t="str">
        <f>IF($D26=0,"DNP",SUMIFS(TEAMS_GbG[OR_RIM],TEAMS_GbG[[TM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B26" s="18" t="str">
        <f>IF($D26=0,"DNP",SUMIFS(TEAMS_GbG[TM OR_RIM],TEAMS_GbG[[TM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C26" s="18" t="str">
        <f>IF($D26=0,"DNP",SUMIFS(TEAMS_GbG[OR_PAINT],TEAMS_GbG[[TM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D26" s="18" t="str">
        <f>IF($D26=0,"DNP",SUMIFS(TEAMS_GbG[TM OR_PAINT],TEAMS_GbG[[TM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E26" s="18" t="str">
        <f>IF($D26=0,"DNP",SUMIFS(TEAMS_GbG[OR_NP2],TEAMS_GbG[[TM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F26" s="18" t="str">
        <f>IF($D26=0,"DNP",SUMIFS(TEAMS_GbG[TM OR_NP2],TEAMS_GbG[[TM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G26" s="18" t="str">
        <f>IF($D26=0,"DNP",SUMIFS(TEAMS_GbG[OR_3C],TEAMS_GbG[[TM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H26" s="18" t="str">
        <f>IF($D26=0,"DNP",SUMIFS(TEAMS_GbG[TM OR_3C],TEAMS_GbG[[TM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I26" s="18" t="str">
        <f>IF($D26=0,"DNP",SUMIFS(TEAMS_GbG[OR_3L],TEAMS_GbG[[TM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J26" s="18" t="str">
        <f>IF($D26=0,"DNP",SUMIFS(TEAMS_GbG[TM OR_3L],TEAMS_GbG[[TM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K26" s="18" t="str">
        <f>IF($D26=0,"DNP",SUMIFS(TEAMS_GbG[OR_FT],TEAMS_GbG[[TM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L26" s="18" t="str">
        <f>IF($D26=0,"DNP",SUMIFS(TEAMS_GbG[TM OR_FT],TEAMS_GbG[[TM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M26" s="18" t="str">
        <f>IF($D26=0,"DNP",SUMIFS(TEAMS_GbG[DR_RIM],TEAMS_GbG[[TM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N26" s="18" t="str">
        <f>IF($D26=0,"DNP",SUMIFS(TEAMS_GbG[TM DR_RIM],TEAMS_GbG[[TM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O26" s="18" t="str">
        <f>IF($D26=0,"DNP",SUMIFS(TEAMS_GbG[DR_PAINT],TEAMS_GbG[[TM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P26" s="18" t="str">
        <f>IF($D26=0,"DNP",SUMIFS(TEAMS_GbG[TM DR_PAINT],TEAMS_GbG[[TM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Q26" s="18" t="str">
        <f>IF($D26=0,"DNP",SUMIFS(TEAMS_GbG[DR_NP2],TEAMS_GbG[[TM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R26" s="18" t="str">
        <f>IF($D26=0,"DNP",SUMIFS(TEAMS_GbG[TM DR_NP2],TEAMS_GbG[[TM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S26" s="18" t="str">
        <f>IF($D26=0,"DNP",SUMIFS(TEAMS_GbG[DR_3C],TEAMS_GbG[[TM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T26" s="18" t="str">
        <f>IF($D26=0,"DNP",SUMIFS(TEAMS_GbG[TM DR_3C],TEAMS_GbG[[TM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U26" s="18" t="str">
        <f>IF($D26=0,"DNP",SUMIFS(TEAMS_GbG[DR_3L],TEAMS_GbG[[TM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V26" s="18" t="str">
        <f>IF($D26=0,"DNP",SUMIFS(TEAMS_GbG[TM DR_3L],TEAMS_GbG[[TM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W26" s="18" t="str">
        <f>IF($D26=0,"DNP",SUMIFS(TEAMS_GbG[DR_FT],TEAMS_GbG[[TM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X26" s="18" t="str">
        <f>IF($D26=0,"DNP",SUMIFS(TEAMS_GbG[TM DR_FT],TEAMS_GbG[[TM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Y26" s="18" t="str">
        <f>IF($D26=0,"DNP",SUMIFS(TEAMS_GbG[FTM_T],TEAMS_GbG[[TM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Z26" s="18" t="str">
        <f>IF($D26=0,"DNP",SUMIFS(TEAMS_GbG[FTA_T],TEAMS_GbG[[TM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A26" s="18" t="str">
        <f>IF($D26=0,"DNP",SUMIFS(TEAMS_GbG[FTM_1],TEAMS_GbG[[TM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B26" s="18" t="str">
        <f>IF($D26=0,"DNP",SUMIFS(TEAMS_GbG[FTA_1],TEAMS_GbG[[TM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C26" s="18" t="str">
        <f>IF($D26=0,"DNP",SUMIFS(TEAMS_GbG[FTM_2],TEAMS_GbG[[TM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D26" s="18" t="str">
        <f>IF($D26=0,"DNP",SUMIFS(TEAMS_GbG[FTA_2],TEAMS_GbG[[TM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E26" s="18" t="str">
        <f>IF($D26=0,"DNP",SUMIFS(TEAMS_GbG[FT 0/2],TEAMS_GbG[[TM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F26" s="18" t="str">
        <f>IF($D26=0,"DNP",SUMIFS(TEAMS_GbG[FTM_3],TEAMS_GbG[[TM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G26" s="18" t="str">
        <f>IF($D26=0,"DNP",SUMIFS(TEAMS_GbG[FTA_3],TEAMS_GbG[[TM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H26" s="18" t="str">
        <f>IF($D26=0,"DNP",SUMIFS(TEAMS_GbG[FT 0/3],TEAMS_GbG[[TM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I26" s="18" t="str">
        <f>IF($D26=0,"DNP",SUMIFS(TEAMS_GbG[RIM_M],TEAMS_GbG[[TM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J26" s="18" t="str">
        <f>IF($D26=0,"DNP",SUMIFS(TEAMS_GbG[RIM_A],TEAMS_GbG[[TM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K26" s="18" t="str">
        <f>IF($D26=0,"DNP",SUMIFS(TEAMS_GbG[PAINT_M],TEAMS_GbG[[TM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L26" s="18" t="str">
        <f>IF($D26=0,"DNP",SUMIFS(TEAMS_GbG[PAINT_A],TEAMS_GbG[[TM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M26" s="18" t="str">
        <f>IF($D26=0,"DNP",SUMIFS(TEAMS_GbG[MID_M],TEAMS_GbG[[TM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N26" s="18" t="str">
        <f>IF($D26=0,"DNP",SUMIFS(TEAMS_GbG[MID_A],TEAMS_GbG[[TM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O26" s="18" t="str">
        <f>IF($D26=0,"DNP",SUMIFS(TEAMS_GbG[3C_M],TEAMS_GbG[[TM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P26" s="18" t="str">
        <f>IF($D26=0,"DNP",SUMIFS(TEAMS_GbG[3C_A],TEAMS_GbG[[TM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Q26" s="18" t="str">
        <f>IF($D26=0,"DNP",SUMIFS(TEAMS_GbG[3L_M],TEAMS_GbG[[TM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R26" s="18" t="str">
        <f>IF($D26=0,"DNP",SUMIFS(TEAMS_GbG[3L_A],TEAMS_GbG[[TM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S26" s="18" t="str">
        <f>IF($D26=0,"DNP",SUMIFS(TEAMS_GbG[3H_M],TEAMS_GbG[[TM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T26" s="18" t="str">
        <f>IF($D26=0,"DNP",SUMIFS(TEAMS_GbG[3H_A],TEAMS_GbG[[TM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U26" s="18" t="str">
        <f>IF($D26=0,"DNP",SUMIFS(TEAMS_GbG[OPP PTS],TEAMS_GbG[[TM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V26" s="18" t="str">
        <f>IF($D26=0,"DNP",SUMIFS(TEAMS_GbG[OPP 2PTM],TEAMS_GbG[[TM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W26" s="18" t="str">
        <f>IF($D26=0,"DNP",SUMIFS(TEAMS_GbG[OPP 2PTA],TEAMS_GbG[[TM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X26" s="16" t="str">
        <f t="shared" ref="DX26:DX39" si="61">IF($D26=0,"DNP",IF(DW26=0,"-",DV26/DW26))</f>
        <v>DNP</v>
      </c>
      <c r="DY26" s="18" t="str">
        <f>IF($D26=0,"DNP",SUMIFS(TEAMS_GbG[OPP 3PTM],TEAMS_GbG[[TM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Z26" s="18" t="str">
        <f>IF($D26=0,"DNP",SUMIFS(TEAMS_GbG[OPP 3PTA],TEAMS_GbG[[TM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A26" s="16" t="str">
        <f t="shared" ref="EA26:EA39" si="62">IF($D26=0,"DNP",IF(DZ26=0,"-",DY26/DZ26))</f>
        <v>DNP</v>
      </c>
      <c r="EB26" s="18" t="str">
        <f>IF($D26=0,"DNP",SUMIFS(TEAMS_GbG[OPP FGM],TEAMS_GbG[[TM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C26" s="18" t="str">
        <f>IF($D26=0,"DNP",SUMIFS(TEAMS_GbG[OPP FGA],TEAMS_GbG[[TM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D26" s="16" t="str">
        <f t="shared" ref="ED26:ED39" si="63">IF($D26=0,"DNP",IF(EC26=0,"-",EB26/EC26))</f>
        <v>DNP</v>
      </c>
      <c r="EE26" s="18" t="str">
        <f>IF($D26=0,"DNP",SUMIFS(TEAMS_GbG[OPP FTM],TEAMS_GbG[[TM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F26" s="18" t="str">
        <f>IF($D26=0,"DNP",SUMIFS(TEAMS_GbG[OPP FTA],TEAMS_GbG[[TM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G26" s="16" t="str">
        <f t="shared" ref="EG26:EG39" si="64">IF($D26=0,"DNP",IF(EF26=0,"-",EE26/EF26))</f>
        <v>DNP</v>
      </c>
      <c r="EH26" s="18" t="str">
        <f>IF($D26=0,"DNP",SUMIFS(TEAMS_GbG[OPP OR],TEAMS_GbG[[TM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I26" s="18" t="str">
        <f>IF($D26=0,"DNP",SUMIFS(TEAMS_GbG[OPP DR],TEAMS_GbG[[TM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J26" s="18" t="str">
        <f>IF($D26=0,"DNP",SUMIFS(TEAMS_GbG[OPP TR],TEAMS_GbG[[TM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K26" s="18" t="str">
        <f>IF($D26=0,"DNP",SUMIFS(TEAMS_GbG[OPP AST],TEAMS_GbG[[TM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L26" s="18" t="str">
        <f>IF($D26=0,"DNP",SUMIFS(TEAMS_GbG[OPP PF],TEAMS_GbG[[TM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M26" s="18" t="str">
        <f>IF($D26=0,"DNP",SUMIFS(TEAMS_GbG[OPP DF],TEAMS_GbG[[TM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N26" s="18" t="str">
        <f>IF($D26=0,"DNP",SUMIFS(TEAMS_GbG[OPP ST],TEAMS_GbG[[TM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O26" s="18" t="str">
        <f>IF($D26=0,"DNP",SUMIFS(TEAMS_GbG[OPP TO],TEAMS_GbG[[TM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P26" s="18" t="str">
        <f>IF($D26=0,"DNP",SUMIFS(TEAMS_GbG[OPP BLK],TEAMS_GbG[[TM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Q26" s="18" t="str">
        <f>IF($D26=0,"DNP",SUMIFS(TEAMS_GbG[OPP BLKA],TEAMS_GbG[[TM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R26" s="18" t="str">
        <f>IF($D26=0,"DNP",SUMIFS(TEAMS_GbG[OPP VAL],TEAMS_GbG[[TM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S26" s="18" t="str">
        <f>IF($D26=0,"DNP",SUMIFS(TEAMS_GbG[OPP + / -],TEAMS_GbG[[TM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T26" s="18" t="str">
        <f>IF($D26=0,"DNP",SUMIFS(TEAMS_GbG[OPP POSS],TEAMS_GbG[[TM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U26" s="18" t="str">
        <f>IF($D26=0,"DNP",SUMIFS(TEAMS_GbG[OPP SHOOTING CHANCES],TEAMS_GbG[[TM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V26" s="18" t="str">
        <f>IF($D26=0,"DNP",SUMIFS(TEAMS_GbG[OPP KILLS],TEAMS_GbG[[TM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W26" s="18" t="str">
        <f>IF($D26=0,"DNP",SUMIFS(TEAMS_GbG[OPP ASTED_2FG],TEAMS_GbG[[TM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X26" s="18" t="str">
        <f>IF($D26=0,"DNP",SUMIFS(TEAMS_GbG[OPP ASTED_3FG],TEAMS_GbG[[TM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Y26" s="18" t="str">
        <f>IF($D26=0,"DNP",SUMIFS(TEAMS_GbG[OPP ASTED_FT],TEAMS_GbG[[TM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Z26" s="18" t="str">
        <f>IF($D26=0,"DNP",SUMIFS(TEAMS_GbG[OPP ASTED_FT PTS],TEAMS_GbG[[TM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A26" s="18" t="str">
        <f>IF($D26=0,"DNP",SUMIFS(TEAMS_GbG[OPP OR_RIM],TEAMS_GbG[[TM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B26" s="18" t="str">
        <f>IF($D26=0,"DNP",SUMIFS(TEAMS_GbG[OPP TM OR_RIM],TEAMS_GbG[[TM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C26" s="18" t="str">
        <f>IF($D26=0,"DNP",SUMIFS(TEAMS_GbG[OPP OR_PAINT],TEAMS_GbG[[TM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D26" s="18" t="str">
        <f>IF($D26=0,"DNP",SUMIFS(TEAMS_GbG[OPP TM OR_PAINT],TEAMS_GbG[[TM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E26" s="18" t="str">
        <f>IF($D26=0,"DNP",SUMIFS(TEAMS_GbG[OPP OR_NP2],TEAMS_GbG[[TM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F26" s="18" t="str">
        <f>IF($D26=0,"DNP",SUMIFS(TEAMS_GbG[OPP TM OR_NP2],TEAMS_GbG[[TM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G26" s="18" t="str">
        <f>IF($D26=0,"DNP",SUMIFS(TEAMS_GbG[OPP OR_3C],TEAMS_GbG[[TM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H26" s="18" t="str">
        <f>IF($D26=0,"DNP",SUMIFS(TEAMS_GbG[OPP TM OR_3C],TEAMS_GbG[[TM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I26" s="18" t="str">
        <f>IF($D26=0,"DNP",SUMIFS(TEAMS_GbG[OPP OR_3L],TEAMS_GbG[[TM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J26" s="18" t="str">
        <f>IF($D26=0,"DNP",SUMIFS(TEAMS_GbG[OPP TM OR_3L],TEAMS_GbG[[TM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K26" s="18" t="str">
        <f>IF($D26=0,"DNP",SUMIFS(TEAMS_GbG[OPP OR_FT],TEAMS_GbG[[TM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L26" s="18" t="str">
        <f>IF($D26=0,"DNP",SUMIFS(TEAMS_GbG[OPP TM OR_FT],TEAMS_GbG[[TM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M26" s="18" t="str">
        <f>IF($D26=0,"DNP",SUMIFS(TEAMS_GbG[OPP DR_RIM],TEAMS_GbG[[TM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N26" s="18" t="str">
        <f>IF($D26=0,"DNP",SUMIFS(TEAMS_GbG[OPP TM DR_RIM],TEAMS_GbG[[TM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O26" s="18" t="str">
        <f>IF($D26=0,"DNP",SUMIFS(TEAMS_GbG[OPP DR_PAINT],TEAMS_GbG[[TM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P26" s="18" t="str">
        <f>IF($D26=0,"DNP",SUMIFS(TEAMS_GbG[OPP TM DR_PAINT],TEAMS_GbG[[TM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Q26" s="18" t="str">
        <f>IF($D26=0,"DNP",SUMIFS(TEAMS_GbG[OPP DR_NP2],TEAMS_GbG[[TM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R26" s="18" t="str">
        <f>IF($D26=0,"DNP",SUMIFS(TEAMS_GbG[OPP TM DR_NP2],TEAMS_GbG[[TM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S26" s="18" t="str">
        <f>IF($D26=0,"DNP",SUMIFS(TEAMS_GbG[OPP DR_3C],TEAMS_GbG[[TM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T26" s="18" t="str">
        <f>IF($D26=0,"DNP",SUMIFS(TEAMS_GbG[OPP TM DR_3C],TEAMS_GbG[[TM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U26" s="18" t="str">
        <f>IF($D26=0,"DNP",SUMIFS(TEAMS_GbG[OPP DR_3L],TEAMS_GbG[[TM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V26" s="18" t="str">
        <f>IF($D26=0,"DNP",SUMIFS(TEAMS_GbG[OPP TM DR_3L],TEAMS_GbG[[TM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W26" s="18" t="str">
        <f>IF($D26=0,"DNP",SUMIFS(TEAMS_GbG[OPP DR_FT],TEAMS_GbG[[TM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X26" s="18" t="str">
        <f>IF($D26=0,"DNP",SUMIFS(TEAMS_GbG[OPP TM DR_FT],TEAMS_GbG[[TM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Y26" s="18" t="str">
        <f>IF($D26=0,"DNP",SUMIFS(TEAMS_GbG[OPP FTM_T],TEAMS_GbG[[TM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Z26" s="18" t="str">
        <f>IF($D26=0,"DNP",SUMIFS(TEAMS_GbG[OPP FTA_T],TEAMS_GbG[[TM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A26" s="18" t="str">
        <f>IF($D26=0,"DNP",SUMIFS(TEAMS_GbG[OPP FTM_1],TEAMS_GbG[[TM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B26" s="18" t="str">
        <f>IF($D26=0,"DNP",SUMIFS(TEAMS_GbG[OPP FTA_1],TEAMS_GbG[[TM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C26" s="18" t="str">
        <f>IF($D26=0,"DNP",SUMIFS(TEAMS_GbG[OPP FTM_2],TEAMS_GbG[[TM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D26" s="18" t="str">
        <f>IF($D26=0,"DNP",SUMIFS(TEAMS_GbG[OPP FTA_2],TEAMS_GbG[[TM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E26" s="18" t="str">
        <f>IF($D26=0,"DNP",SUMIFS(TEAMS_GbG[OPP FT 0/2],TEAMS_GbG[[TM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F26" s="18" t="str">
        <f>IF($D26=0,"DNP",SUMIFS(TEAMS_GbG[OPP FTM_3],TEAMS_GbG[[TM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G26" s="18" t="str">
        <f>IF($D26=0,"DNP",SUMIFS(TEAMS_GbG[OPP FTA_3],TEAMS_GbG[[TM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H26" s="18" t="str">
        <f>IF($D26=0,"DNP",SUMIFS(TEAMS_GbG[OPP FT 0/3],TEAMS_GbG[[TM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I26" s="18" t="str">
        <f>IF($D26=0,"DNP",SUMIFS(TEAMS_GbG[OPP RIM_M],TEAMS_GbG[[TM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J26" s="18" t="str">
        <f>IF($D26=0,"DNP",SUMIFS(TEAMS_GbG[OPP RIM_A],TEAMS_GbG[[TM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K26" s="18" t="str">
        <f>IF($D26=0,"DNP",SUMIFS(TEAMS_GbG[OPP PAINT_M],TEAMS_GbG[[TM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L26" s="18" t="str">
        <f>IF($D26=0,"DNP",SUMIFS(TEAMS_GbG[OPP PAINT_A],TEAMS_GbG[[TM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M26" s="18" t="str">
        <f>IF($D26=0,"DNP",SUMIFS(TEAMS_GbG[OPP MID_M],TEAMS_GbG[[TM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N26" s="18" t="str">
        <f>IF($D26=0,"DNP",SUMIFS(TEAMS_GbG[OPP MID_A],TEAMS_GbG[[TM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O26" s="18" t="str">
        <f>IF($D26=0,"DNP",SUMIFS(TEAMS_GbG[OPP 3C_M],TEAMS_GbG[[TM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P26" s="18" t="str">
        <f>IF($D26=0,"DNP",SUMIFS(TEAMS_GbG[OPP 3C_A],TEAMS_GbG[[TM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Q26" s="18" t="str">
        <f>IF($D26=0,"DNP",SUMIFS(TEAMS_GbG[OPP 3L_M],TEAMS_GbG[[TM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R26" s="18" t="str">
        <f>IF($D26=0,"DNP",SUMIFS(TEAMS_GbG[OPP 3L_A],TEAMS_GbG[[TM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S26" s="18" t="str">
        <f>IF($D26=0,"DNP",SUMIFS(TEAMS_GbG[OPP 3H_M],TEAMS_GbG[[TM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T26" s="18" t="str">
        <f>IF($D26=0,"DNP",SUMIFS(TEAMS_GbG[OPP 3H_A],TEAMS_GbG[[TM NAME]:[TM NAME]],$C26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U26" s="16" t="str">
        <f>IF(TEAMS_STATS[[#This Row],[TM NAME]]="","",INDEX(SoS!$C$113:$C$144,MATCH(TEAMS_STATS[[#This Row],[TM NAME]],SoS!$B$113:$B$144,0)))</f>
        <v/>
      </c>
    </row>
    <row r="27" spans="2:203" ht="15" hidden="1" customHeight="1" x14ac:dyDescent="0.25">
      <c r="B27" s="12">
        <f>_xlfn.AGGREGATE(3,5,$C$7:C26)</f>
        <v>19</v>
      </c>
      <c r="C27" s="14" t="str">
        <f>BASIS_INFO!F22</f>
        <v/>
      </c>
      <c r="D27" s="20">
        <f>COUNTIFS(TEAMS_GbG[[TM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27" s="20">
        <f>COUNTIFS(TEAMS_GbG[[TM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27" s="20">
        <f>COUNTIFS(TEAMS_GbG[[TM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27" s="18" t="str">
        <f>IF($D27=0,"DNP",SUMIFS(TEAMS_GbG[MIN],TEAMS_GbG[[TM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H27" s="18" t="str">
        <f>IF($D27=0,"DNP",SUMIFS(TEAMS_GbG[PTS],TEAMS_GbG[[TM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I27" s="18" t="str">
        <f>IF($D27=0,"DNP",SUMIFS(TEAMS_GbG[2PTM],TEAMS_GbG[[TM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J27" s="18" t="str">
        <f>IF($D27=0,"DNP",SUMIFS(TEAMS_GbG[2PTA],TEAMS_GbG[[TM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K27" s="16" t="str">
        <f t="shared" si="56"/>
        <v>DNP</v>
      </c>
      <c r="L27" s="18" t="str">
        <f>IF($D27=0,"DNP",SUMIFS(TEAMS_GbG[3PTM],TEAMS_GbG[[TM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M27" s="18" t="str">
        <f>IF($D27=0,"DNP",SUMIFS(TEAMS_GbG[3PTA],TEAMS_GbG[[TM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N27" s="16" t="str">
        <f t="shared" si="57"/>
        <v>DNP</v>
      </c>
      <c r="O27" s="18" t="str">
        <f>IF($D27=0,"DNP",SUMIFS(TEAMS_GbG[FGM],TEAMS_GbG[[TM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P27" s="18" t="str">
        <f>IF($D27=0,"DNP",SUMIFS(TEAMS_GbG[FGA],TEAMS_GbG[[TM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Q27" s="16" t="str">
        <f t="shared" si="58"/>
        <v>DNP</v>
      </c>
      <c r="R27" s="18" t="str">
        <f>IF($D27=0,"DNP",SUMIFS(TEAMS_GbG[FTM],TEAMS_GbG[[TM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S27" s="18" t="str">
        <f>IF($D27=0,"DNP",SUMIFS(TEAMS_GbG[FTA],TEAMS_GbG[[TM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T27" s="16" t="str">
        <f t="shared" si="59"/>
        <v>DNP</v>
      </c>
      <c r="U27" s="18" t="str">
        <f>IF($D27=0,"DNP",SUMIFS(TEAMS_GbG[OR],TEAMS_GbG[[TM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V27" s="18" t="str">
        <f>IF($D27=0,"DNP",SUMIFS(TEAMS_GbG[DR],TEAMS_GbG[[TM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W27" s="18" t="str">
        <f>IF($D27=0,"DNP",SUMIFS(TEAMS_GbG[TR],TEAMS_GbG[[TM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X27" s="18" t="str">
        <f>IF($D27=0,"DNP",SUMIFS(TEAMS_GbG[AST],TEAMS_GbG[[TM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Y27" s="18" t="str">
        <f>IF($D27=0,"DNP",SUMIFS(TEAMS_GbG[TO],TEAMS_GbG[[TM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Z27" s="18" t="str">
        <f>IF($D27=0,"DNP",SUMIFS(TEAMS_GbG[ST],TEAMS_GbG[[TM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A27" s="18" t="str">
        <f>IF($D27=0,"DNP",SUMIFS(TEAMS_GbG[BLK],TEAMS_GbG[[TM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B27" s="18" t="str">
        <f>IF($D27=0,"DNP",SUMIFS(TEAMS_GbG[BLKA],TEAMS_GbG[[TM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C27" s="18" t="str">
        <f>IF($D27=0,"DNP",SUMIFS(TEAMS_GbG[PF],TEAMS_GbG[[TM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D27" s="18" t="str">
        <f>IF($D27=0,"DNP",SUMIFS(TEAMS_GbG[DF],TEAMS_GbG[[TM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E27" s="18" t="str">
        <f>IF($D27=0,"DNP",SUMIFS(TEAMS_GbG[VAL],TEAMS_GbG[[TM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F27" s="18" t="str">
        <f>IF($D27=0,"DNP",SUMIFS(TEAMS_GbG[+ / -],TEAMS_GbG[[TM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G27" s="26" t="str">
        <f t="shared" si="0"/>
        <v>DNP</v>
      </c>
      <c r="AH27" s="18" t="str">
        <f>IF($D27=0,"DNP",SUMIFS(TEAMS_GbG[POSS],TEAMS_GbG[[TM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I27" s="18" t="str">
        <f>IF($D27=0,"DNP",SUMIFS(TEAMS_GbG[SHOOTING CHANCES],TEAMS_GbG[[TM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J27" s="19" t="str">
        <f t="shared" si="1"/>
        <v>DNP</v>
      </c>
      <c r="AK27" s="19" t="str">
        <f t="shared" si="2"/>
        <v>DNP</v>
      </c>
      <c r="AL27" s="18" t="str">
        <f t="shared" si="3"/>
        <v>DNP</v>
      </c>
      <c r="AM27" s="18" t="str">
        <f t="shared" si="4"/>
        <v>DNP</v>
      </c>
      <c r="AN27" s="18" t="str">
        <f t="shared" si="60"/>
        <v>DNP</v>
      </c>
      <c r="AO27" s="27" t="str">
        <f t="shared" si="5"/>
        <v>DNP</v>
      </c>
      <c r="AP27" s="28" t="str">
        <f t="shared" si="6"/>
        <v>DNP</v>
      </c>
      <c r="AQ27" s="34" t="str">
        <f t="shared" si="7"/>
        <v>DNP</v>
      </c>
      <c r="AR27" s="19" t="str">
        <f t="shared" si="8"/>
        <v>DNP</v>
      </c>
      <c r="AS27" s="16" t="str">
        <f t="shared" si="9"/>
        <v>DNP</v>
      </c>
      <c r="AT27" s="18" t="str">
        <f t="shared" si="10"/>
        <v>DNP</v>
      </c>
      <c r="AU27" s="16" t="str">
        <f t="shared" si="11"/>
        <v>DNP</v>
      </c>
      <c r="AV27" s="18" t="str">
        <f t="shared" si="12"/>
        <v>DNP</v>
      </c>
      <c r="AW27" s="16" t="str">
        <f t="shared" si="13"/>
        <v>DNP</v>
      </c>
      <c r="AX27" s="19" t="str">
        <f t="shared" si="14"/>
        <v>DNP</v>
      </c>
      <c r="AY27" s="27" t="str">
        <f t="shared" si="15"/>
        <v>DNP</v>
      </c>
      <c r="AZ27" s="38" t="str">
        <f t="shared" si="16"/>
        <v>DNP</v>
      </c>
      <c r="BA27" s="28" t="str">
        <f t="shared" si="17"/>
        <v>DNP</v>
      </c>
      <c r="BB27" s="34" t="str">
        <f t="shared" si="18"/>
        <v>DNP</v>
      </c>
      <c r="BC27" s="27" t="str">
        <f t="shared" si="19"/>
        <v>DNP</v>
      </c>
      <c r="BD27" s="27" t="str">
        <f t="shared" si="20"/>
        <v>DNP</v>
      </c>
      <c r="BE27" s="27" t="str">
        <f t="shared" si="21"/>
        <v>DNP</v>
      </c>
      <c r="BF27" s="27" t="str">
        <f t="shared" si="22"/>
        <v>DNP</v>
      </c>
      <c r="BG27" s="27" t="str">
        <f t="shared" si="23"/>
        <v>DNP</v>
      </c>
      <c r="BH27" s="35" t="str">
        <f t="shared" si="24"/>
        <v>DNP</v>
      </c>
      <c r="BI27" s="49" t="str">
        <f t="shared" si="25"/>
        <v>DNP</v>
      </c>
      <c r="BJ27" s="45" t="str">
        <f t="shared" si="26"/>
        <v>DNP</v>
      </c>
      <c r="BK27" s="45" t="str">
        <f t="shared" si="27"/>
        <v>DNP</v>
      </c>
      <c r="BL27" s="45" t="str">
        <f t="shared" si="28"/>
        <v>DNP</v>
      </c>
      <c r="BM27" s="45" t="str">
        <f t="shared" si="29"/>
        <v>DNP</v>
      </c>
      <c r="BN27" s="45" t="str">
        <f t="shared" si="30"/>
        <v>DNP</v>
      </c>
      <c r="BO27" s="45" t="str">
        <f t="shared" si="31"/>
        <v>DNP</v>
      </c>
      <c r="BP27" s="45" t="str">
        <f t="shared" si="32"/>
        <v>DNP</v>
      </c>
      <c r="BQ27" s="46" t="str">
        <f t="shared" si="33"/>
        <v>DNP</v>
      </c>
      <c r="BR27" s="49" t="str">
        <f t="shared" si="34"/>
        <v>DNP</v>
      </c>
      <c r="BS27" s="45" t="str">
        <f t="shared" si="35"/>
        <v>DNP</v>
      </c>
      <c r="BT27" s="40" t="str">
        <f>IF($D27=0,"DNP",SUMIFS(TEAMS_GbG[KILLS],TEAMS_GbG[[TM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BU27" s="34" t="str">
        <f t="shared" si="36"/>
        <v>DNP</v>
      </c>
      <c r="BV27" s="28" t="str">
        <f t="shared" si="37"/>
        <v>DNP</v>
      </c>
      <c r="BW27" s="18" t="str">
        <f>IF($D27=0,"DNP",SUMIFS(TEAMS_GbG[ASTED_2FG],TEAMS_GbG[[TM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BX27" s="18" t="str">
        <f>IF($D27=0,"DNP",SUMIFS(TEAMS_GbG[ASTED_3FG],TEAMS_GbG[[TM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BY27" s="18" t="str">
        <f>IF($D27=0,"DNP",SUMIFS(TEAMS_GbG[ASTED_FT],TEAMS_GbG[[TM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BZ27" s="18" t="str">
        <f>IF($D27=0,"DNP",SUMIFS(TEAMS_GbG[ASTED_FT PTS],TEAMS_GbG[[TM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A27" s="18" t="str">
        <f>IF($D27=0,"DNP",SUMIFS(TEAMS_GbG[OR_RIM],TEAMS_GbG[[TM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B27" s="18" t="str">
        <f>IF($D27=0,"DNP",SUMIFS(TEAMS_GbG[TM OR_RIM],TEAMS_GbG[[TM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C27" s="18" t="str">
        <f>IF($D27=0,"DNP",SUMIFS(TEAMS_GbG[OR_PAINT],TEAMS_GbG[[TM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D27" s="18" t="str">
        <f>IF($D27=0,"DNP",SUMIFS(TEAMS_GbG[TM OR_PAINT],TEAMS_GbG[[TM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E27" s="18" t="str">
        <f>IF($D27=0,"DNP",SUMIFS(TEAMS_GbG[OR_NP2],TEAMS_GbG[[TM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F27" s="18" t="str">
        <f>IF($D27=0,"DNP",SUMIFS(TEAMS_GbG[TM OR_NP2],TEAMS_GbG[[TM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G27" s="18" t="str">
        <f>IF($D27=0,"DNP",SUMIFS(TEAMS_GbG[OR_3C],TEAMS_GbG[[TM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H27" s="18" t="str">
        <f>IF($D27=0,"DNP",SUMIFS(TEAMS_GbG[TM OR_3C],TEAMS_GbG[[TM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I27" s="18" t="str">
        <f>IF($D27=0,"DNP",SUMIFS(TEAMS_GbG[OR_3L],TEAMS_GbG[[TM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J27" s="18" t="str">
        <f>IF($D27=0,"DNP",SUMIFS(TEAMS_GbG[TM OR_3L],TEAMS_GbG[[TM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K27" s="18" t="str">
        <f>IF($D27=0,"DNP",SUMIFS(TEAMS_GbG[OR_FT],TEAMS_GbG[[TM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L27" s="18" t="str">
        <f>IF($D27=0,"DNP",SUMIFS(TEAMS_GbG[TM OR_FT],TEAMS_GbG[[TM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M27" s="18" t="str">
        <f>IF($D27=0,"DNP",SUMIFS(TEAMS_GbG[DR_RIM],TEAMS_GbG[[TM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N27" s="18" t="str">
        <f>IF($D27=0,"DNP",SUMIFS(TEAMS_GbG[TM DR_RIM],TEAMS_GbG[[TM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O27" s="18" t="str">
        <f>IF($D27=0,"DNP",SUMIFS(TEAMS_GbG[DR_PAINT],TEAMS_GbG[[TM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P27" s="18" t="str">
        <f>IF($D27=0,"DNP",SUMIFS(TEAMS_GbG[TM DR_PAINT],TEAMS_GbG[[TM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Q27" s="18" t="str">
        <f>IF($D27=0,"DNP",SUMIFS(TEAMS_GbG[DR_NP2],TEAMS_GbG[[TM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R27" s="18" t="str">
        <f>IF($D27=0,"DNP",SUMIFS(TEAMS_GbG[TM DR_NP2],TEAMS_GbG[[TM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S27" s="18" t="str">
        <f>IF($D27=0,"DNP",SUMIFS(TEAMS_GbG[DR_3C],TEAMS_GbG[[TM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T27" s="18" t="str">
        <f>IF($D27=0,"DNP",SUMIFS(TEAMS_GbG[TM DR_3C],TEAMS_GbG[[TM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U27" s="18" t="str">
        <f>IF($D27=0,"DNP",SUMIFS(TEAMS_GbG[DR_3L],TEAMS_GbG[[TM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V27" s="18" t="str">
        <f>IF($D27=0,"DNP",SUMIFS(TEAMS_GbG[TM DR_3L],TEAMS_GbG[[TM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W27" s="18" t="str">
        <f>IF($D27=0,"DNP",SUMIFS(TEAMS_GbG[DR_FT],TEAMS_GbG[[TM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X27" s="18" t="str">
        <f>IF($D27=0,"DNP",SUMIFS(TEAMS_GbG[TM DR_FT],TEAMS_GbG[[TM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Y27" s="18" t="str">
        <f>IF($D27=0,"DNP",SUMIFS(TEAMS_GbG[FTM_T],TEAMS_GbG[[TM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Z27" s="18" t="str">
        <f>IF($D27=0,"DNP",SUMIFS(TEAMS_GbG[FTA_T],TEAMS_GbG[[TM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A27" s="18" t="str">
        <f>IF($D27=0,"DNP",SUMIFS(TEAMS_GbG[FTM_1],TEAMS_GbG[[TM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B27" s="18" t="str">
        <f>IF($D27=0,"DNP",SUMIFS(TEAMS_GbG[FTA_1],TEAMS_GbG[[TM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C27" s="18" t="str">
        <f>IF($D27=0,"DNP",SUMIFS(TEAMS_GbG[FTM_2],TEAMS_GbG[[TM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D27" s="18" t="str">
        <f>IF($D27=0,"DNP",SUMIFS(TEAMS_GbG[FTA_2],TEAMS_GbG[[TM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E27" s="18" t="str">
        <f>IF($D27=0,"DNP",SUMIFS(TEAMS_GbG[FT 0/2],TEAMS_GbG[[TM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F27" s="18" t="str">
        <f>IF($D27=0,"DNP",SUMIFS(TEAMS_GbG[FTM_3],TEAMS_GbG[[TM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G27" s="18" t="str">
        <f>IF($D27=0,"DNP",SUMIFS(TEAMS_GbG[FTA_3],TEAMS_GbG[[TM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H27" s="18" t="str">
        <f>IF($D27=0,"DNP",SUMIFS(TEAMS_GbG[FT 0/3],TEAMS_GbG[[TM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I27" s="18" t="str">
        <f>IF($D27=0,"DNP",SUMIFS(TEAMS_GbG[RIM_M],TEAMS_GbG[[TM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J27" s="18" t="str">
        <f>IF($D27=0,"DNP",SUMIFS(TEAMS_GbG[RIM_A],TEAMS_GbG[[TM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K27" s="18" t="str">
        <f>IF($D27=0,"DNP",SUMIFS(TEAMS_GbG[PAINT_M],TEAMS_GbG[[TM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L27" s="18" t="str">
        <f>IF($D27=0,"DNP",SUMIFS(TEAMS_GbG[PAINT_A],TEAMS_GbG[[TM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M27" s="18" t="str">
        <f>IF($D27=0,"DNP",SUMIFS(TEAMS_GbG[MID_M],TEAMS_GbG[[TM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N27" s="18" t="str">
        <f>IF($D27=0,"DNP",SUMIFS(TEAMS_GbG[MID_A],TEAMS_GbG[[TM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O27" s="18" t="str">
        <f>IF($D27=0,"DNP",SUMIFS(TEAMS_GbG[3C_M],TEAMS_GbG[[TM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P27" s="18" t="str">
        <f>IF($D27=0,"DNP",SUMIFS(TEAMS_GbG[3C_A],TEAMS_GbG[[TM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Q27" s="18" t="str">
        <f>IF($D27=0,"DNP",SUMIFS(TEAMS_GbG[3L_M],TEAMS_GbG[[TM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R27" s="18" t="str">
        <f>IF($D27=0,"DNP",SUMIFS(TEAMS_GbG[3L_A],TEAMS_GbG[[TM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S27" s="18" t="str">
        <f>IF($D27=0,"DNP",SUMIFS(TEAMS_GbG[3H_M],TEAMS_GbG[[TM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T27" s="18" t="str">
        <f>IF($D27=0,"DNP",SUMIFS(TEAMS_GbG[3H_A],TEAMS_GbG[[TM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U27" s="18" t="str">
        <f>IF($D27=0,"DNP",SUMIFS(TEAMS_GbG[OPP PTS],TEAMS_GbG[[TM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V27" s="18" t="str">
        <f>IF($D27=0,"DNP",SUMIFS(TEAMS_GbG[OPP 2PTM],TEAMS_GbG[[TM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W27" s="18" t="str">
        <f>IF($D27=0,"DNP",SUMIFS(TEAMS_GbG[OPP 2PTA],TEAMS_GbG[[TM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X27" s="16" t="str">
        <f t="shared" si="61"/>
        <v>DNP</v>
      </c>
      <c r="DY27" s="18" t="str">
        <f>IF($D27=0,"DNP",SUMIFS(TEAMS_GbG[OPP 3PTM],TEAMS_GbG[[TM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Z27" s="18" t="str">
        <f>IF($D27=0,"DNP",SUMIFS(TEAMS_GbG[OPP 3PTA],TEAMS_GbG[[TM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A27" s="16" t="str">
        <f t="shared" si="62"/>
        <v>DNP</v>
      </c>
      <c r="EB27" s="18" t="str">
        <f>IF($D27=0,"DNP",SUMIFS(TEAMS_GbG[OPP FGM],TEAMS_GbG[[TM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C27" s="18" t="str">
        <f>IF($D27=0,"DNP",SUMIFS(TEAMS_GbG[OPP FGA],TEAMS_GbG[[TM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D27" s="16" t="str">
        <f t="shared" si="63"/>
        <v>DNP</v>
      </c>
      <c r="EE27" s="18" t="str">
        <f>IF($D27=0,"DNP",SUMIFS(TEAMS_GbG[OPP FTM],TEAMS_GbG[[TM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F27" s="18" t="str">
        <f>IF($D27=0,"DNP",SUMIFS(TEAMS_GbG[OPP FTA],TEAMS_GbG[[TM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G27" s="16" t="str">
        <f t="shared" si="64"/>
        <v>DNP</v>
      </c>
      <c r="EH27" s="18" t="str">
        <f>IF($D27=0,"DNP",SUMIFS(TEAMS_GbG[OPP OR],TEAMS_GbG[[TM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I27" s="18" t="str">
        <f>IF($D27=0,"DNP",SUMIFS(TEAMS_GbG[OPP DR],TEAMS_GbG[[TM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J27" s="18" t="str">
        <f>IF($D27=0,"DNP",SUMIFS(TEAMS_GbG[OPP TR],TEAMS_GbG[[TM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K27" s="18" t="str">
        <f>IF($D27=0,"DNP",SUMIFS(TEAMS_GbG[OPP AST],TEAMS_GbG[[TM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L27" s="18" t="str">
        <f>IF($D27=0,"DNP",SUMIFS(TEAMS_GbG[OPP PF],TEAMS_GbG[[TM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M27" s="18" t="str">
        <f>IF($D27=0,"DNP",SUMIFS(TEAMS_GbG[OPP DF],TEAMS_GbG[[TM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N27" s="18" t="str">
        <f>IF($D27=0,"DNP",SUMIFS(TEAMS_GbG[OPP ST],TEAMS_GbG[[TM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O27" s="18" t="str">
        <f>IF($D27=0,"DNP",SUMIFS(TEAMS_GbG[OPP TO],TEAMS_GbG[[TM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P27" s="18" t="str">
        <f>IF($D27=0,"DNP",SUMIFS(TEAMS_GbG[OPP BLK],TEAMS_GbG[[TM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Q27" s="18" t="str">
        <f>IF($D27=0,"DNP",SUMIFS(TEAMS_GbG[OPP BLKA],TEAMS_GbG[[TM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R27" s="18" t="str">
        <f>IF($D27=0,"DNP",SUMIFS(TEAMS_GbG[OPP VAL],TEAMS_GbG[[TM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S27" s="18" t="str">
        <f>IF($D27=0,"DNP",SUMIFS(TEAMS_GbG[OPP + / -],TEAMS_GbG[[TM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T27" s="18" t="str">
        <f>IF($D27=0,"DNP",SUMIFS(TEAMS_GbG[OPP POSS],TEAMS_GbG[[TM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U27" s="18" t="str">
        <f>IF($D27=0,"DNP",SUMIFS(TEAMS_GbG[OPP SHOOTING CHANCES],TEAMS_GbG[[TM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V27" s="18" t="str">
        <f>IF($D27=0,"DNP",SUMIFS(TEAMS_GbG[OPP KILLS],TEAMS_GbG[[TM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W27" s="18" t="str">
        <f>IF($D27=0,"DNP",SUMIFS(TEAMS_GbG[OPP ASTED_2FG],TEAMS_GbG[[TM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X27" s="18" t="str">
        <f>IF($D27=0,"DNP",SUMIFS(TEAMS_GbG[OPP ASTED_3FG],TEAMS_GbG[[TM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Y27" s="18" t="str">
        <f>IF($D27=0,"DNP",SUMIFS(TEAMS_GbG[OPP ASTED_FT],TEAMS_GbG[[TM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Z27" s="18" t="str">
        <f>IF($D27=0,"DNP",SUMIFS(TEAMS_GbG[OPP ASTED_FT PTS],TEAMS_GbG[[TM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A27" s="18" t="str">
        <f>IF($D27=0,"DNP",SUMIFS(TEAMS_GbG[OPP OR_RIM],TEAMS_GbG[[TM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B27" s="18" t="str">
        <f>IF($D27=0,"DNP",SUMIFS(TEAMS_GbG[OPP TM OR_RIM],TEAMS_GbG[[TM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C27" s="18" t="str">
        <f>IF($D27=0,"DNP",SUMIFS(TEAMS_GbG[OPP OR_PAINT],TEAMS_GbG[[TM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D27" s="18" t="str">
        <f>IF($D27=0,"DNP",SUMIFS(TEAMS_GbG[OPP TM OR_PAINT],TEAMS_GbG[[TM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E27" s="18" t="str">
        <f>IF($D27=0,"DNP",SUMIFS(TEAMS_GbG[OPP OR_NP2],TEAMS_GbG[[TM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F27" s="18" t="str">
        <f>IF($D27=0,"DNP",SUMIFS(TEAMS_GbG[OPP TM OR_NP2],TEAMS_GbG[[TM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G27" s="18" t="str">
        <f>IF($D27=0,"DNP",SUMIFS(TEAMS_GbG[OPP OR_3C],TEAMS_GbG[[TM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H27" s="18" t="str">
        <f>IF($D27=0,"DNP",SUMIFS(TEAMS_GbG[OPP TM OR_3C],TEAMS_GbG[[TM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I27" s="18" t="str">
        <f>IF($D27=0,"DNP",SUMIFS(TEAMS_GbG[OPP OR_3L],TEAMS_GbG[[TM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J27" s="18" t="str">
        <f>IF($D27=0,"DNP",SUMIFS(TEAMS_GbG[OPP TM OR_3L],TEAMS_GbG[[TM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K27" s="18" t="str">
        <f>IF($D27=0,"DNP",SUMIFS(TEAMS_GbG[OPP OR_FT],TEAMS_GbG[[TM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L27" s="18" t="str">
        <f>IF($D27=0,"DNP",SUMIFS(TEAMS_GbG[OPP TM OR_FT],TEAMS_GbG[[TM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M27" s="18" t="str">
        <f>IF($D27=0,"DNP",SUMIFS(TEAMS_GbG[OPP DR_RIM],TEAMS_GbG[[TM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N27" s="18" t="str">
        <f>IF($D27=0,"DNP",SUMIFS(TEAMS_GbG[OPP TM DR_RIM],TEAMS_GbG[[TM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O27" s="18" t="str">
        <f>IF($D27=0,"DNP",SUMIFS(TEAMS_GbG[OPP DR_PAINT],TEAMS_GbG[[TM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P27" s="18" t="str">
        <f>IF($D27=0,"DNP",SUMIFS(TEAMS_GbG[OPP TM DR_PAINT],TEAMS_GbG[[TM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Q27" s="18" t="str">
        <f>IF($D27=0,"DNP",SUMIFS(TEAMS_GbG[OPP DR_NP2],TEAMS_GbG[[TM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R27" s="18" t="str">
        <f>IF($D27=0,"DNP",SUMIFS(TEAMS_GbG[OPP TM DR_NP2],TEAMS_GbG[[TM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S27" s="18" t="str">
        <f>IF($D27=0,"DNP",SUMIFS(TEAMS_GbG[OPP DR_3C],TEAMS_GbG[[TM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T27" s="18" t="str">
        <f>IF($D27=0,"DNP",SUMIFS(TEAMS_GbG[OPP TM DR_3C],TEAMS_GbG[[TM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U27" s="18" t="str">
        <f>IF($D27=0,"DNP",SUMIFS(TEAMS_GbG[OPP DR_3L],TEAMS_GbG[[TM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V27" s="18" t="str">
        <f>IF($D27=0,"DNP",SUMIFS(TEAMS_GbG[OPP TM DR_3L],TEAMS_GbG[[TM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W27" s="18" t="str">
        <f>IF($D27=0,"DNP",SUMIFS(TEAMS_GbG[OPP DR_FT],TEAMS_GbG[[TM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X27" s="18" t="str">
        <f>IF($D27=0,"DNP",SUMIFS(TEAMS_GbG[OPP TM DR_FT],TEAMS_GbG[[TM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Y27" s="18" t="str">
        <f>IF($D27=0,"DNP",SUMIFS(TEAMS_GbG[OPP FTM_T],TEAMS_GbG[[TM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Z27" s="18" t="str">
        <f>IF($D27=0,"DNP",SUMIFS(TEAMS_GbG[OPP FTA_T],TEAMS_GbG[[TM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A27" s="18" t="str">
        <f>IF($D27=0,"DNP",SUMIFS(TEAMS_GbG[OPP FTM_1],TEAMS_GbG[[TM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B27" s="18" t="str">
        <f>IF($D27=0,"DNP",SUMIFS(TEAMS_GbG[OPP FTA_1],TEAMS_GbG[[TM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C27" s="18" t="str">
        <f>IF($D27=0,"DNP",SUMIFS(TEAMS_GbG[OPP FTM_2],TEAMS_GbG[[TM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D27" s="18" t="str">
        <f>IF($D27=0,"DNP",SUMIFS(TEAMS_GbG[OPP FTA_2],TEAMS_GbG[[TM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E27" s="18" t="str">
        <f>IF($D27=0,"DNP",SUMIFS(TEAMS_GbG[OPP FT 0/2],TEAMS_GbG[[TM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F27" s="18" t="str">
        <f>IF($D27=0,"DNP",SUMIFS(TEAMS_GbG[OPP FTM_3],TEAMS_GbG[[TM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G27" s="18" t="str">
        <f>IF($D27=0,"DNP",SUMIFS(TEAMS_GbG[OPP FTA_3],TEAMS_GbG[[TM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H27" s="18" t="str">
        <f>IF($D27=0,"DNP",SUMIFS(TEAMS_GbG[OPP FT 0/3],TEAMS_GbG[[TM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I27" s="18" t="str">
        <f>IF($D27=0,"DNP",SUMIFS(TEAMS_GbG[OPP RIM_M],TEAMS_GbG[[TM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J27" s="18" t="str">
        <f>IF($D27=0,"DNP",SUMIFS(TEAMS_GbG[OPP RIM_A],TEAMS_GbG[[TM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K27" s="18" t="str">
        <f>IF($D27=0,"DNP",SUMIFS(TEAMS_GbG[OPP PAINT_M],TEAMS_GbG[[TM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L27" s="18" t="str">
        <f>IF($D27=0,"DNP",SUMIFS(TEAMS_GbG[OPP PAINT_A],TEAMS_GbG[[TM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M27" s="18" t="str">
        <f>IF($D27=0,"DNP",SUMIFS(TEAMS_GbG[OPP MID_M],TEAMS_GbG[[TM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N27" s="18" t="str">
        <f>IF($D27=0,"DNP",SUMIFS(TEAMS_GbG[OPP MID_A],TEAMS_GbG[[TM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O27" s="18" t="str">
        <f>IF($D27=0,"DNP",SUMIFS(TEAMS_GbG[OPP 3C_M],TEAMS_GbG[[TM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P27" s="18" t="str">
        <f>IF($D27=0,"DNP",SUMIFS(TEAMS_GbG[OPP 3C_A],TEAMS_GbG[[TM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Q27" s="18" t="str">
        <f>IF($D27=0,"DNP",SUMIFS(TEAMS_GbG[OPP 3L_M],TEAMS_GbG[[TM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R27" s="18" t="str">
        <f>IF($D27=0,"DNP",SUMIFS(TEAMS_GbG[OPP 3L_A],TEAMS_GbG[[TM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S27" s="18" t="str">
        <f>IF($D27=0,"DNP",SUMIFS(TEAMS_GbG[OPP 3H_M],TEAMS_GbG[[TM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T27" s="18" t="str">
        <f>IF($D27=0,"DNP",SUMIFS(TEAMS_GbG[OPP 3H_A],TEAMS_GbG[[TM NAME]:[TM NAME]],$C27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U27" s="16" t="str">
        <f>IF(TEAMS_STATS[[#This Row],[TM NAME]]="","",INDEX(SoS!$C$113:$C$144,MATCH(TEAMS_STATS[[#This Row],[TM NAME]],SoS!$B$113:$B$144,0)))</f>
        <v/>
      </c>
    </row>
    <row r="28" spans="2:203" ht="15" hidden="1" customHeight="1" x14ac:dyDescent="0.25">
      <c r="B28" s="12">
        <f>_xlfn.AGGREGATE(3,5,$C$7:C27)</f>
        <v>19</v>
      </c>
      <c r="C28" s="14" t="str">
        <f>BASIS_INFO!F23</f>
        <v/>
      </c>
      <c r="D28" s="20">
        <f>COUNTIFS(TEAMS_GbG[[TM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28" s="20">
        <f>COUNTIFS(TEAMS_GbG[[TM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28" s="20">
        <f>COUNTIFS(TEAMS_GbG[[TM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28" s="18" t="str">
        <f>IF($D28=0,"DNP",SUMIFS(TEAMS_GbG[MIN],TEAMS_GbG[[TM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H28" s="18" t="str">
        <f>IF($D28=0,"DNP",SUMIFS(TEAMS_GbG[PTS],TEAMS_GbG[[TM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I28" s="18" t="str">
        <f>IF($D28=0,"DNP",SUMIFS(TEAMS_GbG[2PTM],TEAMS_GbG[[TM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J28" s="18" t="str">
        <f>IF($D28=0,"DNP",SUMIFS(TEAMS_GbG[2PTA],TEAMS_GbG[[TM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K28" s="16" t="str">
        <f t="shared" si="56"/>
        <v>DNP</v>
      </c>
      <c r="L28" s="18" t="str">
        <f>IF($D28=0,"DNP",SUMIFS(TEAMS_GbG[3PTM],TEAMS_GbG[[TM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M28" s="18" t="str">
        <f>IF($D28=0,"DNP",SUMIFS(TEAMS_GbG[3PTA],TEAMS_GbG[[TM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N28" s="16" t="str">
        <f t="shared" si="57"/>
        <v>DNP</v>
      </c>
      <c r="O28" s="18" t="str">
        <f>IF($D28=0,"DNP",SUMIFS(TEAMS_GbG[FGM],TEAMS_GbG[[TM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P28" s="18" t="str">
        <f>IF($D28=0,"DNP",SUMIFS(TEAMS_GbG[FGA],TEAMS_GbG[[TM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Q28" s="16" t="str">
        <f t="shared" si="58"/>
        <v>DNP</v>
      </c>
      <c r="R28" s="18" t="str">
        <f>IF($D28=0,"DNP",SUMIFS(TEAMS_GbG[FTM],TEAMS_GbG[[TM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S28" s="18" t="str">
        <f>IF($D28=0,"DNP",SUMIFS(TEAMS_GbG[FTA],TEAMS_GbG[[TM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T28" s="16" t="str">
        <f t="shared" si="59"/>
        <v>DNP</v>
      </c>
      <c r="U28" s="18" t="str">
        <f>IF($D28=0,"DNP",SUMIFS(TEAMS_GbG[OR],TEAMS_GbG[[TM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V28" s="18" t="str">
        <f>IF($D28=0,"DNP",SUMIFS(TEAMS_GbG[DR],TEAMS_GbG[[TM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W28" s="18" t="str">
        <f>IF($D28=0,"DNP",SUMIFS(TEAMS_GbG[TR],TEAMS_GbG[[TM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X28" s="18" t="str">
        <f>IF($D28=0,"DNP",SUMIFS(TEAMS_GbG[AST],TEAMS_GbG[[TM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Y28" s="18" t="str">
        <f>IF($D28=0,"DNP",SUMIFS(TEAMS_GbG[TO],TEAMS_GbG[[TM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Z28" s="18" t="str">
        <f>IF($D28=0,"DNP",SUMIFS(TEAMS_GbG[ST],TEAMS_GbG[[TM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A28" s="18" t="str">
        <f>IF($D28=0,"DNP",SUMIFS(TEAMS_GbG[BLK],TEAMS_GbG[[TM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B28" s="18" t="str">
        <f>IF($D28=0,"DNP",SUMIFS(TEAMS_GbG[BLKA],TEAMS_GbG[[TM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C28" s="18" t="str">
        <f>IF($D28=0,"DNP",SUMIFS(TEAMS_GbG[PF],TEAMS_GbG[[TM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D28" s="18" t="str">
        <f>IF($D28=0,"DNP",SUMIFS(TEAMS_GbG[DF],TEAMS_GbG[[TM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E28" s="18" t="str">
        <f>IF($D28=0,"DNP",SUMIFS(TEAMS_GbG[VAL],TEAMS_GbG[[TM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F28" s="18" t="str">
        <f>IF($D28=0,"DNP",SUMIFS(TEAMS_GbG[+ / -],TEAMS_GbG[[TM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G28" s="26" t="str">
        <f t="shared" si="0"/>
        <v>DNP</v>
      </c>
      <c r="AH28" s="18" t="str">
        <f>IF($D28=0,"DNP",SUMIFS(TEAMS_GbG[POSS],TEAMS_GbG[[TM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I28" s="18" t="str">
        <f>IF($D28=0,"DNP",SUMIFS(TEAMS_GbG[SHOOTING CHANCES],TEAMS_GbG[[TM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J28" s="19" t="str">
        <f t="shared" si="1"/>
        <v>DNP</v>
      </c>
      <c r="AK28" s="19" t="str">
        <f t="shared" si="2"/>
        <v>DNP</v>
      </c>
      <c r="AL28" s="18" t="str">
        <f t="shared" si="3"/>
        <v>DNP</v>
      </c>
      <c r="AM28" s="18" t="str">
        <f t="shared" si="4"/>
        <v>DNP</v>
      </c>
      <c r="AN28" s="18" t="str">
        <f t="shared" si="60"/>
        <v>DNP</v>
      </c>
      <c r="AO28" s="27" t="str">
        <f t="shared" si="5"/>
        <v>DNP</v>
      </c>
      <c r="AP28" s="28" t="str">
        <f t="shared" si="6"/>
        <v>DNP</v>
      </c>
      <c r="AQ28" s="34" t="str">
        <f t="shared" si="7"/>
        <v>DNP</v>
      </c>
      <c r="AR28" s="19" t="str">
        <f t="shared" si="8"/>
        <v>DNP</v>
      </c>
      <c r="AS28" s="16" t="str">
        <f t="shared" si="9"/>
        <v>DNP</v>
      </c>
      <c r="AT28" s="18" t="str">
        <f t="shared" si="10"/>
        <v>DNP</v>
      </c>
      <c r="AU28" s="16" t="str">
        <f t="shared" si="11"/>
        <v>DNP</v>
      </c>
      <c r="AV28" s="18" t="str">
        <f t="shared" si="12"/>
        <v>DNP</v>
      </c>
      <c r="AW28" s="16" t="str">
        <f t="shared" si="13"/>
        <v>DNP</v>
      </c>
      <c r="AX28" s="19" t="str">
        <f t="shared" si="14"/>
        <v>DNP</v>
      </c>
      <c r="AY28" s="27" t="str">
        <f t="shared" si="15"/>
        <v>DNP</v>
      </c>
      <c r="AZ28" s="38" t="str">
        <f t="shared" si="16"/>
        <v>DNP</v>
      </c>
      <c r="BA28" s="28" t="str">
        <f t="shared" si="17"/>
        <v>DNP</v>
      </c>
      <c r="BB28" s="34" t="str">
        <f t="shared" si="18"/>
        <v>DNP</v>
      </c>
      <c r="BC28" s="27" t="str">
        <f t="shared" si="19"/>
        <v>DNP</v>
      </c>
      <c r="BD28" s="27" t="str">
        <f t="shared" si="20"/>
        <v>DNP</v>
      </c>
      <c r="BE28" s="27" t="str">
        <f t="shared" si="21"/>
        <v>DNP</v>
      </c>
      <c r="BF28" s="27" t="str">
        <f t="shared" si="22"/>
        <v>DNP</v>
      </c>
      <c r="BG28" s="27" t="str">
        <f t="shared" si="23"/>
        <v>DNP</v>
      </c>
      <c r="BH28" s="35" t="str">
        <f t="shared" si="24"/>
        <v>DNP</v>
      </c>
      <c r="BI28" s="49" t="str">
        <f t="shared" si="25"/>
        <v>DNP</v>
      </c>
      <c r="BJ28" s="45" t="str">
        <f t="shared" si="26"/>
        <v>DNP</v>
      </c>
      <c r="BK28" s="45" t="str">
        <f t="shared" si="27"/>
        <v>DNP</v>
      </c>
      <c r="BL28" s="45" t="str">
        <f t="shared" si="28"/>
        <v>DNP</v>
      </c>
      <c r="BM28" s="45" t="str">
        <f t="shared" si="29"/>
        <v>DNP</v>
      </c>
      <c r="BN28" s="45" t="str">
        <f t="shared" si="30"/>
        <v>DNP</v>
      </c>
      <c r="BO28" s="45" t="str">
        <f t="shared" si="31"/>
        <v>DNP</v>
      </c>
      <c r="BP28" s="45" t="str">
        <f t="shared" si="32"/>
        <v>DNP</v>
      </c>
      <c r="BQ28" s="46" t="str">
        <f t="shared" si="33"/>
        <v>DNP</v>
      </c>
      <c r="BR28" s="49" t="str">
        <f t="shared" si="34"/>
        <v>DNP</v>
      </c>
      <c r="BS28" s="45" t="str">
        <f t="shared" si="35"/>
        <v>DNP</v>
      </c>
      <c r="BT28" s="40" t="str">
        <f>IF($D28=0,"DNP",SUMIFS(TEAMS_GbG[KILLS],TEAMS_GbG[[TM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BU28" s="34" t="str">
        <f t="shared" si="36"/>
        <v>DNP</v>
      </c>
      <c r="BV28" s="28" t="str">
        <f t="shared" si="37"/>
        <v>DNP</v>
      </c>
      <c r="BW28" s="18" t="str">
        <f>IF($D28=0,"DNP",SUMIFS(TEAMS_GbG[ASTED_2FG],TEAMS_GbG[[TM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BX28" s="18" t="str">
        <f>IF($D28=0,"DNP",SUMIFS(TEAMS_GbG[ASTED_3FG],TEAMS_GbG[[TM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BY28" s="18" t="str">
        <f>IF($D28=0,"DNP",SUMIFS(TEAMS_GbG[ASTED_FT],TEAMS_GbG[[TM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BZ28" s="18" t="str">
        <f>IF($D28=0,"DNP",SUMIFS(TEAMS_GbG[ASTED_FT PTS],TEAMS_GbG[[TM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A28" s="18" t="str">
        <f>IF($D28=0,"DNP",SUMIFS(TEAMS_GbG[OR_RIM],TEAMS_GbG[[TM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B28" s="18" t="str">
        <f>IF($D28=0,"DNP",SUMIFS(TEAMS_GbG[TM OR_RIM],TEAMS_GbG[[TM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C28" s="18" t="str">
        <f>IF($D28=0,"DNP",SUMIFS(TEAMS_GbG[OR_PAINT],TEAMS_GbG[[TM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D28" s="18" t="str">
        <f>IF($D28=0,"DNP",SUMIFS(TEAMS_GbG[TM OR_PAINT],TEAMS_GbG[[TM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E28" s="18" t="str">
        <f>IF($D28=0,"DNP",SUMIFS(TEAMS_GbG[OR_NP2],TEAMS_GbG[[TM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F28" s="18" t="str">
        <f>IF($D28=0,"DNP",SUMIFS(TEAMS_GbG[TM OR_NP2],TEAMS_GbG[[TM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G28" s="18" t="str">
        <f>IF($D28=0,"DNP",SUMIFS(TEAMS_GbG[OR_3C],TEAMS_GbG[[TM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H28" s="18" t="str">
        <f>IF($D28=0,"DNP",SUMIFS(TEAMS_GbG[TM OR_3C],TEAMS_GbG[[TM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I28" s="18" t="str">
        <f>IF($D28=0,"DNP",SUMIFS(TEAMS_GbG[OR_3L],TEAMS_GbG[[TM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J28" s="18" t="str">
        <f>IF($D28=0,"DNP",SUMIFS(TEAMS_GbG[TM OR_3L],TEAMS_GbG[[TM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K28" s="18" t="str">
        <f>IF($D28=0,"DNP",SUMIFS(TEAMS_GbG[OR_FT],TEAMS_GbG[[TM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L28" s="18" t="str">
        <f>IF($D28=0,"DNP",SUMIFS(TEAMS_GbG[TM OR_FT],TEAMS_GbG[[TM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M28" s="18" t="str">
        <f>IF($D28=0,"DNP",SUMIFS(TEAMS_GbG[DR_RIM],TEAMS_GbG[[TM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N28" s="18" t="str">
        <f>IF($D28=0,"DNP",SUMIFS(TEAMS_GbG[TM DR_RIM],TEAMS_GbG[[TM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O28" s="18" t="str">
        <f>IF($D28=0,"DNP",SUMIFS(TEAMS_GbG[DR_PAINT],TEAMS_GbG[[TM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P28" s="18" t="str">
        <f>IF($D28=0,"DNP",SUMIFS(TEAMS_GbG[TM DR_PAINT],TEAMS_GbG[[TM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Q28" s="18" t="str">
        <f>IF($D28=0,"DNP",SUMIFS(TEAMS_GbG[DR_NP2],TEAMS_GbG[[TM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R28" s="18" t="str">
        <f>IF($D28=0,"DNP",SUMIFS(TEAMS_GbG[TM DR_NP2],TEAMS_GbG[[TM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S28" s="18" t="str">
        <f>IF($D28=0,"DNP",SUMIFS(TEAMS_GbG[DR_3C],TEAMS_GbG[[TM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T28" s="18" t="str">
        <f>IF($D28=0,"DNP",SUMIFS(TEAMS_GbG[TM DR_3C],TEAMS_GbG[[TM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U28" s="18" t="str">
        <f>IF($D28=0,"DNP",SUMIFS(TEAMS_GbG[DR_3L],TEAMS_GbG[[TM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V28" s="18" t="str">
        <f>IF($D28=0,"DNP",SUMIFS(TEAMS_GbG[TM DR_3L],TEAMS_GbG[[TM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W28" s="18" t="str">
        <f>IF($D28=0,"DNP",SUMIFS(TEAMS_GbG[DR_FT],TEAMS_GbG[[TM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X28" s="18" t="str">
        <f>IF($D28=0,"DNP",SUMIFS(TEAMS_GbG[TM DR_FT],TEAMS_GbG[[TM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Y28" s="18" t="str">
        <f>IF($D28=0,"DNP",SUMIFS(TEAMS_GbG[FTM_T],TEAMS_GbG[[TM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Z28" s="18" t="str">
        <f>IF($D28=0,"DNP",SUMIFS(TEAMS_GbG[FTA_T],TEAMS_GbG[[TM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A28" s="18" t="str">
        <f>IF($D28=0,"DNP",SUMIFS(TEAMS_GbG[FTM_1],TEAMS_GbG[[TM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B28" s="18" t="str">
        <f>IF($D28=0,"DNP",SUMIFS(TEAMS_GbG[FTA_1],TEAMS_GbG[[TM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C28" s="18" t="str">
        <f>IF($D28=0,"DNP",SUMIFS(TEAMS_GbG[FTM_2],TEAMS_GbG[[TM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D28" s="18" t="str">
        <f>IF($D28=0,"DNP",SUMIFS(TEAMS_GbG[FTA_2],TEAMS_GbG[[TM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E28" s="18" t="str">
        <f>IF($D28=0,"DNP",SUMIFS(TEAMS_GbG[FT 0/2],TEAMS_GbG[[TM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F28" s="18" t="str">
        <f>IF($D28=0,"DNP",SUMIFS(TEAMS_GbG[FTM_3],TEAMS_GbG[[TM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G28" s="18" t="str">
        <f>IF($D28=0,"DNP",SUMIFS(TEAMS_GbG[FTA_3],TEAMS_GbG[[TM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H28" s="18" t="str">
        <f>IF($D28=0,"DNP",SUMIFS(TEAMS_GbG[FT 0/3],TEAMS_GbG[[TM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I28" s="18" t="str">
        <f>IF($D28=0,"DNP",SUMIFS(TEAMS_GbG[RIM_M],TEAMS_GbG[[TM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J28" s="18" t="str">
        <f>IF($D28=0,"DNP",SUMIFS(TEAMS_GbG[RIM_A],TEAMS_GbG[[TM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K28" s="18" t="str">
        <f>IF($D28=0,"DNP",SUMIFS(TEAMS_GbG[PAINT_M],TEAMS_GbG[[TM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L28" s="18" t="str">
        <f>IF($D28=0,"DNP",SUMIFS(TEAMS_GbG[PAINT_A],TEAMS_GbG[[TM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M28" s="18" t="str">
        <f>IF($D28=0,"DNP",SUMIFS(TEAMS_GbG[MID_M],TEAMS_GbG[[TM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N28" s="18" t="str">
        <f>IF($D28=0,"DNP",SUMIFS(TEAMS_GbG[MID_A],TEAMS_GbG[[TM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O28" s="18" t="str">
        <f>IF($D28=0,"DNP",SUMIFS(TEAMS_GbG[3C_M],TEAMS_GbG[[TM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P28" s="18" t="str">
        <f>IF($D28=0,"DNP",SUMIFS(TEAMS_GbG[3C_A],TEAMS_GbG[[TM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Q28" s="18" t="str">
        <f>IF($D28=0,"DNP",SUMIFS(TEAMS_GbG[3L_M],TEAMS_GbG[[TM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R28" s="18" t="str">
        <f>IF($D28=0,"DNP",SUMIFS(TEAMS_GbG[3L_A],TEAMS_GbG[[TM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S28" s="18" t="str">
        <f>IF($D28=0,"DNP",SUMIFS(TEAMS_GbG[3H_M],TEAMS_GbG[[TM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T28" s="18" t="str">
        <f>IF($D28=0,"DNP",SUMIFS(TEAMS_GbG[3H_A],TEAMS_GbG[[TM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U28" s="18" t="str">
        <f>IF($D28=0,"DNP",SUMIFS(TEAMS_GbG[OPP PTS],TEAMS_GbG[[TM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V28" s="18" t="str">
        <f>IF($D28=0,"DNP",SUMIFS(TEAMS_GbG[OPP 2PTM],TEAMS_GbG[[TM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W28" s="18" t="str">
        <f>IF($D28=0,"DNP",SUMIFS(TEAMS_GbG[OPP 2PTA],TEAMS_GbG[[TM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X28" s="16" t="str">
        <f t="shared" si="61"/>
        <v>DNP</v>
      </c>
      <c r="DY28" s="18" t="str">
        <f>IF($D28=0,"DNP",SUMIFS(TEAMS_GbG[OPP 3PTM],TEAMS_GbG[[TM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Z28" s="18" t="str">
        <f>IF($D28=0,"DNP",SUMIFS(TEAMS_GbG[OPP 3PTA],TEAMS_GbG[[TM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A28" s="16" t="str">
        <f t="shared" si="62"/>
        <v>DNP</v>
      </c>
      <c r="EB28" s="18" t="str">
        <f>IF($D28=0,"DNP",SUMIFS(TEAMS_GbG[OPP FGM],TEAMS_GbG[[TM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C28" s="18" t="str">
        <f>IF($D28=0,"DNP",SUMIFS(TEAMS_GbG[OPP FGA],TEAMS_GbG[[TM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D28" s="16" t="str">
        <f t="shared" si="63"/>
        <v>DNP</v>
      </c>
      <c r="EE28" s="18" t="str">
        <f>IF($D28=0,"DNP",SUMIFS(TEAMS_GbG[OPP FTM],TEAMS_GbG[[TM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F28" s="18" t="str">
        <f>IF($D28=0,"DNP",SUMIFS(TEAMS_GbG[OPP FTA],TEAMS_GbG[[TM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G28" s="16" t="str">
        <f t="shared" si="64"/>
        <v>DNP</v>
      </c>
      <c r="EH28" s="18" t="str">
        <f>IF($D28=0,"DNP",SUMIFS(TEAMS_GbG[OPP OR],TEAMS_GbG[[TM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I28" s="18" t="str">
        <f>IF($D28=0,"DNP",SUMIFS(TEAMS_GbG[OPP DR],TEAMS_GbG[[TM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J28" s="18" t="str">
        <f>IF($D28=0,"DNP",SUMIFS(TEAMS_GbG[OPP TR],TEAMS_GbG[[TM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K28" s="18" t="str">
        <f>IF($D28=0,"DNP",SUMIFS(TEAMS_GbG[OPP AST],TEAMS_GbG[[TM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L28" s="18" t="str">
        <f>IF($D28=0,"DNP",SUMIFS(TEAMS_GbG[OPP PF],TEAMS_GbG[[TM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M28" s="18" t="str">
        <f>IF($D28=0,"DNP",SUMIFS(TEAMS_GbG[OPP DF],TEAMS_GbG[[TM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N28" s="18" t="str">
        <f>IF($D28=0,"DNP",SUMIFS(TEAMS_GbG[OPP ST],TEAMS_GbG[[TM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O28" s="18" t="str">
        <f>IF($D28=0,"DNP",SUMIFS(TEAMS_GbG[OPP TO],TEAMS_GbG[[TM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P28" s="18" t="str">
        <f>IF($D28=0,"DNP",SUMIFS(TEAMS_GbG[OPP BLK],TEAMS_GbG[[TM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Q28" s="18" t="str">
        <f>IF($D28=0,"DNP",SUMIFS(TEAMS_GbG[OPP BLKA],TEAMS_GbG[[TM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R28" s="18" t="str">
        <f>IF($D28=0,"DNP",SUMIFS(TEAMS_GbG[OPP VAL],TEAMS_GbG[[TM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S28" s="18" t="str">
        <f>IF($D28=0,"DNP",SUMIFS(TEAMS_GbG[OPP + / -],TEAMS_GbG[[TM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T28" s="18" t="str">
        <f>IF($D28=0,"DNP",SUMIFS(TEAMS_GbG[OPP POSS],TEAMS_GbG[[TM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U28" s="18" t="str">
        <f>IF($D28=0,"DNP",SUMIFS(TEAMS_GbG[OPP SHOOTING CHANCES],TEAMS_GbG[[TM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V28" s="18" t="str">
        <f>IF($D28=0,"DNP",SUMIFS(TEAMS_GbG[OPP KILLS],TEAMS_GbG[[TM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W28" s="18" t="str">
        <f>IF($D28=0,"DNP",SUMIFS(TEAMS_GbG[OPP ASTED_2FG],TEAMS_GbG[[TM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X28" s="18" t="str">
        <f>IF($D28=0,"DNP",SUMIFS(TEAMS_GbG[OPP ASTED_3FG],TEAMS_GbG[[TM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Y28" s="18" t="str">
        <f>IF($D28=0,"DNP",SUMIFS(TEAMS_GbG[OPP ASTED_FT],TEAMS_GbG[[TM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Z28" s="18" t="str">
        <f>IF($D28=0,"DNP",SUMIFS(TEAMS_GbG[OPP ASTED_FT PTS],TEAMS_GbG[[TM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A28" s="18" t="str">
        <f>IF($D28=0,"DNP",SUMIFS(TEAMS_GbG[OPP OR_RIM],TEAMS_GbG[[TM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B28" s="18" t="str">
        <f>IF($D28=0,"DNP",SUMIFS(TEAMS_GbG[OPP TM OR_RIM],TEAMS_GbG[[TM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C28" s="18" t="str">
        <f>IF($D28=0,"DNP",SUMIFS(TEAMS_GbG[OPP OR_PAINT],TEAMS_GbG[[TM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D28" s="18" t="str">
        <f>IF($D28=0,"DNP",SUMIFS(TEAMS_GbG[OPP TM OR_PAINT],TEAMS_GbG[[TM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E28" s="18" t="str">
        <f>IF($D28=0,"DNP",SUMIFS(TEAMS_GbG[OPP OR_NP2],TEAMS_GbG[[TM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F28" s="18" t="str">
        <f>IF($D28=0,"DNP",SUMIFS(TEAMS_GbG[OPP TM OR_NP2],TEAMS_GbG[[TM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G28" s="18" t="str">
        <f>IF($D28=0,"DNP",SUMIFS(TEAMS_GbG[OPP OR_3C],TEAMS_GbG[[TM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H28" s="18" t="str">
        <f>IF($D28=0,"DNP",SUMIFS(TEAMS_GbG[OPP TM OR_3C],TEAMS_GbG[[TM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I28" s="18" t="str">
        <f>IF($D28=0,"DNP",SUMIFS(TEAMS_GbG[OPP OR_3L],TEAMS_GbG[[TM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J28" s="18" t="str">
        <f>IF($D28=0,"DNP",SUMIFS(TEAMS_GbG[OPP TM OR_3L],TEAMS_GbG[[TM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K28" s="18" t="str">
        <f>IF($D28=0,"DNP",SUMIFS(TEAMS_GbG[OPP OR_FT],TEAMS_GbG[[TM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L28" s="18" t="str">
        <f>IF($D28=0,"DNP",SUMIFS(TEAMS_GbG[OPP TM OR_FT],TEAMS_GbG[[TM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M28" s="18" t="str">
        <f>IF($D28=0,"DNP",SUMIFS(TEAMS_GbG[OPP DR_RIM],TEAMS_GbG[[TM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N28" s="18" t="str">
        <f>IF($D28=0,"DNP",SUMIFS(TEAMS_GbG[OPP TM DR_RIM],TEAMS_GbG[[TM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O28" s="18" t="str">
        <f>IF($D28=0,"DNP",SUMIFS(TEAMS_GbG[OPP DR_PAINT],TEAMS_GbG[[TM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P28" s="18" t="str">
        <f>IF($D28=0,"DNP",SUMIFS(TEAMS_GbG[OPP TM DR_PAINT],TEAMS_GbG[[TM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Q28" s="18" t="str">
        <f>IF($D28=0,"DNP",SUMIFS(TEAMS_GbG[OPP DR_NP2],TEAMS_GbG[[TM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R28" s="18" t="str">
        <f>IF($D28=0,"DNP",SUMIFS(TEAMS_GbG[OPP TM DR_NP2],TEAMS_GbG[[TM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S28" s="18" t="str">
        <f>IF($D28=0,"DNP",SUMIFS(TEAMS_GbG[OPP DR_3C],TEAMS_GbG[[TM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T28" s="18" t="str">
        <f>IF($D28=0,"DNP",SUMIFS(TEAMS_GbG[OPP TM DR_3C],TEAMS_GbG[[TM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U28" s="18" t="str">
        <f>IF($D28=0,"DNP",SUMIFS(TEAMS_GbG[OPP DR_3L],TEAMS_GbG[[TM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V28" s="18" t="str">
        <f>IF($D28=0,"DNP",SUMIFS(TEAMS_GbG[OPP TM DR_3L],TEAMS_GbG[[TM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W28" s="18" t="str">
        <f>IF($D28=0,"DNP",SUMIFS(TEAMS_GbG[OPP DR_FT],TEAMS_GbG[[TM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X28" s="18" t="str">
        <f>IF($D28=0,"DNP",SUMIFS(TEAMS_GbG[OPP TM DR_FT],TEAMS_GbG[[TM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Y28" s="18" t="str">
        <f>IF($D28=0,"DNP",SUMIFS(TEAMS_GbG[OPP FTM_T],TEAMS_GbG[[TM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Z28" s="18" t="str">
        <f>IF($D28=0,"DNP",SUMIFS(TEAMS_GbG[OPP FTA_T],TEAMS_GbG[[TM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A28" s="18" t="str">
        <f>IF($D28=0,"DNP",SUMIFS(TEAMS_GbG[OPP FTM_1],TEAMS_GbG[[TM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B28" s="18" t="str">
        <f>IF($D28=0,"DNP",SUMIFS(TEAMS_GbG[OPP FTA_1],TEAMS_GbG[[TM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C28" s="18" t="str">
        <f>IF($D28=0,"DNP",SUMIFS(TEAMS_GbG[OPP FTM_2],TEAMS_GbG[[TM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D28" s="18" t="str">
        <f>IF($D28=0,"DNP",SUMIFS(TEAMS_GbG[OPP FTA_2],TEAMS_GbG[[TM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E28" s="18" t="str">
        <f>IF($D28=0,"DNP",SUMIFS(TEAMS_GbG[OPP FT 0/2],TEAMS_GbG[[TM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F28" s="18" t="str">
        <f>IF($D28=0,"DNP",SUMIFS(TEAMS_GbG[OPP FTM_3],TEAMS_GbG[[TM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G28" s="18" t="str">
        <f>IF($D28=0,"DNP",SUMIFS(TEAMS_GbG[OPP FTA_3],TEAMS_GbG[[TM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H28" s="18" t="str">
        <f>IF($D28=0,"DNP",SUMIFS(TEAMS_GbG[OPP FT 0/3],TEAMS_GbG[[TM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I28" s="18" t="str">
        <f>IF($D28=0,"DNP",SUMIFS(TEAMS_GbG[OPP RIM_M],TEAMS_GbG[[TM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J28" s="18" t="str">
        <f>IF($D28=0,"DNP",SUMIFS(TEAMS_GbG[OPP RIM_A],TEAMS_GbG[[TM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K28" s="18" t="str">
        <f>IF($D28=0,"DNP",SUMIFS(TEAMS_GbG[OPP PAINT_M],TEAMS_GbG[[TM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L28" s="18" t="str">
        <f>IF($D28=0,"DNP",SUMIFS(TEAMS_GbG[OPP PAINT_A],TEAMS_GbG[[TM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M28" s="18" t="str">
        <f>IF($D28=0,"DNP",SUMIFS(TEAMS_GbG[OPP MID_M],TEAMS_GbG[[TM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N28" s="18" t="str">
        <f>IF($D28=0,"DNP",SUMIFS(TEAMS_GbG[OPP MID_A],TEAMS_GbG[[TM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O28" s="18" t="str">
        <f>IF($D28=0,"DNP",SUMIFS(TEAMS_GbG[OPP 3C_M],TEAMS_GbG[[TM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P28" s="18" t="str">
        <f>IF($D28=0,"DNP",SUMIFS(TEAMS_GbG[OPP 3C_A],TEAMS_GbG[[TM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Q28" s="18" t="str">
        <f>IF($D28=0,"DNP",SUMIFS(TEAMS_GbG[OPP 3L_M],TEAMS_GbG[[TM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R28" s="18" t="str">
        <f>IF($D28=0,"DNP",SUMIFS(TEAMS_GbG[OPP 3L_A],TEAMS_GbG[[TM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S28" s="18" t="str">
        <f>IF($D28=0,"DNP",SUMIFS(TEAMS_GbG[OPP 3H_M],TEAMS_GbG[[TM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T28" s="18" t="str">
        <f>IF($D28=0,"DNP",SUMIFS(TEAMS_GbG[OPP 3H_A],TEAMS_GbG[[TM NAME]:[TM NAME]],$C28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U28" s="16" t="str">
        <f>IF(TEAMS_STATS[[#This Row],[TM NAME]]="","",INDEX(SoS!$C$113:$C$144,MATCH(TEAMS_STATS[[#This Row],[TM NAME]],SoS!$B$113:$B$144,0)))</f>
        <v/>
      </c>
    </row>
    <row r="29" spans="2:203" ht="15" hidden="1" customHeight="1" x14ac:dyDescent="0.25">
      <c r="B29" s="12">
        <f>_xlfn.AGGREGATE(3,5,$C$7:C28)</f>
        <v>19</v>
      </c>
      <c r="C29" s="14" t="str">
        <f>BASIS_INFO!F24</f>
        <v/>
      </c>
      <c r="D29" s="20">
        <f>COUNTIFS(TEAMS_GbG[[TM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29" s="20">
        <f>COUNTIFS(TEAMS_GbG[[TM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29" s="20">
        <f>COUNTIFS(TEAMS_GbG[[TM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29" s="18" t="str">
        <f>IF($D29=0,"DNP",SUMIFS(TEAMS_GbG[MIN],TEAMS_GbG[[TM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H29" s="18" t="str">
        <f>IF($D29=0,"DNP",SUMIFS(TEAMS_GbG[PTS],TEAMS_GbG[[TM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I29" s="18" t="str">
        <f>IF($D29=0,"DNP",SUMIFS(TEAMS_GbG[2PTM],TEAMS_GbG[[TM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J29" s="18" t="str">
        <f>IF($D29=0,"DNP",SUMIFS(TEAMS_GbG[2PTA],TEAMS_GbG[[TM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K29" s="16" t="str">
        <f t="shared" si="56"/>
        <v>DNP</v>
      </c>
      <c r="L29" s="18" t="str">
        <f>IF($D29=0,"DNP",SUMIFS(TEAMS_GbG[3PTM],TEAMS_GbG[[TM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M29" s="18" t="str">
        <f>IF($D29=0,"DNP",SUMIFS(TEAMS_GbG[3PTA],TEAMS_GbG[[TM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N29" s="16" t="str">
        <f t="shared" si="57"/>
        <v>DNP</v>
      </c>
      <c r="O29" s="18" t="str">
        <f>IF($D29=0,"DNP",SUMIFS(TEAMS_GbG[FGM],TEAMS_GbG[[TM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P29" s="18" t="str">
        <f>IF($D29=0,"DNP",SUMIFS(TEAMS_GbG[FGA],TEAMS_GbG[[TM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Q29" s="16" t="str">
        <f t="shared" si="58"/>
        <v>DNP</v>
      </c>
      <c r="R29" s="18" t="str">
        <f>IF($D29=0,"DNP",SUMIFS(TEAMS_GbG[FTM],TEAMS_GbG[[TM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S29" s="18" t="str">
        <f>IF($D29=0,"DNP",SUMIFS(TEAMS_GbG[FTA],TEAMS_GbG[[TM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T29" s="16" t="str">
        <f t="shared" si="59"/>
        <v>DNP</v>
      </c>
      <c r="U29" s="18" t="str">
        <f>IF($D29=0,"DNP",SUMIFS(TEAMS_GbG[OR],TEAMS_GbG[[TM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V29" s="18" t="str">
        <f>IF($D29=0,"DNP",SUMIFS(TEAMS_GbG[DR],TEAMS_GbG[[TM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W29" s="18" t="str">
        <f>IF($D29=0,"DNP",SUMIFS(TEAMS_GbG[TR],TEAMS_GbG[[TM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X29" s="18" t="str">
        <f>IF($D29=0,"DNP",SUMIFS(TEAMS_GbG[AST],TEAMS_GbG[[TM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Y29" s="18" t="str">
        <f>IF($D29=0,"DNP",SUMIFS(TEAMS_GbG[TO],TEAMS_GbG[[TM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Z29" s="18" t="str">
        <f>IF($D29=0,"DNP",SUMIFS(TEAMS_GbG[ST],TEAMS_GbG[[TM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A29" s="18" t="str">
        <f>IF($D29=0,"DNP",SUMIFS(TEAMS_GbG[BLK],TEAMS_GbG[[TM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B29" s="18" t="str">
        <f>IF($D29=0,"DNP",SUMIFS(TEAMS_GbG[BLKA],TEAMS_GbG[[TM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C29" s="18" t="str">
        <f>IF($D29=0,"DNP",SUMIFS(TEAMS_GbG[PF],TEAMS_GbG[[TM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D29" s="18" t="str">
        <f>IF($D29=0,"DNP",SUMIFS(TEAMS_GbG[DF],TEAMS_GbG[[TM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E29" s="18" t="str">
        <f>IF($D29=0,"DNP",SUMIFS(TEAMS_GbG[VAL],TEAMS_GbG[[TM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F29" s="18" t="str">
        <f>IF($D29=0,"DNP",SUMIFS(TEAMS_GbG[+ / -],TEAMS_GbG[[TM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G29" s="26" t="str">
        <f t="shared" si="0"/>
        <v>DNP</v>
      </c>
      <c r="AH29" s="18" t="str">
        <f>IF($D29=0,"DNP",SUMIFS(TEAMS_GbG[POSS],TEAMS_GbG[[TM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I29" s="18" t="str">
        <f>IF($D29=0,"DNP",SUMIFS(TEAMS_GbG[SHOOTING CHANCES],TEAMS_GbG[[TM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J29" s="19" t="str">
        <f t="shared" si="1"/>
        <v>DNP</v>
      </c>
      <c r="AK29" s="19" t="str">
        <f t="shared" si="2"/>
        <v>DNP</v>
      </c>
      <c r="AL29" s="18" t="str">
        <f t="shared" si="3"/>
        <v>DNP</v>
      </c>
      <c r="AM29" s="18" t="str">
        <f t="shared" si="4"/>
        <v>DNP</v>
      </c>
      <c r="AN29" s="18" t="str">
        <f t="shared" si="60"/>
        <v>DNP</v>
      </c>
      <c r="AO29" s="27" t="str">
        <f t="shared" si="5"/>
        <v>DNP</v>
      </c>
      <c r="AP29" s="28" t="str">
        <f t="shared" si="6"/>
        <v>DNP</v>
      </c>
      <c r="AQ29" s="34" t="str">
        <f t="shared" si="7"/>
        <v>DNP</v>
      </c>
      <c r="AR29" s="19" t="str">
        <f t="shared" si="8"/>
        <v>DNP</v>
      </c>
      <c r="AS29" s="16" t="str">
        <f t="shared" si="9"/>
        <v>DNP</v>
      </c>
      <c r="AT29" s="18" t="str">
        <f t="shared" si="10"/>
        <v>DNP</v>
      </c>
      <c r="AU29" s="16" t="str">
        <f t="shared" si="11"/>
        <v>DNP</v>
      </c>
      <c r="AV29" s="18" t="str">
        <f t="shared" si="12"/>
        <v>DNP</v>
      </c>
      <c r="AW29" s="16" t="str">
        <f t="shared" si="13"/>
        <v>DNP</v>
      </c>
      <c r="AX29" s="19" t="str">
        <f t="shared" si="14"/>
        <v>DNP</v>
      </c>
      <c r="AY29" s="27" t="str">
        <f t="shared" si="15"/>
        <v>DNP</v>
      </c>
      <c r="AZ29" s="38" t="str">
        <f t="shared" si="16"/>
        <v>DNP</v>
      </c>
      <c r="BA29" s="28" t="str">
        <f t="shared" si="17"/>
        <v>DNP</v>
      </c>
      <c r="BB29" s="34" t="str">
        <f t="shared" si="18"/>
        <v>DNP</v>
      </c>
      <c r="BC29" s="27" t="str">
        <f t="shared" si="19"/>
        <v>DNP</v>
      </c>
      <c r="BD29" s="27" t="str">
        <f t="shared" si="20"/>
        <v>DNP</v>
      </c>
      <c r="BE29" s="27" t="str">
        <f t="shared" si="21"/>
        <v>DNP</v>
      </c>
      <c r="BF29" s="27" t="str">
        <f t="shared" si="22"/>
        <v>DNP</v>
      </c>
      <c r="BG29" s="27" t="str">
        <f t="shared" si="23"/>
        <v>DNP</v>
      </c>
      <c r="BH29" s="35" t="str">
        <f t="shared" si="24"/>
        <v>DNP</v>
      </c>
      <c r="BI29" s="49" t="str">
        <f t="shared" si="25"/>
        <v>DNP</v>
      </c>
      <c r="BJ29" s="45" t="str">
        <f t="shared" si="26"/>
        <v>DNP</v>
      </c>
      <c r="BK29" s="45" t="str">
        <f t="shared" si="27"/>
        <v>DNP</v>
      </c>
      <c r="BL29" s="45" t="str">
        <f t="shared" si="28"/>
        <v>DNP</v>
      </c>
      <c r="BM29" s="45" t="str">
        <f t="shared" si="29"/>
        <v>DNP</v>
      </c>
      <c r="BN29" s="45" t="str">
        <f t="shared" si="30"/>
        <v>DNP</v>
      </c>
      <c r="BO29" s="45" t="str">
        <f t="shared" si="31"/>
        <v>DNP</v>
      </c>
      <c r="BP29" s="45" t="str">
        <f t="shared" si="32"/>
        <v>DNP</v>
      </c>
      <c r="BQ29" s="46" t="str">
        <f t="shared" si="33"/>
        <v>DNP</v>
      </c>
      <c r="BR29" s="49" t="str">
        <f t="shared" si="34"/>
        <v>DNP</v>
      </c>
      <c r="BS29" s="45" t="str">
        <f t="shared" si="35"/>
        <v>DNP</v>
      </c>
      <c r="BT29" s="40" t="str">
        <f>IF($D29=0,"DNP",SUMIFS(TEAMS_GbG[KILLS],TEAMS_GbG[[TM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BU29" s="34" t="str">
        <f t="shared" si="36"/>
        <v>DNP</v>
      </c>
      <c r="BV29" s="28" t="str">
        <f t="shared" si="37"/>
        <v>DNP</v>
      </c>
      <c r="BW29" s="18" t="str">
        <f>IF($D29=0,"DNP",SUMIFS(TEAMS_GbG[ASTED_2FG],TEAMS_GbG[[TM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BX29" s="18" t="str">
        <f>IF($D29=0,"DNP",SUMIFS(TEAMS_GbG[ASTED_3FG],TEAMS_GbG[[TM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BY29" s="18" t="str">
        <f>IF($D29=0,"DNP",SUMIFS(TEAMS_GbG[ASTED_FT],TEAMS_GbG[[TM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BZ29" s="18" t="str">
        <f>IF($D29=0,"DNP",SUMIFS(TEAMS_GbG[ASTED_FT PTS],TEAMS_GbG[[TM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A29" s="18" t="str">
        <f>IF($D29=0,"DNP",SUMIFS(TEAMS_GbG[OR_RIM],TEAMS_GbG[[TM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B29" s="18" t="str">
        <f>IF($D29=0,"DNP",SUMIFS(TEAMS_GbG[TM OR_RIM],TEAMS_GbG[[TM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C29" s="18" t="str">
        <f>IF($D29=0,"DNP",SUMIFS(TEAMS_GbG[OR_PAINT],TEAMS_GbG[[TM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D29" s="18" t="str">
        <f>IF($D29=0,"DNP",SUMIFS(TEAMS_GbG[TM OR_PAINT],TEAMS_GbG[[TM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E29" s="18" t="str">
        <f>IF($D29=0,"DNP",SUMIFS(TEAMS_GbG[OR_NP2],TEAMS_GbG[[TM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F29" s="18" t="str">
        <f>IF($D29=0,"DNP",SUMIFS(TEAMS_GbG[TM OR_NP2],TEAMS_GbG[[TM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G29" s="18" t="str">
        <f>IF($D29=0,"DNP",SUMIFS(TEAMS_GbG[OR_3C],TEAMS_GbG[[TM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H29" s="18" t="str">
        <f>IF($D29=0,"DNP",SUMIFS(TEAMS_GbG[TM OR_3C],TEAMS_GbG[[TM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I29" s="18" t="str">
        <f>IF($D29=0,"DNP",SUMIFS(TEAMS_GbG[OR_3L],TEAMS_GbG[[TM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J29" s="18" t="str">
        <f>IF($D29=0,"DNP",SUMIFS(TEAMS_GbG[TM OR_3L],TEAMS_GbG[[TM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K29" s="18" t="str">
        <f>IF($D29=0,"DNP",SUMIFS(TEAMS_GbG[OR_FT],TEAMS_GbG[[TM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L29" s="18" t="str">
        <f>IF($D29=0,"DNP",SUMIFS(TEAMS_GbG[TM OR_FT],TEAMS_GbG[[TM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M29" s="18" t="str">
        <f>IF($D29=0,"DNP",SUMIFS(TEAMS_GbG[DR_RIM],TEAMS_GbG[[TM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N29" s="18" t="str">
        <f>IF($D29=0,"DNP",SUMIFS(TEAMS_GbG[TM DR_RIM],TEAMS_GbG[[TM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O29" s="18" t="str">
        <f>IF($D29=0,"DNP",SUMIFS(TEAMS_GbG[DR_PAINT],TEAMS_GbG[[TM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P29" s="18" t="str">
        <f>IF($D29=0,"DNP",SUMIFS(TEAMS_GbG[TM DR_PAINT],TEAMS_GbG[[TM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Q29" s="18" t="str">
        <f>IF($D29=0,"DNP",SUMIFS(TEAMS_GbG[DR_NP2],TEAMS_GbG[[TM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R29" s="18" t="str">
        <f>IF($D29=0,"DNP",SUMIFS(TEAMS_GbG[TM DR_NP2],TEAMS_GbG[[TM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S29" s="18" t="str">
        <f>IF($D29=0,"DNP",SUMIFS(TEAMS_GbG[DR_3C],TEAMS_GbG[[TM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T29" s="18" t="str">
        <f>IF($D29=0,"DNP",SUMIFS(TEAMS_GbG[TM DR_3C],TEAMS_GbG[[TM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U29" s="18" t="str">
        <f>IF($D29=0,"DNP",SUMIFS(TEAMS_GbG[DR_3L],TEAMS_GbG[[TM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V29" s="18" t="str">
        <f>IF($D29=0,"DNP",SUMIFS(TEAMS_GbG[TM DR_3L],TEAMS_GbG[[TM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W29" s="18" t="str">
        <f>IF($D29=0,"DNP",SUMIFS(TEAMS_GbG[DR_FT],TEAMS_GbG[[TM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X29" s="18" t="str">
        <f>IF($D29=0,"DNP",SUMIFS(TEAMS_GbG[TM DR_FT],TEAMS_GbG[[TM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Y29" s="18" t="str">
        <f>IF($D29=0,"DNP",SUMIFS(TEAMS_GbG[FTM_T],TEAMS_GbG[[TM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Z29" s="18" t="str">
        <f>IF($D29=0,"DNP",SUMIFS(TEAMS_GbG[FTA_T],TEAMS_GbG[[TM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A29" s="18" t="str">
        <f>IF($D29=0,"DNP",SUMIFS(TEAMS_GbG[FTM_1],TEAMS_GbG[[TM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B29" s="18" t="str">
        <f>IF($D29=0,"DNP",SUMIFS(TEAMS_GbG[FTA_1],TEAMS_GbG[[TM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C29" s="18" t="str">
        <f>IF($D29=0,"DNP",SUMIFS(TEAMS_GbG[FTM_2],TEAMS_GbG[[TM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D29" s="18" t="str">
        <f>IF($D29=0,"DNP",SUMIFS(TEAMS_GbG[FTA_2],TEAMS_GbG[[TM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E29" s="18" t="str">
        <f>IF($D29=0,"DNP",SUMIFS(TEAMS_GbG[FT 0/2],TEAMS_GbG[[TM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F29" s="18" t="str">
        <f>IF($D29=0,"DNP",SUMIFS(TEAMS_GbG[FTM_3],TEAMS_GbG[[TM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G29" s="18" t="str">
        <f>IF($D29=0,"DNP",SUMIFS(TEAMS_GbG[FTA_3],TEAMS_GbG[[TM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H29" s="18" t="str">
        <f>IF($D29=0,"DNP",SUMIFS(TEAMS_GbG[FT 0/3],TEAMS_GbG[[TM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I29" s="18" t="str">
        <f>IF($D29=0,"DNP",SUMIFS(TEAMS_GbG[RIM_M],TEAMS_GbG[[TM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J29" s="18" t="str">
        <f>IF($D29=0,"DNP",SUMIFS(TEAMS_GbG[RIM_A],TEAMS_GbG[[TM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K29" s="18" t="str">
        <f>IF($D29=0,"DNP",SUMIFS(TEAMS_GbG[PAINT_M],TEAMS_GbG[[TM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L29" s="18" t="str">
        <f>IF($D29=0,"DNP",SUMIFS(TEAMS_GbG[PAINT_A],TEAMS_GbG[[TM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M29" s="18" t="str">
        <f>IF($D29=0,"DNP",SUMIFS(TEAMS_GbG[MID_M],TEAMS_GbG[[TM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N29" s="18" t="str">
        <f>IF($D29=0,"DNP",SUMIFS(TEAMS_GbG[MID_A],TEAMS_GbG[[TM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O29" s="18" t="str">
        <f>IF($D29=0,"DNP",SUMIFS(TEAMS_GbG[3C_M],TEAMS_GbG[[TM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P29" s="18" t="str">
        <f>IF($D29=0,"DNP",SUMIFS(TEAMS_GbG[3C_A],TEAMS_GbG[[TM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Q29" s="18" t="str">
        <f>IF($D29=0,"DNP",SUMIFS(TEAMS_GbG[3L_M],TEAMS_GbG[[TM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R29" s="18" t="str">
        <f>IF($D29=0,"DNP",SUMIFS(TEAMS_GbG[3L_A],TEAMS_GbG[[TM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S29" s="18" t="str">
        <f>IF($D29=0,"DNP",SUMIFS(TEAMS_GbG[3H_M],TEAMS_GbG[[TM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T29" s="18" t="str">
        <f>IF($D29=0,"DNP",SUMIFS(TEAMS_GbG[3H_A],TEAMS_GbG[[TM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U29" s="18" t="str">
        <f>IF($D29=0,"DNP",SUMIFS(TEAMS_GbG[OPP PTS],TEAMS_GbG[[TM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V29" s="18" t="str">
        <f>IF($D29=0,"DNP",SUMIFS(TEAMS_GbG[OPP 2PTM],TEAMS_GbG[[TM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W29" s="18" t="str">
        <f>IF($D29=0,"DNP",SUMIFS(TEAMS_GbG[OPP 2PTA],TEAMS_GbG[[TM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X29" s="16" t="str">
        <f t="shared" si="61"/>
        <v>DNP</v>
      </c>
      <c r="DY29" s="18" t="str">
        <f>IF($D29=0,"DNP",SUMIFS(TEAMS_GbG[OPP 3PTM],TEAMS_GbG[[TM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Z29" s="18" t="str">
        <f>IF($D29=0,"DNP",SUMIFS(TEAMS_GbG[OPP 3PTA],TEAMS_GbG[[TM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A29" s="16" t="str">
        <f t="shared" si="62"/>
        <v>DNP</v>
      </c>
      <c r="EB29" s="18" t="str">
        <f>IF($D29=0,"DNP",SUMIFS(TEAMS_GbG[OPP FGM],TEAMS_GbG[[TM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C29" s="18" t="str">
        <f>IF($D29=0,"DNP",SUMIFS(TEAMS_GbG[OPP FGA],TEAMS_GbG[[TM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D29" s="16" t="str">
        <f t="shared" si="63"/>
        <v>DNP</v>
      </c>
      <c r="EE29" s="18" t="str">
        <f>IF($D29=0,"DNP",SUMIFS(TEAMS_GbG[OPP FTM],TEAMS_GbG[[TM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F29" s="18" t="str">
        <f>IF($D29=0,"DNP",SUMIFS(TEAMS_GbG[OPP FTA],TEAMS_GbG[[TM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G29" s="16" t="str">
        <f t="shared" si="64"/>
        <v>DNP</v>
      </c>
      <c r="EH29" s="18" t="str">
        <f>IF($D29=0,"DNP",SUMIFS(TEAMS_GbG[OPP OR],TEAMS_GbG[[TM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I29" s="18" t="str">
        <f>IF($D29=0,"DNP",SUMIFS(TEAMS_GbG[OPP DR],TEAMS_GbG[[TM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J29" s="18" t="str">
        <f>IF($D29=0,"DNP",SUMIFS(TEAMS_GbG[OPP TR],TEAMS_GbG[[TM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K29" s="18" t="str">
        <f>IF($D29=0,"DNP",SUMIFS(TEAMS_GbG[OPP AST],TEAMS_GbG[[TM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L29" s="18" t="str">
        <f>IF($D29=0,"DNP",SUMIFS(TEAMS_GbG[OPP PF],TEAMS_GbG[[TM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M29" s="18" t="str">
        <f>IF($D29=0,"DNP",SUMIFS(TEAMS_GbG[OPP DF],TEAMS_GbG[[TM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N29" s="18" t="str">
        <f>IF($D29=0,"DNP",SUMIFS(TEAMS_GbG[OPP ST],TEAMS_GbG[[TM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O29" s="18" t="str">
        <f>IF($D29=0,"DNP",SUMIFS(TEAMS_GbG[OPP TO],TEAMS_GbG[[TM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P29" s="18" t="str">
        <f>IF($D29=0,"DNP",SUMIFS(TEAMS_GbG[OPP BLK],TEAMS_GbG[[TM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Q29" s="18" t="str">
        <f>IF($D29=0,"DNP",SUMIFS(TEAMS_GbG[OPP BLKA],TEAMS_GbG[[TM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R29" s="18" t="str">
        <f>IF($D29=0,"DNP",SUMIFS(TEAMS_GbG[OPP VAL],TEAMS_GbG[[TM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S29" s="18" t="str">
        <f>IF($D29=0,"DNP",SUMIFS(TEAMS_GbG[OPP + / -],TEAMS_GbG[[TM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T29" s="18" t="str">
        <f>IF($D29=0,"DNP",SUMIFS(TEAMS_GbG[OPP POSS],TEAMS_GbG[[TM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U29" s="18" t="str">
        <f>IF($D29=0,"DNP",SUMIFS(TEAMS_GbG[OPP SHOOTING CHANCES],TEAMS_GbG[[TM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V29" s="18" t="str">
        <f>IF($D29=0,"DNP",SUMIFS(TEAMS_GbG[OPP KILLS],TEAMS_GbG[[TM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W29" s="18" t="str">
        <f>IF($D29=0,"DNP",SUMIFS(TEAMS_GbG[OPP ASTED_2FG],TEAMS_GbG[[TM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X29" s="18" t="str">
        <f>IF($D29=0,"DNP",SUMIFS(TEAMS_GbG[OPP ASTED_3FG],TEAMS_GbG[[TM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Y29" s="18" t="str">
        <f>IF($D29=0,"DNP",SUMIFS(TEAMS_GbG[OPP ASTED_FT],TEAMS_GbG[[TM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Z29" s="18" t="str">
        <f>IF($D29=0,"DNP",SUMIFS(TEAMS_GbG[OPP ASTED_FT PTS],TEAMS_GbG[[TM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A29" s="18" t="str">
        <f>IF($D29=0,"DNP",SUMIFS(TEAMS_GbG[OPP OR_RIM],TEAMS_GbG[[TM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B29" s="18" t="str">
        <f>IF($D29=0,"DNP",SUMIFS(TEAMS_GbG[OPP TM OR_RIM],TEAMS_GbG[[TM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C29" s="18" t="str">
        <f>IF($D29=0,"DNP",SUMIFS(TEAMS_GbG[OPP OR_PAINT],TEAMS_GbG[[TM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D29" s="18" t="str">
        <f>IF($D29=0,"DNP",SUMIFS(TEAMS_GbG[OPP TM OR_PAINT],TEAMS_GbG[[TM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E29" s="18" t="str">
        <f>IF($D29=0,"DNP",SUMIFS(TEAMS_GbG[OPP OR_NP2],TEAMS_GbG[[TM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F29" s="18" t="str">
        <f>IF($D29=0,"DNP",SUMIFS(TEAMS_GbG[OPP TM OR_NP2],TEAMS_GbG[[TM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G29" s="18" t="str">
        <f>IF($D29=0,"DNP",SUMIFS(TEAMS_GbG[OPP OR_3C],TEAMS_GbG[[TM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H29" s="18" t="str">
        <f>IF($D29=0,"DNP",SUMIFS(TEAMS_GbG[OPP TM OR_3C],TEAMS_GbG[[TM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I29" s="18" t="str">
        <f>IF($D29=0,"DNP",SUMIFS(TEAMS_GbG[OPP OR_3L],TEAMS_GbG[[TM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J29" s="18" t="str">
        <f>IF($D29=0,"DNP",SUMIFS(TEAMS_GbG[OPP TM OR_3L],TEAMS_GbG[[TM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K29" s="18" t="str">
        <f>IF($D29=0,"DNP",SUMIFS(TEAMS_GbG[OPP OR_FT],TEAMS_GbG[[TM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L29" s="18" t="str">
        <f>IF($D29=0,"DNP",SUMIFS(TEAMS_GbG[OPP TM OR_FT],TEAMS_GbG[[TM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M29" s="18" t="str">
        <f>IF($D29=0,"DNP",SUMIFS(TEAMS_GbG[OPP DR_RIM],TEAMS_GbG[[TM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N29" s="18" t="str">
        <f>IF($D29=0,"DNP",SUMIFS(TEAMS_GbG[OPP TM DR_RIM],TEAMS_GbG[[TM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O29" s="18" t="str">
        <f>IF($D29=0,"DNP",SUMIFS(TEAMS_GbG[OPP DR_PAINT],TEAMS_GbG[[TM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P29" s="18" t="str">
        <f>IF($D29=0,"DNP",SUMIFS(TEAMS_GbG[OPP TM DR_PAINT],TEAMS_GbG[[TM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Q29" s="18" t="str">
        <f>IF($D29=0,"DNP",SUMIFS(TEAMS_GbG[OPP DR_NP2],TEAMS_GbG[[TM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R29" s="18" t="str">
        <f>IF($D29=0,"DNP",SUMIFS(TEAMS_GbG[OPP TM DR_NP2],TEAMS_GbG[[TM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S29" s="18" t="str">
        <f>IF($D29=0,"DNP",SUMIFS(TEAMS_GbG[OPP DR_3C],TEAMS_GbG[[TM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T29" s="18" t="str">
        <f>IF($D29=0,"DNP",SUMIFS(TEAMS_GbG[OPP TM DR_3C],TEAMS_GbG[[TM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U29" s="18" t="str">
        <f>IF($D29=0,"DNP",SUMIFS(TEAMS_GbG[OPP DR_3L],TEAMS_GbG[[TM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V29" s="18" t="str">
        <f>IF($D29=0,"DNP",SUMIFS(TEAMS_GbG[OPP TM DR_3L],TEAMS_GbG[[TM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W29" s="18" t="str">
        <f>IF($D29=0,"DNP",SUMIFS(TEAMS_GbG[OPP DR_FT],TEAMS_GbG[[TM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X29" s="18" t="str">
        <f>IF($D29=0,"DNP",SUMIFS(TEAMS_GbG[OPP TM DR_FT],TEAMS_GbG[[TM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Y29" s="18" t="str">
        <f>IF($D29=0,"DNP",SUMIFS(TEAMS_GbG[OPP FTM_T],TEAMS_GbG[[TM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Z29" s="18" t="str">
        <f>IF($D29=0,"DNP",SUMIFS(TEAMS_GbG[OPP FTA_T],TEAMS_GbG[[TM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A29" s="18" t="str">
        <f>IF($D29=0,"DNP",SUMIFS(TEAMS_GbG[OPP FTM_1],TEAMS_GbG[[TM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B29" s="18" t="str">
        <f>IF($D29=0,"DNP",SUMIFS(TEAMS_GbG[OPP FTA_1],TEAMS_GbG[[TM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C29" s="18" t="str">
        <f>IF($D29=0,"DNP",SUMIFS(TEAMS_GbG[OPP FTM_2],TEAMS_GbG[[TM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D29" s="18" t="str">
        <f>IF($D29=0,"DNP",SUMIFS(TEAMS_GbG[OPP FTA_2],TEAMS_GbG[[TM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E29" s="18" t="str">
        <f>IF($D29=0,"DNP",SUMIFS(TEAMS_GbG[OPP FT 0/2],TEAMS_GbG[[TM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F29" s="18" t="str">
        <f>IF($D29=0,"DNP",SUMIFS(TEAMS_GbG[OPP FTM_3],TEAMS_GbG[[TM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G29" s="18" t="str">
        <f>IF($D29=0,"DNP",SUMIFS(TEAMS_GbG[OPP FTA_3],TEAMS_GbG[[TM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H29" s="18" t="str">
        <f>IF($D29=0,"DNP",SUMIFS(TEAMS_GbG[OPP FT 0/3],TEAMS_GbG[[TM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I29" s="18" t="str">
        <f>IF($D29=0,"DNP",SUMIFS(TEAMS_GbG[OPP RIM_M],TEAMS_GbG[[TM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J29" s="18" t="str">
        <f>IF($D29=0,"DNP",SUMIFS(TEAMS_GbG[OPP RIM_A],TEAMS_GbG[[TM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K29" s="18" t="str">
        <f>IF($D29=0,"DNP",SUMIFS(TEAMS_GbG[OPP PAINT_M],TEAMS_GbG[[TM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L29" s="18" t="str">
        <f>IF($D29=0,"DNP",SUMIFS(TEAMS_GbG[OPP PAINT_A],TEAMS_GbG[[TM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M29" s="18" t="str">
        <f>IF($D29=0,"DNP",SUMIFS(TEAMS_GbG[OPP MID_M],TEAMS_GbG[[TM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N29" s="18" t="str">
        <f>IF($D29=0,"DNP",SUMIFS(TEAMS_GbG[OPP MID_A],TEAMS_GbG[[TM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O29" s="18" t="str">
        <f>IF($D29=0,"DNP",SUMIFS(TEAMS_GbG[OPP 3C_M],TEAMS_GbG[[TM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P29" s="18" t="str">
        <f>IF($D29=0,"DNP",SUMIFS(TEAMS_GbG[OPP 3C_A],TEAMS_GbG[[TM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Q29" s="18" t="str">
        <f>IF($D29=0,"DNP",SUMIFS(TEAMS_GbG[OPP 3L_M],TEAMS_GbG[[TM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R29" s="18" t="str">
        <f>IF($D29=0,"DNP",SUMIFS(TEAMS_GbG[OPP 3L_A],TEAMS_GbG[[TM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S29" s="18" t="str">
        <f>IF($D29=0,"DNP",SUMIFS(TEAMS_GbG[OPP 3H_M],TEAMS_GbG[[TM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T29" s="18" t="str">
        <f>IF($D29=0,"DNP",SUMIFS(TEAMS_GbG[OPP 3H_A],TEAMS_GbG[[TM NAME]:[TM NAME]],$C29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U29" s="16" t="str">
        <f>IF(TEAMS_STATS[[#This Row],[TM NAME]]="","",INDEX(SoS!$C$113:$C$144,MATCH(TEAMS_STATS[[#This Row],[TM NAME]],SoS!$B$113:$B$144,0)))</f>
        <v/>
      </c>
    </row>
    <row r="30" spans="2:203" ht="15" hidden="1" customHeight="1" x14ac:dyDescent="0.25">
      <c r="B30" s="12">
        <f>_xlfn.AGGREGATE(3,5,$C$7:C29)</f>
        <v>19</v>
      </c>
      <c r="C30" s="14" t="str">
        <f>BASIS_INFO!F25</f>
        <v/>
      </c>
      <c r="D30" s="20">
        <f>COUNTIFS(TEAMS_GbG[[TM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0" s="20">
        <f>COUNTIFS(TEAMS_GbG[[TM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0" s="20">
        <f>COUNTIFS(TEAMS_GbG[[TM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0" s="18" t="str">
        <f>IF($D30=0,"DNP",SUMIFS(TEAMS_GbG[MIN],TEAMS_GbG[[TM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H30" s="18" t="str">
        <f>IF($D30=0,"DNP",SUMIFS(TEAMS_GbG[PTS],TEAMS_GbG[[TM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I30" s="18" t="str">
        <f>IF($D30=0,"DNP",SUMIFS(TEAMS_GbG[2PTM],TEAMS_GbG[[TM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J30" s="18" t="str">
        <f>IF($D30=0,"DNP",SUMIFS(TEAMS_GbG[2PTA],TEAMS_GbG[[TM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K30" s="16" t="str">
        <f t="shared" si="56"/>
        <v>DNP</v>
      </c>
      <c r="L30" s="18" t="str">
        <f>IF($D30=0,"DNP",SUMIFS(TEAMS_GbG[3PTM],TEAMS_GbG[[TM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M30" s="18" t="str">
        <f>IF($D30=0,"DNP",SUMIFS(TEAMS_GbG[3PTA],TEAMS_GbG[[TM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N30" s="16" t="str">
        <f t="shared" si="57"/>
        <v>DNP</v>
      </c>
      <c r="O30" s="18" t="str">
        <f>IF($D30=0,"DNP",SUMIFS(TEAMS_GbG[FGM],TEAMS_GbG[[TM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P30" s="18" t="str">
        <f>IF($D30=0,"DNP",SUMIFS(TEAMS_GbG[FGA],TEAMS_GbG[[TM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Q30" s="16" t="str">
        <f t="shared" si="58"/>
        <v>DNP</v>
      </c>
      <c r="R30" s="18" t="str">
        <f>IF($D30=0,"DNP",SUMIFS(TEAMS_GbG[FTM],TEAMS_GbG[[TM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S30" s="18" t="str">
        <f>IF($D30=0,"DNP",SUMIFS(TEAMS_GbG[FTA],TEAMS_GbG[[TM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T30" s="16" t="str">
        <f t="shared" si="59"/>
        <v>DNP</v>
      </c>
      <c r="U30" s="18" t="str">
        <f>IF($D30=0,"DNP",SUMIFS(TEAMS_GbG[OR],TEAMS_GbG[[TM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V30" s="18" t="str">
        <f>IF($D30=0,"DNP",SUMIFS(TEAMS_GbG[DR],TEAMS_GbG[[TM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W30" s="18" t="str">
        <f>IF($D30=0,"DNP",SUMIFS(TEAMS_GbG[TR],TEAMS_GbG[[TM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X30" s="18" t="str">
        <f>IF($D30=0,"DNP",SUMIFS(TEAMS_GbG[AST],TEAMS_GbG[[TM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Y30" s="18" t="str">
        <f>IF($D30=0,"DNP",SUMIFS(TEAMS_GbG[TO],TEAMS_GbG[[TM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Z30" s="18" t="str">
        <f>IF($D30=0,"DNP",SUMIFS(TEAMS_GbG[ST],TEAMS_GbG[[TM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A30" s="18" t="str">
        <f>IF($D30=0,"DNP",SUMIFS(TEAMS_GbG[BLK],TEAMS_GbG[[TM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B30" s="18" t="str">
        <f>IF($D30=0,"DNP",SUMIFS(TEAMS_GbG[BLKA],TEAMS_GbG[[TM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C30" s="18" t="str">
        <f>IF($D30=0,"DNP",SUMIFS(TEAMS_GbG[PF],TEAMS_GbG[[TM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D30" s="18" t="str">
        <f>IF($D30=0,"DNP",SUMIFS(TEAMS_GbG[DF],TEAMS_GbG[[TM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E30" s="18" t="str">
        <f>IF($D30=0,"DNP",SUMIFS(TEAMS_GbG[VAL],TEAMS_GbG[[TM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F30" s="18" t="str">
        <f>IF($D30=0,"DNP",SUMIFS(TEAMS_GbG[+ / -],TEAMS_GbG[[TM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G30" s="26" t="str">
        <f t="shared" si="0"/>
        <v>DNP</v>
      </c>
      <c r="AH30" s="18" t="str">
        <f>IF($D30=0,"DNP",SUMIFS(TEAMS_GbG[POSS],TEAMS_GbG[[TM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I30" s="18" t="str">
        <f>IF($D30=0,"DNP",SUMIFS(TEAMS_GbG[SHOOTING CHANCES],TEAMS_GbG[[TM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J30" s="19" t="str">
        <f t="shared" si="1"/>
        <v>DNP</v>
      </c>
      <c r="AK30" s="19" t="str">
        <f t="shared" si="2"/>
        <v>DNP</v>
      </c>
      <c r="AL30" s="18" t="str">
        <f t="shared" si="3"/>
        <v>DNP</v>
      </c>
      <c r="AM30" s="18" t="str">
        <f t="shared" si="4"/>
        <v>DNP</v>
      </c>
      <c r="AN30" s="18" t="str">
        <f t="shared" si="60"/>
        <v>DNP</v>
      </c>
      <c r="AO30" s="27" t="str">
        <f t="shared" si="5"/>
        <v>DNP</v>
      </c>
      <c r="AP30" s="28" t="str">
        <f t="shared" si="6"/>
        <v>DNP</v>
      </c>
      <c r="AQ30" s="34" t="str">
        <f t="shared" si="7"/>
        <v>DNP</v>
      </c>
      <c r="AR30" s="19" t="str">
        <f t="shared" si="8"/>
        <v>DNP</v>
      </c>
      <c r="AS30" s="16" t="str">
        <f t="shared" si="9"/>
        <v>DNP</v>
      </c>
      <c r="AT30" s="18" t="str">
        <f t="shared" si="10"/>
        <v>DNP</v>
      </c>
      <c r="AU30" s="16" t="str">
        <f t="shared" si="11"/>
        <v>DNP</v>
      </c>
      <c r="AV30" s="18" t="str">
        <f t="shared" si="12"/>
        <v>DNP</v>
      </c>
      <c r="AW30" s="16" t="str">
        <f t="shared" si="13"/>
        <v>DNP</v>
      </c>
      <c r="AX30" s="19" t="str">
        <f t="shared" si="14"/>
        <v>DNP</v>
      </c>
      <c r="AY30" s="27" t="str">
        <f t="shared" si="15"/>
        <v>DNP</v>
      </c>
      <c r="AZ30" s="38" t="str">
        <f t="shared" si="16"/>
        <v>DNP</v>
      </c>
      <c r="BA30" s="28" t="str">
        <f t="shared" si="17"/>
        <v>DNP</v>
      </c>
      <c r="BB30" s="34" t="str">
        <f t="shared" si="18"/>
        <v>DNP</v>
      </c>
      <c r="BC30" s="27" t="str">
        <f t="shared" si="19"/>
        <v>DNP</v>
      </c>
      <c r="BD30" s="27" t="str">
        <f t="shared" si="20"/>
        <v>DNP</v>
      </c>
      <c r="BE30" s="27" t="str">
        <f t="shared" si="21"/>
        <v>DNP</v>
      </c>
      <c r="BF30" s="27" t="str">
        <f t="shared" si="22"/>
        <v>DNP</v>
      </c>
      <c r="BG30" s="27" t="str">
        <f t="shared" si="23"/>
        <v>DNP</v>
      </c>
      <c r="BH30" s="35" t="str">
        <f t="shared" si="24"/>
        <v>DNP</v>
      </c>
      <c r="BI30" s="49" t="str">
        <f t="shared" si="25"/>
        <v>DNP</v>
      </c>
      <c r="BJ30" s="45" t="str">
        <f t="shared" si="26"/>
        <v>DNP</v>
      </c>
      <c r="BK30" s="45" t="str">
        <f t="shared" si="27"/>
        <v>DNP</v>
      </c>
      <c r="BL30" s="45" t="str">
        <f t="shared" si="28"/>
        <v>DNP</v>
      </c>
      <c r="BM30" s="45" t="str">
        <f t="shared" si="29"/>
        <v>DNP</v>
      </c>
      <c r="BN30" s="45" t="str">
        <f t="shared" si="30"/>
        <v>DNP</v>
      </c>
      <c r="BO30" s="45" t="str">
        <f t="shared" si="31"/>
        <v>DNP</v>
      </c>
      <c r="BP30" s="45" t="str">
        <f t="shared" si="32"/>
        <v>DNP</v>
      </c>
      <c r="BQ30" s="46" t="str">
        <f t="shared" si="33"/>
        <v>DNP</v>
      </c>
      <c r="BR30" s="49" t="str">
        <f t="shared" si="34"/>
        <v>DNP</v>
      </c>
      <c r="BS30" s="45" t="str">
        <f t="shared" si="35"/>
        <v>DNP</v>
      </c>
      <c r="BT30" s="40" t="str">
        <f>IF($D30=0,"DNP",SUMIFS(TEAMS_GbG[KILLS],TEAMS_GbG[[TM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BU30" s="34" t="str">
        <f t="shared" si="36"/>
        <v>DNP</v>
      </c>
      <c r="BV30" s="28" t="str">
        <f t="shared" si="37"/>
        <v>DNP</v>
      </c>
      <c r="BW30" s="18" t="str">
        <f>IF($D30=0,"DNP",SUMIFS(TEAMS_GbG[ASTED_2FG],TEAMS_GbG[[TM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BX30" s="18" t="str">
        <f>IF($D30=0,"DNP",SUMIFS(TEAMS_GbG[ASTED_3FG],TEAMS_GbG[[TM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BY30" s="18" t="str">
        <f>IF($D30=0,"DNP",SUMIFS(TEAMS_GbG[ASTED_FT],TEAMS_GbG[[TM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BZ30" s="18" t="str">
        <f>IF($D30=0,"DNP",SUMIFS(TEAMS_GbG[ASTED_FT PTS],TEAMS_GbG[[TM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A30" s="18" t="str">
        <f>IF($D30=0,"DNP",SUMIFS(TEAMS_GbG[OR_RIM],TEAMS_GbG[[TM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B30" s="18" t="str">
        <f>IF($D30=0,"DNP",SUMIFS(TEAMS_GbG[TM OR_RIM],TEAMS_GbG[[TM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C30" s="18" t="str">
        <f>IF($D30=0,"DNP",SUMIFS(TEAMS_GbG[OR_PAINT],TEAMS_GbG[[TM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D30" s="18" t="str">
        <f>IF($D30=0,"DNP",SUMIFS(TEAMS_GbG[TM OR_PAINT],TEAMS_GbG[[TM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E30" s="18" t="str">
        <f>IF($D30=0,"DNP",SUMIFS(TEAMS_GbG[OR_NP2],TEAMS_GbG[[TM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F30" s="18" t="str">
        <f>IF($D30=0,"DNP",SUMIFS(TEAMS_GbG[TM OR_NP2],TEAMS_GbG[[TM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G30" s="18" t="str">
        <f>IF($D30=0,"DNP",SUMIFS(TEAMS_GbG[OR_3C],TEAMS_GbG[[TM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H30" s="18" t="str">
        <f>IF($D30=0,"DNP",SUMIFS(TEAMS_GbG[TM OR_3C],TEAMS_GbG[[TM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I30" s="18" t="str">
        <f>IF($D30=0,"DNP",SUMIFS(TEAMS_GbG[OR_3L],TEAMS_GbG[[TM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J30" s="18" t="str">
        <f>IF($D30=0,"DNP",SUMIFS(TEAMS_GbG[TM OR_3L],TEAMS_GbG[[TM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K30" s="18" t="str">
        <f>IF($D30=0,"DNP",SUMIFS(TEAMS_GbG[OR_FT],TEAMS_GbG[[TM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L30" s="18" t="str">
        <f>IF($D30=0,"DNP",SUMIFS(TEAMS_GbG[TM OR_FT],TEAMS_GbG[[TM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M30" s="18" t="str">
        <f>IF($D30=0,"DNP",SUMIFS(TEAMS_GbG[DR_RIM],TEAMS_GbG[[TM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N30" s="18" t="str">
        <f>IF($D30=0,"DNP",SUMIFS(TEAMS_GbG[TM DR_RIM],TEAMS_GbG[[TM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O30" s="18" t="str">
        <f>IF($D30=0,"DNP",SUMIFS(TEAMS_GbG[DR_PAINT],TEAMS_GbG[[TM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P30" s="18" t="str">
        <f>IF($D30=0,"DNP",SUMIFS(TEAMS_GbG[TM DR_PAINT],TEAMS_GbG[[TM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Q30" s="18" t="str">
        <f>IF($D30=0,"DNP",SUMIFS(TEAMS_GbG[DR_NP2],TEAMS_GbG[[TM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R30" s="18" t="str">
        <f>IF($D30=0,"DNP",SUMIFS(TEAMS_GbG[TM DR_NP2],TEAMS_GbG[[TM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S30" s="18" t="str">
        <f>IF($D30=0,"DNP",SUMIFS(TEAMS_GbG[DR_3C],TEAMS_GbG[[TM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T30" s="18" t="str">
        <f>IF($D30=0,"DNP",SUMIFS(TEAMS_GbG[TM DR_3C],TEAMS_GbG[[TM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U30" s="18" t="str">
        <f>IF($D30=0,"DNP",SUMIFS(TEAMS_GbG[DR_3L],TEAMS_GbG[[TM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V30" s="18" t="str">
        <f>IF($D30=0,"DNP",SUMIFS(TEAMS_GbG[TM DR_3L],TEAMS_GbG[[TM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W30" s="18" t="str">
        <f>IF($D30=0,"DNP",SUMIFS(TEAMS_GbG[DR_FT],TEAMS_GbG[[TM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X30" s="18" t="str">
        <f>IF($D30=0,"DNP",SUMIFS(TEAMS_GbG[TM DR_FT],TEAMS_GbG[[TM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Y30" s="18" t="str">
        <f>IF($D30=0,"DNP",SUMIFS(TEAMS_GbG[FTM_T],TEAMS_GbG[[TM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Z30" s="18" t="str">
        <f>IF($D30=0,"DNP",SUMIFS(TEAMS_GbG[FTA_T],TEAMS_GbG[[TM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A30" s="18" t="str">
        <f>IF($D30=0,"DNP",SUMIFS(TEAMS_GbG[FTM_1],TEAMS_GbG[[TM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B30" s="18" t="str">
        <f>IF($D30=0,"DNP",SUMIFS(TEAMS_GbG[FTA_1],TEAMS_GbG[[TM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C30" s="18" t="str">
        <f>IF($D30=0,"DNP",SUMIFS(TEAMS_GbG[FTM_2],TEAMS_GbG[[TM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D30" s="18" t="str">
        <f>IF($D30=0,"DNP",SUMIFS(TEAMS_GbG[FTA_2],TEAMS_GbG[[TM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E30" s="18" t="str">
        <f>IF($D30=0,"DNP",SUMIFS(TEAMS_GbG[FT 0/2],TEAMS_GbG[[TM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F30" s="18" t="str">
        <f>IF($D30=0,"DNP",SUMIFS(TEAMS_GbG[FTM_3],TEAMS_GbG[[TM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G30" s="18" t="str">
        <f>IF($D30=0,"DNP",SUMIFS(TEAMS_GbG[FTA_3],TEAMS_GbG[[TM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H30" s="18" t="str">
        <f>IF($D30=0,"DNP",SUMIFS(TEAMS_GbG[FT 0/3],TEAMS_GbG[[TM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I30" s="18" t="str">
        <f>IF($D30=0,"DNP",SUMIFS(TEAMS_GbG[RIM_M],TEAMS_GbG[[TM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J30" s="18" t="str">
        <f>IF($D30=0,"DNP",SUMIFS(TEAMS_GbG[RIM_A],TEAMS_GbG[[TM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K30" s="18" t="str">
        <f>IF($D30=0,"DNP",SUMIFS(TEAMS_GbG[PAINT_M],TEAMS_GbG[[TM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L30" s="18" t="str">
        <f>IF($D30=0,"DNP",SUMIFS(TEAMS_GbG[PAINT_A],TEAMS_GbG[[TM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M30" s="18" t="str">
        <f>IF($D30=0,"DNP",SUMIFS(TEAMS_GbG[MID_M],TEAMS_GbG[[TM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N30" s="18" t="str">
        <f>IF($D30=0,"DNP",SUMIFS(TEAMS_GbG[MID_A],TEAMS_GbG[[TM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O30" s="18" t="str">
        <f>IF($D30=0,"DNP",SUMIFS(TEAMS_GbG[3C_M],TEAMS_GbG[[TM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P30" s="18" t="str">
        <f>IF($D30=0,"DNP",SUMIFS(TEAMS_GbG[3C_A],TEAMS_GbG[[TM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Q30" s="18" t="str">
        <f>IF($D30=0,"DNP",SUMIFS(TEAMS_GbG[3L_M],TEAMS_GbG[[TM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R30" s="18" t="str">
        <f>IF($D30=0,"DNP",SUMIFS(TEAMS_GbG[3L_A],TEAMS_GbG[[TM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S30" s="18" t="str">
        <f>IF($D30=0,"DNP",SUMIFS(TEAMS_GbG[3H_M],TEAMS_GbG[[TM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T30" s="18" t="str">
        <f>IF($D30=0,"DNP",SUMIFS(TEAMS_GbG[3H_A],TEAMS_GbG[[TM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U30" s="18" t="str">
        <f>IF($D30=0,"DNP",SUMIFS(TEAMS_GbG[OPP PTS],TEAMS_GbG[[TM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V30" s="18" t="str">
        <f>IF($D30=0,"DNP",SUMIFS(TEAMS_GbG[OPP 2PTM],TEAMS_GbG[[TM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W30" s="18" t="str">
        <f>IF($D30=0,"DNP",SUMIFS(TEAMS_GbG[OPP 2PTA],TEAMS_GbG[[TM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X30" s="16" t="str">
        <f t="shared" si="61"/>
        <v>DNP</v>
      </c>
      <c r="DY30" s="18" t="str">
        <f>IF($D30=0,"DNP",SUMIFS(TEAMS_GbG[OPP 3PTM],TEAMS_GbG[[TM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Z30" s="18" t="str">
        <f>IF($D30=0,"DNP",SUMIFS(TEAMS_GbG[OPP 3PTA],TEAMS_GbG[[TM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A30" s="16" t="str">
        <f t="shared" si="62"/>
        <v>DNP</v>
      </c>
      <c r="EB30" s="18" t="str">
        <f>IF($D30=0,"DNP",SUMIFS(TEAMS_GbG[OPP FGM],TEAMS_GbG[[TM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C30" s="18" t="str">
        <f>IF($D30=0,"DNP",SUMIFS(TEAMS_GbG[OPP FGA],TEAMS_GbG[[TM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D30" s="16" t="str">
        <f t="shared" si="63"/>
        <v>DNP</v>
      </c>
      <c r="EE30" s="18" t="str">
        <f>IF($D30=0,"DNP",SUMIFS(TEAMS_GbG[OPP FTM],TEAMS_GbG[[TM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F30" s="18" t="str">
        <f>IF($D30=0,"DNP",SUMIFS(TEAMS_GbG[OPP FTA],TEAMS_GbG[[TM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G30" s="16" t="str">
        <f t="shared" si="64"/>
        <v>DNP</v>
      </c>
      <c r="EH30" s="18" t="str">
        <f>IF($D30=0,"DNP",SUMIFS(TEAMS_GbG[OPP OR],TEAMS_GbG[[TM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I30" s="18" t="str">
        <f>IF($D30=0,"DNP",SUMIFS(TEAMS_GbG[OPP DR],TEAMS_GbG[[TM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J30" s="18" t="str">
        <f>IF($D30=0,"DNP",SUMIFS(TEAMS_GbG[OPP TR],TEAMS_GbG[[TM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K30" s="18" t="str">
        <f>IF($D30=0,"DNP",SUMIFS(TEAMS_GbG[OPP AST],TEAMS_GbG[[TM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L30" s="18" t="str">
        <f>IF($D30=0,"DNP",SUMIFS(TEAMS_GbG[OPP PF],TEAMS_GbG[[TM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M30" s="18" t="str">
        <f>IF($D30=0,"DNP",SUMIFS(TEAMS_GbG[OPP DF],TEAMS_GbG[[TM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N30" s="18" t="str">
        <f>IF($D30=0,"DNP",SUMIFS(TEAMS_GbG[OPP ST],TEAMS_GbG[[TM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O30" s="18" t="str">
        <f>IF($D30=0,"DNP",SUMIFS(TEAMS_GbG[OPP TO],TEAMS_GbG[[TM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P30" s="18" t="str">
        <f>IF($D30=0,"DNP",SUMIFS(TEAMS_GbG[OPP BLK],TEAMS_GbG[[TM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Q30" s="18" t="str">
        <f>IF($D30=0,"DNP",SUMIFS(TEAMS_GbG[OPP BLKA],TEAMS_GbG[[TM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R30" s="18" t="str">
        <f>IF($D30=0,"DNP",SUMIFS(TEAMS_GbG[OPP VAL],TEAMS_GbG[[TM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S30" s="18" t="str">
        <f>IF($D30=0,"DNP",SUMIFS(TEAMS_GbG[OPP + / -],TEAMS_GbG[[TM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T30" s="18" t="str">
        <f>IF($D30=0,"DNP",SUMIFS(TEAMS_GbG[OPP POSS],TEAMS_GbG[[TM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U30" s="18" t="str">
        <f>IF($D30=0,"DNP",SUMIFS(TEAMS_GbG[OPP SHOOTING CHANCES],TEAMS_GbG[[TM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V30" s="18" t="str">
        <f>IF($D30=0,"DNP",SUMIFS(TEAMS_GbG[OPP KILLS],TEAMS_GbG[[TM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W30" s="18" t="str">
        <f>IF($D30=0,"DNP",SUMIFS(TEAMS_GbG[OPP ASTED_2FG],TEAMS_GbG[[TM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X30" s="18" t="str">
        <f>IF($D30=0,"DNP",SUMIFS(TEAMS_GbG[OPP ASTED_3FG],TEAMS_GbG[[TM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Y30" s="18" t="str">
        <f>IF($D30=0,"DNP",SUMIFS(TEAMS_GbG[OPP ASTED_FT],TEAMS_GbG[[TM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Z30" s="18" t="str">
        <f>IF($D30=0,"DNP",SUMIFS(TEAMS_GbG[OPP ASTED_FT PTS],TEAMS_GbG[[TM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A30" s="18" t="str">
        <f>IF($D30=0,"DNP",SUMIFS(TEAMS_GbG[OPP OR_RIM],TEAMS_GbG[[TM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B30" s="18" t="str">
        <f>IF($D30=0,"DNP",SUMIFS(TEAMS_GbG[OPP TM OR_RIM],TEAMS_GbG[[TM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C30" s="18" t="str">
        <f>IF($D30=0,"DNP",SUMIFS(TEAMS_GbG[OPP OR_PAINT],TEAMS_GbG[[TM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D30" s="18" t="str">
        <f>IF($D30=0,"DNP",SUMIFS(TEAMS_GbG[OPP TM OR_PAINT],TEAMS_GbG[[TM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E30" s="18" t="str">
        <f>IF($D30=0,"DNP",SUMIFS(TEAMS_GbG[OPP OR_NP2],TEAMS_GbG[[TM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F30" s="18" t="str">
        <f>IF($D30=0,"DNP",SUMIFS(TEAMS_GbG[OPP TM OR_NP2],TEAMS_GbG[[TM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G30" s="18" t="str">
        <f>IF($D30=0,"DNP",SUMIFS(TEAMS_GbG[OPP OR_3C],TEAMS_GbG[[TM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H30" s="18" t="str">
        <f>IF($D30=0,"DNP",SUMIFS(TEAMS_GbG[OPP TM OR_3C],TEAMS_GbG[[TM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I30" s="18" t="str">
        <f>IF($D30=0,"DNP",SUMIFS(TEAMS_GbG[OPP OR_3L],TEAMS_GbG[[TM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J30" s="18" t="str">
        <f>IF($D30=0,"DNP",SUMIFS(TEAMS_GbG[OPP TM OR_3L],TEAMS_GbG[[TM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K30" s="18" t="str">
        <f>IF($D30=0,"DNP",SUMIFS(TEAMS_GbG[OPP OR_FT],TEAMS_GbG[[TM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L30" s="18" t="str">
        <f>IF($D30=0,"DNP",SUMIFS(TEAMS_GbG[OPP TM OR_FT],TEAMS_GbG[[TM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M30" s="18" t="str">
        <f>IF($D30=0,"DNP",SUMIFS(TEAMS_GbG[OPP DR_RIM],TEAMS_GbG[[TM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N30" s="18" t="str">
        <f>IF($D30=0,"DNP",SUMIFS(TEAMS_GbG[OPP TM DR_RIM],TEAMS_GbG[[TM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O30" s="18" t="str">
        <f>IF($D30=0,"DNP",SUMIFS(TEAMS_GbG[OPP DR_PAINT],TEAMS_GbG[[TM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P30" s="18" t="str">
        <f>IF($D30=0,"DNP",SUMIFS(TEAMS_GbG[OPP TM DR_PAINT],TEAMS_GbG[[TM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Q30" s="18" t="str">
        <f>IF($D30=0,"DNP",SUMIFS(TEAMS_GbG[OPP DR_NP2],TEAMS_GbG[[TM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R30" s="18" t="str">
        <f>IF($D30=0,"DNP",SUMIFS(TEAMS_GbG[OPP TM DR_NP2],TEAMS_GbG[[TM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S30" s="18" t="str">
        <f>IF($D30=0,"DNP",SUMIFS(TEAMS_GbG[OPP DR_3C],TEAMS_GbG[[TM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T30" s="18" t="str">
        <f>IF($D30=0,"DNP",SUMIFS(TEAMS_GbG[OPP TM DR_3C],TEAMS_GbG[[TM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U30" s="18" t="str">
        <f>IF($D30=0,"DNP",SUMIFS(TEAMS_GbG[OPP DR_3L],TEAMS_GbG[[TM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V30" s="18" t="str">
        <f>IF($D30=0,"DNP",SUMIFS(TEAMS_GbG[OPP TM DR_3L],TEAMS_GbG[[TM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W30" s="18" t="str">
        <f>IF($D30=0,"DNP",SUMIFS(TEAMS_GbG[OPP DR_FT],TEAMS_GbG[[TM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X30" s="18" t="str">
        <f>IF($D30=0,"DNP",SUMIFS(TEAMS_GbG[OPP TM DR_FT],TEAMS_GbG[[TM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Y30" s="18" t="str">
        <f>IF($D30=0,"DNP",SUMIFS(TEAMS_GbG[OPP FTM_T],TEAMS_GbG[[TM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Z30" s="18" t="str">
        <f>IF($D30=0,"DNP",SUMIFS(TEAMS_GbG[OPP FTA_T],TEAMS_GbG[[TM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A30" s="18" t="str">
        <f>IF($D30=0,"DNP",SUMIFS(TEAMS_GbG[OPP FTM_1],TEAMS_GbG[[TM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B30" s="18" t="str">
        <f>IF($D30=0,"DNP",SUMIFS(TEAMS_GbG[OPP FTA_1],TEAMS_GbG[[TM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C30" s="18" t="str">
        <f>IF($D30=0,"DNP",SUMIFS(TEAMS_GbG[OPP FTM_2],TEAMS_GbG[[TM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D30" s="18" t="str">
        <f>IF($D30=0,"DNP",SUMIFS(TEAMS_GbG[OPP FTA_2],TEAMS_GbG[[TM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E30" s="18" t="str">
        <f>IF($D30=0,"DNP",SUMIFS(TEAMS_GbG[OPP FT 0/2],TEAMS_GbG[[TM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F30" s="18" t="str">
        <f>IF($D30=0,"DNP",SUMIFS(TEAMS_GbG[OPP FTM_3],TEAMS_GbG[[TM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G30" s="18" t="str">
        <f>IF($D30=0,"DNP",SUMIFS(TEAMS_GbG[OPP FTA_3],TEAMS_GbG[[TM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H30" s="18" t="str">
        <f>IF($D30=0,"DNP",SUMIFS(TEAMS_GbG[OPP FT 0/3],TEAMS_GbG[[TM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I30" s="18" t="str">
        <f>IF($D30=0,"DNP",SUMIFS(TEAMS_GbG[OPP RIM_M],TEAMS_GbG[[TM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J30" s="18" t="str">
        <f>IF($D30=0,"DNP",SUMIFS(TEAMS_GbG[OPP RIM_A],TEAMS_GbG[[TM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K30" s="18" t="str">
        <f>IF($D30=0,"DNP",SUMIFS(TEAMS_GbG[OPP PAINT_M],TEAMS_GbG[[TM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L30" s="18" t="str">
        <f>IF($D30=0,"DNP",SUMIFS(TEAMS_GbG[OPP PAINT_A],TEAMS_GbG[[TM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M30" s="18" t="str">
        <f>IF($D30=0,"DNP",SUMIFS(TEAMS_GbG[OPP MID_M],TEAMS_GbG[[TM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N30" s="18" t="str">
        <f>IF($D30=0,"DNP",SUMIFS(TEAMS_GbG[OPP MID_A],TEAMS_GbG[[TM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O30" s="18" t="str">
        <f>IF($D30=0,"DNP",SUMIFS(TEAMS_GbG[OPP 3C_M],TEAMS_GbG[[TM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P30" s="18" t="str">
        <f>IF($D30=0,"DNP",SUMIFS(TEAMS_GbG[OPP 3C_A],TEAMS_GbG[[TM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Q30" s="18" t="str">
        <f>IF($D30=0,"DNP",SUMIFS(TEAMS_GbG[OPP 3L_M],TEAMS_GbG[[TM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R30" s="18" t="str">
        <f>IF($D30=0,"DNP",SUMIFS(TEAMS_GbG[OPP 3L_A],TEAMS_GbG[[TM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S30" s="18" t="str">
        <f>IF($D30=0,"DNP",SUMIFS(TEAMS_GbG[OPP 3H_M],TEAMS_GbG[[TM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T30" s="18" t="str">
        <f>IF($D30=0,"DNP",SUMIFS(TEAMS_GbG[OPP 3H_A],TEAMS_GbG[[TM NAME]:[TM NAME]],$C30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U30" s="16" t="str">
        <f>IF(TEAMS_STATS[[#This Row],[TM NAME]]="","",INDEX(SoS!$C$113:$C$144,MATCH(TEAMS_STATS[[#This Row],[TM NAME]],SoS!$B$113:$B$144,0)))</f>
        <v/>
      </c>
    </row>
    <row r="31" spans="2:203" ht="15" hidden="1" customHeight="1" x14ac:dyDescent="0.25">
      <c r="B31" s="12">
        <f>_xlfn.AGGREGATE(3,5,$C$7:C30)</f>
        <v>19</v>
      </c>
      <c r="C31" s="14" t="str">
        <f>BASIS_INFO!F26</f>
        <v/>
      </c>
      <c r="D31" s="20">
        <f>COUNTIFS(TEAMS_GbG[[TM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1" s="20">
        <f>COUNTIFS(TEAMS_GbG[[TM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1" s="20">
        <f>COUNTIFS(TEAMS_GbG[[TM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1" s="18" t="str">
        <f>IF($D31=0,"DNP",SUMIFS(TEAMS_GbG[MIN],TEAMS_GbG[[TM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H31" s="18" t="str">
        <f>IF($D31=0,"DNP",SUMIFS(TEAMS_GbG[PTS],TEAMS_GbG[[TM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I31" s="18" t="str">
        <f>IF($D31=0,"DNP",SUMIFS(TEAMS_GbG[2PTM],TEAMS_GbG[[TM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J31" s="18" t="str">
        <f>IF($D31=0,"DNP",SUMIFS(TEAMS_GbG[2PTA],TEAMS_GbG[[TM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K31" s="16" t="str">
        <f t="shared" si="56"/>
        <v>DNP</v>
      </c>
      <c r="L31" s="18" t="str">
        <f>IF($D31=0,"DNP",SUMIFS(TEAMS_GbG[3PTM],TEAMS_GbG[[TM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M31" s="18" t="str">
        <f>IF($D31=0,"DNP",SUMIFS(TEAMS_GbG[3PTA],TEAMS_GbG[[TM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N31" s="16" t="str">
        <f t="shared" si="57"/>
        <v>DNP</v>
      </c>
      <c r="O31" s="18" t="str">
        <f>IF($D31=0,"DNP",SUMIFS(TEAMS_GbG[FGM],TEAMS_GbG[[TM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P31" s="18" t="str">
        <f>IF($D31=0,"DNP",SUMIFS(TEAMS_GbG[FGA],TEAMS_GbG[[TM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Q31" s="16" t="str">
        <f t="shared" si="58"/>
        <v>DNP</v>
      </c>
      <c r="R31" s="18" t="str">
        <f>IF($D31=0,"DNP",SUMIFS(TEAMS_GbG[FTM],TEAMS_GbG[[TM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S31" s="18" t="str">
        <f>IF($D31=0,"DNP",SUMIFS(TEAMS_GbG[FTA],TEAMS_GbG[[TM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T31" s="16" t="str">
        <f t="shared" si="59"/>
        <v>DNP</v>
      </c>
      <c r="U31" s="18" t="str">
        <f>IF($D31=0,"DNP",SUMIFS(TEAMS_GbG[OR],TEAMS_GbG[[TM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V31" s="18" t="str">
        <f>IF($D31=0,"DNP",SUMIFS(TEAMS_GbG[DR],TEAMS_GbG[[TM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W31" s="18" t="str">
        <f>IF($D31=0,"DNP",SUMIFS(TEAMS_GbG[TR],TEAMS_GbG[[TM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X31" s="18" t="str">
        <f>IF($D31=0,"DNP",SUMIFS(TEAMS_GbG[AST],TEAMS_GbG[[TM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Y31" s="18" t="str">
        <f>IF($D31=0,"DNP",SUMIFS(TEAMS_GbG[TO],TEAMS_GbG[[TM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Z31" s="18" t="str">
        <f>IF($D31=0,"DNP",SUMIFS(TEAMS_GbG[ST],TEAMS_GbG[[TM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A31" s="18" t="str">
        <f>IF($D31=0,"DNP",SUMIFS(TEAMS_GbG[BLK],TEAMS_GbG[[TM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B31" s="18" t="str">
        <f>IF($D31=0,"DNP",SUMIFS(TEAMS_GbG[BLKA],TEAMS_GbG[[TM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C31" s="18" t="str">
        <f>IF($D31=0,"DNP",SUMIFS(TEAMS_GbG[PF],TEAMS_GbG[[TM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D31" s="18" t="str">
        <f>IF($D31=0,"DNP",SUMIFS(TEAMS_GbG[DF],TEAMS_GbG[[TM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E31" s="18" t="str">
        <f>IF($D31=0,"DNP",SUMIFS(TEAMS_GbG[VAL],TEAMS_GbG[[TM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F31" s="18" t="str">
        <f>IF($D31=0,"DNP",SUMIFS(TEAMS_GbG[+ / -],TEAMS_GbG[[TM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G31" s="26" t="str">
        <f t="shared" si="0"/>
        <v>DNP</v>
      </c>
      <c r="AH31" s="18" t="str">
        <f>IF($D31=0,"DNP",SUMIFS(TEAMS_GbG[POSS],TEAMS_GbG[[TM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I31" s="18" t="str">
        <f>IF($D31=0,"DNP",SUMIFS(TEAMS_GbG[SHOOTING CHANCES],TEAMS_GbG[[TM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J31" s="19" t="str">
        <f t="shared" si="1"/>
        <v>DNP</v>
      </c>
      <c r="AK31" s="19" t="str">
        <f t="shared" si="2"/>
        <v>DNP</v>
      </c>
      <c r="AL31" s="18" t="str">
        <f t="shared" si="3"/>
        <v>DNP</v>
      </c>
      <c r="AM31" s="18" t="str">
        <f t="shared" si="4"/>
        <v>DNP</v>
      </c>
      <c r="AN31" s="18" t="str">
        <f t="shared" si="60"/>
        <v>DNP</v>
      </c>
      <c r="AO31" s="27" t="str">
        <f t="shared" si="5"/>
        <v>DNP</v>
      </c>
      <c r="AP31" s="28" t="str">
        <f t="shared" si="6"/>
        <v>DNP</v>
      </c>
      <c r="AQ31" s="34" t="str">
        <f t="shared" si="7"/>
        <v>DNP</v>
      </c>
      <c r="AR31" s="19" t="str">
        <f t="shared" si="8"/>
        <v>DNP</v>
      </c>
      <c r="AS31" s="16" t="str">
        <f t="shared" si="9"/>
        <v>DNP</v>
      </c>
      <c r="AT31" s="18" t="str">
        <f t="shared" si="10"/>
        <v>DNP</v>
      </c>
      <c r="AU31" s="16" t="str">
        <f t="shared" si="11"/>
        <v>DNP</v>
      </c>
      <c r="AV31" s="18" t="str">
        <f t="shared" si="12"/>
        <v>DNP</v>
      </c>
      <c r="AW31" s="16" t="str">
        <f t="shared" si="13"/>
        <v>DNP</v>
      </c>
      <c r="AX31" s="19" t="str">
        <f t="shared" si="14"/>
        <v>DNP</v>
      </c>
      <c r="AY31" s="27" t="str">
        <f t="shared" si="15"/>
        <v>DNP</v>
      </c>
      <c r="AZ31" s="38" t="str">
        <f t="shared" si="16"/>
        <v>DNP</v>
      </c>
      <c r="BA31" s="28" t="str">
        <f t="shared" si="17"/>
        <v>DNP</v>
      </c>
      <c r="BB31" s="34" t="str">
        <f t="shared" si="18"/>
        <v>DNP</v>
      </c>
      <c r="BC31" s="27" t="str">
        <f t="shared" si="19"/>
        <v>DNP</v>
      </c>
      <c r="BD31" s="27" t="str">
        <f t="shared" si="20"/>
        <v>DNP</v>
      </c>
      <c r="BE31" s="27" t="str">
        <f t="shared" si="21"/>
        <v>DNP</v>
      </c>
      <c r="BF31" s="27" t="str">
        <f t="shared" si="22"/>
        <v>DNP</v>
      </c>
      <c r="BG31" s="27" t="str">
        <f t="shared" si="23"/>
        <v>DNP</v>
      </c>
      <c r="BH31" s="35" t="str">
        <f t="shared" si="24"/>
        <v>DNP</v>
      </c>
      <c r="BI31" s="49" t="str">
        <f t="shared" si="25"/>
        <v>DNP</v>
      </c>
      <c r="BJ31" s="45" t="str">
        <f t="shared" si="26"/>
        <v>DNP</v>
      </c>
      <c r="BK31" s="45" t="str">
        <f t="shared" si="27"/>
        <v>DNP</v>
      </c>
      <c r="BL31" s="45" t="str">
        <f t="shared" si="28"/>
        <v>DNP</v>
      </c>
      <c r="BM31" s="45" t="str">
        <f t="shared" si="29"/>
        <v>DNP</v>
      </c>
      <c r="BN31" s="45" t="str">
        <f t="shared" si="30"/>
        <v>DNP</v>
      </c>
      <c r="BO31" s="45" t="str">
        <f t="shared" si="31"/>
        <v>DNP</v>
      </c>
      <c r="BP31" s="45" t="str">
        <f t="shared" si="32"/>
        <v>DNP</v>
      </c>
      <c r="BQ31" s="46" t="str">
        <f t="shared" si="33"/>
        <v>DNP</v>
      </c>
      <c r="BR31" s="49" t="str">
        <f t="shared" si="34"/>
        <v>DNP</v>
      </c>
      <c r="BS31" s="45" t="str">
        <f t="shared" si="35"/>
        <v>DNP</v>
      </c>
      <c r="BT31" s="40" t="str">
        <f>IF($D31=0,"DNP",SUMIFS(TEAMS_GbG[KILLS],TEAMS_GbG[[TM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BU31" s="34" t="str">
        <f t="shared" si="36"/>
        <v>DNP</v>
      </c>
      <c r="BV31" s="28" t="str">
        <f t="shared" si="37"/>
        <v>DNP</v>
      </c>
      <c r="BW31" s="18" t="str">
        <f>IF($D31=0,"DNP",SUMIFS(TEAMS_GbG[ASTED_2FG],TEAMS_GbG[[TM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BX31" s="18" t="str">
        <f>IF($D31=0,"DNP",SUMIFS(TEAMS_GbG[ASTED_3FG],TEAMS_GbG[[TM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BY31" s="18" t="str">
        <f>IF($D31=0,"DNP",SUMIFS(TEAMS_GbG[ASTED_FT],TEAMS_GbG[[TM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BZ31" s="18" t="str">
        <f>IF($D31=0,"DNP",SUMIFS(TEAMS_GbG[ASTED_FT PTS],TEAMS_GbG[[TM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A31" s="18" t="str">
        <f>IF($D31=0,"DNP",SUMIFS(TEAMS_GbG[OR_RIM],TEAMS_GbG[[TM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B31" s="18" t="str">
        <f>IF($D31=0,"DNP",SUMIFS(TEAMS_GbG[TM OR_RIM],TEAMS_GbG[[TM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C31" s="18" t="str">
        <f>IF($D31=0,"DNP",SUMIFS(TEAMS_GbG[OR_PAINT],TEAMS_GbG[[TM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D31" s="18" t="str">
        <f>IF($D31=0,"DNP",SUMIFS(TEAMS_GbG[TM OR_PAINT],TEAMS_GbG[[TM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E31" s="18" t="str">
        <f>IF($D31=0,"DNP",SUMIFS(TEAMS_GbG[OR_NP2],TEAMS_GbG[[TM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F31" s="18" t="str">
        <f>IF($D31=0,"DNP",SUMIFS(TEAMS_GbG[TM OR_NP2],TEAMS_GbG[[TM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G31" s="18" t="str">
        <f>IF($D31=0,"DNP",SUMIFS(TEAMS_GbG[OR_3C],TEAMS_GbG[[TM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H31" s="18" t="str">
        <f>IF($D31=0,"DNP",SUMIFS(TEAMS_GbG[TM OR_3C],TEAMS_GbG[[TM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I31" s="18" t="str">
        <f>IF($D31=0,"DNP",SUMIFS(TEAMS_GbG[OR_3L],TEAMS_GbG[[TM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J31" s="18" t="str">
        <f>IF($D31=0,"DNP",SUMIFS(TEAMS_GbG[TM OR_3L],TEAMS_GbG[[TM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K31" s="18" t="str">
        <f>IF($D31=0,"DNP",SUMIFS(TEAMS_GbG[OR_FT],TEAMS_GbG[[TM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L31" s="18" t="str">
        <f>IF($D31=0,"DNP",SUMIFS(TEAMS_GbG[TM OR_FT],TEAMS_GbG[[TM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M31" s="18" t="str">
        <f>IF($D31=0,"DNP",SUMIFS(TEAMS_GbG[DR_RIM],TEAMS_GbG[[TM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N31" s="18" t="str">
        <f>IF($D31=0,"DNP",SUMIFS(TEAMS_GbG[TM DR_RIM],TEAMS_GbG[[TM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O31" s="18" t="str">
        <f>IF($D31=0,"DNP",SUMIFS(TEAMS_GbG[DR_PAINT],TEAMS_GbG[[TM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P31" s="18" t="str">
        <f>IF($D31=0,"DNP",SUMIFS(TEAMS_GbG[TM DR_PAINT],TEAMS_GbG[[TM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Q31" s="18" t="str">
        <f>IF($D31=0,"DNP",SUMIFS(TEAMS_GbG[DR_NP2],TEAMS_GbG[[TM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R31" s="18" t="str">
        <f>IF($D31=0,"DNP",SUMIFS(TEAMS_GbG[TM DR_NP2],TEAMS_GbG[[TM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S31" s="18" t="str">
        <f>IF($D31=0,"DNP",SUMIFS(TEAMS_GbG[DR_3C],TEAMS_GbG[[TM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T31" s="18" t="str">
        <f>IF($D31=0,"DNP",SUMIFS(TEAMS_GbG[TM DR_3C],TEAMS_GbG[[TM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U31" s="18" t="str">
        <f>IF($D31=0,"DNP",SUMIFS(TEAMS_GbG[DR_3L],TEAMS_GbG[[TM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V31" s="18" t="str">
        <f>IF($D31=0,"DNP",SUMIFS(TEAMS_GbG[TM DR_3L],TEAMS_GbG[[TM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W31" s="18" t="str">
        <f>IF($D31=0,"DNP",SUMIFS(TEAMS_GbG[DR_FT],TEAMS_GbG[[TM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X31" s="18" t="str">
        <f>IF($D31=0,"DNP",SUMIFS(TEAMS_GbG[TM DR_FT],TEAMS_GbG[[TM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Y31" s="18" t="str">
        <f>IF($D31=0,"DNP",SUMIFS(TEAMS_GbG[FTM_T],TEAMS_GbG[[TM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Z31" s="18" t="str">
        <f>IF($D31=0,"DNP",SUMIFS(TEAMS_GbG[FTA_T],TEAMS_GbG[[TM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A31" s="18" t="str">
        <f>IF($D31=0,"DNP",SUMIFS(TEAMS_GbG[FTM_1],TEAMS_GbG[[TM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B31" s="18" t="str">
        <f>IF($D31=0,"DNP",SUMIFS(TEAMS_GbG[FTA_1],TEAMS_GbG[[TM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C31" s="18" t="str">
        <f>IF($D31=0,"DNP",SUMIFS(TEAMS_GbG[FTM_2],TEAMS_GbG[[TM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D31" s="18" t="str">
        <f>IF($D31=0,"DNP",SUMIFS(TEAMS_GbG[FTA_2],TEAMS_GbG[[TM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E31" s="18" t="str">
        <f>IF($D31=0,"DNP",SUMIFS(TEAMS_GbG[FT 0/2],TEAMS_GbG[[TM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F31" s="18" t="str">
        <f>IF($D31=0,"DNP",SUMIFS(TEAMS_GbG[FTM_3],TEAMS_GbG[[TM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G31" s="18" t="str">
        <f>IF($D31=0,"DNP",SUMIFS(TEAMS_GbG[FTA_3],TEAMS_GbG[[TM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H31" s="18" t="str">
        <f>IF($D31=0,"DNP",SUMIFS(TEAMS_GbG[FT 0/3],TEAMS_GbG[[TM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I31" s="18" t="str">
        <f>IF($D31=0,"DNP",SUMIFS(TEAMS_GbG[RIM_M],TEAMS_GbG[[TM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J31" s="18" t="str">
        <f>IF($D31=0,"DNP",SUMIFS(TEAMS_GbG[RIM_A],TEAMS_GbG[[TM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K31" s="18" t="str">
        <f>IF($D31=0,"DNP",SUMIFS(TEAMS_GbG[PAINT_M],TEAMS_GbG[[TM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L31" s="18" t="str">
        <f>IF($D31=0,"DNP",SUMIFS(TEAMS_GbG[PAINT_A],TEAMS_GbG[[TM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M31" s="18" t="str">
        <f>IF($D31=0,"DNP",SUMIFS(TEAMS_GbG[MID_M],TEAMS_GbG[[TM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N31" s="18" t="str">
        <f>IF($D31=0,"DNP",SUMIFS(TEAMS_GbG[MID_A],TEAMS_GbG[[TM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O31" s="18" t="str">
        <f>IF($D31=0,"DNP",SUMIFS(TEAMS_GbG[3C_M],TEAMS_GbG[[TM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P31" s="18" t="str">
        <f>IF($D31=0,"DNP",SUMIFS(TEAMS_GbG[3C_A],TEAMS_GbG[[TM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Q31" s="18" t="str">
        <f>IF($D31=0,"DNP",SUMIFS(TEAMS_GbG[3L_M],TEAMS_GbG[[TM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R31" s="18" t="str">
        <f>IF($D31=0,"DNP",SUMIFS(TEAMS_GbG[3L_A],TEAMS_GbG[[TM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S31" s="18" t="str">
        <f>IF($D31=0,"DNP",SUMIFS(TEAMS_GbG[3H_M],TEAMS_GbG[[TM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T31" s="18" t="str">
        <f>IF($D31=0,"DNP",SUMIFS(TEAMS_GbG[3H_A],TEAMS_GbG[[TM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U31" s="18" t="str">
        <f>IF($D31=0,"DNP",SUMIFS(TEAMS_GbG[OPP PTS],TEAMS_GbG[[TM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V31" s="18" t="str">
        <f>IF($D31=0,"DNP",SUMIFS(TEAMS_GbG[OPP 2PTM],TEAMS_GbG[[TM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W31" s="18" t="str">
        <f>IF($D31=0,"DNP",SUMIFS(TEAMS_GbG[OPP 2PTA],TEAMS_GbG[[TM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X31" s="16" t="str">
        <f t="shared" si="61"/>
        <v>DNP</v>
      </c>
      <c r="DY31" s="18" t="str">
        <f>IF($D31=0,"DNP",SUMIFS(TEAMS_GbG[OPP 3PTM],TEAMS_GbG[[TM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Z31" s="18" t="str">
        <f>IF($D31=0,"DNP",SUMIFS(TEAMS_GbG[OPP 3PTA],TEAMS_GbG[[TM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A31" s="16" t="str">
        <f t="shared" si="62"/>
        <v>DNP</v>
      </c>
      <c r="EB31" s="18" t="str">
        <f>IF($D31=0,"DNP",SUMIFS(TEAMS_GbG[OPP FGM],TEAMS_GbG[[TM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C31" s="18" t="str">
        <f>IF($D31=0,"DNP",SUMIFS(TEAMS_GbG[OPP FGA],TEAMS_GbG[[TM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D31" s="16" t="str">
        <f t="shared" si="63"/>
        <v>DNP</v>
      </c>
      <c r="EE31" s="18" t="str">
        <f>IF($D31=0,"DNP",SUMIFS(TEAMS_GbG[OPP FTM],TEAMS_GbG[[TM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F31" s="18" t="str">
        <f>IF($D31=0,"DNP",SUMIFS(TEAMS_GbG[OPP FTA],TEAMS_GbG[[TM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G31" s="16" t="str">
        <f t="shared" si="64"/>
        <v>DNP</v>
      </c>
      <c r="EH31" s="18" t="str">
        <f>IF($D31=0,"DNP",SUMIFS(TEAMS_GbG[OPP OR],TEAMS_GbG[[TM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I31" s="18" t="str">
        <f>IF($D31=0,"DNP",SUMIFS(TEAMS_GbG[OPP DR],TEAMS_GbG[[TM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J31" s="18" t="str">
        <f>IF($D31=0,"DNP",SUMIFS(TEAMS_GbG[OPP TR],TEAMS_GbG[[TM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K31" s="18" t="str">
        <f>IF($D31=0,"DNP",SUMIFS(TEAMS_GbG[OPP AST],TEAMS_GbG[[TM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L31" s="18" t="str">
        <f>IF($D31=0,"DNP",SUMIFS(TEAMS_GbG[OPP PF],TEAMS_GbG[[TM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M31" s="18" t="str">
        <f>IF($D31=0,"DNP",SUMIFS(TEAMS_GbG[OPP DF],TEAMS_GbG[[TM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N31" s="18" t="str">
        <f>IF($D31=0,"DNP",SUMIFS(TEAMS_GbG[OPP ST],TEAMS_GbG[[TM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O31" s="18" t="str">
        <f>IF($D31=0,"DNP",SUMIFS(TEAMS_GbG[OPP TO],TEAMS_GbG[[TM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P31" s="18" t="str">
        <f>IF($D31=0,"DNP",SUMIFS(TEAMS_GbG[OPP BLK],TEAMS_GbG[[TM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Q31" s="18" t="str">
        <f>IF($D31=0,"DNP",SUMIFS(TEAMS_GbG[OPP BLKA],TEAMS_GbG[[TM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R31" s="18" t="str">
        <f>IF($D31=0,"DNP",SUMIFS(TEAMS_GbG[OPP VAL],TEAMS_GbG[[TM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S31" s="18" t="str">
        <f>IF($D31=0,"DNP",SUMIFS(TEAMS_GbG[OPP + / -],TEAMS_GbG[[TM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T31" s="18" t="str">
        <f>IF($D31=0,"DNP",SUMIFS(TEAMS_GbG[OPP POSS],TEAMS_GbG[[TM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U31" s="18" t="str">
        <f>IF($D31=0,"DNP",SUMIFS(TEAMS_GbG[OPP SHOOTING CHANCES],TEAMS_GbG[[TM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V31" s="18" t="str">
        <f>IF($D31=0,"DNP",SUMIFS(TEAMS_GbG[OPP KILLS],TEAMS_GbG[[TM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W31" s="18" t="str">
        <f>IF($D31=0,"DNP",SUMIFS(TEAMS_GbG[OPP ASTED_2FG],TEAMS_GbG[[TM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X31" s="18" t="str">
        <f>IF($D31=0,"DNP",SUMIFS(TEAMS_GbG[OPP ASTED_3FG],TEAMS_GbG[[TM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Y31" s="18" t="str">
        <f>IF($D31=0,"DNP",SUMIFS(TEAMS_GbG[OPP ASTED_FT],TEAMS_GbG[[TM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Z31" s="18" t="str">
        <f>IF($D31=0,"DNP",SUMIFS(TEAMS_GbG[OPP ASTED_FT PTS],TEAMS_GbG[[TM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A31" s="18" t="str">
        <f>IF($D31=0,"DNP",SUMIFS(TEAMS_GbG[OPP OR_RIM],TEAMS_GbG[[TM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B31" s="18" t="str">
        <f>IF($D31=0,"DNP",SUMIFS(TEAMS_GbG[OPP TM OR_RIM],TEAMS_GbG[[TM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C31" s="18" t="str">
        <f>IF($D31=0,"DNP",SUMIFS(TEAMS_GbG[OPP OR_PAINT],TEAMS_GbG[[TM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D31" s="18" t="str">
        <f>IF($D31=0,"DNP",SUMIFS(TEAMS_GbG[OPP TM OR_PAINT],TEAMS_GbG[[TM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E31" s="18" t="str">
        <f>IF($D31=0,"DNP",SUMIFS(TEAMS_GbG[OPP OR_NP2],TEAMS_GbG[[TM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F31" s="18" t="str">
        <f>IF($D31=0,"DNP",SUMIFS(TEAMS_GbG[OPP TM OR_NP2],TEAMS_GbG[[TM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G31" s="18" t="str">
        <f>IF($D31=0,"DNP",SUMIFS(TEAMS_GbG[OPP OR_3C],TEAMS_GbG[[TM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H31" s="18" t="str">
        <f>IF($D31=0,"DNP",SUMIFS(TEAMS_GbG[OPP TM OR_3C],TEAMS_GbG[[TM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I31" s="18" t="str">
        <f>IF($D31=0,"DNP",SUMIFS(TEAMS_GbG[OPP OR_3L],TEAMS_GbG[[TM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J31" s="18" t="str">
        <f>IF($D31=0,"DNP",SUMIFS(TEAMS_GbG[OPP TM OR_3L],TEAMS_GbG[[TM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K31" s="18" t="str">
        <f>IF($D31=0,"DNP",SUMIFS(TEAMS_GbG[OPP OR_FT],TEAMS_GbG[[TM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L31" s="18" t="str">
        <f>IF($D31=0,"DNP",SUMIFS(TEAMS_GbG[OPP TM OR_FT],TEAMS_GbG[[TM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M31" s="18" t="str">
        <f>IF($D31=0,"DNP",SUMIFS(TEAMS_GbG[OPP DR_RIM],TEAMS_GbG[[TM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N31" s="18" t="str">
        <f>IF($D31=0,"DNP",SUMIFS(TEAMS_GbG[OPP TM DR_RIM],TEAMS_GbG[[TM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O31" s="18" t="str">
        <f>IF($D31=0,"DNP",SUMIFS(TEAMS_GbG[OPP DR_PAINT],TEAMS_GbG[[TM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P31" s="18" t="str">
        <f>IF($D31=0,"DNP",SUMIFS(TEAMS_GbG[OPP TM DR_PAINT],TEAMS_GbG[[TM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Q31" s="18" t="str">
        <f>IF($D31=0,"DNP",SUMIFS(TEAMS_GbG[OPP DR_NP2],TEAMS_GbG[[TM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R31" s="18" t="str">
        <f>IF($D31=0,"DNP",SUMIFS(TEAMS_GbG[OPP TM DR_NP2],TEAMS_GbG[[TM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S31" s="18" t="str">
        <f>IF($D31=0,"DNP",SUMIFS(TEAMS_GbG[OPP DR_3C],TEAMS_GbG[[TM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T31" s="18" t="str">
        <f>IF($D31=0,"DNP",SUMIFS(TEAMS_GbG[OPP TM DR_3C],TEAMS_GbG[[TM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U31" s="18" t="str">
        <f>IF($D31=0,"DNP",SUMIFS(TEAMS_GbG[OPP DR_3L],TEAMS_GbG[[TM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V31" s="18" t="str">
        <f>IF($D31=0,"DNP",SUMIFS(TEAMS_GbG[OPP TM DR_3L],TEAMS_GbG[[TM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W31" s="18" t="str">
        <f>IF($D31=0,"DNP",SUMIFS(TEAMS_GbG[OPP DR_FT],TEAMS_GbG[[TM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X31" s="18" t="str">
        <f>IF($D31=0,"DNP",SUMIFS(TEAMS_GbG[OPP TM DR_FT],TEAMS_GbG[[TM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Y31" s="18" t="str">
        <f>IF($D31=0,"DNP",SUMIFS(TEAMS_GbG[OPP FTM_T],TEAMS_GbG[[TM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Z31" s="18" t="str">
        <f>IF($D31=0,"DNP",SUMIFS(TEAMS_GbG[OPP FTA_T],TEAMS_GbG[[TM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A31" s="18" t="str">
        <f>IF($D31=0,"DNP",SUMIFS(TEAMS_GbG[OPP FTM_1],TEAMS_GbG[[TM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B31" s="18" t="str">
        <f>IF($D31=0,"DNP",SUMIFS(TEAMS_GbG[OPP FTA_1],TEAMS_GbG[[TM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C31" s="18" t="str">
        <f>IF($D31=0,"DNP",SUMIFS(TEAMS_GbG[OPP FTM_2],TEAMS_GbG[[TM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D31" s="18" t="str">
        <f>IF($D31=0,"DNP",SUMIFS(TEAMS_GbG[OPP FTA_2],TEAMS_GbG[[TM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E31" s="18" t="str">
        <f>IF($D31=0,"DNP",SUMIFS(TEAMS_GbG[OPP FT 0/2],TEAMS_GbG[[TM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F31" s="18" t="str">
        <f>IF($D31=0,"DNP",SUMIFS(TEAMS_GbG[OPP FTM_3],TEAMS_GbG[[TM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G31" s="18" t="str">
        <f>IF($D31=0,"DNP",SUMIFS(TEAMS_GbG[OPP FTA_3],TEAMS_GbG[[TM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H31" s="18" t="str">
        <f>IF($D31=0,"DNP",SUMIFS(TEAMS_GbG[OPP FT 0/3],TEAMS_GbG[[TM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I31" s="18" t="str">
        <f>IF($D31=0,"DNP",SUMIFS(TEAMS_GbG[OPP RIM_M],TEAMS_GbG[[TM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J31" s="18" t="str">
        <f>IF($D31=0,"DNP",SUMIFS(TEAMS_GbG[OPP RIM_A],TEAMS_GbG[[TM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K31" s="18" t="str">
        <f>IF($D31=0,"DNP",SUMIFS(TEAMS_GbG[OPP PAINT_M],TEAMS_GbG[[TM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L31" s="18" t="str">
        <f>IF($D31=0,"DNP",SUMIFS(TEAMS_GbG[OPP PAINT_A],TEAMS_GbG[[TM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M31" s="18" t="str">
        <f>IF($D31=0,"DNP",SUMIFS(TEAMS_GbG[OPP MID_M],TEAMS_GbG[[TM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N31" s="18" t="str">
        <f>IF($D31=0,"DNP",SUMIFS(TEAMS_GbG[OPP MID_A],TEAMS_GbG[[TM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O31" s="18" t="str">
        <f>IF($D31=0,"DNP",SUMIFS(TEAMS_GbG[OPP 3C_M],TEAMS_GbG[[TM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P31" s="18" t="str">
        <f>IF($D31=0,"DNP",SUMIFS(TEAMS_GbG[OPP 3C_A],TEAMS_GbG[[TM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Q31" s="18" t="str">
        <f>IF($D31=0,"DNP",SUMIFS(TEAMS_GbG[OPP 3L_M],TEAMS_GbG[[TM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R31" s="18" t="str">
        <f>IF($D31=0,"DNP",SUMIFS(TEAMS_GbG[OPP 3L_A],TEAMS_GbG[[TM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S31" s="18" t="str">
        <f>IF($D31=0,"DNP",SUMIFS(TEAMS_GbG[OPP 3H_M],TEAMS_GbG[[TM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T31" s="18" t="str">
        <f>IF($D31=0,"DNP",SUMIFS(TEAMS_GbG[OPP 3H_A],TEAMS_GbG[[TM NAME]:[TM NAME]],$C31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U31" s="16" t="str">
        <f>IF(TEAMS_STATS[[#This Row],[TM NAME]]="","",INDEX(SoS!$C$113:$C$144,MATCH(TEAMS_STATS[[#This Row],[TM NAME]],SoS!$B$113:$B$144,0)))</f>
        <v/>
      </c>
    </row>
    <row r="32" spans="2:203" ht="15" hidden="1" customHeight="1" x14ac:dyDescent="0.25">
      <c r="B32" s="12">
        <f>_xlfn.AGGREGATE(3,5,$C$7:C31)</f>
        <v>19</v>
      </c>
      <c r="C32" s="14" t="str">
        <f>BASIS_INFO!F27</f>
        <v/>
      </c>
      <c r="D32" s="20">
        <f>COUNTIFS(TEAMS_GbG[[TM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2" s="20">
        <f>COUNTIFS(TEAMS_GbG[[TM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2" s="20">
        <f>COUNTIFS(TEAMS_GbG[[TM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2" s="18" t="str">
        <f>IF($D32=0,"DNP",SUMIFS(TEAMS_GbG[MIN],TEAMS_GbG[[TM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H32" s="18" t="str">
        <f>IF($D32=0,"DNP",SUMIFS(TEAMS_GbG[PTS],TEAMS_GbG[[TM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I32" s="18" t="str">
        <f>IF($D32=0,"DNP",SUMIFS(TEAMS_GbG[2PTM],TEAMS_GbG[[TM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J32" s="18" t="str">
        <f>IF($D32=0,"DNP",SUMIFS(TEAMS_GbG[2PTA],TEAMS_GbG[[TM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K32" s="16" t="str">
        <f t="shared" si="56"/>
        <v>DNP</v>
      </c>
      <c r="L32" s="18" t="str">
        <f>IF($D32=0,"DNP",SUMIFS(TEAMS_GbG[3PTM],TEAMS_GbG[[TM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M32" s="18" t="str">
        <f>IF($D32=0,"DNP",SUMIFS(TEAMS_GbG[3PTA],TEAMS_GbG[[TM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N32" s="16" t="str">
        <f t="shared" si="57"/>
        <v>DNP</v>
      </c>
      <c r="O32" s="18" t="str">
        <f>IF($D32=0,"DNP",SUMIFS(TEAMS_GbG[FGM],TEAMS_GbG[[TM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P32" s="18" t="str">
        <f>IF($D32=0,"DNP",SUMIFS(TEAMS_GbG[FGA],TEAMS_GbG[[TM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Q32" s="16" t="str">
        <f t="shared" si="58"/>
        <v>DNP</v>
      </c>
      <c r="R32" s="18" t="str">
        <f>IF($D32=0,"DNP",SUMIFS(TEAMS_GbG[FTM],TEAMS_GbG[[TM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S32" s="18" t="str">
        <f>IF($D32=0,"DNP",SUMIFS(TEAMS_GbG[FTA],TEAMS_GbG[[TM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T32" s="16" t="str">
        <f t="shared" si="59"/>
        <v>DNP</v>
      </c>
      <c r="U32" s="18" t="str">
        <f>IF($D32=0,"DNP",SUMIFS(TEAMS_GbG[OR],TEAMS_GbG[[TM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V32" s="18" t="str">
        <f>IF($D32=0,"DNP",SUMIFS(TEAMS_GbG[DR],TEAMS_GbG[[TM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W32" s="18" t="str">
        <f>IF($D32=0,"DNP",SUMIFS(TEAMS_GbG[TR],TEAMS_GbG[[TM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X32" s="18" t="str">
        <f>IF($D32=0,"DNP",SUMIFS(TEAMS_GbG[AST],TEAMS_GbG[[TM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Y32" s="18" t="str">
        <f>IF($D32=0,"DNP",SUMIFS(TEAMS_GbG[TO],TEAMS_GbG[[TM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Z32" s="18" t="str">
        <f>IF($D32=0,"DNP",SUMIFS(TEAMS_GbG[ST],TEAMS_GbG[[TM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A32" s="18" t="str">
        <f>IF($D32=0,"DNP",SUMIFS(TEAMS_GbG[BLK],TEAMS_GbG[[TM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B32" s="18" t="str">
        <f>IF($D32=0,"DNP",SUMIFS(TEAMS_GbG[BLKA],TEAMS_GbG[[TM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C32" s="18" t="str">
        <f>IF($D32=0,"DNP",SUMIFS(TEAMS_GbG[PF],TEAMS_GbG[[TM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D32" s="18" t="str">
        <f>IF($D32=0,"DNP",SUMIFS(TEAMS_GbG[DF],TEAMS_GbG[[TM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E32" s="18" t="str">
        <f>IF($D32=0,"DNP",SUMIFS(TEAMS_GbG[VAL],TEAMS_GbG[[TM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F32" s="18" t="str">
        <f>IF($D32=0,"DNP",SUMIFS(TEAMS_GbG[+ / -],TEAMS_GbG[[TM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G32" s="26" t="str">
        <f t="shared" si="0"/>
        <v>DNP</v>
      </c>
      <c r="AH32" s="18" t="str">
        <f>IF($D32=0,"DNP",SUMIFS(TEAMS_GbG[POSS],TEAMS_GbG[[TM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I32" s="18" t="str">
        <f>IF($D32=0,"DNP",SUMIFS(TEAMS_GbG[SHOOTING CHANCES],TEAMS_GbG[[TM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J32" s="19" t="str">
        <f t="shared" si="1"/>
        <v>DNP</v>
      </c>
      <c r="AK32" s="19" t="str">
        <f t="shared" si="2"/>
        <v>DNP</v>
      </c>
      <c r="AL32" s="18" t="str">
        <f t="shared" si="3"/>
        <v>DNP</v>
      </c>
      <c r="AM32" s="18" t="str">
        <f t="shared" si="4"/>
        <v>DNP</v>
      </c>
      <c r="AN32" s="18" t="str">
        <f t="shared" si="60"/>
        <v>DNP</v>
      </c>
      <c r="AO32" s="27" t="str">
        <f t="shared" si="5"/>
        <v>DNP</v>
      </c>
      <c r="AP32" s="28" t="str">
        <f t="shared" si="6"/>
        <v>DNP</v>
      </c>
      <c r="AQ32" s="34" t="str">
        <f t="shared" si="7"/>
        <v>DNP</v>
      </c>
      <c r="AR32" s="19" t="str">
        <f t="shared" si="8"/>
        <v>DNP</v>
      </c>
      <c r="AS32" s="16" t="str">
        <f t="shared" si="9"/>
        <v>DNP</v>
      </c>
      <c r="AT32" s="18" t="str">
        <f t="shared" si="10"/>
        <v>DNP</v>
      </c>
      <c r="AU32" s="16" t="str">
        <f t="shared" si="11"/>
        <v>DNP</v>
      </c>
      <c r="AV32" s="18" t="str">
        <f t="shared" si="12"/>
        <v>DNP</v>
      </c>
      <c r="AW32" s="16" t="str">
        <f t="shared" si="13"/>
        <v>DNP</v>
      </c>
      <c r="AX32" s="19" t="str">
        <f t="shared" si="14"/>
        <v>DNP</v>
      </c>
      <c r="AY32" s="27" t="str">
        <f t="shared" si="15"/>
        <v>DNP</v>
      </c>
      <c r="AZ32" s="38" t="str">
        <f t="shared" si="16"/>
        <v>DNP</v>
      </c>
      <c r="BA32" s="28" t="str">
        <f t="shared" si="17"/>
        <v>DNP</v>
      </c>
      <c r="BB32" s="34" t="str">
        <f t="shared" si="18"/>
        <v>DNP</v>
      </c>
      <c r="BC32" s="27" t="str">
        <f t="shared" si="19"/>
        <v>DNP</v>
      </c>
      <c r="BD32" s="27" t="str">
        <f t="shared" si="20"/>
        <v>DNP</v>
      </c>
      <c r="BE32" s="27" t="str">
        <f t="shared" si="21"/>
        <v>DNP</v>
      </c>
      <c r="BF32" s="27" t="str">
        <f t="shared" si="22"/>
        <v>DNP</v>
      </c>
      <c r="BG32" s="27" t="str">
        <f t="shared" si="23"/>
        <v>DNP</v>
      </c>
      <c r="BH32" s="35" t="str">
        <f t="shared" si="24"/>
        <v>DNP</v>
      </c>
      <c r="BI32" s="49" t="str">
        <f t="shared" si="25"/>
        <v>DNP</v>
      </c>
      <c r="BJ32" s="45" t="str">
        <f t="shared" si="26"/>
        <v>DNP</v>
      </c>
      <c r="BK32" s="45" t="str">
        <f t="shared" si="27"/>
        <v>DNP</v>
      </c>
      <c r="BL32" s="45" t="str">
        <f t="shared" si="28"/>
        <v>DNP</v>
      </c>
      <c r="BM32" s="45" t="str">
        <f t="shared" si="29"/>
        <v>DNP</v>
      </c>
      <c r="BN32" s="45" t="str">
        <f t="shared" si="30"/>
        <v>DNP</v>
      </c>
      <c r="BO32" s="45" t="str">
        <f t="shared" si="31"/>
        <v>DNP</v>
      </c>
      <c r="BP32" s="45" t="str">
        <f t="shared" si="32"/>
        <v>DNP</v>
      </c>
      <c r="BQ32" s="46" t="str">
        <f t="shared" si="33"/>
        <v>DNP</v>
      </c>
      <c r="BR32" s="49" t="str">
        <f t="shared" si="34"/>
        <v>DNP</v>
      </c>
      <c r="BS32" s="45" t="str">
        <f t="shared" si="35"/>
        <v>DNP</v>
      </c>
      <c r="BT32" s="40" t="str">
        <f>IF($D32=0,"DNP",SUMIFS(TEAMS_GbG[KILLS],TEAMS_GbG[[TM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BU32" s="34" t="str">
        <f t="shared" si="36"/>
        <v>DNP</v>
      </c>
      <c r="BV32" s="28" t="str">
        <f t="shared" si="37"/>
        <v>DNP</v>
      </c>
      <c r="BW32" s="18" t="str">
        <f>IF($D32=0,"DNP",SUMIFS(TEAMS_GbG[ASTED_2FG],TEAMS_GbG[[TM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BX32" s="18" t="str">
        <f>IF($D32=0,"DNP",SUMIFS(TEAMS_GbG[ASTED_3FG],TEAMS_GbG[[TM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BY32" s="18" t="str">
        <f>IF($D32=0,"DNP",SUMIFS(TEAMS_GbG[ASTED_FT],TEAMS_GbG[[TM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BZ32" s="18" t="str">
        <f>IF($D32=0,"DNP",SUMIFS(TEAMS_GbG[ASTED_FT PTS],TEAMS_GbG[[TM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A32" s="18" t="str">
        <f>IF($D32=0,"DNP",SUMIFS(TEAMS_GbG[OR_RIM],TEAMS_GbG[[TM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B32" s="18" t="str">
        <f>IF($D32=0,"DNP",SUMIFS(TEAMS_GbG[TM OR_RIM],TEAMS_GbG[[TM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C32" s="18" t="str">
        <f>IF($D32=0,"DNP",SUMIFS(TEAMS_GbG[OR_PAINT],TEAMS_GbG[[TM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D32" s="18" t="str">
        <f>IF($D32=0,"DNP",SUMIFS(TEAMS_GbG[TM OR_PAINT],TEAMS_GbG[[TM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E32" s="18" t="str">
        <f>IF($D32=0,"DNP",SUMIFS(TEAMS_GbG[OR_NP2],TEAMS_GbG[[TM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F32" s="18" t="str">
        <f>IF($D32=0,"DNP",SUMIFS(TEAMS_GbG[TM OR_NP2],TEAMS_GbG[[TM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G32" s="18" t="str">
        <f>IF($D32=0,"DNP",SUMIFS(TEAMS_GbG[OR_3C],TEAMS_GbG[[TM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H32" s="18" t="str">
        <f>IF($D32=0,"DNP",SUMIFS(TEAMS_GbG[TM OR_3C],TEAMS_GbG[[TM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I32" s="18" t="str">
        <f>IF($D32=0,"DNP",SUMIFS(TEAMS_GbG[OR_3L],TEAMS_GbG[[TM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J32" s="18" t="str">
        <f>IF($D32=0,"DNP",SUMIFS(TEAMS_GbG[TM OR_3L],TEAMS_GbG[[TM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K32" s="18" t="str">
        <f>IF($D32=0,"DNP",SUMIFS(TEAMS_GbG[OR_FT],TEAMS_GbG[[TM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L32" s="18" t="str">
        <f>IF($D32=0,"DNP",SUMIFS(TEAMS_GbG[TM OR_FT],TEAMS_GbG[[TM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M32" s="18" t="str">
        <f>IF($D32=0,"DNP",SUMIFS(TEAMS_GbG[DR_RIM],TEAMS_GbG[[TM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N32" s="18" t="str">
        <f>IF($D32=0,"DNP",SUMIFS(TEAMS_GbG[TM DR_RIM],TEAMS_GbG[[TM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O32" s="18" t="str">
        <f>IF($D32=0,"DNP",SUMIFS(TEAMS_GbG[DR_PAINT],TEAMS_GbG[[TM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P32" s="18" t="str">
        <f>IF($D32=0,"DNP",SUMIFS(TEAMS_GbG[TM DR_PAINT],TEAMS_GbG[[TM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Q32" s="18" t="str">
        <f>IF($D32=0,"DNP",SUMIFS(TEAMS_GbG[DR_NP2],TEAMS_GbG[[TM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R32" s="18" t="str">
        <f>IF($D32=0,"DNP",SUMIFS(TEAMS_GbG[TM DR_NP2],TEAMS_GbG[[TM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S32" s="18" t="str">
        <f>IF($D32=0,"DNP",SUMIFS(TEAMS_GbG[DR_3C],TEAMS_GbG[[TM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T32" s="18" t="str">
        <f>IF($D32=0,"DNP",SUMIFS(TEAMS_GbG[TM DR_3C],TEAMS_GbG[[TM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U32" s="18" t="str">
        <f>IF($D32=0,"DNP",SUMIFS(TEAMS_GbG[DR_3L],TEAMS_GbG[[TM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V32" s="18" t="str">
        <f>IF($D32=0,"DNP",SUMIFS(TEAMS_GbG[TM DR_3L],TEAMS_GbG[[TM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W32" s="18" t="str">
        <f>IF($D32=0,"DNP",SUMIFS(TEAMS_GbG[DR_FT],TEAMS_GbG[[TM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X32" s="18" t="str">
        <f>IF($D32=0,"DNP",SUMIFS(TEAMS_GbG[TM DR_FT],TEAMS_GbG[[TM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Y32" s="18" t="str">
        <f>IF($D32=0,"DNP",SUMIFS(TEAMS_GbG[FTM_T],TEAMS_GbG[[TM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Z32" s="18" t="str">
        <f>IF($D32=0,"DNP",SUMIFS(TEAMS_GbG[FTA_T],TEAMS_GbG[[TM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A32" s="18" t="str">
        <f>IF($D32=0,"DNP",SUMIFS(TEAMS_GbG[FTM_1],TEAMS_GbG[[TM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B32" s="18" t="str">
        <f>IF($D32=0,"DNP",SUMIFS(TEAMS_GbG[FTA_1],TEAMS_GbG[[TM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C32" s="18" t="str">
        <f>IF($D32=0,"DNP",SUMIFS(TEAMS_GbG[FTM_2],TEAMS_GbG[[TM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D32" s="18" t="str">
        <f>IF($D32=0,"DNP",SUMIFS(TEAMS_GbG[FTA_2],TEAMS_GbG[[TM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E32" s="18" t="str">
        <f>IF($D32=0,"DNP",SUMIFS(TEAMS_GbG[FT 0/2],TEAMS_GbG[[TM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F32" s="18" t="str">
        <f>IF($D32=0,"DNP",SUMIFS(TEAMS_GbG[FTM_3],TEAMS_GbG[[TM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G32" s="18" t="str">
        <f>IF($D32=0,"DNP",SUMIFS(TEAMS_GbG[FTA_3],TEAMS_GbG[[TM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H32" s="18" t="str">
        <f>IF($D32=0,"DNP",SUMIFS(TEAMS_GbG[FT 0/3],TEAMS_GbG[[TM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I32" s="18" t="str">
        <f>IF($D32=0,"DNP",SUMIFS(TEAMS_GbG[RIM_M],TEAMS_GbG[[TM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J32" s="18" t="str">
        <f>IF($D32=0,"DNP",SUMIFS(TEAMS_GbG[RIM_A],TEAMS_GbG[[TM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K32" s="18" t="str">
        <f>IF($D32=0,"DNP",SUMIFS(TEAMS_GbG[PAINT_M],TEAMS_GbG[[TM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L32" s="18" t="str">
        <f>IF($D32=0,"DNP",SUMIFS(TEAMS_GbG[PAINT_A],TEAMS_GbG[[TM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M32" s="18" t="str">
        <f>IF($D32=0,"DNP",SUMIFS(TEAMS_GbG[MID_M],TEAMS_GbG[[TM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N32" s="18" t="str">
        <f>IF($D32=0,"DNP",SUMIFS(TEAMS_GbG[MID_A],TEAMS_GbG[[TM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O32" s="18" t="str">
        <f>IF($D32=0,"DNP",SUMIFS(TEAMS_GbG[3C_M],TEAMS_GbG[[TM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P32" s="18" t="str">
        <f>IF($D32=0,"DNP",SUMIFS(TEAMS_GbG[3C_A],TEAMS_GbG[[TM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Q32" s="18" t="str">
        <f>IF($D32=0,"DNP",SUMIFS(TEAMS_GbG[3L_M],TEAMS_GbG[[TM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R32" s="18" t="str">
        <f>IF($D32=0,"DNP",SUMIFS(TEAMS_GbG[3L_A],TEAMS_GbG[[TM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S32" s="18" t="str">
        <f>IF($D32=0,"DNP",SUMIFS(TEAMS_GbG[3H_M],TEAMS_GbG[[TM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T32" s="18" t="str">
        <f>IF($D32=0,"DNP",SUMIFS(TEAMS_GbG[3H_A],TEAMS_GbG[[TM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U32" s="18" t="str">
        <f>IF($D32=0,"DNP",SUMIFS(TEAMS_GbG[OPP PTS],TEAMS_GbG[[TM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V32" s="18" t="str">
        <f>IF($D32=0,"DNP",SUMIFS(TEAMS_GbG[OPP 2PTM],TEAMS_GbG[[TM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W32" s="18" t="str">
        <f>IF($D32=0,"DNP",SUMIFS(TEAMS_GbG[OPP 2PTA],TEAMS_GbG[[TM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X32" s="16" t="str">
        <f t="shared" si="61"/>
        <v>DNP</v>
      </c>
      <c r="DY32" s="18" t="str">
        <f>IF($D32=0,"DNP",SUMIFS(TEAMS_GbG[OPP 3PTM],TEAMS_GbG[[TM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Z32" s="18" t="str">
        <f>IF($D32=0,"DNP",SUMIFS(TEAMS_GbG[OPP 3PTA],TEAMS_GbG[[TM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A32" s="16" t="str">
        <f t="shared" si="62"/>
        <v>DNP</v>
      </c>
      <c r="EB32" s="18" t="str">
        <f>IF($D32=0,"DNP",SUMIFS(TEAMS_GbG[OPP FGM],TEAMS_GbG[[TM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C32" s="18" t="str">
        <f>IF($D32=0,"DNP",SUMIFS(TEAMS_GbG[OPP FGA],TEAMS_GbG[[TM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D32" s="16" t="str">
        <f t="shared" si="63"/>
        <v>DNP</v>
      </c>
      <c r="EE32" s="18" t="str">
        <f>IF($D32=0,"DNP",SUMIFS(TEAMS_GbG[OPP FTM],TEAMS_GbG[[TM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F32" s="18" t="str">
        <f>IF($D32=0,"DNP",SUMIFS(TEAMS_GbG[OPP FTA],TEAMS_GbG[[TM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G32" s="16" t="str">
        <f t="shared" si="64"/>
        <v>DNP</v>
      </c>
      <c r="EH32" s="18" t="str">
        <f>IF($D32=0,"DNP",SUMIFS(TEAMS_GbG[OPP OR],TEAMS_GbG[[TM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I32" s="18" t="str">
        <f>IF($D32=0,"DNP",SUMIFS(TEAMS_GbG[OPP DR],TEAMS_GbG[[TM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J32" s="18" t="str">
        <f>IF($D32=0,"DNP",SUMIFS(TEAMS_GbG[OPP TR],TEAMS_GbG[[TM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K32" s="18" t="str">
        <f>IF($D32=0,"DNP",SUMIFS(TEAMS_GbG[OPP AST],TEAMS_GbG[[TM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L32" s="18" t="str">
        <f>IF($D32=0,"DNP",SUMIFS(TEAMS_GbG[OPP PF],TEAMS_GbG[[TM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M32" s="18" t="str">
        <f>IF($D32=0,"DNP",SUMIFS(TEAMS_GbG[OPP DF],TEAMS_GbG[[TM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N32" s="18" t="str">
        <f>IF($D32=0,"DNP",SUMIFS(TEAMS_GbG[OPP ST],TEAMS_GbG[[TM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O32" s="18" t="str">
        <f>IF($D32=0,"DNP",SUMIFS(TEAMS_GbG[OPP TO],TEAMS_GbG[[TM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P32" s="18" t="str">
        <f>IF($D32=0,"DNP",SUMIFS(TEAMS_GbG[OPP BLK],TEAMS_GbG[[TM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Q32" s="18" t="str">
        <f>IF($D32=0,"DNP",SUMIFS(TEAMS_GbG[OPP BLKA],TEAMS_GbG[[TM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R32" s="18" t="str">
        <f>IF($D32=0,"DNP",SUMIFS(TEAMS_GbG[OPP VAL],TEAMS_GbG[[TM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S32" s="18" t="str">
        <f>IF($D32=0,"DNP",SUMIFS(TEAMS_GbG[OPP + / -],TEAMS_GbG[[TM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T32" s="18" t="str">
        <f>IF($D32=0,"DNP",SUMIFS(TEAMS_GbG[OPP POSS],TEAMS_GbG[[TM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U32" s="18" t="str">
        <f>IF($D32=0,"DNP",SUMIFS(TEAMS_GbG[OPP SHOOTING CHANCES],TEAMS_GbG[[TM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V32" s="18" t="str">
        <f>IF($D32=0,"DNP",SUMIFS(TEAMS_GbG[OPP KILLS],TEAMS_GbG[[TM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W32" s="18" t="str">
        <f>IF($D32=0,"DNP",SUMIFS(TEAMS_GbG[OPP ASTED_2FG],TEAMS_GbG[[TM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X32" s="18" t="str">
        <f>IF($D32=0,"DNP",SUMIFS(TEAMS_GbG[OPP ASTED_3FG],TEAMS_GbG[[TM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Y32" s="18" t="str">
        <f>IF($D32=0,"DNP",SUMIFS(TEAMS_GbG[OPP ASTED_FT],TEAMS_GbG[[TM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Z32" s="18" t="str">
        <f>IF($D32=0,"DNP",SUMIFS(TEAMS_GbG[OPP ASTED_FT PTS],TEAMS_GbG[[TM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A32" s="18" t="str">
        <f>IF($D32=0,"DNP",SUMIFS(TEAMS_GbG[OPP OR_RIM],TEAMS_GbG[[TM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B32" s="18" t="str">
        <f>IF($D32=0,"DNP",SUMIFS(TEAMS_GbG[OPP TM OR_RIM],TEAMS_GbG[[TM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C32" s="18" t="str">
        <f>IF($D32=0,"DNP",SUMIFS(TEAMS_GbG[OPP OR_PAINT],TEAMS_GbG[[TM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D32" s="18" t="str">
        <f>IF($D32=0,"DNP",SUMIFS(TEAMS_GbG[OPP TM OR_PAINT],TEAMS_GbG[[TM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E32" s="18" t="str">
        <f>IF($D32=0,"DNP",SUMIFS(TEAMS_GbG[OPP OR_NP2],TEAMS_GbG[[TM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F32" s="18" t="str">
        <f>IF($D32=0,"DNP",SUMIFS(TEAMS_GbG[OPP TM OR_NP2],TEAMS_GbG[[TM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G32" s="18" t="str">
        <f>IF($D32=0,"DNP",SUMIFS(TEAMS_GbG[OPP OR_3C],TEAMS_GbG[[TM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H32" s="18" t="str">
        <f>IF($D32=0,"DNP",SUMIFS(TEAMS_GbG[OPP TM OR_3C],TEAMS_GbG[[TM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I32" s="18" t="str">
        <f>IF($D32=0,"DNP",SUMIFS(TEAMS_GbG[OPP OR_3L],TEAMS_GbG[[TM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J32" s="18" t="str">
        <f>IF($D32=0,"DNP",SUMIFS(TEAMS_GbG[OPP TM OR_3L],TEAMS_GbG[[TM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K32" s="18" t="str">
        <f>IF($D32=0,"DNP",SUMIFS(TEAMS_GbG[OPP OR_FT],TEAMS_GbG[[TM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L32" s="18" t="str">
        <f>IF($D32=0,"DNP",SUMIFS(TEAMS_GbG[OPP TM OR_FT],TEAMS_GbG[[TM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M32" s="18" t="str">
        <f>IF($D32=0,"DNP",SUMIFS(TEAMS_GbG[OPP DR_RIM],TEAMS_GbG[[TM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N32" s="18" t="str">
        <f>IF($D32=0,"DNP",SUMIFS(TEAMS_GbG[OPP TM DR_RIM],TEAMS_GbG[[TM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O32" s="18" t="str">
        <f>IF($D32=0,"DNP",SUMIFS(TEAMS_GbG[OPP DR_PAINT],TEAMS_GbG[[TM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P32" s="18" t="str">
        <f>IF($D32=0,"DNP",SUMIFS(TEAMS_GbG[OPP TM DR_PAINT],TEAMS_GbG[[TM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Q32" s="18" t="str">
        <f>IF($D32=0,"DNP",SUMIFS(TEAMS_GbG[OPP DR_NP2],TEAMS_GbG[[TM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R32" s="18" t="str">
        <f>IF($D32=0,"DNP",SUMIFS(TEAMS_GbG[OPP TM DR_NP2],TEAMS_GbG[[TM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S32" s="18" t="str">
        <f>IF($D32=0,"DNP",SUMIFS(TEAMS_GbG[OPP DR_3C],TEAMS_GbG[[TM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T32" s="18" t="str">
        <f>IF($D32=0,"DNP",SUMIFS(TEAMS_GbG[OPP TM DR_3C],TEAMS_GbG[[TM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U32" s="18" t="str">
        <f>IF($D32=0,"DNP",SUMIFS(TEAMS_GbG[OPP DR_3L],TEAMS_GbG[[TM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V32" s="18" t="str">
        <f>IF($D32=0,"DNP",SUMIFS(TEAMS_GbG[OPP TM DR_3L],TEAMS_GbG[[TM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W32" s="18" t="str">
        <f>IF($D32=0,"DNP",SUMIFS(TEAMS_GbG[OPP DR_FT],TEAMS_GbG[[TM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X32" s="18" t="str">
        <f>IF($D32=0,"DNP",SUMIFS(TEAMS_GbG[OPP TM DR_FT],TEAMS_GbG[[TM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Y32" s="18" t="str">
        <f>IF($D32=0,"DNP",SUMIFS(TEAMS_GbG[OPP FTM_T],TEAMS_GbG[[TM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Z32" s="18" t="str">
        <f>IF($D32=0,"DNP",SUMIFS(TEAMS_GbG[OPP FTA_T],TEAMS_GbG[[TM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A32" s="18" t="str">
        <f>IF($D32=0,"DNP",SUMIFS(TEAMS_GbG[OPP FTM_1],TEAMS_GbG[[TM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B32" s="18" t="str">
        <f>IF($D32=0,"DNP",SUMIFS(TEAMS_GbG[OPP FTA_1],TEAMS_GbG[[TM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C32" s="18" t="str">
        <f>IF($D32=0,"DNP",SUMIFS(TEAMS_GbG[OPP FTM_2],TEAMS_GbG[[TM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D32" s="18" t="str">
        <f>IF($D32=0,"DNP",SUMIFS(TEAMS_GbG[OPP FTA_2],TEAMS_GbG[[TM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E32" s="18" t="str">
        <f>IF($D32=0,"DNP",SUMIFS(TEAMS_GbG[OPP FT 0/2],TEAMS_GbG[[TM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F32" s="18" t="str">
        <f>IF($D32=0,"DNP",SUMIFS(TEAMS_GbG[OPP FTM_3],TEAMS_GbG[[TM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G32" s="18" t="str">
        <f>IF($D32=0,"DNP",SUMIFS(TEAMS_GbG[OPP FTA_3],TEAMS_GbG[[TM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H32" s="18" t="str">
        <f>IF($D32=0,"DNP",SUMIFS(TEAMS_GbG[OPP FT 0/3],TEAMS_GbG[[TM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I32" s="18" t="str">
        <f>IF($D32=0,"DNP",SUMIFS(TEAMS_GbG[OPP RIM_M],TEAMS_GbG[[TM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J32" s="18" t="str">
        <f>IF($D32=0,"DNP",SUMIFS(TEAMS_GbG[OPP RIM_A],TEAMS_GbG[[TM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K32" s="18" t="str">
        <f>IF($D32=0,"DNP",SUMIFS(TEAMS_GbG[OPP PAINT_M],TEAMS_GbG[[TM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L32" s="18" t="str">
        <f>IF($D32=0,"DNP",SUMIFS(TEAMS_GbG[OPP PAINT_A],TEAMS_GbG[[TM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M32" s="18" t="str">
        <f>IF($D32=0,"DNP",SUMIFS(TEAMS_GbG[OPP MID_M],TEAMS_GbG[[TM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N32" s="18" t="str">
        <f>IF($D32=0,"DNP",SUMIFS(TEAMS_GbG[OPP MID_A],TEAMS_GbG[[TM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O32" s="18" t="str">
        <f>IF($D32=0,"DNP",SUMIFS(TEAMS_GbG[OPP 3C_M],TEAMS_GbG[[TM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P32" s="18" t="str">
        <f>IF($D32=0,"DNP",SUMIFS(TEAMS_GbG[OPP 3C_A],TEAMS_GbG[[TM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Q32" s="18" t="str">
        <f>IF($D32=0,"DNP",SUMIFS(TEAMS_GbG[OPP 3L_M],TEAMS_GbG[[TM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R32" s="18" t="str">
        <f>IF($D32=0,"DNP",SUMIFS(TEAMS_GbG[OPP 3L_A],TEAMS_GbG[[TM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S32" s="18" t="str">
        <f>IF($D32=0,"DNP",SUMIFS(TEAMS_GbG[OPP 3H_M],TEAMS_GbG[[TM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T32" s="18" t="str">
        <f>IF($D32=0,"DNP",SUMIFS(TEAMS_GbG[OPP 3H_A],TEAMS_GbG[[TM NAME]:[TM NAME]],$C32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U32" s="16" t="str">
        <f>IF(TEAMS_STATS[[#This Row],[TM NAME]]="","",INDEX(SoS!$C$113:$C$144,MATCH(TEAMS_STATS[[#This Row],[TM NAME]],SoS!$B$113:$B$144,0)))</f>
        <v/>
      </c>
    </row>
    <row r="33" spans="2:203" ht="15" hidden="1" customHeight="1" x14ac:dyDescent="0.25">
      <c r="B33" s="12">
        <f>_xlfn.AGGREGATE(3,5,$C$7:C32)</f>
        <v>19</v>
      </c>
      <c r="C33" s="14" t="str">
        <f>BASIS_INFO!F28</f>
        <v/>
      </c>
      <c r="D33" s="20">
        <f>COUNTIFS(TEAMS_GbG[[TM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3" s="20">
        <f>COUNTIFS(TEAMS_GbG[[TM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3" s="20">
        <f>COUNTIFS(TEAMS_GbG[[TM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3" s="18" t="str">
        <f>IF($D33=0,"DNP",SUMIFS(TEAMS_GbG[MIN],TEAMS_GbG[[TM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H33" s="18" t="str">
        <f>IF($D33=0,"DNP",SUMIFS(TEAMS_GbG[PTS],TEAMS_GbG[[TM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I33" s="18" t="str">
        <f>IF($D33=0,"DNP",SUMIFS(TEAMS_GbG[2PTM],TEAMS_GbG[[TM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J33" s="18" t="str">
        <f>IF($D33=0,"DNP",SUMIFS(TEAMS_GbG[2PTA],TEAMS_GbG[[TM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K33" s="16" t="str">
        <f t="shared" si="56"/>
        <v>DNP</v>
      </c>
      <c r="L33" s="18" t="str">
        <f>IF($D33=0,"DNP",SUMIFS(TEAMS_GbG[3PTM],TEAMS_GbG[[TM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M33" s="18" t="str">
        <f>IF($D33=0,"DNP",SUMIFS(TEAMS_GbG[3PTA],TEAMS_GbG[[TM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N33" s="16" t="str">
        <f t="shared" si="57"/>
        <v>DNP</v>
      </c>
      <c r="O33" s="18" t="str">
        <f>IF($D33=0,"DNP",SUMIFS(TEAMS_GbG[FGM],TEAMS_GbG[[TM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P33" s="18" t="str">
        <f>IF($D33=0,"DNP",SUMIFS(TEAMS_GbG[FGA],TEAMS_GbG[[TM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Q33" s="16" t="str">
        <f t="shared" si="58"/>
        <v>DNP</v>
      </c>
      <c r="R33" s="18" t="str">
        <f>IF($D33=0,"DNP",SUMIFS(TEAMS_GbG[FTM],TEAMS_GbG[[TM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S33" s="18" t="str">
        <f>IF($D33=0,"DNP",SUMIFS(TEAMS_GbG[FTA],TEAMS_GbG[[TM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T33" s="16" t="str">
        <f t="shared" si="59"/>
        <v>DNP</v>
      </c>
      <c r="U33" s="18" t="str">
        <f>IF($D33=0,"DNP",SUMIFS(TEAMS_GbG[OR],TEAMS_GbG[[TM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V33" s="18" t="str">
        <f>IF($D33=0,"DNP",SUMIFS(TEAMS_GbG[DR],TEAMS_GbG[[TM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W33" s="18" t="str">
        <f>IF($D33=0,"DNP",SUMIFS(TEAMS_GbG[TR],TEAMS_GbG[[TM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X33" s="18" t="str">
        <f>IF($D33=0,"DNP",SUMIFS(TEAMS_GbG[AST],TEAMS_GbG[[TM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Y33" s="18" t="str">
        <f>IF($D33=0,"DNP",SUMIFS(TEAMS_GbG[TO],TEAMS_GbG[[TM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Z33" s="18" t="str">
        <f>IF($D33=0,"DNP",SUMIFS(TEAMS_GbG[ST],TEAMS_GbG[[TM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A33" s="18" t="str">
        <f>IF($D33=0,"DNP",SUMIFS(TEAMS_GbG[BLK],TEAMS_GbG[[TM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B33" s="18" t="str">
        <f>IF($D33=0,"DNP",SUMIFS(TEAMS_GbG[BLKA],TEAMS_GbG[[TM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C33" s="18" t="str">
        <f>IF($D33=0,"DNP",SUMIFS(TEAMS_GbG[PF],TEAMS_GbG[[TM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D33" s="18" t="str">
        <f>IF($D33=0,"DNP",SUMIFS(TEAMS_GbG[DF],TEAMS_GbG[[TM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E33" s="18" t="str">
        <f>IF($D33=0,"DNP",SUMIFS(TEAMS_GbG[VAL],TEAMS_GbG[[TM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F33" s="18" t="str">
        <f>IF($D33=0,"DNP",SUMIFS(TEAMS_GbG[+ / -],TEAMS_GbG[[TM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G33" s="26" t="str">
        <f t="shared" si="0"/>
        <v>DNP</v>
      </c>
      <c r="AH33" s="18" t="str">
        <f>IF($D33=0,"DNP",SUMIFS(TEAMS_GbG[POSS],TEAMS_GbG[[TM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I33" s="18" t="str">
        <f>IF($D33=0,"DNP",SUMIFS(TEAMS_GbG[SHOOTING CHANCES],TEAMS_GbG[[TM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J33" s="19" t="str">
        <f t="shared" si="1"/>
        <v>DNP</v>
      </c>
      <c r="AK33" s="19" t="str">
        <f t="shared" si="2"/>
        <v>DNP</v>
      </c>
      <c r="AL33" s="18" t="str">
        <f t="shared" si="3"/>
        <v>DNP</v>
      </c>
      <c r="AM33" s="18" t="str">
        <f t="shared" si="4"/>
        <v>DNP</v>
      </c>
      <c r="AN33" s="18" t="str">
        <f t="shared" si="60"/>
        <v>DNP</v>
      </c>
      <c r="AO33" s="27" t="str">
        <f t="shared" si="5"/>
        <v>DNP</v>
      </c>
      <c r="AP33" s="28" t="str">
        <f t="shared" si="6"/>
        <v>DNP</v>
      </c>
      <c r="AQ33" s="34" t="str">
        <f t="shared" si="7"/>
        <v>DNP</v>
      </c>
      <c r="AR33" s="19" t="str">
        <f t="shared" si="8"/>
        <v>DNP</v>
      </c>
      <c r="AS33" s="16" t="str">
        <f t="shared" si="9"/>
        <v>DNP</v>
      </c>
      <c r="AT33" s="18" t="str">
        <f t="shared" si="10"/>
        <v>DNP</v>
      </c>
      <c r="AU33" s="16" t="str">
        <f t="shared" si="11"/>
        <v>DNP</v>
      </c>
      <c r="AV33" s="18" t="str">
        <f t="shared" si="12"/>
        <v>DNP</v>
      </c>
      <c r="AW33" s="16" t="str">
        <f t="shared" si="13"/>
        <v>DNP</v>
      </c>
      <c r="AX33" s="19" t="str">
        <f t="shared" si="14"/>
        <v>DNP</v>
      </c>
      <c r="AY33" s="27" t="str">
        <f t="shared" si="15"/>
        <v>DNP</v>
      </c>
      <c r="AZ33" s="38" t="str">
        <f t="shared" si="16"/>
        <v>DNP</v>
      </c>
      <c r="BA33" s="28" t="str">
        <f t="shared" si="17"/>
        <v>DNP</v>
      </c>
      <c r="BB33" s="34" t="str">
        <f t="shared" si="18"/>
        <v>DNP</v>
      </c>
      <c r="BC33" s="27" t="str">
        <f t="shared" si="19"/>
        <v>DNP</v>
      </c>
      <c r="BD33" s="27" t="str">
        <f t="shared" si="20"/>
        <v>DNP</v>
      </c>
      <c r="BE33" s="27" t="str">
        <f t="shared" si="21"/>
        <v>DNP</v>
      </c>
      <c r="BF33" s="27" t="str">
        <f t="shared" si="22"/>
        <v>DNP</v>
      </c>
      <c r="BG33" s="27" t="str">
        <f t="shared" si="23"/>
        <v>DNP</v>
      </c>
      <c r="BH33" s="35" t="str">
        <f t="shared" si="24"/>
        <v>DNP</v>
      </c>
      <c r="BI33" s="49" t="str">
        <f t="shared" si="25"/>
        <v>DNP</v>
      </c>
      <c r="BJ33" s="45" t="str">
        <f t="shared" si="26"/>
        <v>DNP</v>
      </c>
      <c r="BK33" s="45" t="str">
        <f t="shared" si="27"/>
        <v>DNP</v>
      </c>
      <c r="BL33" s="45" t="str">
        <f t="shared" si="28"/>
        <v>DNP</v>
      </c>
      <c r="BM33" s="45" t="str">
        <f t="shared" si="29"/>
        <v>DNP</v>
      </c>
      <c r="BN33" s="45" t="str">
        <f t="shared" si="30"/>
        <v>DNP</v>
      </c>
      <c r="BO33" s="45" t="str">
        <f t="shared" si="31"/>
        <v>DNP</v>
      </c>
      <c r="BP33" s="45" t="str">
        <f t="shared" si="32"/>
        <v>DNP</v>
      </c>
      <c r="BQ33" s="46" t="str">
        <f t="shared" si="33"/>
        <v>DNP</v>
      </c>
      <c r="BR33" s="49" t="str">
        <f t="shared" si="34"/>
        <v>DNP</v>
      </c>
      <c r="BS33" s="45" t="str">
        <f t="shared" si="35"/>
        <v>DNP</v>
      </c>
      <c r="BT33" s="40" t="str">
        <f>IF($D33=0,"DNP",SUMIFS(TEAMS_GbG[KILLS],TEAMS_GbG[[TM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BU33" s="34" t="str">
        <f t="shared" si="36"/>
        <v>DNP</v>
      </c>
      <c r="BV33" s="28" t="str">
        <f t="shared" si="37"/>
        <v>DNP</v>
      </c>
      <c r="BW33" s="18" t="str">
        <f>IF($D33=0,"DNP",SUMIFS(TEAMS_GbG[ASTED_2FG],TEAMS_GbG[[TM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BX33" s="18" t="str">
        <f>IF($D33=0,"DNP",SUMIFS(TEAMS_GbG[ASTED_3FG],TEAMS_GbG[[TM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BY33" s="18" t="str">
        <f>IF($D33=0,"DNP",SUMIFS(TEAMS_GbG[ASTED_FT],TEAMS_GbG[[TM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BZ33" s="18" t="str">
        <f>IF($D33=0,"DNP",SUMIFS(TEAMS_GbG[ASTED_FT PTS],TEAMS_GbG[[TM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A33" s="18" t="str">
        <f>IF($D33=0,"DNP",SUMIFS(TEAMS_GbG[OR_RIM],TEAMS_GbG[[TM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B33" s="18" t="str">
        <f>IF($D33=0,"DNP",SUMIFS(TEAMS_GbG[TM OR_RIM],TEAMS_GbG[[TM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C33" s="18" t="str">
        <f>IF($D33=0,"DNP",SUMIFS(TEAMS_GbG[OR_PAINT],TEAMS_GbG[[TM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D33" s="18" t="str">
        <f>IF($D33=0,"DNP",SUMIFS(TEAMS_GbG[TM OR_PAINT],TEAMS_GbG[[TM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E33" s="18" t="str">
        <f>IF($D33=0,"DNP",SUMIFS(TEAMS_GbG[OR_NP2],TEAMS_GbG[[TM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F33" s="18" t="str">
        <f>IF($D33=0,"DNP",SUMIFS(TEAMS_GbG[TM OR_NP2],TEAMS_GbG[[TM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G33" s="18" t="str">
        <f>IF($D33=0,"DNP",SUMIFS(TEAMS_GbG[OR_3C],TEAMS_GbG[[TM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H33" s="18" t="str">
        <f>IF($D33=0,"DNP",SUMIFS(TEAMS_GbG[TM OR_3C],TEAMS_GbG[[TM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I33" s="18" t="str">
        <f>IF($D33=0,"DNP",SUMIFS(TEAMS_GbG[OR_3L],TEAMS_GbG[[TM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J33" s="18" t="str">
        <f>IF($D33=0,"DNP",SUMIFS(TEAMS_GbG[TM OR_3L],TEAMS_GbG[[TM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K33" s="18" t="str">
        <f>IF($D33=0,"DNP",SUMIFS(TEAMS_GbG[OR_FT],TEAMS_GbG[[TM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L33" s="18" t="str">
        <f>IF($D33=0,"DNP",SUMIFS(TEAMS_GbG[TM OR_FT],TEAMS_GbG[[TM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M33" s="18" t="str">
        <f>IF($D33=0,"DNP",SUMIFS(TEAMS_GbG[DR_RIM],TEAMS_GbG[[TM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N33" s="18" t="str">
        <f>IF($D33=0,"DNP",SUMIFS(TEAMS_GbG[TM DR_RIM],TEAMS_GbG[[TM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O33" s="18" t="str">
        <f>IF($D33=0,"DNP",SUMIFS(TEAMS_GbG[DR_PAINT],TEAMS_GbG[[TM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P33" s="18" t="str">
        <f>IF($D33=0,"DNP",SUMIFS(TEAMS_GbG[TM DR_PAINT],TEAMS_GbG[[TM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Q33" s="18" t="str">
        <f>IF($D33=0,"DNP",SUMIFS(TEAMS_GbG[DR_NP2],TEAMS_GbG[[TM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R33" s="18" t="str">
        <f>IF($D33=0,"DNP",SUMIFS(TEAMS_GbG[TM DR_NP2],TEAMS_GbG[[TM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S33" s="18" t="str">
        <f>IF($D33=0,"DNP",SUMIFS(TEAMS_GbG[DR_3C],TEAMS_GbG[[TM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T33" s="18" t="str">
        <f>IF($D33=0,"DNP",SUMIFS(TEAMS_GbG[TM DR_3C],TEAMS_GbG[[TM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U33" s="18" t="str">
        <f>IF($D33=0,"DNP",SUMIFS(TEAMS_GbG[DR_3L],TEAMS_GbG[[TM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V33" s="18" t="str">
        <f>IF($D33=0,"DNP",SUMIFS(TEAMS_GbG[TM DR_3L],TEAMS_GbG[[TM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W33" s="18" t="str">
        <f>IF($D33=0,"DNP",SUMIFS(TEAMS_GbG[DR_FT],TEAMS_GbG[[TM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X33" s="18" t="str">
        <f>IF($D33=0,"DNP",SUMIFS(TEAMS_GbG[TM DR_FT],TEAMS_GbG[[TM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Y33" s="18" t="str">
        <f>IF($D33=0,"DNP",SUMIFS(TEAMS_GbG[FTM_T],TEAMS_GbG[[TM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Z33" s="18" t="str">
        <f>IF($D33=0,"DNP",SUMIFS(TEAMS_GbG[FTA_T],TEAMS_GbG[[TM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A33" s="18" t="str">
        <f>IF($D33=0,"DNP",SUMIFS(TEAMS_GbG[FTM_1],TEAMS_GbG[[TM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B33" s="18" t="str">
        <f>IF($D33=0,"DNP",SUMIFS(TEAMS_GbG[FTA_1],TEAMS_GbG[[TM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C33" s="18" t="str">
        <f>IF($D33=0,"DNP",SUMIFS(TEAMS_GbG[FTM_2],TEAMS_GbG[[TM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D33" s="18" t="str">
        <f>IF($D33=0,"DNP",SUMIFS(TEAMS_GbG[FTA_2],TEAMS_GbG[[TM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E33" s="18" t="str">
        <f>IF($D33=0,"DNP",SUMIFS(TEAMS_GbG[FT 0/2],TEAMS_GbG[[TM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F33" s="18" t="str">
        <f>IF($D33=0,"DNP",SUMIFS(TEAMS_GbG[FTM_3],TEAMS_GbG[[TM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G33" s="18" t="str">
        <f>IF($D33=0,"DNP",SUMIFS(TEAMS_GbG[FTA_3],TEAMS_GbG[[TM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H33" s="18" t="str">
        <f>IF($D33=0,"DNP",SUMIFS(TEAMS_GbG[FT 0/3],TEAMS_GbG[[TM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I33" s="18" t="str">
        <f>IF($D33=0,"DNP",SUMIFS(TEAMS_GbG[RIM_M],TEAMS_GbG[[TM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J33" s="18" t="str">
        <f>IF($D33=0,"DNP",SUMIFS(TEAMS_GbG[RIM_A],TEAMS_GbG[[TM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K33" s="18" t="str">
        <f>IF($D33=0,"DNP",SUMIFS(TEAMS_GbG[PAINT_M],TEAMS_GbG[[TM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L33" s="18" t="str">
        <f>IF($D33=0,"DNP",SUMIFS(TEAMS_GbG[PAINT_A],TEAMS_GbG[[TM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M33" s="18" t="str">
        <f>IF($D33=0,"DNP",SUMIFS(TEAMS_GbG[MID_M],TEAMS_GbG[[TM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N33" s="18" t="str">
        <f>IF($D33=0,"DNP",SUMIFS(TEAMS_GbG[MID_A],TEAMS_GbG[[TM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O33" s="18" t="str">
        <f>IF($D33=0,"DNP",SUMIFS(TEAMS_GbG[3C_M],TEAMS_GbG[[TM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P33" s="18" t="str">
        <f>IF($D33=0,"DNP",SUMIFS(TEAMS_GbG[3C_A],TEAMS_GbG[[TM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Q33" s="18" t="str">
        <f>IF($D33=0,"DNP",SUMIFS(TEAMS_GbG[3L_M],TEAMS_GbG[[TM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R33" s="18" t="str">
        <f>IF($D33=0,"DNP",SUMIFS(TEAMS_GbG[3L_A],TEAMS_GbG[[TM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S33" s="18" t="str">
        <f>IF($D33=0,"DNP",SUMIFS(TEAMS_GbG[3H_M],TEAMS_GbG[[TM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T33" s="18" t="str">
        <f>IF($D33=0,"DNP",SUMIFS(TEAMS_GbG[3H_A],TEAMS_GbG[[TM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U33" s="18" t="str">
        <f>IF($D33=0,"DNP",SUMIFS(TEAMS_GbG[OPP PTS],TEAMS_GbG[[TM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V33" s="18" t="str">
        <f>IF($D33=0,"DNP",SUMIFS(TEAMS_GbG[OPP 2PTM],TEAMS_GbG[[TM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W33" s="18" t="str">
        <f>IF($D33=0,"DNP",SUMIFS(TEAMS_GbG[OPP 2PTA],TEAMS_GbG[[TM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X33" s="16" t="str">
        <f t="shared" si="61"/>
        <v>DNP</v>
      </c>
      <c r="DY33" s="18" t="str">
        <f>IF($D33=0,"DNP",SUMIFS(TEAMS_GbG[OPP 3PTM],TEAMS_GbG[[TM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Z33" s="18" t="str">
        <f>IF($D33=0,"DNP",SUMIFS(TEAMS_GbG[OPP 3PTA],TEAMS_GbG[[TM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A33" s="16" t="str">
        <f t="shared" si="62"/>
        <v>DNP</v>
      </c>
      <c r="EB33" s="18" t="str">
        <f>IF($D33=0,"DNP",SUMIFS(TEAMS_GbG[OPP FGM],TEAMS_GbG[[TM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C33" s="18" t="str">
        <f>IF($D33=0,"DNP",SUMIFS(TEAMS_GbG[OPP FGA],TEAMS_GbG[[TM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D33" s="16" t="str">
        <f t="shared" si="63"/>
        <v>DNP</v>
      </c>
      <c r="EE33" s="18" t="str">
        <f>IF($D33=0,"DNP",SUMIFS(TEAMS_GbG[OPP FTM],TEAMS_GbG[[TM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F33" s="18" t="str">
        <f>IF($D33=0,"DNP",SUMIFS(TEAMS_GbG[OPP FTA],TEAMS_GbG[[TM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G33" s="16" t="str">
        <f t="shared" si="64"/>
        <v>DNP</v>
      </c>
      <c r="EH33" s="18" t="str">
        <f>IF($D33=0,"DNP",SUMIFS(TEAMS_GbG[OPP OR],TEAMS_GbG[[TM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I33" s="18" t="str">
        <f>IF($D33=0,"DNP",SUMIFS(TEAMS_GbG[OPP DR],TEAMS_GbG[[TM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J33" s="18" t="str">
        <f>IF($D33=0,"DNP",SUMIFS(TEAMS_GbG[OPP TR],TEAMS_GbG[[TM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K33" s="18" t="str">
        <f>IF($D33=0,"DNP",SUMIFS(TEAMS_GbG[OPP AST],TEAMS_GbG[[TM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L33" s="18" t="str">
        <f>IF($D33=0,"DNP",SUMIFS(TEAMS_GbG[OPP PF],TEAMS_GbG[[TM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M33" s="18" t="str">
        <f>IF($D33=0,"DNP",SUMIFS(TEAMS_GbG[OPP DF],TEAMS_GbG[[TM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N33" s="18" t="str">
        <f>IF($D33=0,"DNP",SUMIFS(TEAMS_GbG[OPP ST],TEAMS_GbG[[TM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O33" s="18" t="str">
        <f>IF($D33=0,"DNP",SUMIFS(TEAMS_GbG[OPP TO],TEAMS_GbG[[TM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P33" s="18" t="str">
        <f>IF($D33=0,"DNP",SUMIFS(TEAMS_GbG[OPP BLK],TEAMS_GbG[[TM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Q33" s="18" t="str">
        <f>IF($D33=0,"DNP",SUMIFS(TEAMS_GbG[OPP BLKA],TEAMS_GbG[[TM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R33" s="18" t="str">
        <f>IF($D33=0,"DNP",SUMIFS(TEAMS_GbG[OPP VAL],TEAMS_GbG[[TM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S33" s="18" t="str">
        <f>IF($D33=0,"DNP",SUMIFS(TEAMS_GbG[OPP + / -],TEAMS_GbG[[TM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T33" s="18" t="str">
        <f>IF($D33=0,"DNP",SUMIFS(TEAMS_GbG[OPP POSS],TEAMS_GbG[[TM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U33" s="18" t="str">
        <f>IF($D33=0,"DNP",SUMIFS(TEAMS_GbG[OPP SHOOTING CHANCES],TEAMS_GbG[[TM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V33" s="18" t="str">
        <f>IF($D33=0,"DNP",SUMIFS(TEAMS_GbG[OPP KILLS],TEAMS_GbG[[TM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W33" s="18" t="str">
        <f>IF($D33=0,"DNP",SUMIFS(TEAMS_GbG[OPP ASTED_2FG],TEAMS_GbG[[TM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X33" s="18" t="str">
        <f>IF($D33=0,"DNP",SUMIFS(TEAMS_GbG[OPP ASTED_3FG],TEAMS_GbG[[TM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Y33" s="18" t="str">
        <f>IF($D33=0,"DNP",SUMIFS(TEAMS_GbG[OPP ASTED_FT],TEAMS_GbG[[TM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Z33" s="18" t="str">
        <f>IF($D33=0,"DNP",SUMIFS(TEAMS_GbG[OPP ASTED_FT PTS],TEAMS_GbG[[TM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A33" s="18" t="str">
        <f>IF($D33=0,"DNP",SUMIFS(TEAMS_GbG[OPP OR_RIM],TEAMS_GbG[[TM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B33" s="18" t="str">
        <f>IF($D33=0,"DNP",SUMIFS(TEAMS_GbG[OPP TM OR_RIM],TEAMS_GbG[[TM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C33" s="18" t="str">
        <f>IF($D33=0,"DNP",SUMIFS(TEAMS_GbG[OPP OR_PAINT],TEAMS_GbG[[TM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D33" s="18" t="str">
        <f>IF($D33=0,"DNP",SUMIFS(TEAMS_GbG[OPP TM OR_PAINT],TEAMS_GbG[[TM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E33" s="18" t="str">
        <f>IF($D33=0,"DNP",SUMIFS(TEAMS_GbG[OPP OR_NP2],TEAMS_GbG[[TM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F33" s="18" t="str">
        <f>IF($D33=0,"DNP",SUMIFS(TEAMS_GbG[OPP TM OR_NP2],TEAMS_GbG[[TM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G33" s="18" t="str">
        <f>IF($D33=0,"DNP",SUMIFS(TEAMS_GbG[OPP OR_3C],TEAMS_GbG[[TM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H33" s="18" t="str">
        <f>IF($D33=0,"DNP",SUMIFS(TEAMS_GbG[OPP TM OR_3C],TEAMS_GbG[[TM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I33" s="18" t="str">
        <f>IF($D33=0,"DNP",SUMIFS(TEAMS_GbG[OPP OR_3L],TEAMS_GbG[[TM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J33" s="18" t="str">
        <f>IF($D33=0,"DNP",SUMIFS(TEAMS_GbG[OPP TM OR_3L],TEAMS_GbG[[TM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K33" s="18" t="str">
        <f>IF($D33=0,"DNP",SUMIFS(TEAMS_GbG[OPP OR_FT],TEAMS_GbG[[TM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L33" s="18" t="str">
        <f>IF($D33=0,"DNP",SUMIFS(TEAMS_GbG[OPP TM OR_FT],TEAMS_GbG[[TM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M33" s="18" t="str">
        <f>IF($D33=0,"DNP",SUMIFS(TEAMS_GbG[OPP DR_RIM],TEAMS_GbG[[TM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N33" s="18" t="str">
        <f>IF($D33=0,"DNP",SUMIFS(TEAMS_GbG[OPP TM DR_RIM],TEAMS_GbG[[TM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O33" s="18" t="str">
        <f>IF($D33=0,"DNP",SUMIFS(TEAMS_GbG[OPP DR_PAINT],TEAMS_GbG[[TM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P33" s="18" t="str">
        <f>IF($D33=0,"DNP",SUMIFS(TEAMS_GbG[OPP TM DR_PAINT],TEAMS_GbG[[TM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Q33" s="18" t="str">
        <f>IF($D33=0,"DNP",SUMIFS(TEAMS_GbG[OPP DR_NP2],TEAMS_GbG[[TM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R33" s="18" t="str">
        <f>IF($D33=0,"DNP",SUMIFS(TEAMS_GbG[OPP TM DR_NP2],TEAMS_GbG[[TM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S33" s="18" t="str">
        <f>IF($D33=0,"DNP",SUMIFS(TEAMS_GbG[OPP DR_3C],TEAMS_GbG[[TM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T33" s="18" t="str">
        <f>IF($D33=0,"DNP",SUMIFS(TEAMS_GbG[OPP TM DR_3C],TEAMS_GbG[[TM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U33" s="18" t="str">
        <f>IF($D33=0,"DNP",SUMIFS(TEAMS_GbG[OPP DR_3L],TEAMS_GbG[[TM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V33" s="18" t="str">
        <f>IF($D33=0,"DNP",SUMIFS(TEAMS_GbG[OPP TM DR_3L],TEAMS_GbG[[TM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W33" s="18" t="str">
        <f>IF($D33=0,"DNP",SUMIFS(TEAMS_GbG[OPP DR_FT],TEAMS_GbG[[TM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X33" s="18" t="str">
        <f>IF($D33=0,"DNP",SUMIFS(TEAMS_GbG[OPP TM DR_FT],TEAMS_GbG[[TM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Y33" s="18" t="str">
        <f>IF($D33=0,"DNP",SUMIFS(TEAMS_GbG[OPP FTM_T],TEAMS_GbG[[TM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Z33" s="18" t="str">
        <f>IF($D33=0,"DNP",SUMIFS(TEAMS_GbG[OPP FTA_T],TEAMS_GbG[[TM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A33" s="18" t="str">
        <f>IF($D33=0,"DNP",SUMIFS(TEAMS_GbG[OPP FTM_1],TEAMS_GbG[[TM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B33" s="18" t="str">
        <f>IF($D33=0,"DNP",SUMIFS(TEAMS_GbG[OPP FTA_1],TEAMS_GbG[[TM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C33" s="18" t="str">
        <f>IF($D33=0,"DNP",SUMIFS(TEAMS_GbG[OPP FTM_2],TEAMS_GbG[[TM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D33" s="18" t="str">
        <f>IF($D33=0,"DNP",SUMIFS(TEAMS_GbG[OPP FTA_2],TEAMS_GbG[[TM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E33" s="18" t="str">
        <f>IF($D33=0,"DNP",SUMIFS(TEAMS_GbG[OPP FT 0/2],TEAMS_GbG[[TM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F33" s="18" t="str">
        <f>IF($D33=0,"DNP",SUMIFS(TEAMS_GbG[OPP FTM_3],TEAMS_GbG[[TM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G33" s="18" t="str">
        <f>IF($D33=0,"DNP",SUMIFS(TEAMS_GbG[OPP FTA_3],TEAMS_GbG[[TM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H33" s="18" t="str">
        <f>IF($D33=0,"DNP",SUMIFS(TEAMS_GbG[OPP FT 0/3],TEAMS_GbG[[TM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I33" s="18" t="str">
        <f>IF($D33=0,"DNP",SUMIFS(TEAMS_GbG[OPP RIM_M],TEAMS_GbG[[TM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J33" s="18" t="str">
        <f>IF($D33=0,"DNP",SUMIFS(TEAMS_GbG[OPP RIM_A],TEAMS_GbG[[TM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K33" s="18" t="str">
        <f>IF($D33=0,"DNP",SUMIFS(TEAMS_GbG[OPP PAINT_M],TEAMS_GbG[[TM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L33" s="18" t="str">
        <f>IF($D33=0,"DNP",SUMIFS(TEAMS_GbG[OPP PAINT_A],TEAMS_GbG[[TM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M33" s="18" t="str">
        <f>IF($D33=0,"DNP",SUMIFS(TEAMS_GbG[OPP MID_M],TEAMS_GbG[[TM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N33" s="18" t="str">
        <f>IF($D33=0,"DNP",SUMIFS(TEAMS_GbG[OPP MID_A],TEAMS_GbG[[TM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O33" s="18" t="str">
        <f>IF($D33=0,"DNP",SUMIFS(TEAMS_GbG[OPP 3C_M],TEAMS_GbG[[TM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P33" s="18" t="str">
        <f>IF($D33=0,"DNP",SUMIFS(TEAMS_GbG[OPP 3C_A],TEAMS_GbG[[TM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Q33" s="18" t="str">
        <f>IF($D33=0,"DNP",SUMIFS(TEAMS_GbG[OPP 3L_M],TEAMS_GbG[[TM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R33" s="18" t="str">
        <f>IF($D33=0,"DNP",SUMIFS(TEAMS_GbG[OPP 3L_A],TEAMS_GbG[[TM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S33" s="18" t="str">
        <f>IF($D33=0,"DNP",SUMIFS(TEAMS_GbG[OPP 3H_M],TEAMS_GbG[[TM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T33" s="18" t="str">
        <f>IF($D33=0,"DNP",SUMIFS(TEAMS_GbG[OPP 3H_A],TEAMS_GbG[[TM NAME]:[TM NAME]],$C33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U33" s="16" t="str">
        <f>IF(TEAMS_STATS[[#This Row],[TM NAME]]="","",INDEX(SoS!$C$113:$C$144,MATCH(TEAMS_STATS[[#This Row],[TM NAME]],SoS!$B$113:$B$144,0)))</f>
        <v/>
      </c>
    </row>
    <row r="34" spans="2:203" ht="15" hidden="1" customHeight="1" x14ac:dyDescent="0.25">
      <c r="B34" s="12">
        <f>_xlfn.AGGREGATE(3,5,$C$7:C33)</f>
        <v>19</v>
      </c>
      <c r="C34" s="14" t="str">
        <f>BASIS_INFO!F29</f>
        <v/>
      </c>
      <c r="D34" s="20">
        <f>COUNTIFS(TEAMS_GbG[[TM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4" s="20">
        <f>COUNTIFS(TEAMS_GbG[[TM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4" s="20">
        <f>COUNTIFS(TEAMS_GbG[[TM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4" s="18" t="str">
        <f>IF($D34=0,"DNP",SUMIFS(TEAMS_GbG[MIN],TEAMS_GbG[[TM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H34" s="18" t="str">
        <f>IF($D34=0,"DNP",SUMIFS(TEAMS_GbG[PTS],TEAMS_GbG[[TM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I34" s="18" t="str">
        <f>IF($D34=0,"DNP",SUMIFS(TEAMS_GbG[2PTM],TEAMS_GbG[[TM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J34" s="18" t="str">
        <f>IF($D34=0,"DNP",SUMIFS(TEAMS_GbG[2PTA],TEAMS_GbG[[TM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K34" s="16" t="str">
        <f t="shared" si="56"/>
        <v>DNP</v>
      </c>
      <c r="L34" s="18" t="str">
        <f>IF($D34=0,"DNP",SUMIFS(TEAMS_GbG[3PTM],TEAMS_GbG[[TM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M34" s="18" t="str">
        <f>IF($D34=0,"DNP",SUMIFS(TEAMS_GbG[3PTA],TEAMS_GbG[[TM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N34" s="16" t="str">
        <f t="shared" si="57"/>
        <v>DNP</v>
      </c>
      <c r="O34" s="18" t="str">
        <f>IF($D34=0,"DNP",SUMIFS(TEAMS_GbG[FGM],TEAMS_GbG[[TM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P34" s="18" t="str">
        <f>IF($D34=0,"DNP",SUMIFS(TEAMS_GbG[FGA],TEAMS_GbG[[TM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Q34" s="16" t="str">
        <f t="shared" si="58"/>
        <v>DNP</v>
      </c>
      <c r="R34" s="18" t="str">
        <f>IF($D34=0,"DNP",SUMIFS(TEAMS_GbG[FTM],TEAMS_GbG[[TM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S34" s="18" t="str">
        <f>IF($D34=0,"DNP",SUMIFS(TEAMS_GbG[FTA],TEAMS_GbG[[TM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T34" s="16" t="str">
        <f t="shared" si="59"/>
        <v>DNP</v>
      </c>
      <c r="U34" s="18" t="str">
        <f>IF($D34=0,"DNP",SUMIFS(TEAMS_GbG[OR],TEAMS_GbG[[TM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V34" s="18" t="str">
        <f>IF($D34=0,"DNP",SUMIFS(TEAMS_GbG[DR],TEAMS_GbG[[TM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W34" s="18" t="str">
        <f>IF($D34=0,"DNP",SUMIFS(TEAMS_GbG[TR],TEAMS_GbG[[TM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X34" s="18" t="str">
        <f>IF($D34=0,"DNP",SUMIFS(TEAMS_GbG[AST],TEAMS_GbG[[TM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Y34" s="18" t="str">
        <f>IF($D34=0,"DNP",SUMIFS(TEAMS_GbG[TO],TEAMS_GbG[[TM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Z34" s="18" t="str">
        <f>IF($D34=0,"DNP",SUMIFS(TEAMS_GbG[ST],TEAMS_GbG[[TM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A34" s="18" t="str">
        <f>IF($D34=0,"DNP",SUMIFS(TEAMS_GbG[BLK],TEAMS_GbG[[TM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B34" s="18" t="str">
        <f>IF($D34=0,"DNP",SUMIFS(TEAMS_GbG[BLKA],TEAMS_GbG[[TM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C34" s="18" t="str">
        <f>IF($D34=0,"DNP",SUMIFS(TEAMS_GbG[PF],TEAMS_GbG[[TM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D34" s="18" t="str">
        <f>IF($D34=0,"DNP",SUMIFS(TEAMS_GbG[DF],TEAMS_GbG[[TM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E34" s="18" t="str">
        <f>IF($D34=0,"DNP",SUMIFS(TEAMS_GbG[VAL],TEAMS_GbG[[TM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F34" s="18" t="str">
        <f>IF($D34=0,"DNP",SUMIFS(TEAMS_GbG[+ / -],TEAMS_GbG[[TM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G34" s="26" t="str">
        <f t="shared" si="0"/>
        <v>DNP</v>
      </c>
      <c r="AH34" s="18" t="str">
        <f>IF($D34=0,"DNP",SUMIFS(TEAMS_GbG[POSS],TEAMS_GbG[[TM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I34" s="18" t="str">
        <f>IF($D34=0,"DNP",SUMIFS(TEAMS_GbG[SHOOTING CHANCES],TEAMS_GbG[[TM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J34" s="19" t="str">
        <f t="shared" si="1"/>
        <v>DNP</v>
      </c>
      <c r="AK34" s="19" t="str">
        <f t="shared" si="2"/>
        <v>DNP</v>
      </c>
      <c r="AL34" s="18" t="str">
        <f t="shared" si="3"/>
        <v>DNP</v>
      </c>
      <c r="AM34" s="18" t="str">
        <f t="shared" si="4"/>
        <v>DNP</v>
      </c>
      <c r="AN34" s="18" t="str">
        <f t="shared" si="60"/>
        <v>DNP</v>
      </c>
      <c r="AO34" s="27" t="str">
        <f t="shared" si="5"/>
        <v>DNP</v>
      </c>
      <c r="AP34" s="28" t="str">
        <f t="shared" si="6"/>
        <v>DNP</v>
      </c>
      <c r="AQ34" s="34" t="str">
        <f t="shared" si="7"/>
        <v>DNP</v>
      </c>
      <c r="AR34" s="19" t="str">
        <f t="shared" si="8"/>
        <v>DNP</v>
      </c>
      <c r="AS34" s="16" t="str">
        <f t="shared" si="9"/>
        <v>DNP</v>
      </c>
      <c r="AT34" s="18" t="str">
        <f t="shared" si="10"/>
        <v>DNP</v>
      </c>
      <c r="AU34" s="16" t="str">
        <f t="shared" si="11"/>
        <v>DNP</v>
      </c>
      <c r="AV34" s="18" t="str">
        <f t="shared" si="12"/>
        <v>DNP</v>
      </c>
      <c r="AW34" s="16" t="str">
        <f t="shared" si="13"/>
        <v>DNP</v>
      </c>
      <c r="AX34" s="19" t="str">
        <f t="shared" si="14"/>
        <v>DNP</v>
      </c>
      <c r="AY34" s="27" t="str">
        <f t="shared" si="15"/>
        <v>DNP</v>
      </c>
      <c r="AZ34" s="38" t="str">
        <f t="shared" si="16"/>
        <v>DNP</v>
      </c>
      <c r="BA34" s="28" t="str">
        <f t="shared" si="17"/>
        <v>DNP</v>
      </c>
      <c r="BB34" s="34" t="str">
        <f t="shared" si="18"/>
        <v>DNP</v>
      </c>
      <c r="BC34" s="27" t="str">
        <f t="shared" si="19"/>
        <v>DNP</v>
      </c>
      <c r="BD34" s="27" t="str">
        <f t="shared" si="20"/>
        <v>DNP</v>
      </c>
      <c r="BE34" s="27" t="str">
        <f t="shared" si="21"/>
        <v>DNP</v>
      </c>
      <c r="BF34" s="27" t="str">
        <f t="shared" si="22"/>
        <v>DNP</v>
      </c>
      <c r="BG34" s="27" t="str">
        <f t="shared" si="23"/>
        <v>DNP</v>
      </c>
      <c r="BH34" s="35" t="str">
        <f t="shared" si="24"/>
        <v>DNP</v>
      </c>
      <c r="BI34" s="49" t="str">
        <f t="shared" si="25"/>
        <v>DNP</v>
      </c>
      <c r="BJ34" s="45" t="str">
        <f t="shared" si="26"/>
        <v>DNP</v>
      </c>
      <c r="BK34" s="45" t="str">
        <f t="shared" si="27"/>
        <v>DNP</v>
      </c>
      <c r="BL34" s="45" t="str">
        <f t="shared" si="28"/>
        <v>DNP</v>
      </c>
      <c r="BM34" s="45" t="str">
        <f t="shared" si="29"/>
        <v>DNP</v>
      </c>
      <c r="BN34" s="45" t="str">
        <f t="shared" si="30"/>
        <v>DNP</v>
      </c>
      <c r="BO34" s="45" t="str">
        <f t="shared" si="31"/>
        <v>DNP</v>
      </c>
      <c r="BP34" s="45" t="str">
        <f t="shared" si="32"/>
        <v>DNP</v>
      </c>
      <c r="BQ34" s="46" t="str">
        <f t="shared" si="33"/>
        <v>DNP</v>
      </c>
      <c r="BR34" s="49" t="str">
        <f t="shared" si="34"/>
        <v>DNP</v>
      </c>
      <c r="BS34" s="45" t="str">
        <f t="shared" si="35"/>
        <v>DNP</v>
      </c>
      <c r="BT34" s="40" t="str">
        <f>IF($D34=0,"DNP",SUMIFS(TEAMS_GbG[KILLS],TEAMS_GbG[[TM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BU34" s="34" t="str">
        <f t="shared" si="36"/>
        <v>DNP</v>
      </c>
      <c r="BV34" s="28" t="str">
        <f t="shared" si="37"/>
        <v>DNP</v>
      </c>
      <c r="BW34" s="18" t="str">
        <f>IF($D34=0,"DNP",SUMIFS(TEAMS_GbG[ASTED_2FG],TEAMS_GbG[[TM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BX34" s="18" t="str">
        <f>IF($D34=0,"DNP",SUMIFS(TEAMS_GbG[ASTED_3FG],TEAMS_GbG[[TM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BY34" s="18" t="str">
        <f>IF($D34=0,"DNP",SUMIFS(TEAMS_GbG[ASTED_FT],TEAMS_GbG[[TM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BZ34" s="18" t="str">
        <f>IF($D34=0,"DNP",SUMIFS(TEAMS_GbG[ASTED_FT PTS],TEAMS_GbG[[TM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A34" s="18" t="str">
        <f>IF($D34=0,"DNP",SUMIFS(TEAMS_GbG[OR_RIM],TEAMS_GbG[[TM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B34" s="18" t="str">
        <f>IF($D34=0,"DNP",SUMIFS(TEAMS_GbG[TM OR_RIM],TEAMS_GbG[[TM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C34" s="18" t="str">
        <f>IF($D34=0,"DNP",SUMIFS(TEAMS_GbG[OR_PAINT],TEAMS_GbG[[TM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D34" s="18" t="str">
        <f>IF($D34=0,"DNP",SUMIFS(TEAMS_GbG[TM OR_PAINT],TEAMS_GbG[[TM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E34" s="18" t="str">
        <f>IF($D34=0,"DNP",SUMIFS(TEAMS_GbG[OR_NP2],TEAMS_GbG[[TM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F34" s="18" t="str">
        <f>IF($D34=0,"DNP",SUMIFS(TEAMS_GbG[TM OR_NP2],TEAMS_GbG[[TM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G34" s="18" t="str">
        <f>IF($D34=0,"DNP",SUMIFS(TEAMS_GbG[OR_3C],TEAMS_GbG[[TM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H34" s="18" t="str">
        <f>IF($D34=0,"DNP",SUMIFS(TEAMS_GbG[TM OR_3C],TEAMS_GbG[[TM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I34" s="18" t="str">
        <f>IF($D34=0,"DNP",SUMIFS(TEAMS_GbG[OR_3L],TEAMS_GbG[[TM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J34" s="18" t="str">
        <f>IF($D34=0,"DNP",SUMIFS(TEAMS_GbG[TM OR_3L],TEAMS_GbG[[TM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K34" s="18" t="str">
        <f>IF($D34=0,"DNP",SUMIFS(TEAMS_GbG[OR_FT],TEAMS_GbG[[TM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L34" s="18" t="str">
        <f>IF($D34=0,"DNP",SUMIFS(TEAMS_GbG[TM OR_FT],TEAMS_GbG[[TM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M34" s="18" t="str">
        <f>IF($D34=0,"DNP",SUMIFS(TEAMS_GbG[DR_RIM],TEAMS_GbG[[TM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N34" s="18" t="str">
        <f>IF($D34=0,"DNP",SUMIFS(TEAMS_GbG[TM DR_RIM],TEAMS_GbG[[TM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O34" s="18" t="str">
        <f>IF($D34=0,"DNP",SUMIFS(TEAMS_GbG[DR_PAINT],TEAMS_GbG[[TM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P34" s="18" t="str">
        <f>IF($D34=0,"DNP",SUMIFS(TEAMS_GbG[TM DR_PAINT],TEAMS_GbG[[TM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Q34" s="18" t="str">
        <f>IF($D34=0,"DNP",SUMIFS(TEAMS_GbG[DR_NP2],TEAMS_GbG[[TM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R34" s="18" t="str">
        <f>IF($D34=0,"DNP",SUMIFS(TEAMS_GbG[TM DR_NP2],TEAMS_GbG[[TM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S34" s="18" t="str">
        <f>IF($D34=0,"DNP",SUMIFS(TEAMS_GbG[DR_3C],TEAMS_GbG[[TM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T34" s="18" t="str">
        <f>IF($D34=0,"DNP",SUMIFS(TEAMS_GbG[TM DR_3C],TEAMS_GbG[[TM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U34" s="18" t="str">
        <f>IF($D34=0,"DNP",SUMIFS(TEAMS_GbG[DR_3L],TEAMS_GbG[[TM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V34" s="18" t="str">
        <f>IF($D34=0,"DNP",SUMIFS(TEAMS_GbG[TM DR_3L],TEAMS_GbG[[TM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W34" s="18" t="str">
        <f>IF($D34=0,"DNP",SUMIFS(TEAMS_GbG[DR_FT],TEAMS_GbG[[TM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X34" s="18" t="str">
        <f>IF($D34=0,"DNP",SUMIFS(TEAMS_GbG[TM DR_FT],TEAMS_GbG[[TM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Y34" s="18" t="str">
        <f>IF($D34=0,"DNP",SUMIFS(TEAMS_GbG[FTM_T],TEAMS_GbG[[TM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Z34" s="18" t="str">
        <f>IF($D34=0,"DNP",SUMIFS(TEAMS_GbG[FTA_T],TEAMS_GbG[[TM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A34" s="18" t="str">
        <f>IF($D34=0,"DNP",SUMIFS(TEAMS_GbG[FTM_1],TEAMS_GbG[[TM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B34" s="18" t="str">
        <f>IF($D34=0,"DNP",SUMIFS(TEAMS_GbG[FTA_1],TEAMS_GbG[[TM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C34" s="18" t="str">
        <f>IF($D34=0,"DNP",SUMIFS(TEAMS_GbG[FTM_2],TEAMS_GbG[[TM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D34" s="18" t="str">
        <f>IF($D34=0,"DNP",SUMIFS(TEAMS_GbG[FTA_2],TEAMS_GbG[[TM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E34" s="18" t="str">
        <f>IF($D34=0,"DNP",SUMIFS(TEAMS_GbG[FT 0/2],TEAMS_GbG[[TM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F34" s="18" t="str">
        <f>IF($D34=0,"DNP",SUMIFS(TEAMS_GbG[FTM_3],TEAMS_GbG[[TM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G34" s="18" t="str">
        <f>IF($D34=0,"DNP",SUMIFS(TEAMS_GbG[FTA_3],TEAMS_GbG[[TM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H34" s="18" t="str">
        <f>IF($D34=0,"DNP",SUMIFS(TEAMS_GbG[FT 0/3],TEAMS_GbG[[TM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I34" s="18" t="str">
        <f>IF($D34=0,"DNP",SUMIFS(TEAMS_GbG[RIM_M],TEAMS_GbG[[TM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J34" s="18" t="str">
        <f>IF($D34=0,"DNP",SUMIFS(TEAMS_GbG[RIM_A],TEAMS_GbG[[TM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K34" s="18" t="str">
        <f>IF($D34=0,"DNP",SUMIFS(TEAMS_GbG[PAINT_M],TEAMS_GbG[[TM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L34" s="18" t="str">
        <f>IF($D34=0,"DNP",SUMIFS(TEAMS_GbG[PAINT_A],TEAMS_GbG[[TM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M34" s="18" t="str">
        <f>IF($D34=0,"DNP",SUMIFS(TEAMS_GbG[MID_M],TEAMS_GbG[[TM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N34" s="18" t="str">
        <f>IF($D34=0,"DNP",SUMIFS(TEAMS_GbG[MID_A],TEAMS_GbG[[TM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O34" s="18" t="str">
        <f>IF($D34=0,"DNP",SUMIFS(TEAMS_GbG[3C_M],TEAMS_GbG[[TM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P34" s="18" t="str">
        <f>IF($D34=0,"DNP",SUMIFS(TEAMS_GbG[3C_A],TEAMS_GbG[[TM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Q34" s="18" t="str">
        <f>IF($D34=0,"DNP",SUMIFS(TEAMS_GbG[3L_M],TEAMS_GbG[[TM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R34" s="18" t="str">
        <f>IF($D34=0,"DNP",SUMIFS(TEAMS_GbG[3L_A],TEAMS_GbG[[TM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S34" s="18" t="str">
        <f>IF($D34=0,"DNP",SUMIFS(TEAMS_GbG[3H_M],TEAMS_GbG[[TM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T34" s="18" t="str">
        <f>IF($D34=0,"DNP",SUMIFS(TEAMS_GbG[3H_A],TEAMS_GbG[[TM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U34" s="18" t="str">
        <f>IF($D34=0,"DNP",SUMIFS(TEAMS_GbG[OPP PTS],TEAMS_GbG[[TM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V34" s="18" t="str">
        <f>IF($D34=0,"DNP",SUMIFS(TEAMS_GbG[OPP 2PTM],TEAMS_GbG[[TM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W34" s="18" t="str">
        <f>IF($D34=0,"DNP",SUMIFS(TEAMS_GbG[OPP 2PTA],TEAMS_GbG[[TM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X34" s="16" t="str">
        <f t="shared" si="61"/>
        <v>DNP</v>
      </c>
      <c r="DY34" s="18" t="str">
        <f>IF($D34=0,"DNP",SUMIFS(TEAMS_GbG[OPP 3PTM],TEAMS_GbG[[TM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Z34" s="18" t="str">
        <f>IF($D34=0,"DNP",SUMIFS(TEAMS_GbG[OPP 3PTA],TEAMS_GbG[[TM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A34" s="16" t="str">
        <f t="shared" si="62"/>
        <v>DNP</v>
      </c>
      <c r="EB34" s="18" t="str">
        <f>IF($D34=0,"DNP",SUMIFS(TEAMS_GbG[OPP FGM],TEAMS_GbG[[TM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C34" s="18" t="str">
        <f>IF($D34=0,"DNP",SUMIFS(TEAMS_GbG[OPP FGA],TEAMS_GbG[[TM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D34" s="16" t="str">
        <f t="shared" si="63"/>
        <v>DNP</v>
      </c>
      <c r="EE34" s="18" t="str">
        <f>IF($D34=0,"DNP",SUMIFS(TEAMS_GbG[OPP FTM],TEAMS_GbG[[TM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F34" s="18" t="str">
        <f>IF($D34=0,"DNP",SUMIFS(TEAMS_GbG[OPP FTA],TEAMS_GbG[[TM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G34" s="16" t="str">
        <f t="shared" si="64"/>
        <v>DNP</v>
      </c>
      <c r="EH34" s="18" t="str">
        <f>IF($D34=0,"DNP",SUMIFS(TEAMS_GbG[OPP OR],TEAMS_GbG[[TM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I34" s="18" t="str">
        <f>IF($D34=0,"DNP",SUMIFS(TEAMS_GbG[OPP DR],TEAMS_GbG[[TM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J34" s="18" t="str">
        <f>IF($D34=0,"DNP",SUMIFS(TEAMS_GbG[OPP TR],TEAMS_GbG[[TM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K34" s="18" t="str">
        <f>IF($D34=0,"DNP",SUMIFS(TEAMS_GbG[OPP AST],TEAMS_GbG[[TM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L34" s="18" t="str">
        <f>IF($D34=0,"DNP",SUMIFS(TEAMS_GbG[OPP PF],TEAMS_GbG[[TM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M34" s="18" t="str">
        <f>IF($D34=0,"DNP",SUMIFS(TEAMS_GbG[OPP DF],TEAMS_GbG[[TM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N34" s="18" t="str">
        <f>IF($D34=0,"DNP",SUMIFS(TEAMS_GbG[OPP ST],TEAMS_GbG[[TM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O34" s="18" t="str">
        <f>IF($D34=0,"DNP",SUMIFS(TEAMS_GbG[OPP TO],TEAMS_GbG[[TM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P34" s="18" t="str">
        <f>IF($D34=0,"DNP",SUMIFS(TEAMS_GbG[OPP BLK],TEAMS_GbG[[TM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Q34" s="18" t="str">
        <f>IF($D34=0,"DNP",SUMIFS(TEAMS_GbG[OPP BLKA],TEAMS_GbG[[TM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R34" s="18" t="str">
        <f>IF($D34=0,"DNP",SUMIFS(TEAMS_GbG[OPP VAL],TEAMS_GbG[[TM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S34" s="18" t="str">
        <f>IF($D34=0,"DNP",SUMIFS(TEAMS_GbG[OPP + / -],TEAMS_GbG[[TM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T34" s="18" t="str">
        <f>IF($D34=0,"DNP",SUMIFS(TEAMS_GbG[OPP POSS],TEAMS_GbG[[TM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U34" s="18" t="str">
        <f>IF($D34=0,"DNP",SUMIFS(TEAMS_GbG[OPP SHOOTING CHANCES],TEAMS_GbG[[TM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V34" s="18" t="str">
        <f>IF($D34=0,"DNP",SUMIFS(TEAMS_GbG[OPP KILLS],TEAMS_GbG[[TM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W34" s="18" t="str">
        <f>IF($D34=0,"DNP",SUMIFS(TEAMS_GbG[OPP ASTED_2FG],TEAMS_GbG[[TM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X34" s="18" t="str">
        <f>IF($D34=0,"DNP",SUMIFS(TEAMS_GbG[OPP ASTED_3FG],TEAMS_GbG[[TM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Y34" s="18" t="str">
        <f>IF($D34=0,"DNP",SUMIFS(TEAMS_GbG[OPP ASTED_FT],TEAMS_GbG[[TM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Z34" s="18" t="str">
        <f>IF($D34=0,"DNP",SUMIFS(TEAMS_GbG[OPP ASTED_FT PTS],TEAMS_GbG[[TM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A34" s="18" t="str">
        <f>IF($D34=0,"DNP",SUMIFS(TEAMS_GbG[OPP OR_RIM],TEAMS_GbG[[TM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B34" s="18" t="str">
        <f>IF($D34=0,"DNP",SUMIFS(TEAMS_GbG[OPP TM OR_RIM],TEAMS_GbG[[TM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C34" s="18" t="str">
        <f>IF($D34=0,"DNP",SUMIFS(TEAMS_GbG[OPP OR_PAINT],TEAMS_GbG[[TM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D34" s="18" t="str">
        <f>IF($D34=0,"DNP",SUMIFS(TEAMS_GbG[OPP TM OR_PAINT],TEAMS_GbG[[TM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E34" s="18" t="str">
        <f>IF($D34=0,"DNP",SUMIFS(TEAMS_GbG[OPP OR_NP2],TEAMS_GbG[[TM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F34" s="18" t="str">
        <f>IF($D34=0,"DNP",SUMIFS(TEAMS_GbG[OPP TM OR_NP2],TEAMS_GbG[[TM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G34" s="18" t="str">
        <f>IF($D34=0,"DNP",SUMIFS(TEAMS_GbG[OPP OR_3C],TEAMS_GbG[[TM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H34" s="18" t="str">
        <f>IF($D34=0,"DNP",SUMIFS(TEAMS_GbG[OPP TM OR_3C],TEAMS_GbG[[TM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I34" s="18" t="str">
        <f>IF($D34=0,"DNP",SUMIFS(TEAMS_GbG[OPP OR_3L],TEAMS_GbG[[TM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J34" s="18" t="str">
        <f>IF($D34=0,"DNP",SUMIFS(TEAMS_GbG[OPP TM OR_3L],TEAMS_GbG[[TM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K34" s="18" t="str">
        <f>IF($D34=0,"DNP",SUMIFS(TEAMS_GbG[OPP OR_FT],TEAMS_GbG[[TM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L34" s="18" t="str">
        <f>IF($D34=0,"DNP",SUMIFS(TEAMS_GbG[OPP TM OR_FT],TEAMS_GbG[[TM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M34" s="18" t="str">
        <f>IF($D34=0,"DNP",SUMIFS(TEAMS_GbG[OPP DR_RIM],TEAMS_GbG[[TM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N34" s="18" t="str">
        <f>IF($D34=0,"DNP",SUMIFS(TEAMS_GbG[OPP TM DR_RIM],TEAMS_GbG[[TM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O34" s="18" t="str">
        <f>IF($D34=0,"DNP",SUMIFS(TEAMS_GbG[OPP DR_PAINT],TEAMS_GbG[[TM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P34" s="18" t="str">
        <f>IF($D34=0,"DNP",SUMIFS(TEAMS_GbG[OPP TM DR_PAINT],TEAMS_GbG[[TM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Q34" s="18" t="str">
        <f>IF($D34=0,"DNP",SUMIFS(TEAMS_GbG[OPP DR_NP2],TEAMS_GbG[[TM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R34" s="18" t="str">
        <f>IF($D34=0,"DNP",SUMIFS(TEAMS_GbG[OPP TM DR_NP2],TEAMS_GbG[[TM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S34" s="18" t="str">
        <f>IF($D34=0,"DNP",SUMIFS(TEAMS_GbG[OPP DR_3C],TEAMS_GbG[[TM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T34" s="18" t="str">
        <f>IF($D34=0,"DNP",SUMIFS(TEAMS_GbG[OPP TM DR_3C],TEAMS_GbG[[TM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U34" s="18" t="str">
        <f>IF($D34=0,"DNP",SUMIFS(TEAMS_GbG[OPP DR_3L],TEAMS_GbG[[TM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V34" s="18" t="str">
        <f>IF($D34=0,"DNP",SUMIFS(TEAMS_GbG[OPP TM DR_3L],TEAMS_GbG[[TM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W34" s="18" t="str">
        <f>IF($D34=0,"DNP",SUMIFS(TEAMS_GbG[OPP DR_FT],TEAMS_GbG[[TM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X34" s="18" t="str">
        <f>IF($D34=0,"DNP",SUMIFS(TEAMS_GbG[OPP TM DR_FT],TEAMS_GbG[[TM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Y34" s="18" t="str">
        <f>IF($D34=0,"DNP",SUMIFS(TEAMS_GbG[OPP FTM_T],TEAMS_GbG[[TM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Z34" s="18" t="str">
        <f>IF($D34=0,"DNP",SUMIFS(TEAMS_GbG[OPP FTA_T],TEAMS_GbG[[TM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A34" s="18" t="str">
        <f>IF($D34=0,"DNP",SUMIFS(TEAMS_GbG[OPP FTM_1],TEAMS_GbG[[TM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B34" s="18" t="str">
        <f>IF($D34=0,"DNP",SUMIFS(TEAMS_GbG[OPP FTA_1],TEAMS_GbG[[TM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C34" s="18" t="str">
        <f>IF($D34=0,"DNP",SUMIFS(TEAMS_GbG[OPP FTM_2],TEAMS_GbG[[TM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D34" s="18" t="str">
        <f>IF($D34=0,"DNP",SUMIFS(TEAMS_GbG[OPP FTA_2],TEAMS_GbG[[TM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E34" s="18" t="str">
        <f>IF($D34=0,"DNP",SUMIFS(TEAMS_GbG[OPP FT 0/2],TEAMS_GbG[[TM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F34" s="18" t="str">
        <f>IF($D34=0,"DNP",SUMIFS(TEAMS_GbG[OPP FTM_3],TEAMS_GbG[[TM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G34" s="18" t="str">
        <f>IF($D34=0,"DNP",SUMIFS(TEAMS_GbG[OPP FTA_3],TEAMS_GbG[[TM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H34" s="18" t="str">
        <f>IF($D34=0,"DNP",SUMIFS(TEAMS_GbG[OPP FT 0/3],TEAMS_GbG[[TM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I34" s="18" t="str">
        <f>IF($D34=0,"DNP",SUMIFS(TEAMS_GbG[OPP RIM_M],TEAMS_GbG[[TM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J34" s="18" t="str">
        <f>IF($D34=0,"DNP",SUMIFS(TEAMS_GbG[OPP RIM_A],TEAMS_GbG[[TM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K34" s="18" t="str">
        <f>IF($D34=0,"DNP",SUMIFS(TEAMS_GbG[OPP PAINT_M],TEAMS_GbG[[TM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L34" s="18" t="str">
        <f>IF($D34=0,"DNP",SUMIFS(TEAMS_GbG[OPP PAINT_A],TEAMS_GbG[[TM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M34" s="18" t="str">
        <f>IF($D34=0,"DNP",SUMIFS(TEAMS_GbG[OPP MID_M],TEAMS_GbG[[TM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N34" s="18" t="str">
        <f>IF($D34=0,"DNP",SUMIFS(TEAMS_GbG[OPP MID_A],TEAMS_GbG[[TM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O34" s="18" t="str">
        <f>IF($D34=0,"DNP",SUMIFS(TEAMS_GbG[OPP 3C_M],TEAMS_GbG[[TM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P34" s="18" t="str">
        <f>IF($D34=0,"DNP",SUMIFS(TEAMS_GbG[OPP 3C_A],TEAMS_GbG[[TM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Q34" s="18" t="str">
        <f>IF($D34=0,"DNP",SUMIFS(TEAMS_GbG[OPP 3L_M],TEAMS_GbG[[TM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R34" s="18" t="str">
        <f>IF($D34=0,"DNP",SUMIFS(TEAMS_GbG[OPP 3L_A],TEAMS_GbG[[TM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S34" s="18" t="str">
        <f>IF($D34=0,"DNP",SUMIFS(TEAMS_GbG[OPP 3H_M],TEAMS_GbG[[TM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T34" s="18" t="str">
        <f>IF($D34=0,"DNP",SUMIFS(TEAMS_GbG[OPP 3H_A],TEAMS_GbG[[TM NAME]:[TM NAME]],$C34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U34" s="16" t="str">
        <f>IF(TEAMS_STATS[[#This Row],[TM NAME]]="","",INDEX(SoS!$C$113:$C$144,MATCH(TEAMS_STATS[[#This Row],[TM NAME]],SoS!$B$113:$B$144,0)))</f>
        <v/>
      </c>
    </row>
    <row r="35" spans="2:203" ht="15" hidden="1" customHeight="1" x14ac:dyDescent="0.25">
      <c r="B35" s="12">
        <f>_xlfn.AGGREGATE(3,5,$C$7:C34)</f>
        <v>19</v>
      </c>
      <c r="C35" s="14" t="str">
        <f>BASIS_INFO!F30</f>
        <v/>
      </c>
      <c r="D35" s="20">
        <f>COUNTIFS(TEAMS_GbG[[TM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5" s="20">
        <f>COUNTIFS(TEAMS_GbG[[TM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5" s="20">
        <f>COUNTIFS(TEAMS_GbG[[TM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5" s="18" t="str">
        <f>IF($D35=0,"DNP",SUMIFS(TEAMS_GbG[MIN],TEAMS_GbG[[TM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H35" s="18" t="str">
        <f>IF($D35=0,"DNP",SUMIFS(TEAMS_GbG[PTS],TEAMS_GbG[[TM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I35" s="18" t="str">
        <f>IF($D35=0,"DNP",SUMIFS(TEAMS_GbG[2PTM],TEAMS_GbG[[TM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J35" s="18" t="str">
        <f>IF($D35=0,"DNP",SUMIFS(TEAMS_GbG[2PTA],TEAMS_GbG[[TM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K35" s="16" t="str">
        <f t="shared" si="56"/>
        <v>DNP</v>
      </c>
      <c r="L35" s="18" t="str">
        <f>IF($D35=0,"DNP",SUMIFS(TEAMS_GbG[3PTM],TEAMS_GbG[[TM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M35" s="18" t="str">
        <f>IF($D35=0,"DNP",SUMIFS(TEAMS_GbG[3PTA],TEAMS_GbG[[TM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N35" s="16" t="str">
        <f t="shared" si="57"/>
        <v>DNP</v>
      </c>
      <c r="O35" s="18" t="str">
        <f>IF($D35=0,"DNP",SUMIFS(TEAMS_GbG[FGM],TEAMS_GbG[[TM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P35" s="18" t="str">
        <f>IF($D35=0,"DNP",SUMIFS(TEAMS_GbG[FGA],TEAMS_GbG[[TM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Q35" s="16" t="str">
        <f t="shared" si="58"/>
        <v>DNP</v>
      </c>
      <c r="R35" s="18" t="str">
        <f>IF($D35=0,"DNP",SUMIFS(TEAMS_GbG[FTM],TEAMS_GbG[[TM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S35" s="18" t="str">
        <f>IF($D35=0,"DNP",SUMIFS(TEAMS_GbG[FTA],TEAMS_GbG[[TM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T35" s="16" t="str">
        <f t="shared" si="59"/>
        <v>DNP</v>
      </c>
      <c r="U35" s="18" t="str">
        <f>IF($D35=0,"DNP",SUMIFS(TEAMS_GbG[OR],TEAMS_GbG[[TM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V35" s="18" t="str">
        <f>IF($D35=0,"DNP",SUMIFS(TEAMS_GbG[DR],TEAMS_GbG[[TM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W35" s="18" t="str">
        <f>IF($D35=0,"DNP",SUMIFS(TEAMS_GbG[TR],TEAMS_GbG[[TM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X35" s="18" t="str">
        <f>IF($D35=0,"DNP",SUMIFS(TEAMS_GbG[AST],TEAMS_GbG[[TM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Y35" s="18" t="str">
        <f>IF($D35=0,"DNP",SUMIFS(TEAMS_GbG[TO],TEAMS_GbG[[TM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Z35" s="18" t="str">
        <f>IF($D35=0,"DNP",SUMIFS(TEAMS_GbG[ST],TEAMS_GbG[[TM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A35" s="18" t="str">
        <f>IF($D35=0,"DNP",SUMIFS(TEAMS_GbG[BLK],TEAMS_GbG[[TM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B35" s="18" t="str">
        <f>IF($D35=0,"DNP",SUMIFS(TEAMS_GbG[BLKA],TEAMS_GbG[[TM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C35" s="18" t="str">
        <f>IF($D35=0,"DNP",SUMIFS(TEAMS_GbG[PF],TEAMS_GbG[[TM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D35" s="18" t="str">
        <f>IF($D35=0,"DNP",SUMIFS(TEAMS_GbG[DF],TEAMS_GbG[[TM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E35" s="18" t="str">
        <f>IF($D35=0,"DNP",SUMIFS(TEAMS_GbG[VAL],TEAMS_GbG[[TM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F35" s="18" t="str">
        <f>IF($D35=0,"DNP",SUMIFS(TEAMS_GbG[+ / -],TEAMS_GbG[[TM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G35" s="26" t="str">
        <f t="shared" si="0"/>
        <v>DNP</v>
      </c>
      <c r="AH35" s="18" t="str">
        <f>IF($D35=0,"DNP",SUMIFS(TEAMS_GbG[POSS],TEAMS_GbG[[TM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I35" s="18" t="str">
        <f>IF($D35=0,"DNP",SUMIFS(TEAMS_GbG[SHOOTING CHANCES],TEAMS_GbG[[TM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J35" s="19" t="str">
        <f t="shared" si="1"/>
        <v>DNP</v>
      </c>
      <c r="AK35" s="19" t="str">
        <f t="shared" si="2"/>
        <v>DNP</v>
      </c>
      <c r="AL35" s="18" t="str">
        <f t="shared" si="3"/>
        <v>DNP</v>
      </c>
      <c r="AM35" s="18" t="str">
        <f t="shared" si="4"/>
        <v>DNP</v>
      </c>
      <c r="AN35" s="18" t="str">
        <f t="shared" si="60"/>
        <v>DNP</v>
      </c>
      <c r="AO35" s="27" t="str">
        <f t="shared" si="5"/>
        <v>DNP</v>
      </c>
      <c r="AP35" s="28" t="str">
        <f t="shared" si="6"/>
        <v>DNP</v>
      </c>
      <c r="AQ35" s="34" t="str">
        <f t="shared" si="7"/>
        <v>DNP</v>
      </c>
      <c r="AR35" s="19" t="str">
        <f t="shared" si="8"/>
        <v>DNP</v>
      </c>
      <c r="AS35" s="16" t="str">
        <f t="shared" si="9"/>
        <v>DNP</v>
      </c>
      <c r="AT35" s="18" t="str">
        <f t="shared" si="10"/>
        <v>DNP</v>
      </c>
      <c r="AU35" s="16" t="str">
        <f t="shared" si="11"/>
        <v>DNP</v>
      </c>
      <c r="AV35" s="18" t="str">
        <f t="shared" si="12"/>
        <v>DNP</v>
      </c>
      <c r="AW35" s="16" t="str">
        <f t="shared" si="13"/>
        <v>DNP</v>
      </c>
      <c r="AX35" s="19" t="str">
        <f t="shared" si="14"/>
        <v>DNP</v>
      </c>
      <c r="AY35" s="27" t="str">
        <f t="shared" si="15"/>
        <v>DNP</v>
      </c>
      <c r="AZ35" s="38" t="str">
        <f t="shared" si="16"/>
        <v>DNP</v>
      </c>
      <c r="BA35" s="28" t="str">
        <f t="shared" si="17"/>
        <v>DNP</v>
      </c>
      <c r="BB35" s="34" t="str">
        <f t="shared" si="18"/>
        <v>DNP</v>
      </c>
      <c r="BC35" s="27" t="str">
        <f t="shared" si="19"/>
        <v>DNP</v>
      </c>
      <c r="BD35" s="27" t="str">
        <f t="shared" si="20"/>
        <v>DNP</v>
      </c>
      <c r="BE35" s="27" t="str">
        <f t="shared" si="21"/>
        <v>DNP</v>
      </c>
      <c r="BF35" s="27" t="str">
        <f t="shared" si="22"/>
        <v>DNP</v>
      </c>
      <c r="BG35" s="27" t="str">
        <f t="shared" si="23"/>
        <v>DNP</v>
      </c>
      <c r="BH35" s="35" t="str">
        <f t="shared" si="24"/>
        <v>DNP</v>
      </c>
      <c r="BI35" s="49" t="str">
        <f t="shared" si="25"/>
        <v>DNP</v>
      </c>
      <c r="BJ35" s="45" t="str">
        <f t="shared" si="26"/>
        <v>DNP</v>
      </c>
      <c r="BK35" s="45" t="str">
        <f t="shared" si="27"/>
        <v>DNP</v>
      </c>
      <c r="BL35" s="45" t="str">
        <f t="shared" si="28"/>
        <v>DNP</v>
      </c>
      <c r="BM35" s="45" t="str">
        <f t="shared" si="29"/>
        <v>DNP</v>
      </c>
      <c r="BN35" s="45" t="str">
        <f t="shared" si="30"/>
        <v>DNP</v>
      </c>
      <c r="BO35" s="45" t="str">
        <f t="shared" si="31"/>
        <v>DNP</v>
      </c>
      <c r="BP35" s="45" t="str">
        <f t="shared" si="32"/>
        <v>DNP</v>
      </c>
      <c r="BQ35" s="46" t="str">
        <f t="shared" si="33"/>
        <v>DNP</v>
      </c>
      <c r="BR35" s="49" t="str">
        <f t="shared" si="34"/>
        <v>DNP</v>
      </c>
      <c r="BS35" s="45" t="str">
        <f t="shared" si="35"/>
        <v>DNP</v>
      </c>
      <c r="BT35" s="40" t="str">
        <f>IF($D35=0,"DNP",SUMIFS(TEAMS_GbG[KILLS],TEAMS_GbG[[TM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BU35" s="34" t="str">
        <f t="shared" si="36"/>
        <v>DNP</v>
      </c>
      <c r="BV35" s="28" t="str">
        <f t="shared" si="37"/>
        <v>DNP</v>
      </c>
      <c r="BW35" s="18" t="str">
        <f>IF($D35=0,"DNP",SUMIFS(TEAMS_GbG[ASTED_2FG],TEAMS_GbG[[TM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BX35" s="18" t="str">
        <f>IF($D35=0,"DNP",SUMIFS(TEAMS_GbG[ASTED_3FG],TEAMS_GbG[[TM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BY35" s="18" t="str">
        <f>IF($D35=0,"DNP",SUMIFS(TEAMS_GbG[ASTED_FT],TEAMS_GbG[[TM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BZ35" s="18" t="str">
        <f>IF($D35=0,"DNP",SUMIFS(TEAMS_GbG[ASTED_FT PTS],TEAMS_GbG[[TM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A35" s="18" t="str">
        <f>IF($D35=0,"DNP",SUMIFS(TEAMS_GbG[OR_RIM],TEAMS_GbG[[TM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B35" s="18" t="str">
        <f>IF($D35=0,"DNP",SUMIFS(TEAMS_GbG[TM OR_RIM],TEAMS_GbG[[TM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C35" s="18" t="str">
        <f>IF($D35=0,"DNP",SUMIFS(TEAMS_GbG[OR_PAINT],TEAMS_GbG[[TM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D35" s="18" t="str">
        <f>IF($D35=0,"DNP",SUMIFS(TEAMS_GbG[TM OR_PAINT],TEAMS_GbG[[TM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E35" s="18" t="str">
        <f>IF($D35=0,"DNP",SUMIFS(TEAMS_GbG[OR_NP2],TEAMS_GbG[[TM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F35" s="18" t="str">
        <f>IF($D35=0,"DNP",SUMIFS(TEAMS_GbG[TM OR_NP2],TEAMS_GbG[[TM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G35" s="18" t="str">
        <f>IF($D35=0,"DNP",SUMIFS(TEAMS_GbG[OR_3C],TEAMS_GbG[[TM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H35" s="18" t="str">
        <f>IF($D35=0,"DNP",SUMIFS(TEAMS_GbG[TM OR_3C],TEAMS_GbG[[TM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I35" s="18" t="str">
        <f>IF($D35=0,"DNP",SUMIFS(TEAMS_GbG[OR_3L],TEAMS_GbG[[TM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J35" s="18" t="str">
        <f>IF($D35=0,"DNP",SUMIFS(TEAMS_GbG[TM OR_3L],TEAMS_GbG[[TM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K35" s="18" t="str">
        <f>IF($D35=0,"DNP",SUMIFS(TEAMS_GbG[OR_FT],TEAMS_GbG[[TM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L35" s="18" t="str">
        <f>IF($D35=0,"DNP",SUMIFS(TEAMS_GbG[TM OR_FT],TEAMS_GbG[[TM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M35" s="18" t="str">
        <f>IF($D35=0,"DNP",SUMIFS(TEAMS_GbG[DR_RIM],TEAMS_GbG[[TM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N35" s="18" t="str">
        <f>IF($D35=0,"DNP",SUMIFS(TEAMS_GbG[TM DR_RIM],TEAMS_GbG[[TM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O35" s="18" t="str">
        <f>IF($D35=0,"DNP",SUMIFS(TEAMS_GbG[DR_PAINT],TEAMS_GbG[[TM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P35" s="18" t="str">
        <f>IF($D35=0,"DNP",SUMIFS(TEAMS_GbG[TM DR_PAINT],TEAMS_GbG[[TM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Q35" s="18" t="str">
        <f>IF($D35=0,"DNP",SUMIFS(TEAMS_GbG[DR_NP2],TEAMS_GbG[[TM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R35" s="18" t="str">
        <f>IF($D35=0,"DNP",SUMIFS(TEAMS_GbG[TM DR_NP2],TEAMS_GbG[[TM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S35" s="18" t="str">
        <f>IF($D35=0,"DNP",SUMIFS(TEAMS_GbG[DR_3C],TEAMS_GbG[[TM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T35" s="18" t="str">
        <f>IF($D35=0,"DNP",SUMIFS(TEAMS_GbG[TM DR_3C],TEAMS_GbG[[TM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U35" s="18" t="str">
        <f>IF($D35=0,"DNP",SUMIFS(TEAMS_GbG[DR_3L],TEAMS_GbG[[TM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V35" s="18" t="str">
        <f>IF($D35=0,"DNP",SUMIFS(TEAMS_GbG[TM DR_3L],TEAMS_GbG[[TM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W35" s="18" t="str">
        <f>IF($D35=0,"DNP",SUMIFS(TEAMS_GbG[DR_FT],TEAMS_GbG[[TM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X35" s="18" t="str">
        <f>IF($D35=0,"DNP",SUMIFS(TEAMS_GbG[TM DR_FT],TEAMS_GbG[[TM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Y35" s="18" t="str">
        <f>IF($D35=0,"DNP",SUMIFS(TEAMS_GbG[FTM_T],TEAMS_GbG[[TM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Z35" s="18" t="str">
        <f>IF($D35=0,"DNP",SUMIFS(TEAMS_GbG[FTA_T],TEAMS_GbG[[TM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A35" s="18" t="str">
        <f>IF($D35=0,"DNP",SUMIFS(TEAMS_GbG[FTM_1],TEAMS_GbG[[TM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B35" s="18" t="str">
        <f>IF($D35=0,"DNP",SUMIFS(TEAMS_GbG[FTA_1],TEAMS_GbG[[TM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C35" s="18" t="str">
        <f>IF($D35=0,"DNP",SUMIFS(TEAMS_GbG[FTM_2],TEAMS_GbG[[TM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D35" s="18" t="str">
        <f>IF($D35=0,"DNP",SUMIFS(TEAMS_GbG[FTA_2],TEAMS_GbG[[TM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E35" s="18" t="str">
        <f>IF($D35=0,"DNP",SUMIFS(TEAMS_GbG[FT 0/2],TEAMS_GbG[[TM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F35" s="18" t="str">
        <f>IF($D35=0,"DNP",SUMIFS(TEAMS_GbG[FTM_3],TEAMS_GbG[[TM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G35" s="18" t="str">
        <f>IF($D35=0,"DNP",SUMIFS(TEAMS_GbG[FTA_3],TEAMS_GbG[[TM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H35" s="18" t="str">
        <f>IF($D35=0,"DNP",SUMIFS(TEAMS_GbG[FT 0/3],TEAMS_GbG[[TM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I35" s="18" t="str">
        <f>IF($D35=0,"DNP",SUMIFS(TEAMS_GbG[RIM_M],TEAMS_GbG[[TM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J35" s="18" t="str">
        <f>IF($D35=0,"DNP",SUMIFS(TEAMS_GbG[RIM_A],TEAMS_GbG[[TM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K35" s="18" t="str">
        <f>IF($D35=0,"DNP",SUMIFS(TEAMS_GbG[PAINT_M],TEAMS_GbG[[TM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L35" s="18" t="str">
        <f>IF($D35=0,"DNP",SUMIFS(TEAMS_GbG[PAINT_A],TEAMS_GbG[[TM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M35" s="18" t="str">
        <f>IF($D35=0,"DNP",SUMIFS(TEAMS_GbG[MID_M],TEAMS_GbG[[TM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N35" s="18" t="str">
        <f>IF($D35=0,"DNP",SUMIFS(TEAMS_GbG[MID_A],TEAMS_GbG[[TM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O35" s="18" t="str">
        <f>IF($D35=0,"DNP",SUMIFS(TEAMS_GbG[3C_M],TEAMS_GbG[[TM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P35" s="18" t="str">
        <f>IF($D35=0,"DNP",SUMIFS(TEAMS_GbG[3C_A],TEAMS_GbG[[TM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Q35" s="18" t="str">
        <f>IF($D35=0,"DNP",SUMIFS(TEAMS_GbG[3L_M],TEAMS_GbG[[TM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R35" s="18" t="str">
        <f>IF($D35=0,"DNP",SUMIFS(TEAMS_GbG[3L_A],TEAMS_GbG[[TM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S35" s="18" t="str">
        <f>IF($D35=0,"DNP",SUMIFS(TEAMS_GbG[3H_M],TEAMS_GbG[[TM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T35" s="18" t="str">
        <f>IF($D35=0,"DNP",SUMIFS(TEAMS_GbG[3H_A],TEAMS_GbG[[TM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U35" s="18" t="str">
        <f>IF($D35=0,"DNP",SUMIFS(TEAMS_GbG[OPP PTS],TEAMS_GbG[[TM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V35" s="18" t="str">
        <f>IF($D35=0,"DNP",SUMIFS(TEAMS_GbG[OPP 2PTM],TEAMS_GbG[[TM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W35" s="18" t="str">
        <f>IF($D35=0,"DNP",SUMIFS(TEAMS_GbG[OPP 2PTA],TEAMS_GbG[[TM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X35" s="16" t="str">
        <f t="shared" si="61"/>
        <v>DNP</v>
      </c>
      <c r="DY35" s="18" t="str">
        <f>IF($D35=0,"DNP",SUMIFS(TEAMS_GbG[OPP 3PTM],TEAMS_GbG[[TM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Z35" s="18" t="str">
        <f>IF($D35=0,"DNP",SUMIFS(TEAMS_GbG[OPP 3PTA],TEAMS_GbG[[TM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A35" s="16" t="str">
        <f t="shared" si="62"/>
        <v>DNP</v>
      </c>
      <c r="EB35" s="18" t="str">
        <f>IF($D35=0,"DNP",SUMIFS(TEAMS_GbG[OPP FGM],TEAMS_GbG[[TM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C35" s="18" t="str">
        <f>IF($D35=0,"DNP",SUMIFS(TEAMS_GbG[OPP FGA],TEAMS_GbG[[TM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D35" s="16" t="str">
        <f t="shared" si="63"/>
        <v>DNP</v>
      </c>
      <c r="EE35" s="18" t="str">
        <f>IF($D35=0,"DNP",SUMIFS(TEAMS_GbG[OPP FTM],TEAMS_GbG[[TM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F35" s="18" t="str">
        <f>IF($D35=0,"DNP",SUMIFS(TEAMS_GbG[OPP FTA],TEAMS_GbG[[TM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G35" s="16" t="str">
        <f t="shared" si="64"/>
        <v>DNP</v>
      </c>
      <c r="EH35" s="18" t="str">
        <f>IF($D35=0,"DNP",SUMIFS(TEAMS_GbG[OPP OR],TEAMS_GbG[[TM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I35" s="18" t="str">
        <f>IF($D35=0,"DNP",SUMIFS(TEAMS_GbG[OPP DR],TEAMS_GbG[[TM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J35" s="18" t="str">
        <f>IF($D35=0,"DNP",SUMIFS(TEAMS_GbG[OPP TR],TEAMS_GbG[[TM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K35" s="18" t="str">
        <f>IF($D35=0,"DNP",SUMIFS(TEAMS_GbG[OPP AST],TEAMS_GbG[[TM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L35" s="18" t="str">
        <f>IF($D35=0,"DNP",SUMIFS(TEAMS_GbG[OPP PF],TEAMS_GbG[[TM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M35" s="18" t="str">
        <f>IF($D35=0,"DNP",SUMIFS(TEAMS_GbG[OPP DF],TEAMS_GbG[[TM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N35" s="18" t="str">
        <f>IF($D35=0,"DNP",SUMIFS(TEAMS_GbG[OPP ST],TEAMS_GbG[[TM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O35" s="18" t="str">
        <f>IF($D35=0,"DNP",SUMIFS(TEAMS_GbG[OPP TO],TEAMS_GbG[[TM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P35" s="18" t="str">
        <f>IF($D35=0,"DNP",SUMIFS(TEAMS_GbG[OPP BLK],TEAMS_GbG[[TM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Q35" s="18" t="str">
        <f>IF($D35=0,"DNP",SUMIFS(TEAMS_GbG[OPP BLKA],TEAMS_GbG[[TM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R35" s="18" t="str">
        <f>IF($D35=0,"DNP",SUMIFS(TEAMS_GbG[OPP VAL],TEAMS_GbG[[TM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S35" s="18" t="str">
        <f>IF($D35=0,"DNP",SUMIFS(TEAMS_GbG[OPP + / -],TEAMS_GbG[[TM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T35" s="18" t="str">
        <f>IF($D35=0,"DNP",SUMIFS(TEAMS_GbG[OPP POSS],TEAMS_GbG[[TM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U35" s="18" t="str">
        <f>IF($D35=0,"DNP",SUMIFS(TEAMS_GbG[OPP SHOOTING CHANCES],TEAMS_GbG[[TM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V35" s="18" t="str">
        <f>IF($D35=0,"DNP",SUMIFS(TEAMS_GbG[OPP KILLS],TEAMS_GbG[[TM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W35" s="18" t="str">
        <f>IF($D35=0,"DNP",SUMIFS(TEAMS_GbG[OPP ASTED_2FG],TEAMS_GbG[[TM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X35" s="18" t="str">
        <f>IF($D35=0,"DNP",SUMIFS(TEAMS_GbG[OPP ASTED_3FG],TEAMS_GbG[[TM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Y35" s="18" t="str">
        <f>IF($D35=0,"DNP",SUMIFS(TEAMS_GbG[OPP ASTED_FT],TEAMS_GbG[[TM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Z35" s="18" t="str">
        <f>IF($D35=0,"DNP",SUMIFS(TEAMS_GbG[OPP ASTED_FT PTS],TEAMS_GbG[[TM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A35" s="18" t="str">
        <f>IF($D35=0,"DNP",SUMIFS(TEAMS_GbG[OPP OR_RIM],TEAMS_GbG[[TM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B35" s="18" t="str">
        <f>IF($D35=0,"DNP",SUMIFS(TEAMS_GbG[OPP TM OR_RIM],TEAMS_GbG[[TM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C35" s="18" t="str">
        <f>IF($D35=0,"DNP",SUMIFS(TEAMS_GbG[OPP OR_PAINT],TEAMS_GbG[[TM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D35" s="18" t="str">
        <f>IF($D35=0,"DNP",SUMIFS(TEAMS_GbG[OPP TM OR_PAINT],TEAMS_GbG[[TM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E35" s="18" t="str">
        <f>IF($D35=0,"DNP",SUMIFS(TEAMS_GbG[OPP OR_NP2],TEAMS_GbG[[TM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F35" s="18" t="str">
        <f>IF($D35=0,"DNP",SUMIFS(TEAMS_GbG[OPP TM OR_NP2],TEAMS_GbG[[TM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G35" s="18" t="str">
        <f>IF($D35=0,"DNP",SUMIFS(TEAMS_GbG[OPP OR_3C],TEAMS_GbG[[TM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H35" s="18" t="str">
        <f>IF($D35=0,"DNP",SUMIFS(TEAMS_GbG[OPP TM OR_3C],TEAMS_GbG[[TM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I35" s="18" t="str">
        <f>IF($D35=0,"DNP",SUMIFS(TEAMS_GbG[OPP OR_3L],TEAMS_GbG[[TM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J35" s="18" t="str">
        <f>IF($D35=0,"DNP",SUMIFS(TEAMS_GbG[OPP TM OR_3L],TEAMS_GbG[[TM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K35" s="18" t="str">
        <f>IF($D35=0,"DNP",SUMIFS(TEAMS_GbG[OPP OR_FT],TEAMS_GbG[[TM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L35" s="18" t="str">
        <f>IF($D35=0,"DNP",SUMIFS(TEAMS_GbG[OPP TM OR_FT],TEAMS_GbG[[TM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M35" s="18" t="str">
        <f>IF($D35=0,"DNP",SUMIFS(TEAMS_GbG[OPP DR_RIM],TEAMS_GbG[[TM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N35" s="18" t="str">
        <f>IF($D35=0,"DNP",SUMIFS(TEAMS_GbG[OPP TM DR_RIM],TEAMS_GbG[[TM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O35" s="18" t="str">
        <f>IF($D35=0,"DNP",SUMIFS(TEAMS_GbG[OPP DR_PAINT],TEAMS_GbG[[TM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P35" s="18" t="str">
        <f>IF($D35=0,"DNP",SUMIFS(TEAMS_GbG[OPP TM DR_PAINT],TEAMS_GbG[[TM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Q35" s="18" t="str">
        <f>IF($D35=0,"DNP",SUMIFS(TEAMS_GbG[OPP DR_NP2],TEAMS_GbG[[TM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R35" s="18" t="str">
        <f>IF($D35=0,"DNP",SUMIFS(TEAMS_GbG[OPP TM DR_NP2],TEAMS_GbG[[TM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S35" s="18" t="str">
        <f>IF($D35=0,"DNP",SUMIFS(TEAMS_GbG[OPP DR_3C],TEAMS_GbG[[TM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T35" s="18" t="str">
        <f>IF($D35=0,"DNP",SUMIFS(TEAMS_GbG[OPP TM DR_3C],TEAMS_GbG[[TM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U35" s="18" t="str">
        <f>IF($D35=0,"DNP",SUMIFS(TEAMS_GbG[OPP DR_3L],TEAMS_GbG[[TM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V35" s="18" t="str">
        <f>IF($D35=0,"DNP",SUMIFS(TEAMS_GbG[OPP TM DR_3L],TEAMS_GbG[[TM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W35" s="18" t="str">
        <f>IF($D35=0,"DNP",SUMIFS(TEAMS_GbG[OPP DR_FT],TEAMS_GbG[[TM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X35" s="18" t="str">
        <f>IF($D35=0,"DNP",SUMIFS(TEAMS_GbG[OPP TM DR_FT],TEAMS_GbG[[TM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Y35" s="18" t="str">
        <f>IF($D35=0,"DNP",SUMIFS(TEAMS_GbG[OPP FTM_T],TEAMS_GbG[[TM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Z35" s="18" t="str">
        <f>IF($D35=0,"DNP",SUMIFS(TEAMS_GbG[OPP FTA_T],TEAMS_GbG[[TM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A35" s="18" t="str">
        <f>IF($D35=0,"DNP",SUMIFS(TEAMS_GbG[OPP FTM_1],TEAMS_GbG[[TM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B35" s="18" t="str">
        <f>IF($D35=0,"DNP",SUMIFS(TEAMS_GbG[OPP FTA_1],TEAMS_GbG[[TM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C35" s="18" t="str">
        <f>IF($D35=0,"DNP",SUMIFS(TEAMS_GbG[OPP FTM_2],TEAMS_GbG[[TM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D35" s="18" t="str">
        <f>IF($D35=0,"DNP",SUMIFS(TEAMS_GbG[OPP FTA_2],TEAMS_GbG[[TM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E35" s="18" t="str">
        <f>IF($D35=0,"DNP",SUMIFS(TEAMS_GbG[OPP FT 0/2],TEAMS_GbG[[TM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F35" s="18" t="str">
        <f>IF($D35=0,"DNP",SUMIFS(TEAMS_GbG[OPP FTM_3],TEAMS_GbG[[TM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G35" s="18" t="str">
        <f>IF($D35=0,"DNP",SUMIFS(TEAMS_GbG[OPP FTA_3],TEAMS_GbG[[TM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H35" s="18" t="str">
        <f>IF($D35=0,"DNP",SUMIFS(TEAMS_GbG[OPP FT 0/3],TEAMS_GbG[[TM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I35" s="18" t="str">
        <f>IF($D35=0,"DNP",SUMIFS(TEAMS_GbG[OPP RIM_M],TEAMS_GbG[[TM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J35" s="18" t="str">
        <f>IF($D35=0,"DNP",SUMIFS(TEAMS_GbG[OPP RIM_A],TEAMS_GbG[[TM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K35" s="18" t="str">
        <f>IF($D35=0,"DNP",SUMIFS(TEAMS_GbG[OPP PAINT_M],TEAMS_GbG[[TM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L35" s="18" t="str">
        <f>IF($D35=0,"DNP",SUMIFS(TEAMS_GbG[OPP PAINT_A],TEAMS_GbG[[TM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M35" s="18" t="str">
        <f>IF($D35=0,"DNP",SUMIFS(TEAMS_GbG[OPP MID_M],TEAMS_GbG[[TM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N35" s="18" t="str">
        <f>IF($D35=0,"DNP",SUMIFS(TEAMS_GbG[OPP MID_A],TEAMS_GbG[[TM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O35" s="18" t="str">
        <f>IF($D35=0,"DNP",SUMIFS(TEAMS_GbG[OPP 3C_M],TEAMS_GbG[[TM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P35" s="18" t="str">
        <f>IF($D35=0,"DNP",SUMIFS(TEAMS_GbG[OPP 3C_A],TEAMS_GbG[[TM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Q35" s="18" t="str">
        <f>IF($D35=0,"DNP",SUMIFS(TEAMS_GbG[OPP 3L_M],TEAMS_GbG[[TM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R35" s="18" t="str">
        <f>IF($D35=0,"DNP",SUMIFS(TEAMS_GbG[OPP 3L_A],TEAMS_GbG[[TM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S35" s="18" t="str">
        <f>IF($D35=0,"DNP",SUMIFS(TEAMS_GbG[OPP 3H_M],TEAMS_GbG[[TM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T35" s="18" t="str">
        <f>IF($D35=0,"DNP",SUMIFS(TEAMS_GbG[OPP 3H_A],TEAMS_GbG[[TM NAME]:[TM NAME]],$C35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U35" s="16" t="str">
        <f>IF(TEAMS_STATS[[#This Row],[TM NAME]]="","",INDEX(SoS!$C$113:$C$144,MATCH(TEAMS_STATS[[#This Row],[TM NAME]],SoS!$B$113:$B$144,0)))</f>
        <v/>
      </c>
    </row>
    <row r="36" spans="2:203" ht="15" hidden="1" customHeight="1" x14ac:dyDescent="0.25">
      <c r="B36" s="12">
        <f>_xlfn.AGGREGATE(3,5,$C$7:C35)</f>
        <v>19</v>
      </c>
      <c r="C36" s="14" t="str">
        <f>BASIS_INFO!F31</f>
        <v/>
      </c>
      <c r="D36" s="20">
        <f>COUNTIFS(TEAMS_GbG[[TM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6" s="20">
        <f>COUNTIFS(TEAMS_GbG[[TM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6" s="20">
        <f>COUNTIFS(TEAMS_GbG[[TM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6" s="18" t="str">
        <f>IF($D36=0,"DNP",SUMIFS(TEAMS_GbG[MIN],TEAMS_GbG[[TM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H36" s="18" t="str">
        <f>IF($D36=0,"DNP",SUMIFS(TEAMS_GbG[PTS],TEAMS_GbG[[TM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I36" s="18" t="str">
        <f>IF($D36=0,"DNP",SUMIFS(TEAMS_GbG[2PTM],TEAMS_GbG[[TM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J36" s="18" t="str">
        <f>IF($D36=0,"DNP",SUMIFS(TEAMS_GbG[2PTA],TEAMS_GbG[[TM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K36" s="16" t="str">
        <f t="shared" si="56"/>
        <v>DNP</v>
      </c>
      <c r="L36" s="18" t="str">
        <f>IF($D36=0,"DNP",SUMIFS(TEAMS_GbG[3PTM],TEAMS_GbG[[TM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M36" s="18" t="str">
        <f>IF($D36=0,"DNP",SUMIFS(TEAMS_GbG[3PTA],TEAMS_GbG[[TM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N36" s="16" t="str">
        <f t="shared" si="57"/>
        <v>DNP</v>
      </c>
      <c r="O36" s="18" t="str">
        <f>IF($D36=0,"DNP",SUMIFS(TEAMS_GbG[FGM],TEAMS_GbG[[TM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P36" s="18" t="str">
        <f>IF($D36=0,"DNP",SUMIFS(TEAMS_GbG[FGA],TEAMS_GbG[[TM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Q36" s="16" t="str">
        <f t="shared" si="58"/>
        <v>DNP</v>
      </c>
      <c r="R36" s="18" t="str">
        <f>IF($D36=0,"DNP",SUMIFS(TEAMS_GbG[FTM],TEAMS_GbG[[TM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S36" s="18" t="str">
        <f>IF($D36=0,"DNP",SUMIFS(TEAMS_GbG[FTA],TEAMS_GbG[[TM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T36" s="16" t="str">
        <f t="shared" si="59"/>
        <v>DNP</v>
      </c>
      <c r="U36" s="18" t="str">
        <f>IF($D36=0,"DNP",SUMIFS(TEAMS_GbG[OR],TEAMS_GbG[[TM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V36" s="18" t="str">
        <f>IF($D36=0,"DNP",SUMIFS(TEAMS_GbG[DR],TEAMS_GbG[[TM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W36" s="18" t="str">
        <f>IF($D36=0,"DNP",SUMIFS(TEAMS_GbG[TR],TEAMS_GbG[[TM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X36" s="18" t="str">
        <f>IF($D36=0,"DNP",SUMIFS(TEAMS_GbG[AST],TEAMS_GbG[[TM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Y36" s="18" t="str">
        <f>IF($D36=0,"DNP",SUMIFS(TEAMS_GbG[TO],TEAMS_GbG[[TM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Z36" s="18" t="str">
        <f>IF($D36=0,"DNP",SUMIFS(TEAMS_GbG[ST],TEAMS_GbG[[TM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A36" s="18" t="str">
        <f>IF($D36=0,"DNP",SUMIFS(TEAMS_GbG[BLK],TEAMS_GbG[[TM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B36" s="18" t="str">
        <f>IF($D36=0,"DNP",SUMIFS(TEAMS_GbG[BLKA],TEAMS_GbG[[TM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C36" s="18" t="str">
        <f>IF($D36=0,"DNP",SUMIFS(TEAMS_GbG[PF],TEAMS_GbG[[TM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D36" s="18" t="str">
        <f>IF($D36=0,"DNP",SUMIFS(TEAMS_GbG[DF],TEAMS_GbG[[TM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E36" s="18" t="str">
        <f>IF($D36=0,"DNP",SUMIFS(TEAMS_GbG[VAL],TEAMS_GbG[[TM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F36" s="18" t="str">
        <f>IF($D36=0,"DNP",SUMIFS(TEAMS_GbG[+ / -],TEAMS_GbG[[TM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G36" s="26" t="str">
        <f t="shared" si="0"/>
        <v>DNP</v>
      </c>
      <c r="AH36" s="18" t="str">
        <f>IF($D36=0,"DNP",SUMIFS(TEAMS_GbG[POSS],TEAMS_GbG[[TM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I36" s="18" t="str">
        <f>IF($D36=0,"DNP",SUMIFS(TEAMS_GbG[SHOOTING CHANCES],TEAMS_GbG[[TM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J36" s="19" t="str">
        <f t="shared" si="1"/>
        <v>DNP</v>
      </c>
      <c r="AK36" s="19" t="str">
        <f t="shared" si="2"/>
        <v>DNP</v>
      </c>
      <c r="AL36" s="18" t="str">
        <f t="shared" si="3"/>
        <v>DNP</v>
      </c>
      <c r="AM36" s="18" t="str">
        <f t="shared" si="4"/>
        <v>DNP</v>
      </c>
      <c r="AN36" s="18" t="str">
        <f t="shared" si="60"/>
        <v>DNP</v>
      </c>
      <c r="AO36" s="27" t="str">
        <f t="shared" si="5"/>
        <v>DNP</v>
      </c>
      <c r="AP36" s="28" t="str">
        <f t="shared" si="6"/>
        <v>DNP</v>
      </c>
      <c r="AQ36" s="34" t="str">
        <f t="shared" si="7"/>
        <v>DNP</v>
      </c>
      <c r="AR36" s="19" t="str">
        <f t="shared" si="8"/>
        <v>DNP</v>
      </c>
      <c r="AS36" s="16" t="str">
        <f t="shared" si="9"/>
        <v>DNP</v>
      </c>
      <c r="AT36" s="18" t="str">
        <f t="shared" si="10"/>
        <v>DNP</v>
      </c>
      <c r="AU36" s="16" t="str">
        <f t="shared" si="11"/>
        <v>DNP</v>
      </c>
      <c r="AV36" s="18" t="str">
        <f t="shared" si="12"/>
        <v>DNP</v>
      </c>
      <c r="AW36" s="16" t="str">
        <f t="shared" si="13"/>
        <v>DNP</v>
      </c>
      <c r="AX36" s="19" t="str">
        <f t="shared" si="14"/>
        <v>DNP</v>
      </c>
      <c r="AY36" s="27" t="str">
        <f t="shared" si="15"/>
        <v>DNP</v>
      </c>
      <c r="AZ36" s="38" t="str">
        <f t="shared" si="16"/>
        <v>DNP</v>
      </c>
      <c r="BA36" s="28" t="str">
        <f t="shared" si="17"/>
        <v>DNP</v>
      </c>
      <c r="BB36" s="34" t="str">
        <f t="shared" si="18"/>
        <v>DNP</v>
      </c>
      <c r="BC36" s="27" t="str">
        <f t="shared" si="19"/>
        <v>DNP</v>
      </c>
      <c r="BD36" s="27" t="str">
        <f t="shared" si="20"/>
        <v>DNP</v>
      </c>
      <c r="BE36" s="27" t="str">
        <f t="shared" si="21"/>
        <v>DNP</v>
      </c>
      <c r="BF36" s="27" t="str">
        <f t="shared" si="22"/>
        <v>DNP</v>
      </c>
      <c r="BG36" s="27" t="str">
        <f t="shared" si="23"/>
        <v>DNP</v>
      </c>
      <c r="BH36" s="35" t="str">
        <f t="shared" si="24"/>
        <v>DNP</v>
      </c>
      <c r="BI36" s="49" t="str">
        <f t="shared" si="25"/>
        <v>DNP</v>
      </c>
      <c r="BJ36" s="45" t="str">
        <f t="shared" si="26"/>
        <v>DNP</v>
      </c>
      <c r="BK36" s="45" t="str">
        <f t="shared" si="27"/>
        <v>DNP</v>
      </c>
      <c r="BL36" s="45" t="str">
        <f t="shared" si="28"/>
        <v>DNP</v>
      </c>
      <c r="BM36" s="45" t="str">
        <f t="shared" si="29"/>
        <v>DNP</v>
      </c>
      <c r="BN36" s="45" t="str">
        <f t="shared" si="30"/>
        <v>DNP</v>
      </c>
      <c r="BO36" s="45" t="str">
        <f t="shared" si="31"/>
        <v>DNP</v>
      </c>
      <c r="BP36" s="45" t="str">
        <f t="shared" si="32"/>
        <v>DNP</v>
      </c>
      <c r="BQ36" s="46" t="str">
        <f t="shared" si="33"/>
        <v>DNP</v>
      </c>
      <c r="BR36" s="49" t="str">
        <f t="shared" si="34"/>
        <v>DNP</v>
      </c>
      <c r="BS36" s="45" t="str">
        <f t="shared" si="35"/>
        <v>DNP</v>
      </c>
      <c r="BT36" s="40" t="str">
        <f>IF($D36=0,"DNP",SUMIFS(TEAMS_GbG[KILLS],TEAMS_GbG[[TM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BU36" s="34" t="str">
        <f t="shared" si="36"/>
        <v>DNP</v>
      </c>
      <c r="BV36" s="28" t="str">
        <f t="shared" si="37"/>
        <v>DNP</v>
      </c>
      <c r="BW36" s="18" t="str">
        <f>IF($D36=0,"DNP",SUMIFS(TEAMS_GbG[ASTED_2FG],TEAMS_GbG[[TM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BX36" s="18" t="str">
        <f>IF($D36=0,"DNP",SUMIFS(TEAMS_GbG[ASTED_3FG],TEAMS_GbG[[TM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BY36" s="18" t="str">
        <f>IF($D36=0,"DNP",SUMIFS(TEAMS_GbG[ASTED_FT],TEAMS_GbG[[TM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BZ36" s="18" t="str">
        <f>IF($D36=0,"DNP",SUMIFS(TEAMS_GbG[ASTED_FT PTS],TEAMS_GbG[[TM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A36" s="18" t="str">
        <f>IF($D36=0,"DNP",SUMIFS(TEAMS_GbG[OR_RIM],TEAMS_GbG[[TM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B36" s="18" t="str">
        <f>IF($D36=0,"DNP",SUMIFS(TEAMS_GbG[TM OR_RIM],TEAMS_GbG[[TM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C36" s="18" t="str">
        <f>IF($D36=0,"DNP",SUMIFS(TEAMS_GbG[OR_PAINT],TEAMS_GbG[[TM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D36" s="18" t="str">
        <f>IF($D36=0,"DNP",SUMIFS(TEAMS_GbG[TM OR_PAINT],TEAMS_GbG[[TM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E36" s="18" t="str">
        <f>IF($D36=0,"DNP",SUMIFS(TEAMS_GbG[OR_NP2],TEAMS_GbG[[TM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F36" s="18" t="str">
        <f>IF($D36=0,"DNP",SUMIFS(TEAMS_GbG[TM OR_NP2],TEAMS_GbG[[TM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G36" s="18" t="str">
        <f>IF($D36=0,"DNP",SUMIFS(TEAMS_GbG[OR_3C],TEAMS_GbG[[TM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H36" s="18" t="str">
        <f>IF($D36=0,"DNP",SUMIFS(TEAMS_GbG[TM OR_3C],TEAMS_GbG[[TM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I36" s="18" t="str">
        <f>IF($D36=0,"DNP",SUMIFS(TEAMS_GbG[OR_3L],TEAMS_GbG[[TM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J36" s="18" t="str">
        <f>IF($D36=0,"DNP",SUMIFS(TEAMS_GbG[TM OR_3L],TEAMS_GbG[[TM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K36" s="18" t="str">
        <f>IF($D36=0,"DNP",SUMIFS(TEAMS_GbG[OR_FT],TEAMS_GbG[[TM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L36" s="18" t="str">
        <f>IF($D36=0,"DNP",SUMIFS(TEAMS_GbG[TM OR_FT],TEAMS_GbG[[TM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M36" s="18" t="str">
        <f>IF($D36=0,"DNP",SUMIFS(TEAMS_GbG[DR_RIM],TEAMS_GbG[[TM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N36" s="18" t="str">
        <f>IF($D36=0,"DNP",SUMIFS(TEAMS_GbG[TM DR_RIM],TEAMS_GbG[[TM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O36" s="18" t="str">
        <f>IF($D36=0,"DNP",SUMIFS(TEAMS_GbG[DR_PAINT],TEAMS_GbG[[TM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P36" s="18" t="str">
        <f>IF($D36=0,"DNP",SUMIFS(TEAMS_GbG[TM DR_PAINT],TEAMS_GbG[[TM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Q36" s="18" t="str">
        <f>IF($D36=0,"DNP",SUMIFS(TEAMS_GbG[DR_NP2],TEAMS_GbG[[TM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R36" s="18" t="str">
        <f>IF($D36=0,"DNP",SUMIFS(TEAMS_GbG[TM DR_NP2],TEAMS_GbG[[TM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S36" s="18" t="str">
        <f>IF($D36=0,"DNP",SUMIFS(TEAMS_GbG[DR_3C],TEAMS_GbG[[TM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T36" s="18" t="str">
        <f>IF($D36=0,"DNP",SUMIFS(TEAMS_GbG[TM DR_3C],TEAMS_GbG[[TM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U36" s="18" t="str">
        <f>IF($D36=0,"DNP",SUMIFS(TEAMS_GbG[DR_3L],TEAMS_GbG[[TM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V36" s="18" t="str">
        <f>IF($D36=0,"DNP",SUMIFS(TEAMS_GbG[TM DR_3L],TEAMS_GbG[[TM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W36" s="18" t="str">
        <f>IF($D36=0,"DNP",SUMIFS(TEAMS_GbG[DR_FT],TEAMS_GbG[[TM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X36" s="18" t="str">
        <f>IF($D36=0,"DNP",SUMIFS(TEAMS_GbG[TM DR_FT],TEAMS_GbG[[TM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Y36" s="18" t="str">
        <f>IF($D36=0,"DNP",SUMIFS(TEAMS_GbG[FTM_T],TEAMS_GbG[[TM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Z36" s="18" t="str">
        <f>IF($D36=0,"DNP",SUMIFS(TEAMS_GbG[FTA_T],TEAMS_GbG[[TM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A36" s="18" t="str">
        <f>IF($D36=0,"DNP",SUMIFS(TEAMS_GbG[FTM_1],TEAMS_GbG[[TM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B36" s="18" t="str">
        <f>IF($D36=0,"DNP",SUMIFS(TEAMS_GbG[FTA_1],TEAMS_GbG[[TM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C36" s="18" t="str">
        <f>IF($D36=0,"DNP",SUMIFS(TEAMS_GbG[FTM_2],TEAMS_GbG[[TM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D36" s="18" t="str">
        <f>IF($D36=0,"DNP",SUMIFS(TEAMS_GbG[FTA_2],TEAMS_GbG[[TM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E36" s="18" t="str">
        <f>IF($D36=0,"DNP",SUMIFS(TEAMS_GbG[FT 0/2],TEAMS_GbG[[TM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F36" s="18" t="str">
        <f>IF($D36=0,"DNP",SUMIFS(TEAMS_GbG[FTM_3],TEAMS_GbG[[TM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G36" s="18" t="str">
        <f>IF($D36=0,"DNP",SUMIFS(TEAMS_GbG[FTA_3],TEAMS_GbG[[TM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H36" s="18" t="str">
        <f>IF($D36=0,"DNP",SUMIFS(TEAMS_GbG[FT 0/3],TEAMS_GbG[[TM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I36" s="18" t="str">
        <f>IF($D36=0,"DNP",SUMIFS(TEAMS_GbG[RIM_M],TEAMS_GbG[[TM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J36" s="18" t="str">
        <f>IF($D36=0,"DNP",SUMIFS(TEAMS_GbG[RIM_A],TEAMS_GbG[[TM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K36" s="18" t="str">
        <f>IF($D36=0,"DNP",SUMIFS(TEAMS_GbG[PAINT_M],TEAMS_GbG[[TM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L36" s="18" t="str">
        <f>IF($D36=0,"DNP",SUMIFS(TEAMS_GbG[PAINT_A],TEAMS_GbG[[TM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M36" s="18" t="str">
        <f>IF($D36=0,"DNP",SUMIFS(TEAMS_GbG[MID_M],TEAMS_GbG[[TM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N36" s="18" t="str">
        <f>IF($D36=0,"DNP",SUMIFS(TEAMS_GbG[MID_A],TEAMS_GbG[[TM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O36" s="18" t="str">
        <f>IF($D36=0,"DNP",SUMIFS(TEAMS_GbG[3C_M],TEAMS_GbG[[TM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P36" s="18" t="str">
        <f>IF($D36=0,"DNP",SUMIFS(TEAMS_GbG[3C_A],TEAMS_GbG[[TM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Q36" s="18" t="str">
        <f>IF($D36=0,"DNP",SUMIFS(TEAMS_GbG[3L_M],TEAMS_GbG[[TM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R36" s="18" t="str">
        <f>IF($D36=0,"DNP",SUMIFS(TEAMS_GbG[3L_A],TEAMS_GbG[[TM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S36" s="18" t="str">
        <f>IF($D36=0,"DNP",SUMIFS(TEAMS_GbG[3H_M],TEAMS_GbG[[TM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T36" s="18" t="str">
        <f>IF($D36=0,"DNP",SUMIFS(TEAMS_GbG[3H_A],TEAMS_GbG[[TM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U36" s="18" t="str">
        <f>IF($D36=0,"DNP",SUMIFS(TEAMS_GbG[OPP PTS],TEAMS_GbG[[TM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V36" s="18" t="str">
        <f>IF($D36=0,"DNP",SUMIFS(TEAMS_GbG[OPP 2PTM],TEAMS_GbG[[TM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W36" s="18" t="str">
        <f>IF($D36=0,"DNP",SUMIFS(TEAMS_GbG[OPP 2PTA],TEAMS_GbG[[TM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X36" s="16" t="str">
        <f t="shared" si="61"/>
        <v>DNP</v>
      </c>
      <c r="DY36" s="18" t="str">
        <f>IF($D36=0,"DNP",SUMIFS(TEAMS_GbG[OPP 3PTM],TEAMS_GbG[[TM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Z36" s="18" t="str">
        <f>IF($D36=0,"DNP",SUMIFS(TEAMS_GbG[OPP 3PTA],TEAMS_GbG[[TM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A36" s="16" t="str">
        <f t="shared" si="62"/>
        <v>DNP</v>
      </c>
      <c r="EB36" s="18" t="str">
        <f>IF($D36=0,"DNP",SUMIFS(TEAMS_GbG[OPP FGM],TEAMS_GbG[[TM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C36" s="18" t="str">
        <f>IF($D36=0,"DNP",SUMIFS(TEAMS_GbG[OPP FGA],TEAMS_GbG[[TM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D36" s="16" t="str">
        <f t="shared" si="63"/>
        <v>DNP</v>
      </c>
      <c r="EE36" s="18" t="str">
        <f>IF($D36=0,"DNP",SUMIFS(TEAMS_GbG[OPP FTM],TEAMS_GbG[[TM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F36" s="18" t="str">
        <f>IF($D36=0,"DNP",SUMIFS(TEAMS_GbG[OPP FTA],TEAMS_GbG[[TM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G36" s="16" t="str">
        <f t="shared" si="64"/>
        <v>DNP</v>
      </c>
      <c r="EH36" s="18" t="str">
        <f>IF($D36=0,"DNP",SUMIFS(TEAMS_GbG[OPP OR],TEAMS_GbG[[TM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I36" s="18" t="str">
        <f>IF($D36=0,"DNP",SUMIFS(TEAMS_GbG[OPP DR],TEAMS_GbG[[TM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J36" s="18" t="str">
        <f>IF($D36=0,"DNP",SUMIFS(TEAMS_GbG[OPP TR],TEAMS_GbG[[TM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K36" s="18" t="str">
        <f>IF($D36=0,"DNP",SUMIFS(TEAMS_GbG[OPP AST],TEAMS_GbG[[TM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L36" s="18" t="str">
        <f>IF($D36=0,"DNP",SUMIFS(TEAMS_GbG[OPP PF],TEAMS_GbG[[TM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M36" s="18" t="str">
        <f>IF($D36=0,"DNP",SUMIFS(TEAMS_GbG[OPP DF],TEAMS_GbG[[TM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N36" s="18" t="str">
        <f>IF($D36=0,"DNP",SUMIFS(TEAMS_GbG[OPP ST],TEAMS_GbG[[TM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O36" s="18" t="str">
        <f>IF($D36=0,"DNP",SUMIFS(TEAMS_GbG[OPP TO],TEAMS_GbG[[TM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P36" s="18" t="str">
        <f>IF($D36=0,"DNP",SUMIFS(TEAMS_GbG[OPP BLK],TEAMS_GbG[[TM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Q36" s="18" t="str">
        <f>IF($D36=0,"DNP",SUMIFS(TEAMS_GbG[OPP BLKA],TEAMS_GbG[[TM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R36" s="18" t="str">
        <f>IF($D36=0,"DNP",SUMIFS(TEAMS_GbG[OPP VAL],TEAMS_GbG[[TM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S36" s="18" t="str">
        <f>IF($D36=0,"DNP",SUMIFS(TEAMS_GbG[OPP + / -],TEAMS_GbG[[TM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T36" s="18" t="str">
        <f>IF($D36=0,"DNP",SUMIFS(TEAMS_GbG[OPP POSS],TEAMS_GbG[[TM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U36" s="18" t="str">
        <f>IF($D36=0,"DNP",SUMIFS(TEAMS_GbG[OPP SHOOTING CHANCES],TEAMS_GbG[[TM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V36" s="18" t="str">
        <f>IF($D36=0,"DNP",SUMIFS(TEAMS_GbG[OPP KILLS],TEAMS_GbG[[TM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W36" s="18" t="str">
        <f>IF($D36=0,"DNP",SUMIFS(TEAMS_GbG[OPP ASTED_2FG],TEAMS_GbG[[TM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X36" s="18" t="str">
        <f>IF($D36=0,"DNP",SUMIFS(TEAMS_GbG[OPP ASTED_3FG],TEAMS_GbG[[TM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Y36" s="18" t="str">
        <f>IF($D36=0,"DNP",SUMIFS(TEAMS_GbG[OPP ASTED_FT],TEAMS_GbG[[TM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Z36" s="18" t="str">
        <f>IF($D36=0,"DNP",SUMIFS(TEAMS_GbG[OPP ASTED_FT PTS],TEAMS_GbG[[TM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A36" s="18" t="str">
        <f>IF($D36=0,"DNP",SUMIFS(TEAMS_GbG[OPP OR_RIM],TEAMS_GbG[[TM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B36" s="18" t="str">
        <f>IF($D36=0,"DNP",SUMIFS(TEAMS_GbG[OPP TM OR_RIM],TEAMS_GbG[[TM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C36" s="18" t="str">
        <f>IF($D36=0,"DNP",SUMIFS(TEAMS_GbG[OPP OR_PAINT],TEAMS_GbG[[TM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D36" s="18" t="str">
        <f>IF($D36=0,"DNP",SUMIFS(TEAMS_GbG[OPP TM OR_PAINT],TEAMS_GbG[[TM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E36" s="18" t="str">
        <f>IF($D36=0,"DNP",SUMIFS(TEAMS_GbG[OPP OR_NP2],TEAMS_GbG[[TM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F36" s="18" t="str">
        <f>IF($D36=0,"DNP",SUMIFS(TEAMS_GbG[OPP TM OR_NP2],TEAMS_GbG[[TM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G36" s="18" t="str">
        <f>IF($D36=0,"DNP",SUMIFS(TEAMS_GbG[OPP OR_3C],TEAMS_GbG[[TM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H36" s="18" t="str">
        <f>IF($D36=0,"DNP",SUMIFS(TEAMS_GbG[OPP TM OR_3C],TEAMS_GbG[[TM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I36" s="18" t="str">
        <f>IF($D36=0,"DNP",SUMIFS(TEAMS_GbG[OPP OR_3L],TEAMS_GbG[[TM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J36" s="18" t="str">
        <f>IF($D36=0,"DNP",SUMIFS(TEAMS_GbG[OPP TM OR_3L],TEAMS_GbG[[TM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K36" s="18" t="str">
        <f>IF($D36=0,"DNP",SUMIFS(TEAMS_GbG[OPP OR_FT],TEAMS_GbG[[TM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L36" s="18" t="str">
        <f>IF($D36=0,"DNP",SUMIFS(TEAMS_GbG[OPP TM OR_FT],TEAMS_GbG[[TM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M36" s="18" t="str">
        <f>IF($D36=0,"DNP",SUMIFS(TEAMS_GbG[OPP DR_RIM],TEAMS_GbG[[TM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N36" s="18" t="str">
        <f>IF($D36=0,"DNP",SUMIFS(TEAMS_GbG[OPP TM DR_RIM],TEAMS_GbG[[TM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O36" s="18" t="str">
        <f>IF($D36=0,"DNP",SUMIFS(TEAMS_GbG[OPP DR_PAINT],TEAMS_GbG[[TM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P36" s="18" t="str">
        <f>IF($D36=0,"DNP",SUMIFS(TEAMS_GbG[OPP TM DR_PAINT],TEAMS_GbG[[TM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Q36" s="18" t="str">
        <f>IF($D36=0,"DNP",SUMIFS(TEAMS_GbG[OPP DR_NP2],TEAMS_GbG[[TM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R36" s="18" t="str">
        <f>IF($D36=0,"DNP",SUMIFS(TEAMS_GbG[OPP TM DR_NP2],TEAMS_GbG[[TM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S36" s="18" t="str">
        <f>IF($D36=0,"DNP",SUMIFS(TEAMS_GbG[OPP DR_3C],TEAMS_GbG[[TM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T36" s="18" t="str">
        <f>IF($D36=0,"DNP",SUMIFS(TEAMS_GbG[OPP TM DR_3C],TEAMS_GbG[[TM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U36" s="18" t="str">
        <f>IF($D36=0,"DNP",SUMIFS(TEAMS_GbG[OPP DR_3L],TEAMS_GbG[[TM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V36" s="18" t="str">
        <f>IF($D36=0,"DNP",SUMIFS(TEAMS_GbG[OPP TM DR_3L],TEAMS_GbG[[TM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W36" s="18" t="str">
        <f>IF($D36=0,"DNP",SUMIFS(TEAMS_GbG[OPP DR_FT],TEAMS_GbG[[TM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X36" s="18" t="str">
        <f>IF($D36=0,"DNP",SUMIFS(TEAMS_GbG[OPP TM DR_FT],TEAMS_GbG[[TM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Y36" s="18" t="str">
        <f>IF($D36=0,"DNP",SUMIFS(TEAMS_GbG[OPP FTM_T],TEAMS_GbG[[TM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Z36" s="18" t="str">
        <f>IF($D36=0,"DNP",SUMIFS(TEAMS_GbG[OPP FTA_T],TEAMS_GbG[[TM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A36" s="18" t="str">
        <f>IF($D36=0,"DNP",SUMIFS(TEAMS_GbG[OPP FTM_1],TEAMS_GbG[[TM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B36" s="18" t="str">
        <f>IF($D36=0,"DNP",SUMIFS(TEAMS_GbG[OPP FTA_1],TEAMS_GbG[[TM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C36" s="18" t="str">
        <f>IF($D36=0,"DNP",SUMIFS(TEAMS_GbG[OPP FTM_2],TEAMS_GbG[[TM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D36" s="18" t="str">
        <f>IF($D36=0,"DNP",SUMIFS(TEAMS_GbG[OPP FTA_2],TEAMS_GbG[[TM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E36" s="18" t="str">
        <f>IF($D36=0,"DNP",SUMIFS(TEAMS_GbG[OPP FT 0/2],TEAMS_GbG[[TM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F36" s="18" t="str">
        <f>IF($D36=0,"DNP",SUMIFS(TEAMS_GbG[OPP FTM_3],TEAMS_GbG[[TM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G36" s="18" t="str">
        <f>IF($D36=0,"DNP",SUMIFS(TEAMS_GbG[OPP FTA_3],TEAMS_GbG[[TM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H36" s="18" t="str">
        <f>IF($D36=0,"DNP",SUMIFS(TEAMS_GbG[OPP FT 0/3],TEAMS_GbG[[TM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I36" s="18" t="str">
        <f>IF($D36=0,"DNP",SUMIFS(TEAMS_GbG[OPP RIM_M],TEAMS_GbG[[TM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J36" s="18" t="str">
        <f>IF($D36=0,"DNP",SUMIFS(TEAMS_GbG[OPP RIM_A],TEAMS_GbG[[TM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K36" s="18" t="str">
        <f>IF($D36=0,"DNP",SUMIFS(TEAMS_GbG[OPP PAINT_M],TEAMS_GbG[[TM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L36" s="18" t="str">
        <f>IF($D36=0,"DNP",SUMIFS(TEAMS_GbG[OPP PAINT_A],TEAMS_GbG[[TM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M36" s="18" t="str">
        <f>IF($D36=0,"DNP",SUMIFS(TEAMS_GbG[OPP MID_M],TEAMS_GbG[[TM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N36" s="18" t="str">
        <f>IF($D36=0,"DNP",SUMIFS(TEAMS_GbG[OPP MID_A],TEAMS_GbG[[TM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O36" s="18" t="str">
        <f>IF($D36=0,"DNP",SUMIFS(TEAMS_GbG[OPP 3C_M],TEAMS_GbG[[TM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P36" s="18" t="str">
        <f>IF($D36=0,"DNP",SUMIFS(TEAMS_GbG[OPP 3C_A],TEAMS_GbG[[TM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Q36" s="18" t="str">
        <f>IF($D36=0,"DNP",SUMIFS(TEAMS_GbG[OPP 3L_M],TEAMS_GbG[[TM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R36" s="18" t="str">
        <f>IF($D36=0,"DNP",SUMIFS(TEAMS_GbG[OPP 3L_A],TEAMS_GbG[[TM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S36" s="18" t="str">
        <f>IF($D36=0,"DNP",SUMIFS(TEAMS_GbG[OPP 3H_M],TEAMS_GbG[[TM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T36" s="18" t="str">
        <f>IF($D36=0,"DNP",SUMIFS(TEAMS_GbG[OPP 3H_A],TEAMS_GbG[[TM NAME]:[TM NAME]],$C36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U36" s="16" t="str">
        <f>IF(TEAMS_STATS[[#This Row],[TM NAME]]="","",INDEX(SoS!$C$113:$C$144,MATCH(TEAMS_STATS[[#This Row],[TM NAME]],SoS!$B$113:$B$144,0)))</f>
        <v/>
      </c>
    </row>
    <row r="37" spans="2:203" ht="15" hidden="1" customHeight="1" x14ac:dyDescent="0.25">
      <c r="B37" s="12">
        <f>_xlfn.AGGREGATE(3,5,$C$7:C36)</f>
        <v>19</v>
      </c>
      <c r="C37" s="14" t="str">
        <f>BASIS_INFO!F32</f>
        <v/>
      </c>
      <c r="D37" s="20">
        <f>COUNTIFS(TEAMS_GbG[[TM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7" s="20">
        <f>COUNTIFS(TEAMS_GbG[[TM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7" s="20">
        <f>COUNTIFS(TEAMS_GbG[[TM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7" s="18" t="str">
        <f>IF($D37=0,"DNP",SUMIFS(TEAMS_GbG[MIN],TEAMS_GbG[[TM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H37" s="18" t="str">
        <f>IF($D37=0,"DNP",SUMIFS(TEAMS_GbG[PTS],TEAMS_GbG[[TM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I37" s="18" t="str">
        <f>IF($D37=0,"DNP",SUMIFS(TEAMS_GbG[2PTM],TEAMS_GbG[[TM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J37" s="18" t="str">
        <f>IF($D37=0,"DNP",SUMIFS(TEAMS_GbG[2PTA],TEAMS_GbG[[TM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K37" s="16" t="str">
        <f t="shared" si="56"/>
        <v>DNP</v>
      </c>
      <c r="L37" s="18" t="str">
        <f>IF($D37=0,"DNP",SUMIFS(TEAMS_GbG[3PTM],TEAMS_GbG[[TM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M37" s="18" t="str">
        <f>IF($D37=0,"DNP",SUMIFS(TEAMS_GbG[3PTA],TEAMS_GbG[[TM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N37" s="16" t="str">
        <f t="shared" si="57"/>
        <v>DNP</v>
      </c>
      <c r="O37" s="18" t="str">
        <f>IF($D37=0,"DNP",SUMIFS(TEAMS_GbG[FGM],TEAMS_GbG[[TM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P37" s="18" t="str">
        <f>IF($D37=0,"DNP",SUMIFS(TEAMS_GbG[FGA],TEAMS_GbG[[TM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Q37" s="16" t="str">
        <f t="shared" si="58"/>
        <v>DNP</v>
      </c>
      <c r="R37" s="18" t="str">
        <f>IF($D37=0,"DNP",SUMIFS(TEAMS_GbG[FTM],TEAMS_GbG[[TM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S37" s="18" t="str">
        <f>IF($D37=0,"DNP",SUMIFS(TEAMS_GbG[FTA],TEAMS_GbG[[TM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T37" s="16" t="str">
        <f t="shared" si="59"/>
        <v>DNP</v>
      </c>
      <c r="U37" s="18" t="str">
        <f>IF($D37=0,"DNP",SUMIFS(TEAMS_GbG[OR],TEAMS_GbG[[TM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V37" s="18" t="str">
        <f>IF($D37=0,"DNP",SUMIFS(TEAMS_GbG[DR],TEAMS_GbG[[TM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W37" s="18" t="str">
        <f>IF($D37=0,"DNP",SUMIFS(TEAMS_GbG[TR],TEAMS_GbG[[TM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X37" s="18" t="str">
        <f>IF($D37=0,"DNP",SUMIFS(TEAMS_GbG[AST],TEAMS_GbG[[TM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Y37" s="18" t="str">
        <f>IF($D37=0,"DNP",SUMIFS(TEAMS_GbG[TO],TEAMS_GbG[[TM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Z37" s="18" t="str">
        <f>IF($D37=0,"DNP",SUMIFS(TEAMS_GbG[ST],TEAMS_GbG[[TM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A37" s="18" t="str">
        <f>IF($D37=0,"DNP",SUMIFS(TEAMS_GbG[BLK],TEAMS_GbG[[TM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B37" s="18" t="str">
        <f>IF($D37=0,"DNP",SUMIFS(TEAMS_GbG[BLKA],TEAMS_GbG[[TM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C37" s="18" t="str">
        <f>IF($D37=0,"DNP",SUMIFS(TEAMS_GbG[PF],TEAMS_GbG[[TM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D37" s="18" t="str">
        <f>IF($D37=0,"DNP",SUMIFS(TEAMS_GbG[DF],TEAMS_GbG[[TM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E37" s="18" t="str">
        <f>IF($D37=0,"DNP",SUMIFS(TEAMS_GbG[VAL],TEAMS_GbG[[TM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F37" s="18" t="str">
        <f>IF($D37=0,"DNP",SUMIFS(TEAMS_GbG[+ / -],TEAMS_GbG[[TM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G37" s="26" t="str">
        <f t="shared" si="0"/>
        <v>DNP</v>
      </c>
      <c r="AH37" s="18" t="str">
        <f>IF($D37=0,"DNP",SUMIFS(TEAMS_GbG[POSS],TEAMS_GbG[[TM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I37" s="18" t="str">
        <f>IF($D37=0,"DNP",SUMIFS(TEAMS_GbG[SHOOTING CHANCES],TEAMS_GbG[[TM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J37" s="19" t="str">
        <f t="shared" si="1"/>
        <v>DNP</v>
      </c>
      <c r="AK37" s="19" t="str">
        <f t="shared" si="2"/>
        <v>DNP</v>
      </c>
      <c r="AL37" s="18" t="str">
        <f t="shared" si="3"/>
        <v>DNP</v>
      </c>
      <c r="AM37" s="18" t="str">
        <f t="shared" si="4"/>
        <v>DNP</v>
      </c>
      <c r="AN37" s="18" t="str">
        <f t="shared" si="60"/>
        <v>DNP</v>
      </c>
      <c r="AO37" s="27" t="str">
        <f t="shared" si="5"/>
        <v>DNP</v>
      </c>
      <c r="AP37" s="28" t="str">
        <f t="shared" si="6"/>
        <v>DNP</v>
      </c>
      <c r="AQ37" s="34" t="str">
        <f t="shared" si="7"/>
        <v>DNP</v>
      </c>
      <c r="AR37" s="19" t="str">
        <f t="shared" si="8"/>
        <v>DNP</v>
      </c>
      <c r="AS37" s="16" t="str">
        <f t="shared" si="9"/>
        <v>DNP</v>
      </c>
      <c r="AT37" s="18" t="str">
        <f t="shared" si="10"/>
        <v>DNP</v>
      </c>
      <c r="AU37" s="16" t="str">
        <f t="shared" si="11"/>
        <v>DNP</v>
      </c>
      <c r="AV37" s="18" t="str">
        <f t="shared" si="12"/>
        <v>DNP</v>
      </c>
      <c r="AW37" s="16" t="str">
        <f t="shared" si="13"/>
        <v>DNP</v>
      </c>
      <c r="AX37" s="19" t="str">
        <f t="shared" si="14"/>
        <v>DNP</v>
      </c>
      <c r="AY37" s="27" t="str">
        <f t="shared" si="15"/>
        <v>DNP</v>
      </c>
      <c r="AZ37" s="38" t="str">
        <f t="shared" si="16"/>
        <v>DNP</v>
      </c>
      <c r="BA37" s="28" t="str">
        <f t="shared" si="17"/>
        <v>DNP</v>
      </c>
      <c r="BB37" s="34" t="str">
        <f t="shared" si="18"/>
        <v>DNP</v>
      </c>
      <c r="BC37" s="27" t="str">
        <f t="shared" si="19"/>
        <v>DNP</v>
      </c>
      <c r="BD37" s="27" t="str">
        <f t="shared" si="20"/>
        <v>DNP</v>
      </c>
      <c r="BE37" s="27" t="str">
        <f t="shared" si="21"/>
        <v>DNP</v>
      </c>
      <c r="BF37" s="27" t="str">
        <f t="shared" si="22"/>
        <v>DNP</v>
      </c>
      <c r="BG37" s="27" t="str">
        <f t="shared" si="23"/>
        <v>DNP</v>
      </c>
      <c r="BH37" s="35" t="str">
        <f t="shared" si="24"/>
        <v>DNP</v>
      </c>
      <c r="BI37" s="49" t="str">
        <f t="shared" si="25"/>
        <v>DNP</v>
      </c>
      <c r="BJ37" s="45" t="str">
        <f t="shared" si="26"/>
        <v>DNP</v>
      </c>
      <c r="BK37" s="45" t="str">
        <f t="shared" si="27"/>
        <v>DNP</v>
      </c>
      <c r="BL37" s="45" t="str">
        <f t="shared" si="28"/>
        <v>DNP</v>
      </c>
      <c r="BM37" s="45" t="str">
        <f t="shared" si="29"/>
        <v>DNP</v>
      </c>
      <c r="BN37" s="45" t="str">
        <f t="shared" si="30"/>
        <v>DNP</v>
      </c>
      <c r="BO37" s="45" t="str">
        <f t="shared" si="31"/>
        <v>DNP</v>
      </c>
      <c r="BP37" s="45" t="str">
        <f t="shared" si="32"/>
        <v>DNP</v>
      </c>
      <c r="BQ37" s="46" t="str">
        <f t="shared" si="33"/>
        <v>DNP</v>
      </c>
      <c r="BR37" s="49" t="str">
        <f t="shared" si="34"/>
        <v>DNP</v>
      </c>
      <c r="BS37" s="45" t="str">
        <f t="shared" si="35"/>
        <v>DNP</v>
      </c>
      <c r="BT37" s="40" t="str">
        <f>IF($D37=0,"DNP",SUMIFS(TEAMS_GbG[KILLS],TEAMS_GbG[[TM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BU37" s="34" t="str">
        <f t="shared" si="36"/>
        <v>DNP</v>
      </c>
      <c r="BV37" s="28" t="str">
        <f t="shared" si="37"/>
        <v>DNP</v>
      </c>
      <c r="BW37" s="18" t="str">
        <f>IF($D37=0,"DNP",SUMIFS(TEAMS_GbG[ASTED_2FG],TEAMS_GbG[[TM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BX37" s="18" t="str">
        <f>IF($D37=0,"DNP",SUMIFS(TEAMS_GbG[ASTED_3FG],TEAMS_GbG[[TM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BY37" s="18" t="str">
        <f>IF($D37=0,"DNP",SUMIFS(TEAMS_GbG[ASTED_FT],TEAMS_GbG[[TM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BZ37" s="18" t="str">
        <f>IF($D37=0,"DNP",SUMIFS(TEAMS_GbG[ASTED_FT PTS],TEAMS_GbG[[TM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A37" s="18" t="str">
        <f>IF($D37=0,"DNP",SUMIFS(TEAMS_GbG[OR_RIM],TEAMS_GbG[[TM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B37" s="18" t="str">
        <f>IF($D37=0,"DNP",SUMIFS(TEAMS_GbG[TM OR_RIM],TEAMS_GbG[[TM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C37" s="18" t="str">
        <f>IF($D37=0,"DNP",SUMIFS(TEAMS_GbG[OR_PAINT],TEAMS_GbG[[TM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D37" s="18" t="str">
        <f>IF($D37=0,"DNP",SUMIFS(TEAMS_GbG[TM OR_PAINT],TEAMS_GbG[[TM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E37" s="18" t="str">
        <f>IF($D37=0,"DNP",SUMIFS(TEAMS_GbG[OR_NP2],TEAMS_GbG[[TM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F37" s="18" t="str">
        <f>IF($D37=0,"DNP",SUMIFS(TEAMS_GbG[TM OR_NP2],TEAMS_GbG[[TM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G37" s="18" t="str">
        <f>IF($D37=0,"DNP",SUMIFS(TEAMS_GbG[OR_3C],TEAMS_GbG[[TM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H37" s="18" t="str">
        <f>IF($D37=0,"DNP",SUMIFS(TEAMS_GbG[TM OR_3C],TEAMS_GbG[[TM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I37" s="18" t="str">
        <f>IF($D37=0,"DNP",SUMIFS(TEAMS_GbG[OR_3L],TEAMS_GbG[[TM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J37" s="18" t="str">
        <f>IF($D37=0,"DNP",SUMIFS(TEAMS_GbG[TM OR_3L],TEAMS_GbG[[TM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K37" s="18" t="str">
        <f>IF($D37=0,"DNP",SUMIFS(TEAMS_GbG[OR_FT],TEAMS_GbG[[TM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L37" s="18" t="str">
        <f>IF($D37=0,"DNP",SUMIFS(TEAMS_GbG[TM OR_FT],TEAMS_GbG[[TM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M37" s="18" t="str">
        <f>IF($D37=0,"DNP",SUMIFS(TEAMS_GbG[DR_RIM],TEAMS_GbG[[TM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N37" s="18" t="str">
        <f>IF($D37=0,"DNP",SUMIFS(TEAMS_GbG[TM DR_RIM],TEAMS_GbG[[TM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O37" s="18" t="str">
        <f>IF($D37=0,"DNP",SUMIFS(TEAMS_GbG[DR_PAINT],TEAMS_GbG[[TM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P37" s="18" t="str">
        <f>IF($D37=0,"DNP",SUMIFS(TEAMS_GbG[TM DR_PAINT],TEAMS_GbG[[TM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Q37" s="18" t="str">
        <f>IF($D37=0,"DNP",SUMIFS(TEAMS_GbG[DR_NP2],TEAMS_GbG[[TM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R37" s="18" t="str">
        <f>IF($D37=0,"DNP",SUMIFS(TEAMS_GbG[TM DR_NP2],TEAMS_GbG[[TM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S37" s="18" t="str">
        <f>IF($D37=0,"DNP",SUMIFS(TEAMS_GbG[DR_3C],TEAMS_GbG[[TM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T37" s="18" t="str">
        <f>IF($D37=0,"DNP",SUMIFS(TEAMS_GbG[TM DR_3C],TEAMS_GbG[[TM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U37" s="18" t="str">
        <f>IF($D37=0,"DNP",SUMIFS(TEAMS_GbG[DR_3L],TEAMS_GbG[[TM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V37" s="18" t="str">
        <f>IF($D37=0,"DNP",SUMIFS(TEAMS_GbG[TM DR_3L],TEAMS_GbG[[TM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W37" s="18" t="str">
        <f>IF($D37=0,"DNP",SUMIFS(TEAMS_GbG[DR_FT],TEAMS_GbG[[TM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X37" s="18" t="str">
        <f>IF($D37=0,"DNP",SUMIFS(TEAMS_GbG[TM DR_FT],TEAMS_GbG[[TM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Y37" s="18" t="str">
        <f>IF($D37=0,"DNP",SUMIFS(TEAMS_GbG[FTM_T],TEAMS_GbG[[TM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Z37" s="18" t="str">
        <f>IF($D37=0,"DNP",SUMIFS(TEAMS_GbG[FTA_T],TEAMS_GbG[[TM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A37" s="18" t="str">
        <f>IF($D37=0,"DNP",SUMIFS(TEAMS_GbG[FTM_1],TEAMS_GbG[[TM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B37" s="18" t="str">
        <f>IF($D37=0,"DNP",SUMIFS(TEAMS_GbG[FTA_1],TEAMS_GbG[[TM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C37" s="18" t="str">
        <f>IF($D37=0,"DNP",SUMIFS(TEAMS_GbG[FTM_2],TEAMS_GbG[[TM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D37" s="18" t="str">
        <f>IF($D37=0,"DNP",SUMIFS(TEAMS_GbG[FTA_2],TEAMS_GbG[[TM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E37" s="18" t="str">
        <f>IF($D37=0,"DNP",SUMIFS(TEAMS_GbG[FT 0/2],TEAMS_GbG[[TM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F37" s="18" t="str">
        <f>IF($D37=0,"DNP",SUMIFS(TEAMS_GbG[FTM_3],TEAMS_GbG[[TM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G37" s="18" t="str">
        <f>IF($D37=0,"DNP",SUMIFS(TEAMS_GbG[FTA_3],TEAMS_GbG[[TM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H37" s="18" t="str">
        <f>IF($D37=0,"DNP",SUMIFS(TEAMS_GbG[FT 0/3],TEAMS_GbG[[TM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I37" s="18" t="str">
        <f>IF($D37=0,"DNP",SUMIFS(TEAMS_GbG[RIM_M],TEAMS_GbG[[TM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J37" s="18" t="str">
        <f>IF($D37=0,"DNP",SUMIFS(TEAMS_GbG[RIM_A],TEAMS_GbG[[TM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K37" s="18" t="str">
        <f>IF($D37=0,"DNP",SUMIFS(TEAMS_GbG[PAINT_M],TEAMS_GbG[[TM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L37" s="18" t="str">
        <f>IF($D37=0,"DNP",SUMIFS(TEAMS_GbG[PAINT_A],TEAMS_GbG[[TM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M37" s="18" t="str">
        <f>IF($D37=0,"DNP",SUMIFS(TEAMS_GbG[MID_M],TEAMS_GbG[[TM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N37" s="18" t="str">
        <f>IF($D37=0,"DNP",SUMIFS(TEAMS_GbG[MID_A],TEAMS_GbG[[TM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O37" s="18" t="str">
        <f>IF($D37=0,"DNP",SUMIFS(TEAMS_GbG[3C_M],TEAMS_GbG[[TM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P37" s="18" t="str">
        <f>IF($D37=0,"DNP",SUMIFS(TEAMS_GbG[3C_A],TEAMS_GbG[[TM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Q37" s="18" t="str">
        <f>IF($D37=0,"DNP",SUMIFS(TEAMS_GbG[3L_M],TEAMS_GbG[[TM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R37" s="18" t="str">
        <f>IF($D37=0,"DNP",SUMIFS(TEAMS_GbG[3L_A],TEAMS_GbG[[TM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S37" s="18" t="str">
        <f>IF($D37=0,"DNP",SUMIFS(TEAMS_GbG[3H_M],TEAMS_GbG[[TM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T37" s="18" t="str">
        <f>IF($D37=0,"DNP",SUMIFS(TEAMS_GbG[3H_A],TEAMS_GbG[[TM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U37" s="18" t="str">
        <f>IF($D37=0,"DNP",SUMIFS(TEAMS_GbG[OPP PTS],TEAMS_GbG[[TM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V37" s="18" t="str">
        <f>IF($D37=0,"DNP",SUMIFS(TEAMS_GbG[OPP 2PTM],TEAMS_GbG[[TM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W37" s="18" t="str">
        <f>IF($D37=0,"DNP",SUMIFS(TEAMS_GbG[OPP 2PTA],TEAMS_GbG[[TM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X37" s="16" t="str">
        <f t="shared" si="61"/>
        <v>DNP</v>
      </c>
      <c r="DY37" s="18" t="str">
        <f>IF($D37=0,"DNP",SUMIFS(TEAMS_GbG[OPP 3PTM],TEAMS_GbG[[TM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Z37" s="18" t="str">
        <f>IF($D37=0,"DNP",SUMIFS(TEAMS_GbG[OPP 3PTA],TEAMS_GbG[[TM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A37" s="16" t="str">
        <f t="shared" si="62"/>
        <v>DNP</v>
      </c>
      <c r="EB37" s="18" t="str">
        <f>IF($D37=0,"DNP",SUMIFS(TEAMS_GbG[OPP FGM],TEAMS_GbG[[TM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C37" s="18" t="str">
        <f>IF($D37=0,"DNP",SUMIFS(TEAMS_GbG[OPP FGA],TEAMS_GbG[[TM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D37" s="16" t="str">
        <f t="shared" si="63"/>
        <v>DNP</v>
      </c>
      <c r="EE37" s="18" t="str">
        <f>IF($D37=0,"DNP",SUMIFS(TEAMS_GbG[OPP FTM],TEAMS_GbG[[TM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F37" s="18" t="str">
        <f>IF($D37=0,"DNP",SUMIFS(TEAMS_GbG[OPP FTA],TEAMS_GbG[[TM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G37" s="16" t="str">
        <f t="shared" si="64"/>
        <v>DNP</v>
      </c>
      <c r="EH37" s="18" t="str">
        <f>IF($D37=0,"DNP",SUMIFS(TEAMS_GbG[OPP OR],TEAMS_GbG[[TM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I37" s="18" t="str">
        <f>IF($D37=0,"DNP",SUMIFS(TEAMS_GbG[OPP DR],TEAMS_GbG[[TM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J37" s="18" t="str">
        <f>IF($D37=0,"DNP",SUMIFS(TEAMS_GbG[OPP TR],TEAMS_GbG[[TM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K37" s="18" t="str">
        <f>IF($D37=0,"DNP",SUMIFS(TEAMS_GbG[OPP AST],TEAMS_GbG[[TM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L37" s="18" t="str">
        <f>IF($D37=0,"DNP",SUMIFS(TEAMS_GbG[OPP PF],TEAMS_GbG[[TM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M37" s="18" t="str">
        <f>IF($D37=0,"DNP",SUMIFS(TEAMS_GbG[OPP DF],TEAMS_GbG[[TM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N37" s="18" t="str">
        <f>IF($D37=0,"DNP",SUMIFS(TEAMS_GbG[OPP ST],TEAMS_GbG[[TM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O37" s="18" t="str">
        <f>IF($D37=0,"DNP",SUMIFS(TEAMS_GbG[OPP TO],TEAMS_GbG[[TM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P37" s="18" t="str">
        <f>IF($D37=0,"DNP",SUMIFS(TEAMS_GbG[OPP BLK],TEAMS_GbG[[TM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Q37" s="18" t="str">
        <f>IF($D37=0,"DNP",SUMIFS(TEAMS_GbG[OPP BLKA],TEAMS_GbG[[TM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R37" s="18" t="str">
        <f>IF($D37=0,"DNP",SUMIFS(TEAMS_GbG[OPP VAL],TEAMS_GbG[[TM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S37" s="18" t="str">
        <f>IF($D37=0,"DNP",SUMIFS(TEAMS_GbG[OPP + / -],TEAMS_GbG[[TM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T37" s="18" t="str">
        <f>IF($D37=0,"DNP",SUMIFS(TEAMS_GbG[OPP POSS],TEAMS_GbG[[TM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U37" s="18" t="str">
        <f>IF($D37=0,"DNP",SUMIFS(TEAMS_GbG[OPP SHOOTING CHANCES],TEAMS_GbG[[TM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V37" s="18" t="str">
        <f>IF($D37=0,"DNP",SUMIFS(TEAMS_GbG[OPP KILLS],TEAMS_GbG[[TM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W37" s="18" t="str">
        <f>IF($D37=0,"DNP",SUMIFS(TEAMS_GbG[OPP ASTED_2FG],TEAMS_GbG[[TM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X37" s="18" t="str">
        <f>IF($D37=0,"DNP",SUMIFS(TEAMS_GbG[OPP ASTED_3FG],TEAMS_GbG[[TM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Y37" s="18" t="str">
        <f>IF($D37=0,"DNP",SUMIFS(TEAMS_GbG[OPP ASTED_FT],TEAMS_GbG[[TM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Z37" s="18" t="str">
        <f>IF($D37=0,"DNP",SUMIFS(TEAMS_GbG[OPP ASTED_FT PTS],TEAMS_GbG[[TM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A37" s="18" t="str">
        <f>IF($D37=0,"DNP",SUMIFS(TEAMS_GbG[OPP OR_RIM],TEAMS_GbG[[TM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B37" s="18" t="str">
        <f>IF($D37=0,"DNP",SUMIFS(TEAMS_GbG[OPP TM OR_RIM],TEAMS_GbG[[TM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C37" s="18" t="str">
        <f>IF($D37=0,"DNP",SUMIFS(TEAMS_GbG[OPP OR_PAINT],TEAMS_GbG[[TM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D37" s="18" t="str">
        <f>IF($D37=0,"DNP",SUMIFS(TEAMS_GbG[OPP TM OR_PAINT],TEAMS_GbG[[TM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E37" s="18" t="str">
        <f>IF($D37=0,"DNP",SUMIFS(TEAMS_GbG[OPP OR_NP2],TEAMS_GbG[[TM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F37" s="18" t="str">
        <f>IF($D37=0,"DNP",SUMIFS(TEAMS_GbG[OPP TM OR_NP2],TEAMS_GbG[[TM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G37" s="18" t="str">
        <f>IF($D37=0,"DNP",SUMIFS(TEAMS_GbG[OPP OR_3C],TEAMS_GbG[[TM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H37" s="18" t="str">
        <f>IF($D37=0,"DNP",SUMIFS(TEAMS_GbG[OPP TM OR_3C],TEAMS_GbG[[TM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I37" s="18" t="str">
        <f>IF($D37=0,"DNP",SUMIFS(TEAMS_GbG[OPP OR_3L],TEAMS_GbG[[TM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J37" s="18" t="str">
        <f>IF($D37=0,"DNP",SUMIFS(TEAMS_GbG[OPP TM OR_3L],TEAMS_GbG[[TM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K37" s="18" t="str">
        <f>IF($D37=0,"DNP",SUMIFS(TEAMS_GbG[OPP OR_FT],TEAMS_GbG[[TM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L37" s="18" t="str">
        <f>IF($D37=0,"DNP",SUMIFS(TEAMS_GbG[OPP TM OR_FT],TEAMS_GbG[[TM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M37" s="18" t="str">
        <f>IF($D37=0,"DNP",SUMIFS(TEAMS_GbG[OPP DR_RIM],TEAMS_GbG[[TM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N37" s="18" t="str">
        <f>IF($D37=0,"DNP",SUMIFS(TEAMS_GbG[OPP TM DR_RIM],TEAMS_GbG[[TM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O37" s="18" t="str">
        <f>IF($D37=0,"DNP",SUMIFS(TEAMS_GbG[OPP DR_PAINT],TEAMS_GbG[[TM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P37" s="18" t="str">
        <f>IF($D37=0,"DNP",SUMIFS(TEAMS_GbG[OPP TM DR_PAINT],TEAMS_GbG[[TM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Q37" s="18" t="str">
        <f>IF($D37=0,"DNP",SUMIFS(TEAMS_GbG[OPP DR_NP2],TEAMS_GbG[[TM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R37" s="18" t="str">
        <f>IF($D37=0,"DNP",SUMIFS(TEAMS_GbG[OPP TM DR_NP2],TEAMS_GbG[[TM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S37" s="18" t="str">
        <f>IF($D37=0,"DNP",SUMIFS(TEAMS_GbG[OPP DR_3C],TEAMS_GbG[[TM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T37" s="18" t="str">
        <f>IF($D37=0,"DNP",SUMIFS(TEAMS_GbG[OPP TM DR_3C],TEAMS_GbG[[TM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U37" s="18" t="str">
        <f>IF($D37=0,"DNP",SUMIFS(TEAMS_GbG[OPP DR_3L],TEAMS_GbG[[TM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V37" s="18" t="str">
        <f>IF($D37=0,"DNP",SUMIFS(TEAMS_GbG[OPP TM DR_3L],TEAMS_GbG[[TM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W37" s="18" t="str">
        <f>IF($D37=0,"DNP",SUMIFS(TEAMS_GbG[OPP DR_FT],TEAMS_GbG[[TM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X37" s="18" t="str">
        <f>IF($D37=0,"DNP",SUMIFS(TEAMS_GbG[OPP TM DR_FT],TEAMS_GbG[[TM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Y37" s="18" t="str">
        <f>IF($D37=0,"DNP",SUMIFS(TEAMS_GbG[OPP FTM_T],TEAMS_GbG[[TM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Z37" s="18" t="str">
        <f>IF($D37=0,"DNP",SUMIFS(TEAMS_GbG[OPP FTA_T],TEAMS_GbG[[TM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A37" s="18" t="str">
        <f>IF($D37=0,"DNP",SUMIFS(TEAMS_GbG[OPP FTM_1],TEAMS_GbG[[TM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B37" s="18" t="str">
        <f>IF($D37=0,"DNP",SUMIFS(TEAMS_GbG[OPP FTA_1],TEAMS_GbG[[TM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C37" s="18" t="str">
        <f>IF($D37=0,"DNP",SUMIFS(TEAMS_GbG[OPP FTM_2],TEAMS_GbG[[TM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D37" s="18" t="str">
        <f>IF($D37=0,"DNP",SUMIFS(TEAMS_GbG[OPP FTA_2],TEAMS_GbG[[TM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E37" s="18" t="str">
        <f>IF($D37=0,"DNP",SUMIFS(TEAMS_GbG[OPP FT 0/2],TEAMS_GbG[[TM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F37" s="18" t="str">
        <f>IF($D37=0,"DNP",SUMIFS(TEAMS_GbG[OPP FTM_3],TEAMS_GbG[[TM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G37" s="18" t="str">
        <f>IF($D37=0,"DNP",SUMIFS(TEAMS_GbG[OPP FTA_3],TEAMS_GbG[[TM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H37" s="18" t="str">
        <f>IF($D37=0,"DNP",SUMIFS(TEAMS_GbG[OPP FT 0/3],TEAMS_GbG[[TM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I37" s="18" t="str">
        <f>IF($D37=0,"DNP",SUMIFS(TEAMS_GbG[OPP RIM_M],TEAMS_GbG[[TM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J37" s="18" t="str">
        <f>IF($D37=0,"DNP",SUMIFS(TEAMS_GbG[OPP RIM_A],TEAMS_GbG[[TM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K37" s="18" t="str">
        <f>IF($D37=0,"DNP",SUMIFS(TEAMS_GbG[OPP PAINT_M],TEAMS_GbG[[TM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L37" s="18" t="str">
        <f>IF($D37=0,"DNP",SUMIFS(TEAMS_GbG[OPP PAINT_A],TEAMS_GbG[[TM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M37" s="18" t="str">
        <f>IF($D37=0,"DNP",SUMIFS(TEAMS_GbG[OPP MID_M],TEAMS_GbG[[TM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N37" s="18" t="str">
        <f>IF($D37=0,"DNP",SUMIFS(TEAMS_GbG[OPP MID_A],TEAMS_GbG[[TM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O37" s="18" t="str">
        <f>IF($D37=0,"DNP",SUMIFS(TEAMS_GbG[OPP 3C_M],TEAMS_GbG[[TM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P37" s="18" t="str">
        <f>IF($D37=0,"DNP",SUMIFS(TEAMS_GbG[OPP 3C_A],TEAMS_GbG[[TM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Q37" s="18" t="str">
        <f>IF($D37=0,"DNP",SUMIFS(TEAMS_GbG[OPP 3L_M],TEAMS_GbG[[TM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R37" s="18" t="str">
        <f>IF($D37=0,"DNP",SUMIFS(TEAMS_GbG[OPP 3L_A],TEAMS_GbG[[TM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S37" s="18" t="str">
        <f>IF($D37=0,"DNP",SUMIFS(TEAMS_GbG[OPP 3H_M],TEAMS_GbG[[TM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T37" s="18" t="str">
        <f>IF($D37=0,"DNP",SUMIFS(TEAMS_GbG[OPP 3H_A],TEAMS_GbG[[TM NAME]:[TM NAME]],$C37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U37" s="16" t="str">
        <f>IF(TEAMS_STATS[[#This Row],[TM NAME]]="","",INDEX(SoS!$C$113:$C$144,MATCH(TEAMS_STATS[[#This Row],[TM NAME]],SoS!$B$113:$B$144,0)))</f>
        <v/>
      </c>
    </row>
    <row r="38" spans="2:203" ht="15" hidden="1" customHeight="1" x14ac:dyDescent="0.25">
      <c r="B38" s="12">
        <f>_xlfn.AGGREGATE(3,5,$C$7:C37)</f>
        <v>19</v>
      </c>
      <c r="C38" s="14" t="str">
        <f>BASIS_INFO!F33</f>
        <v/>
      </c>
      <c r="D38" s="20">
        <f>COUNTIFS(TEAMS_GbG[[TM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8" s="20">
        <f>COUNTIFS(TEAMS_GbG[[TM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8" s="20">
        <f>COUNTIFS(TEAMS_GbG[[TM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8" s="18" t="str">
        <f>IF($D38=0,"DNP",SUMIFS(TEAMS_GbG[MIN],TEAMS_GbG[[TM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H38" s="18" t="str">
        <f>IF($D38=0,"DNP",SUMIFS(TEAMS_GbG[PTS],TEAMS_GbG[[TM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I38" s="18" t="str">
        <f>IF($D38=0,"DNP",SUMIFS(TEAMS_GbG[2PTM],TEAMS_GbG[[TM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J38" s="18" t="str">
        <f>IF($D38=0,"DNP",SUMIFS(TEAMS_GbG[2PTA],TEAMS_GbG[[TM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K38" s="16" t="str">
        <f t="shared" si="56"/>
        <v>DNP</v>
      </c>
      <c r="L38" s="18" t="str">
        <f>IF($D38=0,"DNP",SUMIFS(TEAMS_GbG[3PTM],TEAMS_GbG[[TM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M38" s="18" t="str">
        <f>IF($D38=0,"DNP",SUMIFS(TEAMS_GbG[3PTA],TEAMS_GbG[[TM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N38" s="16" t="str">
        <f t="shared" si="57"/>
        <v>DNP</v>
      </c>
      <c r="O38" s="18" t="str">
        <f>IF($D38=0,"DNP",SUMIFS(TEAMS_GbG[FGM],TEAMS_GbG[[TM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P38" s="18" t="str">
        <f>IF($D38=0,"DNP",SUMIFS(TEAMS_GbG[FGA],TEAMS_GbG[[TM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Q38" s="16" t="str">
        <f t="shared" si="58"/>
        <v>DNP</v>
      </c>
      <c r="R38" s="18" t="str">
        <f>IF($D38=0,"DNP",SUMIFS(TEAMS_GbG[FTM],TEAMS_GbG[[TM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S38" s="18" t="str">
        <f>IF($D38=0,"DNP",SUMIFS(TEAMS_GbG[FTA],TEAMS_GbG[[TM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T38" s="16" t="str">
        <f t="shared" si="59"/>
        <v>DNP</v>
      </c>
      <c r="U38" s="18" t="str">
        <f>IF($D38=0,"DNP",SUMIFS(TEAMS_GbG[OR],TEAMS_GbG[[TM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V38" s="18" t="str">
        <f>IF($D38=0,"DNP",SUMIFS(TEAMS_GbG[DR],TEAMS_GbG[[TM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W38" s="18" t="str">
        <f>IF($D38=0,"DNP",SUMIFS(TEAMS_GbG[TR],TEAMS_GbG[[TM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X38" s="18" t="str">
        <f>IF($D38=0,"DNP",SUMIFS(TEAMS_GbG[AST],TEAMS_GbG[[TM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Y38" s="18" t="str">
        <f>IF($D38=0,"DNP",SUMIFS(TEAMS_GbG[TO],TEAMS_GbG[[TM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Z38" s="18" t="str">
        <f>IF($D38=0,"DNP",SUMIFS(TEAMS_GbG[ST],TEAMS_GbG[[TM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A38" s="18" t="str">
        <f>IF($D38=0,"DNP",SUMIFS(TEAMS_GbG[BLK],TEAMS_GbG[[TM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B38" s="18" t="str">
        <f>IF($D38=0,"DNP",SUMIFS(TEAMS_GbG[BLKA],TEAMS_GbG[[TM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C38" s="18" t="str">
        <f>IF($D38=0,"DNP",SUMIFS(TEAMS_GbG[PF],TEAMS_GbG[[TM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D38" s="18" t="str">
        <f>IF($D38=0,"DNP",SUMIFS(TEAMS_GbG[DF],TEAMS_GbG[[TM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E38" s="18" t="str">
        <f>IF($D38=0,"DNP",SUMIFS(TEAMS_GbG[VAL],TEAMS_GbG[[TM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F38" s="18" t="str">
        <f>IF($D38=0,"DNP",SUMIFS(TEAMS_GbG[+ / -],TEAMS_GbG[[TM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G38" s="26" t="str">
        <f t="shared" si="0"/>
        <v>DNP</v>
      </c>
      <c r="AH38" s="18" t="str">
        <f>IF($D38=0,"DNP",SUMIFS(TEAMS_GbG[POSS],TEAMS_GbG[[TM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I38" s="18" t="str">
        <f>IF($D38=0,"DNP",SUMIFS(TEAMS_GbG[SHOOTING CHANCES],TEAMS_GbG[[TM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J38" s="19" t="str">
        <f t="shared" si="1"/>
        <v>DNP</v>
      </c>
      <c r="AK38" s="19" t="str">
        <f t="shared" si="2"/>
        <v>DNP</v>
      </c>
      <c r="AL38" s="18" t="str">
        <f t="shared" si="3"/>
        <v>DNP</v>
      </c>
      <c r="AM38" s="18" t="str">
        <f t="shared" si="4"/>
        <v>DNP</v>
      </c>
      <c r="AN38" s="18" t="str">
        <f t="shared" si="60"/>
        <v>DNP</v>
      </c>
      <c r="AO38" s="27" t="str">
        <f t="shared" si="5"/>
        <v>DNP</v>
      </c>
      <c r="AP38" s="28" t="str">
        <f t="shared" si="6"/>
        <v>DNP</v>
      </c>
      <c r="AQ38" s="34" t="str">
        <f t="shared" si="7"/>
        <v>DNP</v>
      </c>
      <c r="AR38" s="19" t="str">
        <f t="shared" si="8"/>
        <v>DNP</v>
      </c>
      <c r="AS38" s="16" t="str">
        <f t="shared" si="9"/>
        <v>DNP</v>
      </c>
      <c r="AT38" s="18" t="str">
        <f t="shared" si="10"/>
        <v>DNP</v>
      </c>
      <c r="AU38" s="16" t="str">
        <f t="shared" si="11"/>
        <v>DNP</v>
      </c>
      <c r="AV38" s="18" t="str">
        <f t="shared" si="12"/>
        <v>DNP</v>
      </c>
      <c r="AW38" s="16" t="str">
        <f t="shared" si="13"/>
        <v>DNP</v>
      </c>
      <c r="AX38" s="19" t="str">
        <f t="shared" si="14"/>
        <v>DNP</v>
      </c>
      <c r="AY38" s="27" t="str">
        <f t="shared" si="15"/>
        <v>DNP</v>
      </c>
      <c r="AZ38" s="38" t="str">
        <f t="shared" si="16"/>
        <v>DNP</v>
      </c>
      <c r="BA38" s="28" t="str">
        <f t="shared" si="17"/>
        <v>DNP</v>
      </c>
      <c r="BB38" s="34" t="str">
        <f t="shared" si="18"/>
        <v>DNP</v>
      </c>
      <c r="BC38" s="27" t="str">
        <f t="shared" si="19"/>
        <v>DNP</v>
      </c>
      <c r="BD38" s="27" t="str">
        <f t="shared" si="20"/>
        <v>DNP</v>
      </c>
      <c r="BE38" s="27" t="str">
        <f t="shared" si="21"/>
        <v>DNP</v>
      </c>
      <c r="BF38" s="27" t="str">
        <f t="shared" si="22"/>
        <v>DNP</v>
      </c>
      <c r="BG38" s="27" t="str">
        <f t="shared" si="23"/>
        <v>DNP</v>
      </c>
      <c r="BH38" s="35" t="str">
        <f t="shared" si="24"/>
        <v>DNP</v>
      </c>
      <c r="BI38" s="49" t="str">
        <f t="shared" si="25"/>
        <v>DNP</v>
      </c>
      <c r="BJ38" s="45" t="str">
        <f t="shared" si="26"/>
        <v>DNP</v>
      </c>
      <c r="BK38" s="45" t="str">
        <f t="shared" si="27"/>
        <v>DNP</v>
      </c>
      <c r="BL38" s="45" t="str">
        <f t="shared" si="28"/>
        <v>DNP</v>
      </c>
      <c r="BM38" s="45" t="str">
        <f t="shared" si="29"/>
        <v>DNP</v>
      </c>
      <c r="BN38" s="45" t="str">
        <f t="shared" si="30"/>
        <v>DNP</v>
      </c>
      <c r="BO38" s="45" t="str">
        <f t="shared" si="31"/>
        <v>DNP</v>
      </c>
      <c r="BP38" s="45" t="str">
        <f t="shared" si="32"/>
        <v>DNP</v>
      </c>
      <c r="BQ38" s="46" t="str">
        <f t="shared" si="33"/>
        <v>DNP</v>
      </c>
      <c r="BR38" s="49" t="str">
        <f t="shared" si="34"/>
        <v>DNP</v>
      </c>
      <c r="BS38" s="45" t="str">
        <f t="shared" si="35"/>
        <v>DNP</v>
      </c>
      <c r="BT38" s="40" t="str">
        <f>IF($D38=0,"DNP",SUMIFS(TEAMS_GbG[KILLS],TEAMS_GbG[[TM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BU38" s="34" t="str">
        <f t="shared" si="36"/>
        <v>DNP</v>
      </c>
      <c r="BV38" s="28" t="str">
        <f t="shared" si="37"/>
        <v>DNP</v>
      </c>
      <c r="BW38" s="18" t="str">
        <f>IF($D38=0,"DNP",SUMIFS(TEAMS_GbG[ASTED_2FG],TEAMS_GbG[[TM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BX38" s="18" t="str">
        <f>IF($D38=0,"DNP",SUMIFS(TEAMS_GbG[ASTED_3FG],TEAMS_GbG[[TM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BY38" s="18" t="str">
        <f>IF($D38=0,"DNP",SUMIFS(TEAMS_GbG[ASTED_FT],TEAMS_GbG[[TM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BZ38" s="18" t="str">
        <f>IF($D38=0,"DNP",SUMIFS(TEAMS_GbG[ASTED_FT PTS],TEAMS_GbG[[TM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A38" s="18" t="str">
        <f>IF($D38=0,"DNP",SUMIFS(TEAMS_GbG[OR_RIM],TEAMS_GbG[[TM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B38" s="18" t="str">
        <f>IF($D38=0,"DNP",SUMIFS(TEAMS_GbG[TM OR_RIM],TEAMS_GbG[[TM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C38" s="18" t="str">
        <f>IF($D38=0,"DNP",SUMIFS(TEAMS_GbG[OR_PAINT],TEAMS_GbG[[TM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D38" s="18" t="str">
        <f>IF($D38=0,"DNP",SUMIFS(TEAMS_GbG[TM OR_PAINT],TEAMS_GbG[[TM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E38" s="18" t="str">
        <f>IF($D38=0,"DNP",SUMIFS(TEAMS_GbG[OR_NP2],TEAMS_GbG[[TM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F38" s="18" t="str">
        <f>IF($D38=0,"DNP",SUMIFS(TEAMS_GbG[TM OR_NP2],TEAMS_GbG[[TM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G38" s="18" t="str">
        <f>IF($D38=0,"DNP",SUMIFS(TEAMS_GbG[OR_3C],TEAMS_GbG[[TM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H38" s="18" t="str">
        <f>IF($D38=0,"DNP",SUMIFS(TEAMS_GbG[TM OR_3C],TEAMS_GbG[[TM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I38" s="18" t="str">
        <f>IF($D38=0,"DNP",SUMIFS(TEAMS_GbG[OR_3L],TEAMS_GbG[[TM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J38" s="18" t="str">
        <f>IF($D38=0,"DNP",SUMIFS(TEAMS_GbG[TM OR_3L],TEAMS_GbG[[TM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K38" s="18" t="str">
        <f>IF($D38=0,"DNP",SUMIFS(TEAMS_GbG[OR_FT],TEAMS_GbG[[TM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L38" s="18" t="str">
        <f>IF($D38=0,"DNP",SUMIFS(TEAMS_GbG[TM OR_FT],TEAMS_GbG[[TM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M38" s="18" t="str">
        <f>IF($D38=0,"DNP",SUMIFS(TEAMS_GbG[DR_RIM],TEAMS_GbG[[TM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N38" s="18" t="str">
        <f>IF($D38=0,"DNP",SUMIFS(TEAMS_GbG[TM DR_RIM],TEAMS_GbG[[TM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O38" s="18" t="str">
        <f>IF($D38=0,"DNP",SUMIFS(TEAMS_GbG[DR_PAINT],TEAMS_GbG[[TM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P38" s="18" t="str">
        <f>IF($D38=0,"DNP",SUMIFS(TEAMS_GbG[TM DR_PAINT],TEAMS_GbG[[TM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Q38" s="18" t="str">
        <f>IF($D38=0,"DNP",SUMIFS(TEAMS_GbG[DR_NP2],TEAMS_GbG[[TM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R38" s="18" t="str">
        <f>IF($D38=0,"DNP",SUMIFS(TEAMS_GbG[TM DR_NP2],TEAMS_GbG[[TM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S38" s="18" t="str">
        <f>IF($D38=0,"DNP",SUMIFS(TEAMS_GbG[DR_3C],TEAMS_GbG[[TM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T38" s="18" t="str">
        <f>IF($D38=0,"DNP",SUMIFS(TEAMS_GbG[TM DR_3C],TEAMS_GbG[[TM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U38" s="18" t="str">
        <f>IF($D38=0,"DNP",SUMIFS(TEAMS_GbG[DR_3L],TEAMS_GbG[[TM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V38" s="18" t="str">
        <f>IF($D38=0,"DNP",SUMIFS(TEAMS_GbG[TM DR_3L],TEAMS_GbG[[TM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W38" s="18" t="str">
        <f>IF($D38=0,"DNP",SUMIFS(TEAMS_GbG[DR_FT],TEAMS_GbG[[TM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X38" s="18" t="str">
        <f>IF($D38=0,"DNP",SUMIFS(TEAMS_GbG[TM DR_FT],TEAMS_GbG[[TM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Y38" s="18" t="str">
        <f>IF($D38=0,"DNP",SUMIFS(TEAMS_GbG[FTM_T],TEAMS_GbG[[TM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Z38" s="18" t="str">
        <f>IF($D38=0,"DNP",SUMIFS(TEAMS_GbG[FTA_T],TEAMS_GbG[[TM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A38" s="18" t="str">
        <f>IF($D38=0,"DNP",SUMIFS(TEAMS_GbG[FTM_1],TEAMS_GbG[[TM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B38" s="18" t="str">
        <f>IF($D38=0,"DNP",SUMIFS(TEAMS_GbG[FTA_1],TEAMS_GbG[[TM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C38" s="18" t="str">
        <f>IF($D38=0,"DNP",SUMIFS(TEAMS_GbG[FTM_2],TEAMS_GbG[[TM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D38" s="18" t="str">
        <f>IF($D38=0,"DNP",SUMIFS(TEAMS_GbG[FTA_2],TEAMS_GbG[[TM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E38" s="18" t="str">
        <f>IF($D38=0,"DNP",SUMIFS(TEAMS_GbG[FT 0/2],TEAMS_GbG[[TM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F38" s="18" t="str">
        <f>IF($D38=0,"DNP",SUMIFS(TEAMS_GbG[FTM_3],TEAMS_GbG[[TM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G38" s="18" t="str">
        <f>IF($D38=0,"DNP",SUMIFS(TEAMS_GbG[FTA_3],TEAMS_GbG[[TM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H38" s="18" t="str">
        <f>IF($D38=0,"DNP",SUMIFS(TEAMS_GbG[FT 0/3],TEAMS_GbG[[TM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I38" s="18" t="str">
        <f>IF($D38=0,"DNP",SUMIFS(TEAMS_GbG[RIM_M],TEAMS_GbG[[TM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J38" s="18" t="str">
        <f>IF($D38=0,"DNP",SUMIFS(TEAMS_GbG[RIM_A],TEAMS_GbG[[TM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K38" s="18" t="str">
        <f>IF($D38=0,"DNP",SUMIFS(TEAMS_GbG[PAINT_M],TEAMS_GbG[[TM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L38" s="18" t="str">
        <f>IF($D38=0,"DNP",SUMIFS(TEAMS_GbG[PAINT_A],TEAMS_GbG[[TM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M38" s="18" t="str">
        <f>IF($D38=0,"DNP",SUMIFS(TEAMS_GbG[MID_M],TEAMS_GbG[[TM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N38" s="18" t="str">
        <f>IF($D38=0,"DNP",SUMIFS(TEAMS_GbG[MID_A],TEAMS_GbG[[TM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O38" s="18" t="str">
        <f>IF($D38=0,"DNP",SUMIFS(TEAMS_GbG[3C_M],TEAMS_GbG[[TM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P38" s="18" t="str">
        <f>IF($D38=0,"DNP",SUMIFS(TEAMS_GbG[3C_A],TEAMS_GbG[[TM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Q38" s="18" t="str">
        <f>IF($D38=0,"DNP",SUMIFS(TEAMS_GbG[3L_M],TEAMS_GbG[[TM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R38" s="18" t="str">
        <f>IF($D38=0,"DNP",SUMIFS(TEAMS_GbG[3L_A],TEAMS_GbG[[TM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S38" s="18" t="str">
        <f>IF($D38=0,"DNP",SUMIFS(TEAMS_GbG[3H_M],TEAMS_GbG[[TM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T38" s="18" t="str">
        <f>IF($D38=0,"DNP",SUMIFS(TEAMS_GbG[3H_A],TEAMS_GbG[[TM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U38" s="18" t="str">
        <f>IF($D38=0,"DNP",SUMIFS(TEAMS_GbG[OPP PTS],TEAMS_GbG[[TM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V38" s="18" t="str">
        <f>IF($D38=0,"DNP",SUMIFS(TEAMS_GbG[OPP 2PTM],TEAMS_GbG[[TM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W38" s="18" t="str">
        <f>IF($D38=0,"DNP",SUMIFS(TEAMS_GbG[OPP 2PTA],TEAMS_GbG[[TM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X38" s="16" t="str">
        <f t="shared" si="61"/>
        <v>DNP</v>
      </c>
      <c r="DY38" s="18" t="str">
        <f>IF($D38=0,"DNP",SUMIFS(TEAMS_GbG[OPP 3PTM],TEAMS_GbG[[TM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Z38" s="18" t="str">
        <f>IF($D38=0,"DNP",SUMIFS(TEAMS_GbG[OPP 3PTA],TEAMS_GbG[[TM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A38" s="16" t="str">
        <f t="shared" si="62"/>
        <v>DNP</v>
      </c>
      <c r="EB38" s="18" t="str">
        <f>IF($D38=0,"DNP",SUMIFS(TEAMS_GbG[OPP FGM],TEAMS_GbG[[TM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C38" s="18" t="str">
        <f>IF($D38=0,"DNP",SUMIFS(TEAMS_GbG[OPP FGA],TEAMS_GbG[[TM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D38" s="16" t="str">
        <f t="shared" si="63"/>
        <v>DNP</v>
      </c>
      <c r="EE38" s="18" t="str">
        <f>IF($D38=0,"DNP",SUMIFS(TEAMS_GbG[OPP FTM],TEAMS_GbG[[TM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F38" s="18" t="str">
        <f>IF($D38=0,"DNP",SUMIFS(TEAMS_GbG[OPP FTA],TEAMS_GbG[[TM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G38" s="16" t="str">
        <f t="shared" si="64"/>
        <v>DNP</v>
      </c>
      <c r="EH38" s="18" t="str">
        <f>IF($D38=0,"DNP",SUMIFS(TEAMS_GbG[OPP OR],TEAMS_GbG[[TM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I38" s="18" t="str">
        <f>IF($D38=0,"DNP",SUMIFS(TEAMS_GbG[OPP DR],TEAMS_GbG[[TM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J38" s="18" t="str">
        <f>IF($D38=0,"DNP",SUMIFS(TEAMS_GbG[OPP TR],TEAMS_GbG[[TM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K38" s="18" t="str">
        <f>IF($D38=0,"DNP",SUMIFS(TEAMS_GbG[OPP AST],TEAMS_GbG[[TM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L38" s="18" t="str">
        <f>IF($D38=0,"DNP",SUMIFS(TEAMS_GbG[OPP PF],TEAMS_GbG[[TM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M38" s="18" t="str">
        <f>IF($D38=0,"DNP",SUMIFS(TEAMS_GbG[OPP DF],TEAMS_GbG[[TM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N38" s="18" t="str">
        <f>IF($D38=0,"DNP",SUMIFS(TEAMS_GbG[OPP ST],TEAMS_GbG[[TM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O38" s="18" t="str">
        <f>IF($D38=0,"DNP",SUMIFS(TEAMS_GbG[OPP TO],TEAMS_GbG[[TM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P38" s="18" t="str">
        <f>IF($D38=0,"DNP",SUMIFS(TEAMS_GbG[OPP BLK],TEAMS_GbG[[TM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Q38" s="18" t="str">
        <f>IF($D38=0,"DNP",SUMIFS(TEAMS_GbG[OPP BLKA],TEAMS_GbG[[TM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R38" s="18" t="str">
        <f>IF($D38=0,"DNP",SUMIFS(TEAMS_GbG[OPP VAL],TEAMS_GbG[[TM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S38" s="18" t="str">
        <f>IF($D38=0,"DNP",SUMIFS(TEAMS_GbG[OPP + / -],TEAMS_GbG[[TM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T38" s="18" t="str">
        <f>IF($D38=0,"DNP",SUMIFS(TEAMS_GbG[OPP POSS],TEAMS_GbG[[TM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U38" s="18" t="str">
        <f>IF($D38=0,"DNP",SUMIFS(TEAMS_GbG[OPP SHOOTING CHANCES],TEAMS_GbG[[TM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V38" s="18" t="str">
        <f>IF($D38=0,"DNP",SUMIFS(TEAMS_GbG[OPP KILLS],TEAMS_GbG[[TM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W38" s="18" t="str">
        <f>IF($D38=0,"DNP",SUMIFS(TEAMS_GbG[OPP ASTED_2FG],TEAMS_GbG[[TM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X38" s="18" t="str">
        <f>IF($D38=0,"DNP",SUMIFS(TEAMS_GbG[OPP ASTED_3FG],TEAMS_GbG[[TM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Y38" s="18" t="str">
        <f>IF($D38=0,"DNP",SUMIFS(TEAMS_GbG[OPP ASTED_FT],TEAMS_GbG[[TM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Z38" s="18" t="str">
        <f>IF($D38=0,"DNP",SUMIFS(TEAMS_GbG[OPP ASTED_FT PTS],TEAMS_GbG[[TM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A38" s="18" t="str">
        <f>IF($D38=0,"DNP",SUMIFS(TEAMS_GbG[OPP OR_RIM],TEAMS_GbG[[TM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B38" s="18" t="str">
        <f>IF($D38=0,"DNP",SUMIFS(TEAMS_GbG[OPP TM OR_RIM],TEAMS_GbG[[TM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C38" s="18" t="str">
        <f>IF($D38=0,"DNP",SUMIFS(TEAMS_GbG[OPP OR_PAINT],TEAMS_GbG[[TM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D38" s="18" t="str">
        <f>IF($D38=0,"DNP",SUMIFS(TEAMS_GbG[OPP TM OR_PAINT],TEAMS_GbG[[TM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E38" s="18" t="str">
        <f>IF($D38=0,"DNP",SUMIFS(TEAMS_GbG[OPP OR_NP2],TEAMS_GbG[[TM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F38" s="18" t="str">
        <f>IF($D38=0,"DNP",SUMIFS(TEAMS_GbG[OPP TM OR_NP2],TEAMS_GbG[[TM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G38" s="18" t="str">
        <f>IF($D38=0,"DNP",SUMIFS(TEAMS_GbG[OPP OR_3C],TEAMS_GbG[[TM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H38" s="18" t="str">
        <f>IF($D38=0,"DNP",SUMIFS(TEAMS_GbG[OPP TM OR_3C],TEAMS_GbG[[TM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I38" s="18" t="str">
        <f>IF($D38=0,"DNP",SUMIFS(TEAMS_GbG[OPP OR_3L],TEAMS_GbG[[TM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J38" s="18" t="str">
        <f>IF($D38=0,"DNP",SUMIFS(TEAMS_GbG[OPP TM OR_3L],TEAMS_GbG[[TM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K38" s="18" t="str">
        <f>IF($D38=0,"DNP",SUMIFS(TEAMS_GbG[OPP OR_FT],TEAMS_GbG[[TM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L38" s="18" t="str">
        <f>IF($D38=0,"DNP",SUMIFS(TEAMS_GbG[OPP TM OR_FT],TEAMS_GbG[[TM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M38" s="18" t="str">
        <f>IF($D38=0,"DNP",SUMIFS(TEAMS_GbG[OPP DR_RIM],TEAMS_GbG[[TM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N38" s="18" t="str">
        <f>IF($D38=0,"DNP",SUMIFS(TEAMS_GbG[OPP TM DR_RIM],TEAMS_GbG[[TM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O38" s="18" t="str">
        <f>IF($D38=0,"DNP",SUMIFS(TEAMS_GbG[OPP DR_PAINT],TEAMS_GbG[[TM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P38" s="18" t="str">
        <f>IF($D38=0,"DNP",SUMIFS(TEAMS_GbG[OPP TM DR_PAINT],TEAMS_GbG[[TM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Q38" s="18" t="str">
        <f>IF($D38=0,"DNP",SUMIFS(TEAMS_GbG[OPP DR_NP2],TEAMS_GbG[[TM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R38" s="18" t="str">
        <f>IF($D38=0,"DNP",SUMIFS(TEAMS_GbG[OPP TM DR_NP2],TEAMS_GbG[[TM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S38" s="18" t="str">
        <f>IF($D38=0,"DNP",SUMIFS(TEAMS_GbG[OPP DR_3C],TEAMS_GbG[[TM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T38" s="18" t="str">
        <f>IF($D38=0,"DNP",SUMIFS(TEAMS_GbG[OPP TM DR_3C],TEAMS_GbG[[TM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U38" s="18" t="str">
        <f>IF($D38=0,"DNP",SUMIFS(TEAMS_GbG[OPP DR_3L],TEAMS_GbG[[TM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V38" s="18" t="str">
        <f>IF($D38=0,"DNP",SUMIFS(TEAMS_GbG[OPP TM DR_3L],TEAMS_GbG[[TM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W38" s="18" t="str">
        <f>IF($D38=0,"DNP",SUMIFS(TEAMS_GbG[OPP DR_FT],TEAMS_GbG[[TM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X38" s="18" t="str">
        <f>IF($D38=0,"DNP",SUMIFS(TEAMS_GbG[OPP TM DR_FT],TEAMS_GbG[[TM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Y38" s="18" t="str">
        <f>IF($D38=0,"DNP",SUMIFS(TEAMS_GbG[OPP FTM_T],TEAMS_GbG[[TM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Z38" s="18" t="str">
        <f>IF($D38=0,"DNP",SUMIFS(TEAMS_GbG[OPP FTA_T],TEAMS_GbG[[TM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A38" s="18" t="str">
        <f>IF($D38=0,"DNP",SUMIFS(TEAMS_GbG[OPP FTM_1],TEAMS_GbG[[TM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B38" s="18" t="str">
        <f>IF($D38=0,"DNP",SUMIFS(TEAMS_GbG[OPP FTA_1],TEAMS_GbG[[TM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C38" s="18" t="str">
        <f>IF($D38=0,"DNP",SUMIFS(TEAMS_GbG[OPP FTM_2],TEAMS_GbG[[TM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D38" s="18" t="str">
        <f>IF($D38=0,"DNP",SUMIFS(TEAMS_GbG[OPP FTA_2],TEAMS_GbG[[TM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E38" s="18" t="str">
        <f>IF($D38=0,"DNP",SUMIFS(TEAMS_GbG[OPP FT 0/2],TEAMS_GbG[[TM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F38" s="18" t="str">
        <f>IF($D38=0,"DNP",SUMIFS(TEAMS_GbG[OPP FTM_3],TEAMS_GbG[[TM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G38" s="18" t="str">
        <f>IF($D38=0,"DNP",SUMIFS(TEAMS_GbG[OPP FTA_3],TEAMS_GbG[[TM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H38" s="18" t="str">
        <f>IF($D38=0,"DNP",SUMIFS(TEAMS_GbG[OPP FT 0/3],TEAMS_GbG[[TM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I38" s="18" t="str">
        <f>IF($D38=0,"DNP",SUMIFS(TEAMS_GbG[OPP RIM_M],TEAMS_GbG[[TM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J38" s="18" t="str">
        <f>IF($D38=0,"DNP",SUMIFS(TEAMS_GbG[OPP RIM_A],TEAMS_GbG[[TM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K38" s="18" t="str">
        <f>IF($D38=0,"DNP",SUMIFS(TEAMS_GbG[OPP PAINT_M],TEAMS_GbG[[TM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L38" s="18" t="str">
        <f>IF($D38=0,"DNP",SUMIFS(TEAMS_GbG[OPP PAINT_A],TEAMS_GbG[[TM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M38" s="18" t="str">
        <f>IF($D38=0,"DNP",SUMIFS(TEAMS_GbG[OPP MID_M],TEAMS_GbG[[TM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N38" s="18" t="str">
        <f>IF($D38=0,"DNP",SUMIFS(TEAMS_GbG[OPP MID_A],TEAMS_GbG[[TM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O38" s="18" t="str">
        <f>IF($D38=0,"DNP",SUMIFS(TEAMS_GbG[OPP 3C_M],TEAMS_GbG[[TM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P38" s="18" t="str">
        <f>IF($D38=0,"DNP",SUMIFS(TEAMS_GbG[OPP 3C_A],TEAMS_GbG[[TM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Q38" s="18" t="str">
        <f>IF($D38=0,"DNP",SUMIFS(TEAMS_GbG[OPP 3L_M],TEAMS_GbG[[TM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R38" s="18" t="str">
        <f>IF($D38=0,"DNP",SUMIFS(TEAMS_GbG[OPP 3L_A],TEAMS_GbG[[TM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S38" s="18" t="str">
        <f>IF($D38=0,"DNP",SUMIFS(TEAMS_GbG[OPP 3H_M],TEAMS_GbG[[TM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T38" s="18" t="str">
        <f>IF($D38=0,"DNP",SUMIFS(TEAMS_GbG[OPP 3H_A],TEAMS_GbG[[TM NAME]:[TM NAME]],$C38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U38" s="16" t="str">
        <f>IF(TEAMS_STATS[[#This Row],[TM NAME]]="","",INDEX(SoS!$C$113:$C$144,MATCH(TEAMS_STATS[[#This Row],[TM NAME]],SoS!$B$113:$B$144,0)))</f>
        <v/>
      </c>
    </row>
    <row r="39" spans="2:203" ht="15" hidden="1" customHeight="1" x14ac:dyDescent="0.25">
      <c r="B39" s="12">
        <f>_xlfn.AGGREGATE(3,5,$C$7:C38)</f>
        <v>19</v>
      </c>
      <c r="C39" s="14" t="str">
        <f>BASIS_INFO!F34</f>
        <v/>
      </c>
      <c r="D39" s="20">
        <f>COUNTIFS(TEAMS_GbG[[TM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9" s="20">
        <f>COUNTIFS(TEAMS_GbG[[TM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GAMES","&lt;1000",IF($F$3=BASIS_INFO!$T$3,"&lt;"&amp;BASIS_INFO!$B$11,IF($F$3=BASIS_INFO!$T$4,"&lt;"&amp;BASIS_INFO!$B$12,IF($F$3=BASIS_INFO!$T$5,"&lt;"&amp;BASIS_INFO!$B$13,IF($F$3=BASIS_INFO!$T$6,"&lt;"&amp;BASIS_INFO!$B$14))))),TEAMS_GbG[[W/L]:[W/L]],"W")</f>
        <v>0</v>
      </c>
      <c r="F39" s="20">
        <f>COUNTIFS(TEAMS_GbG[[TM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GAMES","&lt;1000",IF($F$3=BASIS_INFO!$T$3,"&lt;"&amp;BASIS_INFO!$B$11,IF($F$3=BASIS_INFO!$T$4,"&lt;"&amp;BASIS_INFO!$B$12,IF($F$3=BASIS_INFO!$T$5,"&lt;"&amp;BASIS_INFO!$B$13,IF($F$3=BASIS_INFO!$T$6,"&lt;"&amp;BASIS_INFO!$B$14))))),TEAMS_GbG[[W/L]:[W/L]],"L")</f>
        <v>0</v>
      </c>
      <c r="G39" s="18" t="str">
        <f>IF($D39=0,"DNP",SUMIFS(TEAMS_GbG[MIN],TEAMS_GbG[[TM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H39" s="18" t="str">
        <f>IF($D39=0,"DNP",SUMIFS(TEAMS_GbG[PTS],TEAMS_GbG[[TM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I39" s="18" t="str">
        <f>IF($D39=0,"DNP",SUMIFS(TEAMS_GbG[2PTM],TEAMS_GbG[[TM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J39" s="18" t="str">
        <f>IF($D39=0,"DNP",SUMIFS(TEAMS_GbG[2PTA],TEAMS_GbG[[TM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K39" s="16" t="str">
        <f t="shared" si="56"/>
        <v>DNP</v>
      </c>
      <c r="L39" s="18" t="str">
        <f>IF($D39=0,"DNP",SUMIFS(TEAMS_GbG[3PTM],TEAMS_GbG[[TM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M39" s="18" t="str">
        <f>IF($D39=0,"DNP",SUMIFS(TEAMS_GbG[3PTA],TEAMS_GbG[[TM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N39" s="16" t="str">
        <f t="shared" si="57"/>
        <v>DNP</v>
      </c>
      <c r="O39" s="18" t="str">
        <f>IF($D39=0,"DNP",SUMIFS(TEAMS_GbG[FGM],TEAMS_GbG[[TM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P39" s="18" t="str">
        <f>IF($D39=0,"DNP",SUMIFS(TEAMS_GbG[FGA],TEAMS_GbG[[TM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Q39" s="16" t="str">
        <f t="shared" si="58"/>
        <v>DNP</v>
      </c>
      <c r="R39" s="18" t="str">
        <f>IF($D39=0,"DNP",SUMIFS(TEAMS_GbG[FTM],TEAMS_GbG[[TM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S39" s="18" t="str">
        <f>IF($D39=0,"DNP",SUMIFS(TEAMS_GbG[FTA],TEAMS_GbG[[TM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T39" s="16" t="str">
        <f t="shared" si="59"/>
        <v>DNP</v>
      </c>
      <c r="U39" s="18" t="str">
        <f>IF($D39=0,"DNP",SUMIFS(TEAMS_GbG[OR],TEAMS_GbG[[TM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V39" s="18" t="str">
        <f>IF($D39=0,"DNP",SUMIFS(TEAMS_GbG[DR],TEAMS_GbG[[TM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W39" s="18" t="str">
        <f>IF($D39=0,"DNP",SUMIFS(TEAMS_GbG[TR],TEAMS_GbG[[TM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X39" s="18" t="str">
        <f>IF($D39=0,"DNP",SUMIFS(TEAMS_GbG[AST],TEAMS_GbG[[TM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Y39" s="18" t="str">
        <f>IF($D39=0,"DNP",SUMIFS(TEAMS_GbG[TO],TEAMS_GbG[[TM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Z39" s="18" t="str">
        <f>IF($D39=0,"DNP",SUMIFS(TEAMS_GbG[ST],TEAMS_GbG[[TM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A39" s="18" t="str">
        <f>IF($D39=0,"DNP",SUMIFS(TEAMS_GbG[BLK],TEAMS_GbG[[TM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B39" s="18" t="str">
        <f>IF($D39=0,"DNP",SUMIFS(TEAMS_GbG[BLKA],TEAMS_GbG[[TM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C39" s="18" t="str">
        <f>IF($D39=0,"DNP",SUMIFS(TEAMS_GbG[PF],TEAMS_GbG[[TM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D39" s="18" t="str">
        <f>IF($D39=0,"DNP",SUMIFS(TEAMS_GbG[DF],TEAMS_GbG[[TM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E39" s="18" t="str">
        <f>IF($D39=0,"DNP",SUMIFS(TEAMS_GbG[VAL],TEAMS_GbG[[TM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F39" s="18" t="str">
        <f>IF($D39=0,"DNP",SUMIFS(TEAMS_GbG[+ / -],TEAMS_GbG[[TM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G39" s="26" t="str">
        <f t="shared" si="0"/>
        <v>DNP</v>
      </c>
      <c r="AH39" s="18" t="str">
        <f>IF($D39=0,"DNP",SUMIFS(TEAMS_GbG[POSS],TEAMS_GbG[[TM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I39" s="18" t="str">
        <f>IF($D39=0,"DNP",SUMIFS(TEAMS_GbG[SHOOTING CHANCES],TEAMS_GbG[[TM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J39" s="19" t="str">
        <f t="shared" si="1"/>
        <v>DNP</v>
      </c>
      <c r="AK39" s="19" t="str">
        <f t="shared" si="2"/>
        <v>DNP</v>
      </c>
      <c r="AL39" s="18" t="str">
        <f t="shared" si="3"/>
        <v>DNP</v>
      </c>
      <c r="AM39" s="18" t="str">
        <f t="shared" si="4"/>
        <v>DNP</v>
      </c>
      <c r="AN39" s="18" t="str">
        <f t="shared" si="60"/>
        <v>DNP</v>
      </c>
      <c r="AO39" s="27" t="str">
        <f t="shared" si="5"/>
        <v>DNP</v>
      </c>
      <c r="AP39" s="28" t="str">
        <f t="shared" si="6"/>
        <v>DNP</v>
      </c>
      <c r="AQ39" s="34" t="str">
        <f t="shared" si="7"/>
        <v>DNP</v>
      </c>
      <c r="AR39" s="19" t="str">
        <f t="shared" si="8"/>
        <v>DNP</v>
      </c>
      <c r="AS39" s="16" t="str">
        <f t="shared" si="9"/>
        <v>DNP</v>
      </c>
      <c r="AT39" s="18" t="str">
        <f t="shared" si="10"/>
        <v>DNP</v>
      </c>
      <c r="AU39" s="16" t="str">
        <f t="shared" si="11"/>
        <v>DNP</v>
      </c>
      <c r="AV39" s="18" t="str">
        <f t="shared" si="12"/>
        <v>DNP</v>
      </c>
      <c r="AW39" s="16" t="str">
        <f t="shared" si="13"/>
        <v>DNP</v>
      </c>
      <c r="AX39" s="19" t="str">
        <f t="shared" si="14"/>
        <v>DNP</v>
      </c>
      <c r="AY39" s="27" t="str">
        <f t="shared" si="15"/>
        <v>DNP</v>
      </c>
      <c r="AZ39" s="38" t="str">
        <f t="shared" si="16"/>
        <v>DNP</v>
      </c>
      <c r="BA39" s="28" t="str">
        <f t="shared" si="17"/>
        <v>DNP</v>
      </c>
      <c r="BB39" s="34" t="str">
        <f t="shared" si="18"/>
        <v>DNP</v>
      </c>
      <c r="BC39" s="27" t="str">
        <f t="shared" si="19"/>
        <v>DNP</v>
      </c>
      <c r="BD39" s="27" t="str">
        <f t="shared" si="20"/>
        <v>DNP</v>
      </c>
      <c r="BE39" s="27" t="str">
        <f t="shared" si="21"/>
        <v>DNP</v>
      </c>
      <c r="BF39" s="27" t="str">
        <f t="shared" si="22"/>
        <v>DNP</v>
      </c>
      <c r="BG39" s="27" t="str">
        <f t="shared" si="23"/>
        <v>DNP</v>
      </c>
      <c r="BH39" s="35" t="str">
        <f t="shared" si="24"/>
        <v>DNP</v>
      </c>
      <c r="BI39" s="49" t="str">
        <f t="shared" si="25"/>
        <v>DNP</v>
      </c>
      <c r="BJ39" s="45" t="str">
        <f t="shared" si="26"/>
        <v>DNP</v>
      </c>
      <c r="BK39" s="45" t="str">
        <f t="shared" si="27"/>
        <v>DNP</v>
      </c>
      <c r="BL39" s="45" t="str">
        <f t="shared" si="28"/>
        <v>DNP</v>
      </c>
      <c r="BM39" s="45" t="str">
        <f t="shared" si="29"/>
        <v>DNP</v>
      </c>
      <c r="BN39" s="45" t="str">
        <f t="shared" si="30"/>
        <v>DNP</v>
      </c>
      <c r="BO39" s="45" t="str">
        <f t="shared" si="31"/>
        <v>DNP</v>
      </c>
      <c r="BP39" s="45" t="str">
        <f t="shared" si="32"/>
        <v>DNP</v>
      </c>
      <c r="BQ39" s="46" t="str">
        <f t="shared" si="33"/>
        <v>DNP</v>
      </c>
      <c r="BR39" s="49" t="str">
        <f t="shared" si="34"/>
        <v>DNP</v>
      </c>
      <c r="BS39" s="45" t="str">
        <f t="shared" si="35"/>
        <v>DNP</v>
      </c>
      <c r="BT39" s="40" t="str">
        <f>IF($D39=0,"DNP",SUMIFS(TEAMS_GbG[KILLS],TEAMS_GbG[[TM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BU39" s="34" t="str">
        <f t="shared" si="36"/>
        <v>DNP</v>
      </c>
      <c r="BV39" s="28" t="str">
        <f t="shared" si="37"/>
        <v>DNP</v>
      </c>
      <c r="BW39" s="18" t="str">
        <f>IF($D39=0,"DNP",SUMIFS(TEAMS_GbG[ASTED_2FG],TEAMS_GbG[[TM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BX39" s="18" t="str">
        <f>IF($D39=0,"DNP",SUMIFS(TEAMS_GbG[ASTED_3FG],TEAMS_GbG[[TM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BY39" s="18" t="str">
        <f>IF($D39=0,"DNP",SUMIFS(TEAMS_GbG[ASTED_FT],TEAMS_GbG[[TM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BZ39" s="18" t="str">
        <f>IF($D39=0,"DNP",SUMIFS(TEAMS_GbG[ASTED_FT PTS],TEAMS_GbG[[TM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A39" s="18" t="str">
        <f>IF($D39=0,"DNP",SUMIFS(TEAMS_GbG[OR_RIM],TEAMS_GbG[[TM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B39" s="18" t="str">
        <f>IF($D39=0,"DNP",SUMIFS(TEAMS_GbG[TM OR_RIM],TEAMS_GbG[[TM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C39" s="18" t="str">
        <f>IF($D39=0,"DNP",SUMIFS(TEAMS_GbG[OR_PAINT],TEAMS_GbG[[TM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D39" s="18" t="str">
        <f>IF($D39=0,"DNP",SUMIFS(TEAMS_GbG[TM OR_PAINT],TEAMS_GbG[[TM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E39" s="18" t="str">
        <f>IF($D39=0,"DNP",SUMIFS(TEAMS_GbG[OR_NP2],TEAMS_GbG[[TM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F39" s="18" t="str">
        <f>IF($D39=0,"DNP",SUMIFS(TEAMS_GbG[TM OR_NP2],TEAMS_GbG[[TM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G39" s="18" t="str">
        <f>IF($D39=0,"DNP",SUMIFS(TEAMS_GbG[OR_3C],TEAMS_GbG[[TM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H39" s="18" t="str">
        <f>IF($D39=0,"DNP",SUMIFS(TEAMS_GbG[TM OR_3C],TEAMS_GbG[[TM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I39" s="18" t="str">
        <f>IF($D39=0,"DNP",SUMIFS(TEAMS_GbG[OR_3L],TEAMS_GbG[[TM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J39" s="18" t="str">
        <f>IF($D39=0,"DNP",SUMIFS(TEAMS_GbG[TM OR_3L],TEAMS_GbG[[TM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K39" s="18" t="str">
        <f>IF($D39=0,"DNP",SUMIFS(TEAMS_GbG[OR_FT],TEAMS_GbG[[TM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L39" s="18" t="str">
        <f>IF($D39=0,"DNP",SUMIFS(TEAMS_GbG[TM OR_FT],TEAMS_GbG[[TM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M39" s="18" t="str">
        <f>IF($D39=0,"DNP",SUMIFS(TEAMS_GbG[DR_RIM],TEAMS_GbG[[TM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N39" s="18" t="str">
        <f>IF($D39=0,"DNP",SUMIFS(TEAMS_GbG[TM DR_RIM],TEAMS_GbG[[TM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O39" s="18" t="str">
        <f>IF($D39=0,"DNP",SUMIFS(TEAMS_GbG[DR_PAINT],TEAMS_GbG[[TM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P39" s="18" t="str">
        <f>IF($D39=0,"DNP",SUMIFS(TEAMS_GbG[TM DR_PAINT],TEAMS_GbG[[TM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Q39" s="18" t="str">
        <f>IF($D39=0,"DNP",SUMIFS(TEAMS_GbG[DR_NP2],TEAMS_GbG[[TM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R39" s="18" t="str">
        <f>IF($D39=0,"DNP",SUMIFS(TEAMS_GbG[TM DR_NP2],TEAMS_GbG[[TM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S39" s="18" t="str">
        <f>IF($D39=0,"DNP",SUMIFS(TEAMS_GbG[DR_3C],TEAMS_GbG[[TM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T39" s="18" t="str">
        <f>IF($D39=0,"DNP",SUMIFS(TEAMS_GbG[TM DR_3C],TEAMS_GbG[[TM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U39" s="18" t="str">
        <f>IF($D39=0,"DNP",SUMIFS(TEAMS_GbG[DR_3L],TEAMS_GbG[[TM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V39" s="18" t="str">
        <f>IF($D39=0,"DNP",SUMIFS(TEAMS_GbG[TM DR_3L],TEAMS_GbG[[TM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W39" s="18" t="str">
        <f>IF($D39=0,"DNP",SUMIFS(TEAMS_GbG[DR_FT],TEAMS_GbG[[TM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X39" s="18" t="str">
        <f>IF($D39=0,"DNP",SUMIFS(TEAMS_GbG[TM DR_FT],TEAMS_GbG[[TM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Y39" s="18" t="str">
        <f>IF($D39=0,"DNP",SUMIFS(TEAMS_GbG[FTM_T],TEAMS_GbG[[TM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Z39" s="18" t="str">
        <f>IF($D39=0,"DNP",SUMIFS(TEAMS_GbG[FTA_T],TEAMS_GbG[[TM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A39" s="18" t="str">
        <f>IF($D39=0,"DNP",SUMIFS(TEAMS_GbG[FTM_1],TEAMS_GbG[[TM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B39" s="18" t="str">
        <f>IF($D39=0,"DNP",SUMIFS(TEAMS_GbG[FTA_1],TEAMS_GbG[[TM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C39" s="18" t="str">
        <f>IF($D39=0,"DNP",SUMIFS(TEAMS_GbG[FTM_2],TEAMS_GbG[[TM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D39" s="18" t="str">
        <f>IF($D39=0,"DNP",SUMIFS(TEAMS_GbG[FTA_2],TEAMS_GbG[[TM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E39" s="18" t="str">
        <f>IF($D39=0,"DNP",SUMIFS(TEAMS_GbG[FT 0/2],TEAMS_GbG[[TM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F39" s="18" t="str">
        <f>IF($D39=0,"DNP",SUMIFS(TEAMS_GbG[FTM_3],TEAMS_GbG[[TM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G39" s="18" t="str">
        <f>IF($D39=0,"DNP",SUMIFS(TEAMS_GbG[FTA_3],TEAMS_GbG[[TM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H39" s="18" t="str">
        <f>IF($D39=0,"DNP",SUMIFS(TEAMS_GbG[FT 0/3],TEAMS_GbG[[TM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I39" s="18" t="str">
        <f>IF($D39=0,"DNP",SUMIFS(TEAMS_GbG[RIM_M],TEAMS_GbG[[TM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J39" s="18" t="str">
        <f>IF($D39=0,"DNP",SUMIFS(TEAMS_GbG[RIM_A],TEAMS_GbG[[TM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K39" s="18" t="str">
        <f>IF($D39=0,"DNP",SUMIFS(TEAMS_GbG[PAINT_M],TEAMS_GbG[[TM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L39" s="18" t="str">
        <f>IF($D39=0,"DNP",SUMIFS(TEAMS_GbG[PAINT_A],TEAMS_GbG[[TM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M39" s="18" t="str">
        <f>IF($D39=0,"DNP",SUMIFS(TEAMS_GbG[MID_M],TEAMS_GbG[[TM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N39" s="18" t="str">
        <f>IF($D39=0,"DNP",SUMIFS(TEAMS_GbG[MID_A],TEAMS_GbG[[TM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O39" s="18" t="str">
        <f>IF($D39=0,"DNP",SUMIFS(TEAMS_GbG[3C_M],TEAMS_GbG[[TM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P39" s="18" t="str">
        <f>IF($D39=0,"DNP",SUMIFS(TEAMS_GbG[3C_A],TEAMS_GbG[[TM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Q39" s="18" t="str">
        <f>IF($D39=0,"DNP",SUMIFS(TEAMS_GbG[3L_M],TEAMS_GbG[[TM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R39" s="18" t="str">
        <f>IF($D39=0,"DNP",SUMIFS(TEAMS_GbG[3L_A],TEAMS_GbG[[TM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S39" s="18" t="str">
        <f>IF($D39=0,"DNP",SUMIFS(TEAMS_GbG[3H_M],TEAMS_GbG[[TM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T39" s="18" t="str">
        <f>IF($D39=0,"DNP",SUMIFS(TEAMS_GbG[3H_A],TEAMS_GbG[[TM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U39" s="18" t="str">
        <f>IF($D39=0,"DNP",SUMIFS(TEAMS_GbG[OPP PTS],TEAMS_GbG[[TM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V39" s="18" t="str">
        <f>IF($D39=0,"DNP",SUMIFS(TEAMS_GbG[OPP 2PTM],TEAMS_GbG[[TM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W39" s="18" t="str">
        <f>IF($D39=0,"DNP",SUMIFS(TEAMS_GbG[OPP 2PTA],TEAMS_GbG[[TM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X39" s="16" t="str">
        <f t="shared" si="61"/>
        <v>DNP</v>
      </c>
      <c r="DY39" s="18" t="str">
        <f>IF($D39=0,"DNP",SUMIFS(TEAMS_GbG[OPP 3PTM],TEAMS_GbG[[TM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Z39" s="18" t="str">
        <f>IF($D39=0,"DNP",SUMIFS(TEAMS_GbG[OPP 3PTA],TEAMS_GbG[[TM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A39" s="16" t="str">
        <f t="shared" si="62"/>
        <v>DNP</v>
      </c>
      <c r="EB39" s="18" t="str">
        <f>IF($D39=0,"DNP",SUMIFS(TEAMS_GbG[OPP FGM],TEAMS_GbG[[TM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C39" s="18" t="str">
        <f>IF($D39=0,"DNP",SUMIFS(TEAMS_GbG[OPP FGA],TEAMS_GbG[[TM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D39" s="16" t="str">
        <f t="shared" si="63"/>
        <v>DNP</v>
      </c>
      <c r="EE39" s="18" t="str">
        <f>IF($D39=0,"DNP",SUMIFS(TEAMS_GbG[OPP FTM],TEAMS_GbG[[TM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F39" s="18" t="str">
        <f>IF($D39=0,"DNP",SUMIFS(TEAMS_GbG[OPP FTA],TEAMS_GbG[[TM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G39" s="16" t="str">
        <f t="shared" si="64"/>
        <v>DNP</v>
      </c>
      <c r="EH39" s="18" t="str">
        <f>IF($D39=0,"DNP",SUMIFS(TEAMS_GbG[OPP OR],TEAMS_GbG[[TM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I39" s="18" t="str">
        <f>IF($D39=0,"DNP",SUMIFS(TEAMS_GbG[OPP DR],TEAMS_GbG[[TM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J39" s="18" t="str">
        <f>IF($D39=0,"DNP",SUMIFS(TEAMS_GbG[OPP TR],TEAMS_GbG[[TM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K39" s="18" t="str">
        <f>IF($D39=0,"DNP",SUMIFS(TEAMS_GbG[OPP AST],TEAMS_GbG[[TM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L39" s="18" t="str">
        <f>IF($D39=0,"DNP",SUMIFS(TEAMS_GbG[OPP PF],TEAMS_GbG[[TM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M39" s="18" t="str">
        <f>IF($D39=0,"DNP",SUMIFS(TEAMS_GbG[OPP DF],TEAMS_GbG[[TM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N39" s="18" t="str">
        <f>IF($D39=0,"DNP",SUMIFS(TEAMS_GbG[OPP ST],TEAMS_GbG[[TM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O39" s="18" t="str">
        <f>IF($D39=0,"DNP",SUMIFS(TEAMS_GbG[OPP TO],TEAMS_GbG[[TM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P39" s="18" t="str">
        <f>IF($D39=0,"DNP",SUMIFS(TEAMS_GbG[OPP BLK],TEAMS_GbG[[TM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Q39" s="18" t="str">
        <f>IF($D39=0,"DNP",SUMIFS(TEAMS_GbG[OPP BLKA],TEAMS_GbG[[TM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R39" s="18" t="str">
        <f>IF($D39=0,"DNP",SUMIFS(TEAMS_GbG[OPP VAL],TEAMS_GbG[[TM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S39" s="18" t="str">
        <f>IF($D39=0,"DNP",SUMIFS(TEAMS_GbG[OPP + / -],TEAMS_GbG[[TM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T39" s="18" t="str">
        <f>IF($D39=0,"DNP",SUMIFS(TEAMS_GbG[OPP POSS],TEAMS_GbG[[TM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U39" s="18" t="str">
        <f>IF($D39=0,"DNP",SUMIFS(TEAMS_GbG[OPP SHOOTING CHANCES],TEAMS_GbG[[TM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V39" s="18" t="str">
        <f>IF($D39=0,"DNP",SUMIFS(TEAMS_GbG[OPP KILLS],TEAMS_GbG[[TM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W39" s="18" t="str">
        <f>IF($D39=0,"DNP",SUMIFS(TEAMS_GbG[OPP ASTED_2FG],TEAMS_GbG[[TM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X39" s="18" t="str">
        <f>IF($D39=0,"DNP",SUMIFS(TEAMS_GbG[OPP ASTED_3FG],TEAMS_GbG[[TM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Y39" s="18" t="str">
        <f>IF($D39=0,"DNP",SUMIFS(TEAMS_GbG[OPP ASTED_FT],TEAMS_GbG[[TM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Z39" s="18" t="str">
        <f>IF($D39=0,"DNP",SUMIFS(TEAMS_GbG[OPP ASTED_FT PTS],TEAMS_GbG[[TM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A39" s="18" t="str">
        <f>IF($D39=0,"DNP",SUMIFS(TEAMS_GbG[OPP OR_RIM],TEAMS_GbG[[TM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B39" s="18" t="str">
        <f>IF($D39=0,"DNP",SUMIFS(TEAMS_GbG[OPP TM OR_RIM],TEAMS_GbG[[TM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C39" s="18" t="str">
        <f>IF($D39=0,"DNP",SUMIFS(TEAMS_GbG[OPP OR_PAINT],TEAMS_GbG[[TM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D39" s="18" t="str">
        <f>IF($D39=0,"DNP",SUMIFS(TEAMS_GbG[OPP TM OR_PAINT],TEAMS_GbG[[TM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E39" s="18" t="str">
        <f>IF($D39=0,"DNP",SUMIFS(TEAMS_GbG[OPP OR_NP2],TEAMS_GbG[[TM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F39" s="18" t="str">
        <f>IF($D39=0,"DNP",SUMIFS(TEAMS_GbG[OPP TM OR_NP2],TEAMS_GbG[[TM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G39" s="18" t="str">
        <f>IF($D39=0,"DNP",SUMIFS(TEAMS_GbG[OPP OR_3C],TEAMS_GbG[[TM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H39" s="18" t="str">
        <f>IF($D39=0,"DNP",SUMIFS(TEAMS_GbG[OPP TM OR_3C],TEAMS_GbG[[TM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I39" s="18" t="str">
        <f>IF($D39=0,"DNP",SUMIFS(TEAMS_GbG[OPP OR_3L],TEAMS_GbG[[TM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J39" s="18" t="str">
        <f>IF($D39=0,"DNP",SUMIFS(TEAMS_GbG[OPP TM OR_3L],TEAMS_GbG[[TM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K39" s="18" t="str">
        <f>IF($D39=0,"DNP",SUMIFS(TEAMS_GbG[OPP OR_FT],TEAMS_GbG[[TM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L39" s="18" t="str">
        <f>IF($D39=0,"DNP",SUMIFS(TEAMS_GbG[OPP TM OR_FT],TEAMS_GbG[[TM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M39" s="18" t="str">
        <f>IF($D39=0,"DNP",SUMIFS(TEAMS_GbG[OPP DR_RIM],TEAMS_GbG[[TM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N39" s="18" t="str">
        <f>IF($D39=0,"DNP",SUMIFS(TEAMS_GbG[OPP TM DR_RIM],TEAMS_GbG[[TM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O39" s="18" t="str">
        <f>IF($D39=0,"DNP",SUMIFS(TEAMS_GbG[OPP DR_PAINT],TEAMS_GbG[[TM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P39" s="18" t="str">
        <f>IF($D39=0,"DNP",SUMIFS(TEAMS_GbG[OPP TM DR_PAINT],TEAMS_GbG[[TM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Q39" s="18" t="str">
        <f>IF($D39=0,"DNP",SUMIFS(TEAMS_GbG[OPP DR_NP2],TEAMS_GbG[[TM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R39" s="18" t="str">
        <f>IF($D39=0,"DNP",SUMIFS(TEAMS_GbG[OPP TM DR_NP2],TEAMS_GbG[[TM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S39" s="18" t="str">
        <f>IF($D39=0,"DNP",SUMIFS(TEAMS_GbG[OPP DR_3C],TEAMS_GbG[[TM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T39" s="18" t="str">
        <f>IF($D39=0,"DNP",SUMIFS(TEAMS_GbG[OPP TM DR_3C],TEAMS_GbG[[TM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U39" s="18" t="str">
        <f>IF($D39=0,"DNP",SUMIFS(TEAMS_GbG[OPP DR_3L],TEAMS_GbG[[TM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V39" s="18" t="str">
        <f>IF($D39=0,"DNP",SUMIFS(TEAMS_GbG[OPP TM DR_3L],TEAMS_GbG[[TM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W39" s="18" t="str">
        <f>IF($D39=0,"DNP",SUMIFS(TEAMS_GbG[OPP DR_FT],TEAMS_GbG[[TM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X39" s="18" t="str">
        <f>IF($D39=0,"DNP",SUMIFS(TEAMS_GbG[OPP TM DR_FT],TEAMS_GbG[[TM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Y39" s="18" t="str">
        <f>IF($D39=0,"DNP",SUMIFS(TEAMS_GbG[OPP FTM_T],TEAMS_GbG[[TM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Z39" s="18" t="str">
        <f>IF($D39=0,"DNP",SUMIFS(TEAMS_GbG[OPP FTA_T],TEAMS_GbG[[TM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A39" s="18" t="str">
        <f>IF($D39=0,"DNP",SUMIFS(TEAMS_GbG[OPP FTM_1],TEAMS_GbG[[TM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B39" s="18" t="str">
        <f>IF($D39=0,"DNP",SUMIFS(TEAMS_GbG[OPP FTA_1],TEAMS_GbG[[TM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C39" s="18" t="str">
        <f>IF($D39=0,"DNP",SUMIFS(TEAMS_GbG[OPP FTM_2],TEAMS_GbG[[TM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D39" s="18" t="str">
        <f>IF($D39=0,"DNP",SUMIFS(TEAMS_GbG[OPP FTA_2],TEAMS_GbG[[TM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E39" s="18" t="str">
        <f>IF($D39=0,"DNP",SUMIFS(TEAMS_GbG[OPP FT 0/2],TEAMS_GbG[[TM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F39" s="18" t="str">
        <f>IF($D39=0,"DNP",SUMIFS(TEAMS_GbG[OPP FTM_3],TEAMS_GbG[[TM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G39" s="18" t="str">
        <f>IF($D39=0,"DNP",SUMIFS(TEAMS_GbG[OPP FTA_3],TEAMS_GbG[[TM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H39" s="18" t="str">
        <f>IF($D39=0,"DNP",SUMIFS(TEAMS_GbG[OPP FT 0/3],TEAMS_GbG[[TM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I39" s="18" t="str">
        <f>IF($D39=0,"DNP",SUMIFS(TEAMS_GbG[OPP RIM_M],TEAMS_GbG[[TM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J39" s="18" t="str">
        <f>IF($D39=0,"DNP",SUMIFS(TEAMS_GbG[OPP RIM_A],TEAMS_GbG[[TM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K39" s="18" t="str">
        <f>IF($D39=0,"DNP",SUMIFS(TEAMS_GbG[OPP PAINT_M],TEAMS_GbG[[TM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L39" s="18" t="str">
        <f>IF($D39=0,"DNP",SUMIFS(TEAMS_GbG[OPP PAINT_A],TEAMS_GbG[[TM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M39" s="18" t="str">
        <f>IF($D39=0,"DNP",SUMIFS(TEAMS_GbG[OPP MID_M],TEAMS_GbG[[TM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N39" s="18" t="str">
        <f>IF($D39=0,"DNP",SUMIFS(TEAMS_GbG[OPP MID_A],TEAMS_GbG[[TM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O39" s="18" t="str">
        <f>IF($D39=0,"DNP",SUMIFS(TEAMS_GbG[OPP 3C_M],TEAMS_GbG[[TM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P39" s="18" t="str">
        <f>IF($D39=0,"DNP",SUMIFS(TEAMS_GbG[OPP 3C_A],TEAMS_GbG[[TM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Q39" s="18" t="str">
        <f>IF($D39=0,"DNP",SUMIFS(TEAMS_GbG[OPP 3L_M],TEAMS_GbG[[TM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R39" s="18" t="str">
        <f>IF($D39=0,"DNP",SUMIFS(TEAMS_GbG[OPP 3L_A],TEAMS_GbG[[TM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S39" s="18" t="str">
        <f>IF($D39=0,"DNP",SUMIFS(TEAMS_GbG[OPP 3H_M],TEAMS_GbG[[TM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T39" s="18" t="str">
        <f>IF($D39=0,"DNP",SUMIFS(TEAMS_GbG[OPP 3H_A],TEAMS_GbG[[TM NAME]:[TM NAME]],$C39,TEAMS_GbG[[ROUND]:[ROUND]],IF($D$5="","&gt;0","&gt;="&amp;$D$5),TEAMS_GbG[[ROUND]:[ROUND]],IF($F$5="","&lt;1000","&lt;="&amp;$F$5),TEAMS_GbG[[DATE]:[DATE]],IF($H$5="","&gt;0","&gt;="&amp;$H$5),TEAMS_GbG[[DATE]:[DATE]],IF($J$5="","&lt;100000000000","&lt;="&amp;$J$5),TEAMS_GbG[[H/A]:[H/A]],IF($J$3="ALL LOCATIONS","&lt;&gt;X",IF($J$3="HOME","H","A")),TEAMS_GbG[[W/L]:[W/L]],IF($H$3="ALL OUTCOMES","&lt;&gt;X",IF($H$3="WINS","W","L")),TEAMS_GbG[[ROUND]:[ROUND]],IF($F$3="ALL GAMES","&gt;0",IF($F$3=BASIS_INFO!$T$3,"&gt;="&amp;BASIS_INFO!$B$10,IF($F$3=BASIS_INFO!$T$4,"&gt;="&amp;BASIS_INFO!$B$11,IF($F$3=BASIS_INFO!$T$5,"&gt;="&amp;BASIS_INFO!$B$12,IF($F$3=BASIS_INFO!$T$6,"&gt;="&amp;BASIS_INFO!$B$13))))),TEAMS_GbG[[ROUND]:[ROUND]],IF($F$3="ALL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U39" s="16" t="str">
        <f>IF(TEAMS_STATS[[#This Row],[TM NAME]]="","",INDEX(SoS!$C$113:$C$144,MATCH(TEAMS_STATS[[#This Row],[TM NAME]],SoS!$B$113:$B$144,0)))</f>
        <v/>
      </c>
    </row>
    <row r="40" spans="2:203" ht="15" customHeight="1" x14ac:dyDescent="0.25">
      <c r="B40" s="12"/>
      <c r="D40" s="12"/>
      <c r="E40" s="12"/>
      <c r="F40" s="12"/>
      <c r="G40" s="18">
        <f>SUBTOTAL(101,TEAMS_STATS[MIN])</f>
        <v>201.56250000000003</v>
      </c>
      <c r="H40" s="18">
        <f>SUBTOTAL(101,TEAMS_STATS[PTS])</f>
        <v>80.195216049382736</v>
      </c>
      <c r="I40" s="18">
        <f>SUBTOTAL(101,TEAMS_STATS[2PTM])</f>
        <v>19.787808641975307</v>
      </c>
      <c r="J40" s="18">
        <f>SUBTOTAL(101,TEAMS_STATS[2PTA])</f>
        <v>36.443672839506171</v>
      </c>
      <c r="K40" s="23">
        <f>SUBTOTAL(101,TEAMS_STATS[2PT%])</f>
        <v>0.54386941811181599</v>
      </c>
      <c r="L40" s="18">
        <f>SUBTOTAL(101,TEAMS_STATS[3PTM])</f>
        <v>9.1990740740740726</v>
      </c>
      <c r="M40" s="18">
        <f>SUBTOTAL(101,TEAMS_STATS[3PTA])</f>
        <v>25.783179012345684</v>
      </c>
      <c r="N40" s="23">
        <f>SUBTOTAL(101,TEAMS_STATS[3PT%])</f>
        <v>0.35753816383276332</v>
      </c>
      <c r="O40" s="18">
        <f>SUBTOTAL(101,TEAMS_STATS[FGM])</f>
        <v>28.986882716049383</v>
      </c>
      <c r="P40" s="18">
        <f>SUBTOTAL(101,TEAMS_STATS[FGA])</f>
        <v>62.226851851851862</v>
      </c>
      <c r="Q40" s="23">
        <f>SUBTOTAL(101,TEAMS_STATS[FG%])</f>
        <v>0.4663996443143904</v>
      </c>
      <c r="R40" s="18">
        <f>SUBTOTAL(101,TEAMS_STATS[FTM])</f>
        <v>13.022376543209877</v>
      </c>
      <c r="S40" s="18">
        <f>SUBTOTAL(101,TEAMS_STATS[FTA])</f>
        <v>16.833333333333336</v>
      </c>
      <c r="T40" s="23">
        <f>SUBTOTAL(101,TEAMS_STATS[FT%])</f>
        <v>0.77179034367749344</v>
      </c>
      <c r="U40" s="18">
        <f>SUBTOTAL(101,TEAMS_STATS[OR])</f>
        <v>10.631172839506172</v>
      </c>
      <c r="V40" s="18">
        <f>SUBTOTAL(101,TEAMS_STATS[DR])</f>
        <v>23.369598765432102</v>
      </c>
      <c r="W40" s="18">
        <f>SUBTOTAL(101,TEAMS_STATS[TR])</f>
        <v>34.000771604938272</v>
      </c>
      <c r="X40" s="18">
        <f>SUBTOTAL(101,TEAMS_STATS[AST])</f>
        <v>17.531635802469136</v>
      </c>
      <c r="Y40" s="18">
        <f>SUBTOTAL(101,TEAMS_STATS[TO])</f>
        <v>12.559413580246915</v>
      </c>
      <c r="Z40" s="18">
        <f>SUBTOTAL(101,TEAMS_STATS[ST])</f>
        <v>6.3927469135802486</v>
      </c>
      <c r="AA40" s="18">
        <f>SUBTOTAL(101,TEAMS_STATS[BLK])</f>
        <v>2.3942901234567904</v>
      </c>
      <c r="AB40" s="18">
        <f>SUBTOTAL(101,TEAMS_STATS[BLKA])</f>
        <v>2.3757716049382709</v>
      </c>
      <c r="AC40" s="18">
        <f>SUBTOTAL(101,TEAMS_STATS[PF])</f>
        <v>19.547839506172842</v>
      </c>
      <c r="AD40" s="18">
        <f>SUBTOTAL(101,TEAMS_STATS[DF])</f>
        <v>19.337191358024693</v>
      </c>
      <c r="AE40" s="18">
        <f>SUBTOTAL(101,TEAMS_STATS[VAL])</f>
        <v>88.317901234567913</v>
      </c>
      <c r="AF40" s="18">
        <f>SUBTOTAL(101,TEAMS_STATS[+ / -])</f>
        <v>7.5617283950617203E-2</v>
      </c>
      <c r="AG40" s="29">
        <f>SUBTOTAL(101,TEAMS_STATS[PACE])</f>
        <v>70.599293392444082</v>
      </c>
      <c r="AH40" s="30">
        <f>SUBTOTAL(101,TEAMS_STATS[POSS])</f>
        <v>71.14274691358024</v>
      </c>
      <c r="AI40" s="30">
        <f>SUBTOTAL(101,TEAMS_STATS[SHOOTING CHANCES])</f>
        <v>81.930298353909464</v>
      </c>
      <c r="AJ40" s="31">
        <f>SUBTOTAL(101,TEAMS_STATS[OFF PPP])</f>
        <v>0.97950718447036855</v>
      </c>
      <c r="AK40" s="31">
        <f>SUBTOTAL(101,TEAMS_STATS[DEF PPP])</f>
        <v>0.97813948175360088</v>
      </c>
      <c r="AL40" s="30">
        <f>SUBTOTAL(101,TEAMS_STATS[OFF RTG])</f>
        <v>112.72109720784292</v>
      </c>
      <c r="AM40" s="30">
        <f>SUBTOTAL(101,TEAMS_STATS[DEF RTG])</f>
        <v>112.61352059731622</v>
      </c>
      <c r="AN40" s="30">
        <f>SUBTOTAL(101,TEAMS_STATS[NET RTG])</f>
        <v>0.10757661052673484</v>
      </c>
      <c r="AO40" s="32">
        <f>SUBTOTAL(101,TEAMS_STATS[eFG%])</f>
        <v>0.54036656408458306</v>
      </c>
      <c r="AP40" s="33">
        <f>SUBTOTAL(101,TEAMS_STATS[TS%])</f>
        <v>0.57846030541524496</v>
      </c>
      <c r="AQ40" s="36">
        <f>SUBTOTAL(101,TEAMS_STATS[RIM FREQ])</f>
        <v>0.1382556026816065</v>
      </c>
      <c r="AR40" s="31">
        <f>SUBTOTAL(101,TEAMS_STATS[RIM PPS])</f>
        <v>1.5544621108404091</v>
      </c>
      <c r="AS40" s="44">
        <f>SUBTOTAL(101,TEAMS_STATS[PAINT FREQ])</f>
        <v>0.2239941279180345</v>
      </c>
      <c r="AT40" s="31">
        <f>SUBTOTAL(101,TEAMS_STATS[PAINT PPS])</f>
        <v>0.9095900207924803</v>
      </c>
      <c r="AU40" s="44">
        <f>SUBTOTAL(101,TEAMS_STATS[MID FREQ])</f>
        <v>8.2752528005462192E-2</v>
      </c>
      <c r="AV40" s="31">
        <f>SUBTOTAL(101,TEAMS_STATS[MID PPS])</f>
        <v>0.76744541681291867</v>
      </c>
      <c r="AW40" s="44">
        <f>SUBTOTAL(101,TEAMS_STATS[C3 FREQ])</f>
        <v>3.7085011117722451E-2</v>
      </c>
      <c r="AX40" s="31">
        <f>SUBTOTAL(101,TEAMS_STATS[C3 PPS])</f>
        <v>1.3161633643479569</v>
      </c>
      <c r="AY40" s="32">
        <f>SUBTOTAL(101,TEAMS_STATS[L3 FREQ])</f>
        <v>0.27454624862786148</v>
      </c>
      <c r="AZ40" s="31">
        <f>SUBTOTAL(101,TEAMS_STATS[L3 PPS])</f>
        <v>1.0436841925446885</v>
      </c>
      <c r="BA40" s="33">
        <f>SUBTOTAL(101,TEAMS_STATS[FT Ratio])</f>
        <v>8.7139887561455492E-2</v>
      </c>
      <c r="BB40" s="36">
        <f>SUBTOTAL(101,TEAMS_STATS[TO%])</f>
        <v>0.15360839680564839</v>
      </c>
      <c r="BC40" s="32">
        <f>SUBTOTAL(101,TEAMS_STATS[AST%])</f>
        <v>0.4889468360023892</v>
      </c>
      <c r="BD40" s="32">
        <f>SUBTOTAL(101,TEAMS_STATS[AST% (2P)])</f>
        <v>0.45214367038610981</v>
      </c>
      <c r="BE40" s="32">
        <f>SUBTOTAL(101,TEAMS_STATS[AST% (3P)])</f>
        <v>0.75514532574602999</v>
      </c>
      <c r="BF40" s="32">
        <f>SUBTOTAL(101,TEAMS_STATS[AST% (FT)])</f>
        <v>0.23629414456718786</v>
      </c>
      <c r="BG40" s="32">
        <f>SUBTOTAL(101,TEAMS_STATS[AST Ratio])</f>
        <v>0.21444480256091036</v>
      </c>
      <c r="BH40" s="37">
        <f>SUBTOTAL(101,TEAMS_STATS[AST/TO])</f>
        <v>1.4131371656921794</v>
      </c>
      <c r="BI40" s="50">
        <f>SUBTOTAL(101,TEAMS_STATS[OR%])</f>
        <v>0.31097941759101488</v>
      </c>
      <c r="BJ40" s="47">
        <f>SUBTOTAL(101,TEAMS_STATS[OR% (after 2P)])</f>
        <v>0.34369798367780513</v>
      </c>
      <c r="BK40" s="47">
        <f>SUBTOTAL(101,TEAMS_STATS[OR% (after 3P)])</f>
        <v>0.32541470344050688</v>
      </c>
      <c r="BL40" s="47">
        <f>SUBTOTAL(101,TEAMS_STATS[OR% (after FT)])</f>
        <v>0.23906404171964113</v>
      </c>
      <c r="BM40" s="47">
        <f>SUBTOTAL(101,TEAMS_STATS[DR%])</f>
        <v>0.68752382234763187</v>
      </c>
      <c r="BN40" s="47">
        <f>SUBTOTAL(101,TEAMS_STATS[DR% (after 2P)])</f>
        <v>0.65627976398356669</v>
      </c>
      <c r="BO40" s="47">
        <f>SUBTOTAL(101,TEAMS_STATS[DR% (after 3P)])</f>
        <v>0.67373229055352424</v>
      </c>
      <c r="BP40" s="47">
        <f>SUBTOTAL(101,TEAMS_STATS[DR% (after FT)])</f>
        <v>0.78570769912415261</v>
      </c>
      <c r="BQ40" s="48">
        <f>SUBTOTAL(101,TEAMS_STATS[TR%])</f>
        <v>0.49970812711429891</v>
      </c>
      <c r="BR40" s="50">
        <f>SUBTOTAL(101,TEAMS_STATS[ST%])</f>
        <v>8.9828281614968711E-2</v>
      </c>
      <c r="BS40" s="47">
        <f>SUBTOTAL(101,TEAMS_STATS[BLK%])</f>
        <v>3.8295536407472804E-2</v>
      </c>
      <c r="BT40" s="41">
        <f>SUBTOTAL(101,TEAMS_STATS[KILLS])</f>
        <v>4.6643518518518521</v>
      </c>
      <c r="BU40" s="36">
        <f>SUBTOTAL(101,TEAMS_STATS[PSF FREQ])</f>
        <v>0.4508724766944523</v>
      </c>
      <c r="BV40" s="33">
        <f>SUBTOTAL(101,TEAMS_STATS[DSF FREQ])</f>
        <v>0.459504658195178</v>
      </c>
      <c r="BW40" s="18">
        <f>SUBTOTAL(101,TEAMS_STATS[ASTED_2FG])</f>
        <v>8.9398148148148167</v>
      </c>
      <c r="BX40" s="18">
        <f>SUBTOTAL(101,TEAMS_STATS[ASTED_3FG])</f>
        <v>6.9290123456790127</v>
      </c>
      <c r="BY40" s="18">
        <f>SUBTOTAL(101,TEAMS_STATS[ASTED_FT])</f>
        <v>1.624228395061728</v>
      </c>
      <c r="BZ40" s="18">
        <f>SUBTOTAL(101,TEAMS_STATS[ASTED_FT PTS])</f>
        <v>2.9274691358024691</v>
      </c>
      <c r="CA40" s="18">
        <f>SUBTOTAL(101,TEAMS_STATS[OR_RIM])</f>
        <v>1.0162037037037037</v>
      </c>
      <c r="CB40" s="18">
        <f>SUBTOTAL(101,TEAMS_STATS[TM OR_RIM])</f>
        <v>0.24382716049382719</v>
      </c>
      <c r="CC40" s="18">
        <f>SUBTOTAL(101,TEAMS_STATS[OR_PAINT])</f>
        <v>3.1975308641975304</v>
      </c>
      <c r="CD40" s="18">
        <f>SUBTOTAL(101,TEAMS_STATS[TM OR_PAINT])</f>
        <v>0.53163580246913578</v>
      </c>
      <c r="CE40" s="18">
        <f>SUBTOTAL(101,TEAMS_STATS[OR_NP2])</f>
        <v>1.0455246913580247</v>
      </c>
      <c r="CF40" s="18">
        <f>SUBTOTAL(101,TEAMS_STATS[TM OR_NP2])</f>
        <v>0.15200617283950621</v>
      </c>
      <c r="CG40" s="18">
        <f>SUBTOTAL(101,TEAMS_STATS[OR_3C])</f>
        <v>0.46296296296296302</v>
      </c>
      <c r="CH40" s="18">
        <f>SUBTOTAL(101,TEAMS_STATS[TM OR_3C])</f>
        <v>9.336419753086421E-2</v>
      </c>
      <c r="CI40" s="18">
        <f>SUBTOTAL(101,TEAMS_STATS[OR_3L])</f>
        <v>4.4907407407407405</v>
      </c>
      <c r="CJ40" s="18">
        <f>SUBTOTAL(101,TEAMS_STATS[TM OR_3L])</f>
        <v>0.67592592592592582</v>
      </c>
      <c r="CK40" s="18">
        <f>SUBTOTAL(101,TEAMS_STATS[OR_FT])</f>
        <v>0.33796296296296302</v>
      </c>
      <c r="CL40" s="18">
        <f>SUBTOTAL(101,TEAMS_STATS[TM OR_FT])</f>
        <v>9.8765432098765454E-2</v>
      </c>
      <c r="CM40" s="18">
        <f>SUBTOTAL(101,TEAMS_STATS[DR_RIM])</f>
        <v>1.4760802469135799</v>
      </c>
      <c r="CN40" s="18">
        <f>SUBTOTAL(101,TEAMS_STATS[TM DR_RIM])</f>
        <v>0.10493827160493829</v>
      </c>
      <c r="CO40" s="18">
        <f>SUBTOTAL(101,TEAMS_STATS[DR_PAINT])</f>
        <v>6.5987654320987659</v>
      </c>
      <c r="CP40" s="18">
        <f>SUBTOTAL(101,TEAMS_STATS[TM DR_PAINT])</f>
        <v>0.39969135802469136</v>
      </c>
      <c r="CQ40" s="18">
        <f>SUBTOTAL(101,TEAMS_STATS[DR_NP2])</f>
        <v>2.9876543209876543</v>
      </c>
      <c r="CR40" s="18">
        <f>SUBTOTAL(101,TEAMS_STATS[TM DR_NP2])</f>
        <v>0.19290123456790126</v>
      </c>
      <c r="CS40" s="18">
        <f>SUBTOTAL(101,TEAMS_STATS[DR_3C])</f>
        <v>1.1658950617283947</v>
      </c>
      <c r="CT40" s="18">
        <f>SUBTOTAL(101,TEAMS_STATS[TM DR_3C])</f>
        <v>0.11805555555555558</v>
      </c>
      <c r="CU40" s="18">
        <f>SUBTOTAL(101,TEAMS_STATS[DR_3L])</f>
        <v>9.6126543209876552</v>
      </c>
      <c r="CV40" s="18">
        <f>SUBTOTAL(101,TEAMS_STATS[TM DR_3L])</f>
        <v>0.86574074074074092</v>
      </c>
      <c r="CW40" s="18">
        <f>SUBTOTAL(101,TEAMS_STATS[DR_FT])</f>
        <v>1.3834876543209877</v>
      </c>
      <c r="CX40" s="18">
        <f>SUBTOTAL(101,TEAMS_STATS[TM DR_FT])</f>
        <v>7.0216049382716056E-2</v>
      </c>
      <c r="CY40" s="18">
        <f>SUBTOTAL(101,TEAMS_STATS[FTM_T])</f>
        <v>0.30941358024691362</v>
      </c>
      <c r="CZ40" s="18">
        <f>SUBTOTAL(101,TEAMS_STATS[FTA_T])</f>
        <v>0.39197530864197533</v>
      </c>
      <c r="DA40" s="18">
        <f>SUBTOTAL(101,TEAMS_STATS[FTM_1])</f>
        <v>1.2854938271604939</v>
      </c>
      <c r="DB40" s="18">
        <f>SUBTOTAL(101,TEAMS_STATS[FTA_1])</f>
        <v>1.7723765432098768</v>
      </c>
      <c r="DC40" s="18">
        <f>SUBTOTAL(101,TEAMS_STATS[FTM_2])</f>
        <v>10.503086419753085</v>
      </c>
      <c r="DD40" s="18">
        <f>SUBTOTAL(101,TEAMS_STATS[FTA_2])</f>
        <v>13.526234567901234</v>
      </c>
      <c r="DE40" s="18">
        <f>SUBTOTAL(101,TEAMS_STATS[FT 0/2])</f>
        <v>0.38580246913580241</v>
      </c>
      <c r="DF40" s="18">
        <f>SUBTOTAL(101,TEAMS_STATS[FTM_3])</f>
        <v>0.92438271604938271</v>
      </c>
      <c r="DG40" s="18">
        <f>SUBTOTAL(101,TEAMS_STATS[FTA_3])</f>
        <v>1.1427469135802468</v>
      </c>
      <c r="DH40" s="18">
        <f>SUBTOTAL(101,TEAMS_STATS[FT 0/3])</f>
        <v>0</v>
      </c>
      <c r="DI40" s="18">
        <f>SUBTOTAL(101,TEAMS_STATS[RIM_M])</f>
        <v>8.7685185185185208</v>
      </c>
      <c r="DJ40" s="18">
        <f>SUBTOTAL(101,TEAMS_STATS[RIM_A])</f>
        <v>11.320216049382717</v>
      </c>
      <c r="DK40" s="18">
        <f>SUBTOTAL(101,TEAMS_STATS[PAINT_M])</f>
        <v>8.3881172839506171</v>
      </c>
      <c r="DL40" s="18">
        <f>SUBTOTAL(101,TEAMS_STATS[PAINT_A])</f>
        <v>18.351080246913583</v>
      </c>
      <c r="DM40" s="18">
        <f>SUBTOTAL(101,TEAMS_STATS[MID_M])</f>
        <v>2.6311728395061724</v>
      </c>
      <c r="DN40" s="18">
        <f>SUBTOTAL(101,TEAMS_STATS[MID_A])</f>
        <v>6.7723765432098757</v>
      </c>
      <c r="DO40" s="18">
        <f>SUBTOTAL(101,TEAMS_STATS[3C_M])</f>
        <v>1.367283950617284</v>
      </c>
      <c r="DP40" s="18">
        <f>SUBTOTAL(101,TEAMS_STATS[3C_A])</f>
        <v>3.0347222222222223</v>
      </c>
      <c r="DQ40" s="18">
        <f>SUBTOTAL(101,TEAMS_STATS[3L_M])</f>
        <v>7.8256172839506171</v>
      </c>
      <c r="DR40" s="18">
        <f>SUBTOTAL(101,TEAMS_STATS[3L_A])</f>
        <v>22.508487654320991</v>
      </c>
      <c r="DS40" s="18">
        <f>SUBTOTAL(101,TEAMS_STATS[3H_M])</f>
        <v>0</v>
      </c>
      <c r="DT40" s="18">
        <f>SUBTOTAL(101,TEAMS_STATS[3H_A])</f>
        <v>0.21450617283950618</v>
      </c>
      <c r="DU40" s="18">
        <f>SUBTOTAL(101,TEAMS_STATS[OPP PTS])</f>
        <v>80.119598765432102</v>
      </c>
      <c r="DV40" s="18">
        <f>SUBTOTAL(101,TEAMS_STATS[OPP 2PTM])</f>
        <v>19.800154320987655</v>
      </c>
      <c r="DW40" s="18">
        <f>SUBTOTAL(101,TEAMS_STATS[OPP 2PTA])</f>
        <v>36.503858024691361</v>
      </c>
      <c r="DX40" s="23">
        <f>SUBTOTAL(101,TEAMS_STATS[OPP 2PT%])</f>
        <v>0.543490654281365</v>
      </c>
      <c r="DY40" s="18">
        <f>SUBTOTAL(101,TEAMS_STATS[OPP 3PTM])</f>
        <v>9.1828703703703685</v>
      </c>
      <c r="DZ40" s="18">
        <f>SUBTOTAL(101,TEAMS_STATS[OPP 3PTA])</f>
        <v>25.730709876543202</v>
      </c>
      <c r="EA40" s="23">
        <f>SUBTOTAL(101,TEAMS_STATS[OPP 3PT%])</f>
        <v>0.35670407940856064</v>
      </c>
      <c r="EB40" s="18">
        <f>SUBTOTAL(101,TEAMS_STATS[OPP FGM])</f>
        <v>28.983024691358032</v>
      </c>
      <c r="EC40" s="18">
        <f>SUBTOTAL(101,TEAMS_STATS[OPP FGA])</f>
        <v>62.234567901234563</v>
      </c>
      <c r="ED40" s="23">
        <f>SUBTOTAL(101,TEAMS_STATS[OPP FG%])</f>
        <v>0.46600972943431668</v>
      </c>
      <c r="EE40" s="18">
        <f>SUBTOTAL(101,TEAMS_STATS[OPP FTM])</f>
        <v>12.970679012345679</v>
      </c>
      <c r="EF40" s="18">
        <f>SUBTOTAL(101,TEAMS_STATS[OPP FTA])</f>
        <v>16.787037037037038</v>
      </c>
      <c r="EG40" s="23">
        <f>SUBTOTAL(101,TEAMS_STATS[OPP FT%])</f>
        <v>0.77200060699781781</v>
      </c>
      <c r="EH40" s="18">
        <f>SUBTOTAL(101,TEAMS_STATS[OPP OR])</f>
        <v>10.632716049382715</v>
      </c>
      <c r="EI40" s="18">
        <f>SUBTOTAL(101,TEAMS_STATS[OPP DR])</f>
        <v>23.351080246913579</v>
      </c>
      <c r="EJ40" s="18">
        <f>SUBTOTAL(101,TEAMS_STATS[OPP TR])</f>
        <v>33.983796296296305</v>
      </c>
      <c r="EK40" s="18">
        <f>SUBTOTAL(101,TEAMS_STATS[OPP AST])</f>
        <v>17.483024691358029</v>
      </c>
      <c r="EL40" s="18">
        <f>SUBTOTAL(101,TEAMS_STATS[OPP PF])</f>
        <v>19.768518518518523</v>
      </c>
      <c r="EM40" s="18">
        <f>SUBTOTAL(101,TEAMS_STATS[OPP DF])</f>
        <v>19.338734567901234</v>
      </c>
      <c r="EN40" s="18">
        <f>SUBTOTAL(101,TEAMS_STATS[OPP ST])</f>
        <v>6.3850308641975317</v>
      </c>
      <c r="EO40" s="18">
        <f>SUBTOTAL(101,TEAMS_STATS[OPP TO])</f>
        <v>12.580246913580249</v>
      </c>
      <c r="EP40" s="18">
        <f>SUBTOTAL(101,TEAMS_STATS[OPP BLK])</f>
        <v>2.3757716049382709</v>
      </c>
      <c r="EQ40" s="18">
        <f>SUBTOTAL(101,TEAMS_STATS[OPP BLKA])</f>
        <v>2.3942901234567904</v>
      </c>
      <c r="ER40" s="18">
        <f>SUBTOTAL(101,TEAMS_STATS[OPP VAL])</f>
        <v>87.874999999999972</v>
      </c>
      <c r="ES40" s="18">
        <f>SUBTOTAL(101,TEAMS_STATS[OPP + / -])</f>
        <v>-7.5617283950617203E-2</v>
      </c>
      <c r="ET40" s="18">
        <f>SUBTOTAL(101,TEAMS_STATS[OPP POSS])</f>
        <v>71.141975308641975</v>
      </c>
      <c r="EU40" s="18">
        <f>SUBTOTAL(101,TEAMS_STATS[OPP SHOOTING CHANCES])</f>
        <v>81.934156378600832</v>
      </c>
      <c r="EV40" s="18">
        <f>SUBTOTAL(101,TEAMS_STATS[OPP KILLS])</f>
        <v>4.6597222222222232</v>
      </c>
      <c r="EW40" s="18">
        <f>SUBTOTAL(101,TEAMS_STATS[OPP ASTED_2FG])</f>
        <v>8.9158950617283956</v>
      </c>
      <c r="EX40" s="18">
        <f>SUBTOTAL(101,TEAMS_STATS[OPP ASTED_3FG])</f>
        <v>6.9197530864197541</v>
      </c>
      <c r="EY40" s="18">
        <f>SUBTOTAL(101,TEAMS_STATS[OPP ASTED_FT])</f>
        <v>1.6103395061728394</v>
      </c>
      <c r="EZ40" s="18">
        <f>SUBTOTAL(101,TEAMS_STATS[OPP ASTED_FT PTS])</f>
        <v>2.9074074074074079</v>
      </c>
      <c r="FA40" s="18">
        <f>SUBTOTAL(101,TEAMS_STATS[OPP OR_RIM])</f>
        <v>1.0200617283950617</v>
      </c>
      <c r="FB40" s="18">
        <f>SUBTOTAL(101,TEAMS_STATS[OPP TM OR_RIM])</f>
        <v>0.24305555555555555</v>
      </c>
      <c r="FC40" s="18">
        <f>SUBTOTAL(101,TEAMS_STATS[OPP OR_PAINT])</f>
        <v>3.1983024691358022</v>
      </c>
      <c r="FD40" s="18">
        <f>SUBTOTAL(101,TEAMS_STATS[OPP TM OR_PAINT])</f>
        <v>0.52777777777777768</v>
      </c>
      <c r="FE40" s="18">
        <f>SUBTOTAL(101,TEAMS_STATS[OPP OR_NP2])</f>
        <v>1.0478395061728394</v>
      </c>
      <c r="FF40" s="18">
        <f>SUBTOTAL(101,TEAMS_STATS[OPP TM OR_NP2])</f>
        <v>0.14969135802469138</v>
      </c>
      <c r="FG40" s="18">
        <f>SUBTOTAL(101,TEAMS_STATS[OPP OR_3C])</f>
        <v>0.45987654320987659</v>
      </c>
      <c r="FH40" s="18">
        <f>SUBTOTAL(101,TEAMS_STATS[OPP TM OR_3C])</f>
        <v>9.336419753086421E-2</v>
      </c>
      <c r="FI40" s="18">
        <f>SUBTOTAL(101,TEAMS_STATS[OPP OR_3L])</f>
        <v>4.4868827160493829</v>
      </c>
      <c r="FJ40" s="18">
        <f>SUBTOTAL(101,TEAMS_STATS[OPP TM OR_3L])</f>
        <v>0.67438271604938271</v>
      </c>
      <c r="FK40" s="18">
        <f>SUBTOTAL(101,TEAMS_STATS[OPP OR_FT])</f>
        <v>0.33873456790123463</v>
      </c>
      <c r="FL40" s="18">
        <f>SUBTOTAL(101,TEAMS_STATS[OPP TM OR_FT])</f>
        <v>9.9537037037037035E-2</v>
      </c>
      <c r="FM40" s="18">
        <f>SUBTOTAL(101,TEAMS_STATS[OPP DR_RIM])</f>
        <v>1.4745370370370372</v>
      </c>
      <c r="FN40" s="18">
        <f>SUBTOTAL(101,TEAMS_STATS[OPP TM DR_RIM])</f>
        <v>0.1080246913580247</v>
      </c>
      <c r="FO40" s="18">
        <f>SUBTOTAL(101,TEAMS_STATS[OPP DR_PAINT])</f>
        <v>6.5841049382716044</v>
      </c>
      <c r="FP40" s="18">
        <f>SUBTOTAL(101,TEAMS_STATS[OPP TM DR_PAINT])</f>
        <v>0.39660493827160492</v>
      </c>
      <c r="FQ40" s="18">
        <f>SUBTOTAL(101,TEAMS_STATS[OPP DR_NP2])</f>
        <v>2.9645061728395063</v>
      </c>
      <c r="FR40" s="18">
        <f>SUBTOTAL(101,TEAMS_STATS[OPP TM DR_NP2])</f>
        <v>0.19212962962962965</v>
      </c>
      <c r="FS40" s="18">
        <f>SUBTOTAL(101,TEAMS_STATS[OPP DR_3C])</f>
        <v>1.1736111111111112</v>
      </c>
      <c r="FT40" s="18">
        <f>SUBTOTAL(101,TEAMS_STATS[OPP TM DR_3C])</f>
        <v>0.11805555555555558</v>
      </c>
      <c r="FU40" s="18">
        <f>SUBTOTAL(101,TEAMS_STATS[OPP DR_3L])</f>
        <v>9.6311728395061706</v>
      </c>
      <c r="FV40" s="18">
        <f>SUBTOTAL(101,TEAMS_STATS[OPP TM DR_3L])</f>
        <v>0.8695987654320988</v>
      </c>
      <c r="FW40" s="18">
        <f>SUBTOTAL(101,TEAMS_STATS[OPP DR_FT])</f>
        <v>1.3796296296296298</v>
      </c>
      <c r="FX40" s="18">
        <f>SUBTOTAL(101,TEAMS_STATS[OPP TM DR_FT])</f>
        <v>6.8672839506172839E-2</v>
      </c>
      <c r="FY40" s="18">
        <f>SUBTOTAL(101,TEAMS_STATS[OPP FTM_T])</f>
        <v>0.30787037037037035</v>
      </c>
      <c r="FZ40" s="18">
        <f>SUBTOTAL(101,TEAMS_STATS[OPP FTA_T])</f>
        <v>0.390432098765432</v>
      </c>
      <c r="GA40" s="18">
        <f>SUBTOTAL(101,TEAMS_STATS[OPP FTM_1])</f>
        <v>1.2415123456790125</v>
      </c>
      <c r="GB40" s="18">
        <f>SUBTOTAL(101,TEAMS_STATS[OPP FTA_1])</f>
        <v>1.7060185185185186</v>
      </c>
      <c r="GC40" s="18">
        <f>SUBTOTAL(101,TEAMS_STATS[OPP FTM_2])</f>
        <v>10.44753086419753</v>
      </c>
      <c r="GD40" s="18">
        <f>SUBTOTAL(101,TEAMS_STATS[OPP FTA_2])</f>
        <v>13.472222222222221</v>
      </c>
      <c r="GE40" s="18">
        <f>SUBTOTAL(101,TEAMS_STATS[OPP FT 0/2])</f>
        <v>0.38657407407407407</v>
      </c>
      <c r="GF40" s="18">
        <f>SUBTOTAL(101,TEAMS_STATS[OPP FTM_3])</f>
        <v>0.92978395061728392</v>
      </c>
      <c r="GG40" s="18">
        <f>SUBTOTAL(101,TEAMS_STATS[OPP FTA_3])</f>
        <v>1.1496913580246912</v>
      </c>
      <c r="GH40" s="18">
        <f>SUBTOTAL(101,TEAMS_STATS[OPP FT 0/3])</f>
        <v>0</v>
      </c>
      <c r="GI40" s="18">
        <f>SUBTOTAL(101,TEAMS_STATS[OPP RIM_M])</f>
        <v>8.7746913580246897</v>
      </c>
      <c r="GJ40" s="18">
        <f>SUBTOTAL(101,TEAMS_STATS[OPP RIM_A])</f>
        <v>11.334104938271604</v>
      </c>
      <c r="GK40" s="18">
        <f>SUBTOTAL(101,TEAMS_STATS[OPP PAINT_M])</f>
        <v>8.3865740740740744</v>
      </c>
      <c r="GL40" s="18">
        <f>SUBTOTAL(101,TEAMS_STATS[OPP PAINT_A])</f>
        <v>18.363425925925924</v>
      </c>
      <c r="GM40" s="18">
        <f>SUBTOTAL(101,TEAMS_STATS[OPP MID_M])</f>
        <v>2.6388888888888888</v>
      </c>
      <c r="GN40" s="18">
        <f>SUBTOTAL(101,TEAMS_STATS[OPP MID_A])</f>
        <v>6.8063271604938267</v>
      </c>
      <c r="GO40" s="18">
        <f>SUBTOTAL(101,TEAMS_STATS[OPP 3C_M])</f>
        <v>1.3572530864197527</v>
      </c>
      <c r="GP40" s="18">
        <f>SUBTOTAL(101,TEAMS_STATS[OPP 3C_A])</f>
        <v>3.0146604938271602</v>
      </c>
      <c r="GQ40" s="18">
        <f>SUBTOTAL(101,TEAMS_STATS[OPP 3L_M])</f>
        <v>7.8194444444444446</v>
      </c>
      <c r="GR40" s="18">
        <f>SUBTOTAL(101,TEAMS_STATS[OPP 3L_A])</f>
        <v>22.479166666666668</v>
      </c>
      <c r="GS40" s="18">
        <f>SUBTOTAL(101,TEAMS_STATS[OPP 3H_M])</f>
        <v>0</v>
      </c>
      <c r="GT40" s="18">
        <f>SUBTOTAL(101,TEAMS_STATS[OPP 3H_A])</f>
        <v>0.21219135802469138</v>
      </c>
      <c r="GU40" s="12"/>
    </row>
  </sheetData>
  <mergeCells count="22">
    <mergeCell ref="BU6:BV6"/>
    <mergeCell ref="AG6:AP6"/>
    <mergeCell ref="AQ6:BA6"/>
    <mergeCell ref="BB6:BH6"/>
    <mergeCell ref="BI6:BQ6"/>
    <mergeCell ref="BR6:BT6"/>
    <mergeCell ref="J2:K2"/>
    <mergeCell ref="H2:I2"/>
    <mergeCell ref="F2:G2"/>
    <mergeCell ref="D2:E2"/>
    <mergeCell ref="J5:K5"/>
    <mergeCell ref="H5:I5"/>
    <mergeCell ref="F5:G5"/>
    <mergeCell ref="D5:E5"/>
    <mergeCell ref="J3:K3"/>
    <mergeCell ref="H3:I3"/>
    <mergeCell ref="F3:G3"/>
    <mergeCell ref="D3:E3"/>
    <mergeCell ref="J4:K4"/>
    <mergeCell ref="H4:I4"/>
    <mergeCell ref="F4:G4"/>
    <mergeCell ref="D4:E4"/>
  </mergeCells>
  <phoneticPr fontId="5" type="noConversion"/>
  <dataValidations count="4">
    <dataValidation type="list" allowBlank="1" showInputMessage="1" showErrorMessage="1" sqref="D3:E3" xr:uid="{00D7BBB9-1474-4817-A9FF-82A9F01702A7}">
      <formula1>MODE</formula1>
    </dataValidation>
    <dataValidation type="list" allowBlank="1" showInputMessage="1" showErrorMessage="1" sqref="F3:G3" xr:uid="{FA83DDDA-4631-4B35-B074-7AF43EE527A0}">
      <formula1>GAME_SEGMENT</formula1>
    </dataValidation>
    <dataValidation type="list" allowBlank="1" showInputMessage="1" showErrorMessage="1" sqref="H3:I3" xr:uid="{7F6EF7A0-F677-4067-85EA-BA3C6B31346A}">
      <formula1>OUTCOME</formula1>
    </dataValidation>
    <dataValidation type="list" allowBlank="1" showInputMessage="1" showErrorMessage="1" sqref="J3:K3" xr:uid="{BC3DBD38-6BAF-4CC9-9989-17AA53DA1B49}">
      <formula1>LOCATION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B303A-8B25-47F7-B9C7-BE124F119534}">
  <dimension ref="B2:GT40"/>
  <sheetViews>
    <sheetView showGridLines="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3" sqref="D3:E3"/>
    </sheetView>
  </sheetViews>
  <sheetFormatPr defaultColWidth="7.28515625" defaultRowHeight="15" customHeight="1" x14ac:dyDescent="0.25"/>
  <cols>
    <col min="1" max="1" width="9.140625" style="14" customWidth="1"/>
    <col min="2" max="2" width="7.28515625" style="14" customWidth="1"/>
    <col min="3" max="3" width="35.7109375" style="14" customWidth="1"/>
    <col min="4" max="34" width="7.28515625" style="14"/>
    <col min="35" max="40" width="7.28515625" style="14" customWidth="1"/>
    <col min="41" max="41" width="7.28515625" style="14"/>
    <col min="42" max="44" width="7.28515625" style="14" customWidth="1"/>
    <col min="45" max="45" width="7.28515625" style="14"/>
    <col min="46" max="48" width="7.28515625" style="14" customWidth="1"/>
    <col min="49" max="50" width="7.28515625" style="14"/>
    <col min="51" max="55" width="7.28515625" style="14" customWidth="1"/>
    <col min="56" max="57" width="7.28515625" style="14"/>
    <col min="58" max="59" width="7.28515625" style="14" customWidth="1"/>
    <col min="60" max="62" width="7.28515625" style="14"/>
    <col min="63" max="74" width="7.28515625" style="14" customWidth="1"/>
    <col min="75" max="106" width="7.28515625" style="14" hidden="1" customWidth="1"/>
    <col min="107" max="112" width="0" style="14" hidden="1" customWidth="1"/>
    <col min="113" max="188" width="7.28515625" style="14" hidden="1" customWidth="1"/>
    <col min="189" max="202" width="0" style="14" hidden="1" customWidth="1"/>
    <col min="203" max="16384" width="7.28515625" style="14"/>
  </cols>
  <sheetData>
    <row r="2" spans="2:202" ht="15" customHeight="1" x14ac:dyDescent="0.25">
      <c r="D2" s="55" t="s">
        <v>304</v>
      </c>
      <c r="E2" s="56"/>
      <c r="F2" s="55" t="s">
        <v>58</v>
      </c>
      <c r="G2" s="56"/>
      <c r="H2" s="55" t="s">
        <v>305</v>
      </c>
      <c r="I2" s="56"/>
      <c r="J2" s="55" t="s">
        <v>306</v>
      </c>
      <c r="K2" s="56"/>
    </row>
    <row r="3" spans="2:202" ht="15" customHeight="1" x14ac:dyDescent="0.25">
      <c r="D3" s="57" t="s">
        <v>14</v>
      </c>
      <c r="E3" s="58"/>
      <c r="F3" s="57" t="s">
        <v>11</v>
      </c>
      <c r="G3" s="58"/>
      <c r="H3" s="57" t="s">
        <v>10</v>
      </c>
      <c r="I3" s="58"/>
      <c r="J3" s="57" t="s">
        <v>9</v>
      </c>
      <c r="K3" s="58"/>
    </row>
    <row r="4" spans="2:202" ht="15" customHeight="1" x14ac:dyDescent="0.25">
      <c r="D4" s="55" t="s">
        <v>59</v>
      </c>
      <c r="E4" s="56"/>
      <c r="F4" s="55" t="s">
        <v>60</v>
      </c>
      <c r="G4" s="56"/>
      <c r="H4" s="55" t="s">
        <v>61</v>
      </c>
      <c r="I4" s="56"/>
      <c r="J4" s="55" t="s">
        <v>62</v>
      </c>
      <c r="K4" s="56"/>
    </row>
    <row r="5" spans="2:202" ht="15" customHeight="1" x14ac:dyDescent="0.25">
      <c r="D5" s="57"/>
      <c r="E5" s="58"/>
      <c r="F5" s="57"/>
      <c r="G5" s="58"/>
      <c r="H5" s="57"/>
      <c r="I5" s="58"/>
      <c r="J5" s="57"/>
      <c r="K5" s="58"/>
    </row>
    <row r="6" spans="2:202" s="12" customFormat="1" ht="15" customHeight="1" x14ac:dyDescent="0.25">
      <c r="AG6" s="55" t="s">
        <v>307</v>
      </c>
      <c r="AH6" s="60"/>
      <c r="AI6" s="60"/>
      <c r="AJ6" s="60"/>
      <c r="AK6" s="60"/>
      <c r="AL6" s="60"/>
      <c r="AM6" s="60"/>
      <c r="AN6" s="60"/>
      <c r="AO6" s="60"/>
      <c r="AP6" s="56"/>
      <c r="AQ6" s="55" t="s">
        <v>308</v>
      </c>
      <c r="AR6" s="60"/>
      <c r="AS6" s="60"/>
      <c r="AT6" s="60"/>
      <c r="AU6" s="60"/>
      <c r="AV6" s="60"/>
      <c r="AW6" s="60"/>
      <c r="AX6" s="60"/>
      <c r="AY6" s="60"/>
      <c r="AZ6" s="60"/>
      <c r="BA6" s="56"/>
      <c r="BB6" s="55" t="s">
        <v>309</v>
      </c>
      <c r="BC6" s="60"/>
      <c r="BD6" s="60"/>
      <c r="BE6" s="60"/>
      <c r="BF6" s="60"/>
      <c r="BG6" s="60"/>
      <c r="BH6" s="56"/>
      <c r="BI6" s="55" t="s">
        <v>310</v>
      </c>
      <c r="BJ6" s="60"/>
      <c r="BK6" s="60"/>
      <c r="BL6" s="60"/>
      <c r="BM6" s="60"/>
      <c r="BN6" s="60"/>
      <c r="BO6" s="60"/>
      <c r="BP6" s="60"/>
      <c r="BQ6" s="56"/>
      <c r="BR6" s="55" t="s">
        <v>311</v>
      </c>
      <c r="BS6" s="60"/>
      <c r="BT6" s="56"/>
      <c r="BU6" s="55" t="s">
        <v>312</v>
      </c>
      <c r="BV6" s="56"/>
    </row>
    <row r="7" spans="2:202" s="13" customFormat="1" ht="45" customHeight="1" x14ac:dyDescent="0.25">
      <c r="B7" s="13" t="s">
        <v>313</v>
      </c>
      <c r="C7" s="13" t="s">
        <v>2</v>
      </c>
      <c r="D7" s="13" t="s">
        <v>314</v>
      </c>
      <c r="E7" s="13" t="s">
        <v>270</v>
      </c>
      <c r="F7" s="13" t="s">
        <v>272</v>
      </c>
      <c r="G7" s="13" t="s">
        <v>70</v>
      </c>
      <c r="H7" s="13" t="s">
        <v>71</v>
      </c>
      <c r="I7" s="13" t="s">
        <v>72</v>
      </c>
      <c r="J7" s="13" t="s">
        <v>73</v>
      </c>
      <c r="K7" s="13" t="s">
        <v>74</v>
      </c>
      <c r="L7" s="13" t="s">
        <v>75</v>
      </c>
      <c r="M7" s="13" t="s">
        <v>76</v>
      </c>
      <c r="N7" s="13" t="s">
        <v>77</v>
      </c>
      <c r="O7" s="13" t="s">
        <v>78</v>
      </c>
      <c r="P7" s="13" t="s">
        <v>79</v>
      </c>
      <c r="Q7" s="13" t="s">
        <v>80</v>
      </c>
      <c r="R7" s="13" t="s">
        <v>81</v>
      </c>
      <c r="S7" s="13" t="s">
        <v>82</v>
      </c>
      <c r="T7" s="13" t="s">
        <v>83</v>
      </c>
      <c r="U7" s="13" t="s">
        <v>84</v>
      </c>
      <c r="V7" s="13" t="s">
        <v>85</v>
      </c>
      <c r="W7" s="13" t="s">
        <v>86</v>
      </c>
      <c r="X7" s="13" t="s">
        <v>87</v>
      </c>
      <c r="Y7" s="13" t="s">
        <v>88</v>
      </c>
      <c r="Z7" s="13" t="s">
        <v>89</v>
      </c>
      <c r="AA7" s="13" t="s">
        <v>90</v>
      </c>
      <c r="AB7" s="13" t="s">
        <v>91</v>
      </c>
      <c r="AC7" s="13" t="s">
        <v>30</v>
      </c>
      <c r="AD7" s="13" t="s">
        <v>92</v>
      </c>
      <c r="AE7" s="13" t="s">
        <v>93</v>
      </c>
      <c r="AF7" s="13" t="s">
        <v>94</v>
      </c>
      <c r="AG7" s="24" t="s">
        <v>315</v>
      </c>
      <c r="AH7" s="13" t="s">
        <v>95</v>
      </c>
      <c r="AI7" s="13" t="s">
        <v>96</v>
      </c>
      <c r="AJ7" s="13" t="s">
        <v>97</v>
      </c>
      <c r="AK7" s="13" t="s">
        <v>98</v>
      </c>
      <c r="AL7" s="13" t="s">
        <v>99</v>
      </c>
      <c r="AM7" s="13" t="s">
        <v>100</v>
      </c>
      <c r="AN7" s="13" t="s">
        <v>101</v>
      </c>
      <c r="AO7" s="13" t="s">
        <v>102</v>
      </c>
      <c r="AP7" s="25" t="s">
        <v>103</v>
      </c>
      <c r="AQ7" s="24" t="s">
        <v>104</v>
      </c>
      <c r="AR7" s="13" t="s">
        <v>105</v>
      </c>
      <c r="AS7" s="13" t="s">
        <v>106</v>
      </c>
      <c r="AT7" s="13" t="s">
        <v>107</v>
      </c>
      <c r="AU7" s="13" t="s">
        <v>108</v>
      </c>
      <c r="AV7" s="13" t="s">
        <v>109</v>
      </c>
      <c r="AW7" s="13" t="s">
        <v>110</v>
      </c>
      <c r="AX7" s="13" t="s">
        <v>111</v>
      </c>
      <c r="AY7" s="13" t="s">
        <v>112</v>
      </c>
      <c r="AZ7" s="13" t="s">
        <v>113</v>
      </c>
      <c r="BA7" s="25" t="s">
        <v>114</v>
      </c>
      <c r="BB7" s="24" t="s">
        <v>115</v>
      </c>
      <c r="BC7" s="13" t="s">
        <v>116</v>
      </c>
      <c r="BD7" s="13" t="s">
        <v>117</v>
      </c>
      <c r="BE7" s="13" t="s">
        <v>118</v>
      </c>
      <c r="BF7" s="13" t="s">
        <v>119</v>
      </c>
      <c r="BG7" s="13" t="s">
        <v>120</v>
      </c>
      <c r="BH7" s="25" t="s">
        <v>121</v>
      </c>
      <c r="BI7" s="24" t="s">
        <v>122</v>
      </c>
      <c r="BJ7" s="13" t="s">
        <v>123</v>
      </c>
      <c r="BK7" s="13" t="s">
        <v>124</v>
      </c>
      <c r="BL7" s="13" t="s">
        <v>125</v>
      </c>
      <c r="BM7" s="13" t="s">
        <v>126</v>
      </c>
      <c r="BN7" s="13" t="s">
        <v>127</v>
      </c>
      <c r="BO7" s="13" t="s">
        <v>128</v>
      </c>
      <c r="BP7" s="13" t="s">
        <v>129</v>
      </c>
      <c r="BQ7" s="25" t="s">
        <v>130</v>
      </c>
      <c r="BR7" s="24" t="s">
        <v>131</v>
      </c>
      <c r="BS7" s="13" t="s">
        <v>132</v>
      </c>
      <c r="BT7" s="25" t="s">
        <v>133</v>
      </c>
      <c r="BU7" s="42" t="s">
        <v>134</v>
      </c>
      <c r="BV7" s="43" t="s">
        <v>135</v>
      </c>
      <c r="BW7" s="13" t="s">
        <v>136</v>
      </c>
      <c r="BX7" s="13" t="s">
        <v>137</v>
      </c>
      <c r="BY7" s="13" t="s">
        <v>138</v>
      </c>
      <c r="BZ7" s="13" t="s">
        <v>139</v>
      </c>
      <c r="CA7" s="13" t="s">
        <v>140</v>
      </c>
      <c r="CB7" s="13" t="s">
        <v>141</v>
      </c>
      <c r="CC7" s="13" t="s">
        <v>142</v>
      </c>
      <c r="CD7" s="13" t="s">
        <v>143</v>
      </c>
      <c r="CE7" s="13" t="s">
        <v>144</v>
      </c>
      <c r="CF7" s="13" t="s">
        <v>145</v>
      </c>
      <c r="CG7" s="13" t="s">
        <v>146</v>
      </c>
      <c r="CH7" s="13" t="s">
        <v>147</v>
      </c>
      <c r="CI7" s="13" t="s">
        <v>148</v>
      </c>
      <c r="CJ7" s="13" t="s">
        <v>149</v>
      </c>
      <c r="CK7" s="13" t="s">
        <v>150</v>
      </c>
      <c r="CL7" s="13" t="s">
        <v>151</v>
      </c>
      <c r="CM7" s="13" t="s">
        <v>152</v>
      </c>
      <c r="CN7" s="13" t="s">
        <v>153</v>
      </c>
      <c r="CO7" s="13" t="s">
        <v>154</v>
      </c>
      <c r="CP7" s="13" t="s">
        <v>155</v>
      </c>
      <c r="CQ7" s="13" t="s">
        <v>156</v>
      </c>
      <c r="CR7" s="13" t="s">
        <v>157</v>
      </c>
      <c r="CS7" s="13" t="s">
        <v>158</v>
      </c>
      <c r="CT7" s="13" t="s">
        <v>159</v>
      </c>
      <c r="CU7" s="13" t="s">
        <v>160</v>
      </c>
      <c r="CV7" s="13" t="s">
        <v>161</v>
      </c>
      <c r="CW7" s="13" t="s">
        <v>162</v>
      </c>
      <c r="CX7" s="13" t="s">
        <v>163</v>
      </c>
      <c r="CY7" s="13" t="s">
        <v>164</v>
      </c>
      <c r="CZ7" s="13" t="s">
        <v>165</v>
      </c>
      <c r="DA7" s="13" t="s">
        <v>166</v>
      </c>
      <c r="DB7" s="13" t="s">
        <v>167</v>
      </c>
      <c r="DC7" s="13" t="s">
        <v>168</v>
      </c>
      <c r="DD7" s="13" t="s">
        <v>169</v>
      </c>
      <c r="DE7" s="13" t="s">
        <v>170</v>
      </c>
      <c r="DF7" s="13" t="s">
        <v>171</v>
      </c>
      <c r="DG7" s="13" t="s">
        <v>172</v>
      </c>
      <c r="DH7" s="13" t="s">
        <v>173</v>
      </c>
      <c r="DI7" s="13" t="s">
        <v>174</v>
      </c>
      <c r="DJ7" s="13" t="s">
        <v>175</v>
      </c>
      <c r="DK7" s="13" t="s">
        <v>176</v>
      </c>
      <c r="DL7" s="13" t="s">
        <v>177</v>
      </c>
      <c r="DM7" s="13" t="s">
        <v>178</v>
      </c>
      <c r="DN7" s="13" t="s">
        <v>179</v>
      </c>
      <c r="DO7" s="13" t="s">
        <v>180</v>
      </c>
      <c r="DP7" s="13" t="s">
        <v>181</v>
      </c>
      <c r="DQ7" s="13" t="s">
        <v>182</v>
      </c>
      <c r="DR7" s="13" t="s">
        <v>183</v>
      </c>
      <c r="DS7" s="13" t="s">
        <v>184</v>
      </c>
      <c r="DT7" s="13" t="s">
        <v>185</v>
      </c>
      <c r="DU7" s="13" t="s">
        <v>186</v>
      </c>
      <c r="DV7" s="13" t="s">
        <v>187</v>
      </c>
      <c r="DW7" s="13" t="s">
        <v>188</v>
      </c>
      <c r="DX7" s="13" t="s">
        <v>189</v>
      </c>
      <c r="DY7" s="13" t="s">
        <v>190</v>
      </c>
      <c r="DZ7" s="13" t="s">
        <v>191</v>
      </c>
      <c r="EA7" s="13" t="s">
        <v>192</v>
      </c>
      <c r="EB7" s="13" t="s">
        <v>193</v>
      </c>
      <c r="EC7" s="13" t="s">
        <v>194</v>
      </c>
      <c r="ED7" s="13" t="s">
        <v>195</v>
      </c>
      <c r="EE7" s="13" t="s">
        <v>196</v>
      </c>
      <c r="EF7" s="13" t="s">
        <v>197</v>
      </c>
      <c r="EG7" s="13" t="s">
        <v>198</v>
      </c>
      <c r="EH7" s="13" t="s">
        <v>199</v>
      </c>
      <c r="EI7" s="13" t="s">
        <v>200</v>
      </c>
      <c r="EJ7" s="13" t="s">
        <v>201</v>
      </c>
      <c r="EK7" s="13" t="s">
        <v>202</v>
      </c>
      <c r="EL7" s="13" t="s">
        <v>203</v>
      </c>
      <c r="EM7" s="13" t="s">
        <v>204</v>
      </c>
      <c r="EN7" s="13" t="s">
        <v>205</v>
      </c>
      <c r="EO7" s="13" t="s">
        <v>206</v>
      </c>
      <c r="EP7" s="13" t="s">
        <v>207</v>
      </c>
      <c r="EQ7" s="13" t="s">
        <v>208</v>
      </c>
      <c r="ER7" s="13" t="s">
        <v>209</v>
      </c>
      <c r="ES7" s="13" t="s">
        <v>210</v>
      </c>
      <c r="ET7" s="13" t="s">
        <v>211</v>
      </c>
      <c r="EU7" s="13" t="s">
        <v>212</v>
      </c>
      <c r="EV7" s="13" t="s">
        <v>213</v>
      </c>
      <c r="EW7" s="13" t="s">
        <v>214</v>
      </c>
      <c r="EX7" s="13" t="s">
        <v>215</v>
      </c>
      <c r="EY7" s="13" t="s">
        <v>216</v>
      </c>
      <c r="EZ7" s="13" t="s">
        <v>217</v>
      </c>
      <c r="FA7" s="13" t="s">
        <v>218</v>
      </c>
      <c r="FB7" s="13" t="s">
        <v>219</v>
      </c>
      <c r="FC7" s="13" t="s">
        <v>220</v>
      </c>
      <c r="FD7" s="13" t="s">
        <v>221</v>
      </c>
      <c r="FE7" s="13" t="s">
        <v>222</v>
      </c>
      <c r="FF7" s="13" t="s">
        <v>223</v>
      </c>
      <c r="FG7" s="13" t="s">
        <v>224</v>
      </c>
      <c r="FH7" s="13" t="s">
        <v>225</v>
      </c>
      <c r="FI7" s="13" t="s">
        <v>226</v>
      </c>
      <c r="FJ7" s="13" t="s">
        <v>227</v>
      </c>
      <c r="FK7" s="13" t="s">
        <v>228</v>
      </c>
      <c r="FL7" s="13" t="s">
        <v>229</v>
      </c>
      <c r="FM7" s="13" t="s">
        <v>230</v>
      </c>
      <c r="FN7" s="13" t="s">
        <v>231</v>
      </c>
      <c r="FO7" s="13" t="s">
        <v>232</v>
      </c>
      <c r="FP7" s="13" t="s">
        <v>233</v>
      </c>
      <c r="FQ7" s="13" t="s">
        <v>234</v>
      </c>
      <c r="FR7" s="13" t="s">
        <v>235</v>
      </c>
      <c r="FS7" s="13" t="s">
        <v>236</v>
      </c>
      <c r="FT7" s="13" t="s">
        <v>237</v>
      </c>
      <c r="FU7" s="13" t="s">
        <v>238</v>
      </c>
      <c r="FV7" s="13" t="s">
        <v>239</v>
      </c>
      <c r="FW7" s="13" t="s">
        <v>240</v>
      </c>
      <c r="FX7" s="13" t="s">
        <v>241</v>
      </c>
      <c r="FY7" s="13" t="s">
        <v>242</v>
      </c>
      <c r="FZ7" s="13" t="s">
        <v>243</v>
      </c>
      <c r="GA7" s="13" t="s">
        <v>244</v>
      </c>
      <c r="GB7" s="13" t="s">
        <v>245</v>
      </c>
      <c r="GC7" s="13" t="s">
        <v>246</v>
      </c>
      <c r="GD7" s="13" t="s">
        <v>247</v>
      </c>
      <c r="GE7" s="13" t="s">
        <v>248</v>
      </c>
      <c r="GF7" s="13" t="s">
        <v>249</v>
      </c>
      <c r="GG7" s="13" t="s">
        <v>250</v>
      </c>
      <c r="GH7" s="13" t="s">
        <v>251</v>
      </c>
      <c r="GI7" s="13" t="s">
        <v>252</v>
      </c>
      <c r="GJ7" s="13" t="s">
        <v>253</v>
      </c>
      <c r="GK7" s="13" t="s">
        <v>254</v>
      </c>
      <c r="GL7" s="13" t="s">
        <v>255</v>
      </c>
      <c r="GM7" s="13" t="s">
        <v>256</v>
      </c>
      <c r="GN7" s="13" t="s">
        <v>257</v>
      </c>
      <c r="GO7" s="13" t="s">
        <v>258</v>
      </c>
      <c r="GP7" s="13" t="s">
        <v>259</v>
      </c>
      <c r="GQ7" s="13" t="s">
        <v>260</v>
      </c>
      <c r="GR7" s="13" t="s">
        <v>261</v>
      </c>
      <c r="GS7" s="13" t="s">
        <v>262</v>
      </c>
      <c r="GT7" s="13" t="s">
        <v>263</v>
      </c>
    </row>
    <row r="8" spans="2:202" ht="15" customHeight="1" x14ac:dyDescent="0.25">
      <c r="B8" s="12">
        <f>_xlfn.AGGREGATE(3,5,$C$7:C7)</f>
        <v>1</v>
      </c>
      <c r="C8" s="14" t="str">
        <f>BASIS_INFO!F3</f>
        <v>ALBA Berlin</v>
      </c>
      <c r="D8" s="20">
        <f>COUNTIFS(OPPS_GbG[[TM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8" s="20">
        <f>COUNTIFS(OPPS_GbG[[TM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1</v>
      </c>
      <c r="F8" s="20">
        <f>COUNTIFS(OPPS_GbG[[TM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8</v>
      </c>
      <c r="G8" s="18">
        <f>IF($D8=0,"DNP",SUMIFS(OPPS_GbG[MIN],OPPS_GbG[[TM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200</v>
      </c>
      <c r="H8" s="18">
        <f>IF($D8=0,"DNP",SUMIFS(OPPS_GbG[PTS],OPPS_GbG[[TM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85.111111111111114</v>
      </c>
      <c r="I8" s="18">
        <f>IF($D8=0,"DNP",SUMIFS(OPPS_GbG[2PTM],OPPS_GbG[[TM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21.333333333333332</v>
      </c>
      <c r="J8" s="18">
        <f>IF($D8=0,"DNP",SUMIFS(OPPS_GbG[2PTA],OPPS_GbG[[TM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36</v>
      </c>
      <c r="K8" s="16">
        <f>IF($D8=0,"DNP",IF(J8=0,"-",I8/J8))</f>
        <v>0.59259259259259256</v>
      </c>
      <c r="L8" s="18">
        <f>IF($D8=0,"DNP",SUMIFS(OPPS_GbG[3PTM],OPPS_GbG[[TM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10</v>
      </c>
      <c r="M8" s="18">
        <f>IF($D8=0,"DNP",SUMIFS(OPPS_GbG[3PTA],OPPS_GbG[[TM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27.111111111111111</v>
      </c>
      <c r="N8" s="16">
        <f>IF($D8=0,"DNP",IF(M8=0,"-",L8/M8))</f>
        <v>0.36885245901639346</v>
      </c>
      <c r="O8" s="18">
        <f>IF($D8=0,"DNP",SUMIFS(OPPS_GbG[FGM],OPPS_GbG[[TM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31.333333333333332</v>
      </c>
      <c r="P8" s="18">
        <f>IF($D8=0,"DNP",SUMIFS(OPPS_GbG[FGA],OPPS_GbG[[TM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63.111111111111114</v>
      </c>
      <c r="Q8" s="16">
        <f>IF($D8=0,"DNP",IF(P8=0,"-",O8/P8))</f>
        <v>0.49647887323943657</v>
      </c>
      <c r="R8" s="18">
        <f>IF($D8=0,"DNP",SUMIFS(OPPS_GbG[FTM],OPPS_GbG[[TM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12.444444444444445</v>
      </c>
      <c r="S8" s="18">
        <f>IF($D8=0,"DNP",SUMIFS(OPPS_GbG[FTA],OPPS_GbG[[TM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16.333333333333332</v>
      </c>
      <c r="T8" s="16">
        <f>IF($D8=0,"DNP",IF(S8=0,"-",R8/S8))</f>
        <v>0.76190476190476197</v>
      </c>
      <c r="U8" s="18">
        <f>IF($D8=0,"DNP",SUMIFS(OPPS_GbG[OR],OPPS_GbG[[TM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11</v>
      </c>
      <c r="V8" s="18">
        <f>IF($D8=0,"DNP",SUMIFS(OPPS_GbG[DR],OPPS_GbG[[TM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24.555555555555557</v>
      </c>
      <c r="W8" s="18">
        <f>IF($D8=0,"DNP",SUMIFS(OPPS_GbG[TR],OPPS_GbG[[TM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35.555555555555557</v>
      </c>
      <c r="X8" s="18">
        <f>IF($D8=0,"DNP",SUMIFS(OPPS_GbG[AST],OPPS_GbG[[TM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18.777777777777779</v>
      </c>
      <c r="Y8" s="18">
        <f>IF($D8=0,"DNP",SUMIFS(OPPS_GbG[TO],OPPS_GbG[[TM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14.222222222222221</v>
      </c>
      <c r="Z8" s="18">
        <f>IF($D8=0,"DNP",SUMIFS(OPPS_GbG[ST],OPPS_GbG[[TM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7.2222222222222223</v>
      </c>
      <c r="AA8" s="18">
        <f>IF($D8=0,"DNP",SUMIFS(OPPS_GbG[BLK],OPPS_GbG[[TM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2.2222222222222223</v>
      </c>
      <c r="AB8" s="18">
        <f>IF($D8=0,"DNP",SUMIFS(OPPS_GbG[BLKA],OPPS_GbG[[TM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</v>
      </c>
      <c r="AC8" s="18">
        <f>IF($D8=0,"DNP",SUMIFS(OPPS_GbG[PF],OPPS_GbG[[TM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17.777777777777779</v>
      </c>
      <c r="AD8" s="18">
        <f>IF($D8=0,"DNP",SUMIFS(OPPS_GbG[DF],OPPS_GbG[[TM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18.222222222222221</v>
      </c>
      <c r="AE8" s="18">
        <f>IF($D8=0,"DNP",SUMIFS(OPPS_GbG[VAL],OPPS_GbG[[TM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97.444444444444443</v>
      </c>
      <c r="AF8" s="18">
        <f>IF($D8=0,"DNP",SUMIFS(OPPS_GbG[+ / -],OPPS_GbG[[TM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8.6666666666666661</v>
      </c>
      <c r="AG8" s="26">
        <f t="shared" ref="AG8:AG39" si="0">IF($D8=0,"DNP",AH8/G8*200)</f>
        <v>73.333333333333329</v>
      </c>
      <c r="AH8" s="18">
        <f>IF($D8=0,"DNP",SUMIFS(OPPS_GbG[POSS],OPPS_GbG[[TM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73.333333333333329</v>
      </c>
      <c r="AI8" s="18">
        <f>IF($D8=0,"DNP",SUMIFS(OPPS_GbG[SHOOTING CHANCES],OPPS_GbG[[TM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84.555555555555557</v>
      </c>
      <c r="AJ8" s="19">
        <f t="shared" ref="AJ8:AJ39" si="1">IF($D8=0,"DNP",H8/AI8)</f>
        <v>1.0065703022339028</v>
      </c>
      <c r="AK8" s="19">
        <f t="shared" ref="AK8:AK39" si="2">IF($D8=0,"DNP",DU8/EU8)</f>
        <v>0.91611185086551261</v>
      </c>
      <c r="AL8" s="18">
        <f t="shared" ref="AL8:AL39" si="3">IF($D8=0,"DNP",H8/AH8*100)</f>
        <v>116.06060606060606</v>
      </c>
      <c r="AM8" s="18">
        <f t="shared" ref="AM8:AM39" si="4">IF($D8=0,"DNP",DU8/ET8*100)</f>
        <v>104.8780487804878</v>
      </c>
      <c r="AN8" s="18">
        <f>IF($D8=0,"DNP",AL8-AM8)</f>
        <v>11.18255728011826</v>
      </c>
      <c r="AO8" s="27">
        <f t="shared" ref="AO8:AO39" si="5">IF($D8=0,"DNP",(I8+1.5*L8)/P8)</f>
        <v>0.57570422535211252</v>
      </c>
      <c r="AP8" s="28">
        <f t="shared" ref="AP8:AP39" si="6">IF($D8=0,"DNP",H8/(2*(P8+DD8/2+DG8/3)))</f>
        <v>0.60505529225908372</v>
      </c>
      <c r="AQ8" s="34">
        <f t="shared" ref="AQ8:AQ39" si="7">IF($D8=0,"DNP",IF($AI8=0,"-",DJ8/$AI8))</f>
        <v>0.14980289093298291</v>
      </c>
      <c r="AR8" s="38">
        <f t="shared" ref="AR8:AR39" si="8">IF($D8=0,"DNP",IF(DJ8=0,"-",2*DI8/DJ8))</f>
        <v>1.4912280701754388</v>
      </c>
      <c r="AS8" s="27">
        <f t="shared" ref="AS8:AS39" si="9">IF($D8=0,"DNP",IF($AI8=0,"-",DL8/$AI8))</f>
        <v>0.19842312746386334</v>
      </c>
      <c r="AT8" s="38">
        <f t="shared" ref="AT8:AT39" si="10">IF($D8=0,"DNP",IF(DL8=0,"-",2*DK8/DL8))</f>
        <v>1.0463576158940397</v>
      </c>
      <c r="AU8" s="27">
        <f t="shared" ref="AU8:AU39" si="11">IF($D8=0,"DNP",IF($AI8=0,"-",DN8/$AI8))</f>
        <v>7.7529566360052565E-2</v>
      </c>
      <c r="AV8" s="38">
        <f t="shared" ref="AV8:AV39" si="12">IF($D8=0,"DNP",IF(DN8=0,"-",2*DM8/DN8))</f>
        <v>0.94915254237288138</v>
      </c>
      <c r="AW8" s="27">
        <f t="shared" ref="AW8:AW39" si="13">IF($D8=0,"DNP",IF($AI8=0,"-",DP8/$AI8))</f>
        <v>5.3876478318002623E-2</v>
      </c>
      <c r="AX8" s="38">
        <f t="shared" ref="AX8:AX39" si="14">IF($D8=0,"DNP",IF(DP8=0,"-",3*DO8/DP8))</f>
        <v>1.2439024390243902</v>
      </c>
      <c r="AY8" s="27">
        <f t="shared" ref="AY8:AY39" si="15">IF($D8=0,"DNP",IF($AI8=0,"-",DR8/$AI8))</f>
        <v>0.26544021024967146</v>
      </c>
      <c r="AZ8" s="38">
        <f t="shared" ref="AZ8:AZ39" si="16">IF($D8=0,"DNP",IF(DR8=0,"-",3*DQ8/DR8))</f>
        <v>1.0841584158415842</v>
      </c>
      <c r="BA8" s="28">
        <f t="shared" ref="BA8:BA39" si="17">IF($D8=0,"DNP",(DD8/2+DG8/3)/AI8)</f>
        <v>8.5413929040735873E-2</v>
      </c>
      <c r="BB8" s="34">
        <f t="shared" ref="BB8:BB39" si="18">IF($D8=0,"DNP",Y8/(AH8+U8))</f>
        <v>0.16864295125164691</v>
      </c>
      <c r="BC8" s="27">
        <f t="shared" ref="BC8:BC39" si="19">IF($D8=0,"DNP",(BW8+BX8+BY8)/(O8+DD8/2-DE8+DG8/3-DH8))</f>
        <v>0.49705882352941189</v>
      </c>
      <c r="BD8" s="27">
        <f t="shared" ref="BD8:BD39" si="20">IF($D8=0,"DNP",(BW8/I8))</f>
        <v>0.44270833333333337</v>
      </c>
      <c r="BE8" s="27">
        <f t="shared" ref="BE8:BE39" si="21">IF($D8=0,"DNP",IFERROR(BX8/L8,"-"))</f>
        <v>0.76666666666666672</v>
      </c>
      <c r="BF8" s="27">
        <f t="shared" ref="BF8:BF39" si="22">IF($D8=0,"DNP",(BY8/(DD8/2-DE8+DG8/3-DH8)))</f>
        <v>0.25862068965517243</v>
      </c>
      <c r="BG8" s="27">
        <f t="shared" ref="BG8:BG39" si="23">IF($D8=0,"DNP",X8/(AH8+U8))</f>
        <v>0.22266139657444006</v>
      </c>
      <c r="BH8" s="35">
        <f t="shared" ref="BH8:BH39" si="24">IF($D8=0,"DNP",X8/Y8)</f>
        <v>1.3203125000000002</v>
      </c>
      <c r="BI8" s="34">
        <f t="shared" ref="BI8:BI39" si="25">IF($D8=0,"DNP",U8/(U8+EI8))</f>
        <v>0.34615384615384615</v>
      </c>
      <c r="BJ8" s="27">
        <f t="shared" ref="BJ8:BJ39" si="26">IF($D8=0,"DNP",(CA8+CB8+CC8+CD8+CE8+CF8)/(CA8+CB8+CC8+CD8+CE8+CF8+FM8+FN8+FO8+FP8+FQ8+FR8))</f>
        <v>0.36805555555555558</v>
      </c>
      <c r="BK8" s="27">
        <f t="shared" ref="BK8:BK39" si="27">IF($D8=0,"DNP",(CG8+CH8+CI8+CJ8)/(CG8+CH8+CI8+CJ8+FS8+FT8+FU8+FV8))</f>
        <v>0.37254901960784315</v>
      </c>
      <c r="BL8" s="27">
        <f t="shared" ref="BL8:BL39" si="28">IF($D8=0,"DNP",IF(CK8+CL8+FW8+FX8=0,"-",(CK8+CL8)/(CK8+CL8+FW8+FX8)))</f>
        <v>9.0909090909090898E-2</v>
      </c>
      <c r="BM8" s="27">
        <f t="shared" ref="BM8:BM39" si="29">IF($D8=0,"DNP",V8/(V8+EH8))</f>
        <v>0.70382165605095537</v>
      </c>
      <c r="BN8" s="27">
        <f t="shared" ref="BN8:BN39" si="30">IF($D8=0,"DNP",(CM8+CN8+CO8+CP8+CQ8+CR8)/(CM8+CN8+CO8+CP8+CQ8+CR8+FA8+FB8+FC8+FD8+FE8+FF8))</f>
        <v>0.66455696202531656</v>
      </c>
      <c r="BO8" s="27">
        <f t="shared" ref="BO8:BO39" si="31">IF($D8=0,"DNP",(CS8+CT8+CU8+CV8)/(CS8+CT8+CU8+CV8+FG8+FH8+FI8+FJ8))</f>
        <v>0.72826086956521729</v>
      </c>
      <c r="BP8" s="27">
        <f t="shared" ref="BP8:BP39" si="32">IF($D8=0,"DNP",IF(CW8+CX8+FK8+FL8=0,"-",(CW8+CX8)/(CW8+CX8+FK8+FL8)))</f>
        <v>0.72727272727272718</v>
      </c>
      <c r="BQ8" s="28">
        <f t="shared" ref="BQ8:BQ39" si="33">IF($D8=0,"DNP",W8/(W8+EJ8))</f>
        <v>0.53333333333333333</v>
      </c>
      <c r="BR8" s="34">
        <f t="shared" ref="BR8:BR39" si="34">IF($D8=0,"DNP",Z8/ET8)</f>
        <v>9.9085365853658541E-2</v>
      </c>
      <c r="BS8" s="27">
        <f t="shared" ref="BS8:BS39" si="35">IF($D8=0,"DNP",AA8/EC8)</f>
        <v>3.6363636363636362E-2</v>
      </c>
      <c r="BT8" s="39">
        <f>IF($D8=0,"DNP",SUMIFS(OPPS_GbG[KILLS],OPPS_GbG[[TM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5.8888888888888893</v>
      </c>
      <c r="BU8" s="34">
        <f t="shared" ref="BU8:BU39" si="36">IF($D8=0,"DNP",(GB8+GD8/2+GG8/3)/AC8)</f>
        <v>0.48124999999999996</v>
      </c>
      <c r="BV8" s="28">
        <f t="shared" ref="BV8:BV39" si="37">IF($D8=0,"DNP",IFERROR((DB8+DD8/2+DG8/3)/AD8,"-"))</f>
        <v>0.48170731707317072</v>
      </c>
      <c r="BW8" s="18">
        <f>IF($D8=0,"DNP",SUMIFS(OPPS_GbG[ASTED_2FG],OPPS_GbG[[TM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9.4444444444444446</v>
      </c>
      <c r="BX8" s="18">
        <f>IF($D8=0,"DNP",SUMIFS(OPPS_GbG[ASTED_3FG],OPPS_GbG[[TM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7.666666666666667</v>
      </c>
      <c r="BY8" s="18">
        <f>IF($D8=0,"DNP",SUMIFS(OPPS_GbG[ASTED_FT],OPPS_GbG[[TM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1.6666666666666667</v>
      </c>
      <c r="BZ8" s="18">
        <f>IF($D8=0,"DNP",SUMIFS(OPPS_GbG[ASTED_FT PTS],OPPS_GbG[[TM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3.3333333333333335</v>
      </c>
      <c r="CA8" s="18">
        <f>IF($D8=0,"DNP",SUMIFS(OPPS_GbG[OR_RIM],OPPS_GbG[[TM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1.5555555555555556</v>
      </c>
      <c r="CB8" s="18">
        <f>IF($D8=0,"DNP",SUMIFS(OPPS_GbG[TM OR_RIM],OPPS_GbG[[TM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CC8" s="18">
        <f>IF($D8=0,"DNP",SUMIFS(OPPS_GbG[OR_PAINT],OPPS_GbG[[TM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</v>
      </c>
      <c r="CD8" s="18">
        <f>IF($D8=0,"DNP",SUMIFS(OPPS_GbG[TM OR_PAINT],OPPS_GbG[[TM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CE8" s="18">
        <f>IF($D8=0,"DNP",SUMIFS(OPPS_GbG[OR_NP2],OPPS_GbG[[TM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0.66666666666666663</v>
      </c>
      <c r="CF8" s="18">
        <f>IF($D8=0,"DNP",SUMIFS(OPPS_GbG[TM OR_NP2],OPPS_GbG[[TM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CG8" s="18">
        <f>IF($D8=0,"DNP",SUMIFS(OPPS_GbG[OR_3C],OPPS_GbG[[TM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0.55555555555555558</v>
      </c>
      <c r="CH8" s="18">
        <f>IF($D8=0,"DNP",SUMIFS(OPPS_GbG[TM OR_3C],OPPS_GbG[[TM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CI8" s="18">
        <f>IF($D8=0,"DNP",SUMIFS(OPPS_GbG[OR_3L],OPPS_GbG[[TM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5</v>
      </c>
      <c r="CJ8" s="18">
        <f>IF($D8=0,"DNP",SUMIFS(OPPS_GbG[TM OR_3L],OPPS_GbG[[TM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0.66666666666666663</v>
      </c>
      <c r="CK8" s="18">
        <f>IF($D8=0,"DNP",SUMIFS(OPPS_GbG[OR_FT],OPPS_GbG[[TM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CL8" s="18">
        <f>IF($D8=0,"DNP",SUMIFS(OPPS_GbG[TM OR_FT],OPPS_GbG[[TM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CM8" s="18">
        <f>IF($D8=0,"DNP",SUMIFS(OPPS_GbG[DR_RIM],OPPS_GbG[[TM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</v>
      </c>
      <c r="CN8" s="18">
        <f>IF($D8=0,"DNP",SUMIFS(OPPS_GbG[TM DR_RIM],OPPS_GbG[[TM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CO8" s="18">
        <f>IF($D8=0,"DNP",SUMIFS(OPPS_GbG[DR_PAINT],OPPS_GbG[[TM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5.2222222222222223</v>
      </c>
      <c r="CP8" s="18">
        <f>IF($D8=0,"DNP",SUMIFS(OPPS_GbG[TM DR_PAINT],OPPS_GbG[[TM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0.55555555555555558</v>
      </c>
      <c r="CQ8" s="18">
        <f>IF($D8=0,"DNP",SUMIFS(OPPS_GbG[DR_NP2],OPPS_GbG[[TM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3.3333333333333335</v>
      </c>
      <c r="CR8" s="18">
        <f>IF($D8=0,"DNP",SUMIFS(OPPS_GbG[TM DR_NP2],OPPS_GbG[[TM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0.44444444444444442</v>
      </c>
      <c r="CS8" s="18">
        <f>IF($D8=0,"DNP",SUMIFS(OPPS_GbG[DR_3C],OPPS_GbG[[TM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1.5555555555555556</v>
      </c>
      <c r="CT8" s="18">
        <f>IF($D8=0,"DNP",SUMIFS(OPPS_GbG[TM DR_3C],OPPS_GbG[[TM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CU8" s="18">
        <f>IF($D8=0,"DNP",SUMIFS(OPPS_GbG[DR_3L],OPPS_GbG[[TM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11.555555555555555</v>
      </c>
      <c r="CV8" s="18">
        <f>IF($D8=0,"DNP",SUMIFS(OPPS_GbG[TM DR_3L],OPPS_GbG[[TM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1.7777777777777777</v>
      </c>
      <c r="CW8" s="18">
        <f>IF($D8=0,"DNP",SUMIFS(OPPS_GbG[DR_FT],OPPS_GbG[[TM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0.88888888888888884</v>
      </c>
      <c r="CX8" s="18">
        <f>IF($D8=0,"DNP",SUMIFS(OPPS_GbG[TM DR_FT],OPPS_GbG[[TM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CY8" s="18">
        <f>IF($D8=0,"DNP",SUMIFS(OPPS_GbG[FTM_T],OPPS_GbG[[TM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CZ8" s="18">
        <f>IF($D8=0,"DNP",SUMIFS(OPPS_GbG[FTA_T],OPPS_GbG[[TM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DA8" s="18">
        <f>IF($D8=0,"DNP",SUMIFS(OPPS_GbG[FTM_1],OPPS_GbG[[TM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1.2222222222222223</v>
      </c>
      <c r="DB8" s="18">
        <f>IF($D8=0,"DNP",SUMIFS(OPPS_GbG[FTA_1],OPPS_GbG[[TM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1.5555555555555556</v>
      </c>
      <c r="DC8" s="18">
        <f>IF($D8=0,"DNP",SUMIFS(OPPS_GbG[FTM_2],OPPS_GbG[[TM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10.444444444444445</v>
      </c>
      <c r="DD8" s="18">
        <f>IF($D8=0,"DNP",SUMIFS(OPPS_GbG[FTA_2],OPPS_GbG[[TM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</v>
      </c>
      <c r="DE8" s="18">
        <f>IF($D8=0,"DNP",SUMIFS(OPPS_GbG[FT 0/2],OPPS_GbG[[TM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0.77777777777777779</v>
      </c>
      <c r="DF8" s="18">
        <f>IF($D8=0,"DNP",SUMIFS(OPPS_GbG[FTM_3],OPPS_GbG[[TM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0.66666666666666663</v>
      </c>
      <c r="DG8" s="18">
        <f>IF($D8=0,"DNP",SUMIFS(OPPS_GbG[FTA_3],OPPS_GbG[[TM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0.66666666666666663</v>
      </c>
      <c r="DH8" s="18">
        <f>IF($D8=0,"DNP",SUMIFS(OPPS_GbG[FT 0/3],OPPS_GbG[[TM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DI8" s="18">
        <f>IF($D8=0,"DNP",SUMIFS(OPPS_GbG[RIM_M],OPPS_GbG[[TM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9.4444444444444446</v>
      </c>
      <c r="DJ8" s="18">
        <f>IF($D8=0,"DNP",SUMIFS(OPPS_GbG[RIM_A],OPPS_GbG[[TM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12.666666666666666</v>
      </c>
      <c r="DK8" s="18">
        <f>IF($D8=0,"DNP",SUMIFS(OPPS_GbG[PAINT_M],OPPS_GbG[[TM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8.7777777777777786</v>
      </c>
      <c r="DL8" s="18">
        <f>IF($D8=0,"DNP",SUMIFS(OPPS_GbG[PAINT_A],OPPS_GbG[[TM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16.777777777777779</v>
      </c>
      <c r="DM8" s="18">
        <f>IF($D8=0,"DNP",SUMIFS(OPPS_GbG[MID_M],OPPS_GbG[[TM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3.1111111111111112</v>
      </c>
      <c r="DN8" s="18">
        <f>IF($D8=0,"DNP",SUMIFS(OPPS_GbG[MID_A],OPPS_GbG[[TM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6.5555555555555554</v>
      </c>
      <c r="DO8" s="18">
        <f>IF($D8=0,"DNP",SUMIFS(OPPS_GbG[3C_M],OPPS_GbG[[TM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1.8888888888888888</v>
      </c>
      <c r="DP8" s="18">
        <f>IF($D8=0,"DNP",SUMIFS(OPPS_GbG[3C_A],OPPS_GbG[[TM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4.5555555555555554</v>
      </c>
      <c r="DQ8" s="18">
        <f>IF($D8=0,"DNP",SUMIFS(OPPS_GbG[3L_M],OPPS_GbG[[TM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8.1111111111111107</v>
      </c>
      <c r="DR8" s="18">
        <f>IF($D8=0,"DNP",SUMIFS(OPPS_GbG[3L_A],OPPS_GbG[[TM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22.444444444444443</v>
      </c>
      <c r="DS8" s="18">
        <f>IF($D8=0,"DNP",SUMIFS(OPPS_GbG[3H_M],OPPS_GbG[[TM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DT8" s="18">
        <f>IF($D8=0,"DNP",SUMIFS(OPPS_GbG[3H_A],OPPS_GbG[[TM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DU8" s="18">
        <f>IF($D8=0,"DNP",SUMIFS(OPPS_GbG[OPP PTS],OPPS_GbG[[TM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76.444444444444443</v>
      </c>
      <c r="DV8" s="18">
        <f>IF($D8=0,"DNP",SUMIFS(OPPS_GbG[OPP 2PTM],OPPS_GbG[[TM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17.222222222222221</v>
      </c>
      <c r="DW8" s="18">
        <f>IF($D8=0,"DNP",SUMIFS(OPPS_GbG[OPP 2PTA],OPPS_GbG[[TM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33.111111111111114</v>
      </c>
      <c r="DX8" s="16">
        <f>IF($D8=0,"DNP",IF(DW8=0,"-",DV8/DW8))</f>
        <v>0.52013422818791943</v>
      </c>
      <c r="DY8" s="18">
        <f>IF($D8=0,"DNP",SUMIFS(OPPS_GbG[OPP 3PTM],OPPS_GbG[[TM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9.2222222222222214</v>
      </c>
      <c r="DZ8" s="18">
        <f>IF($D8=0,"DNP",SUMIFS(OPPS_GbG[OPP 3PTA],OPPS_GbG[[TM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28</v>
      </c>
      <c r="EA8" s="16">
        <f>IF($D8=0,"DNP",IF(DZ8=0,"-",DY8/DZ8))</f>
        <v>0.32936507936507936</v>
      </c>
      <c r="EB8" s="18">
        <f>IF($D8=0,"DNP",SUMIFS(OPPS_GbG[OPP FGM],OPPS_GbG[[TM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26.444444444444443</v>
      </c>
      <c r="EC8" s="18">
        <f>IF($D8=0,"DNP",SUMIFS(OPPS_GbG[OPP FGA],OPPS_GbG[[TM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61.111111111111114</v>
      </c>
      <c r="ED8" s="16">
        <f>IF($D8=0,"DNP",IF(EC8=0,"-",EB8/EC8))</f>
        <v>0.43272727272727268</v>
      </c>
      <c r="EE8" s="18">
        <f>IF($D8=0,"DNP",SUMIFS(OPPS_GbG[OPP FTM],OPPS_GbG[[TM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14.333333333333334</v>
      </c>
      <c r="EF8" s="18">
        <f>IF($D8=0,"DNP",SUMIFS(OPPS_GbG[OPP FTA],OPPS_GbG[[TM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16.777777777777779</v>
      </c>
      <c r="EG8" s="16">
        <f>IF($D8=0,"DNP",IF(EF8=0,"-",EE8/EF8))</f>
        <v>0.85430463576158944</v>
      </c>
      <c r="EH8" s="18">
        <f>IF($D8=0,"DNP",SUMIFS(OPPS_GbG[OPP OR],OPPS_GbG[[TM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10.333333333333334</v>
      </c>
      <c r="EI8" s="18">
        <f>IF($D8=0,"DNP",SUMIFS(OPPS_GbG[OPP DR],OPPS_GbG[[TM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20.777777777777779</v>
      </c>
      <c r="EJ8" s="18">
        <f>IF($D8=0,"DNP",SUMIFS(OPPS_GbG[OPP TR],OPPS_GbG[[TM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31.111111111111111</v>
      </c>
      <c r="EK8" s="18">
        <f>IF($D8=0,"DNP",SUMIFS(OPPS_GbG[OPP AST],OPPS_GbG[[TM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16.111111111111111</v>
      </c>
      <c r="EL8" s="18">
        <f>IF($D8=0,"DNP",SUMIFS(OPPS_GbG[OPP PF],OPPS_GbG[[TM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18.333333333333332</v>
      </c>
      <c r="EM8" s="18">
        <f>IF($D8=0,"DNP",SUMIFS(OPPS_GbG[OPP DF],OPPS_GbG[[TM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17.666666666666668</v>
      </c>
      <c r="EN8" s="18">
        <f>IF($D8=0,"DNP",SUMIFS(OPPS_GbG[OPP ST],OPPS_GbG[[TM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8.1111111111111107</v>
      </c>
      <c r="EO8" s="18">
        <f>IF($D8=0,"DNP",SUMIFS(OPPS_GbG[OPP TO],OPPS_GbG[[TM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14.777777777777779</v>
      </c>
      <c r="EP8" s="18">
        <f>IF($D8=0,"DNP",SUMIFS(OPPS_GbG[OPP BLK],OPPS_GbG[[TM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</v>
      </c>
      <c r="EQ8" s="18">
        <f>IF($D8=0,"DNP",SUMIFS(OPPS_GbG[OPP BLKA],OPPS_GbG[[TM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2.2222222222222223</v>
      </c>
      <c r="ER8" s="18">
        <f>IF($D8=0,"DNP",SUMIFS(OPPS_GbG[OPP VAL],OPPS_GbG[[TM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79</v>
      </c>
      <c r="ES8" s="18">
        <f>IF($D8=0,"DNP",SUMIFS(OPPS_GbG[OPP + / -],OPPS_GbG[[TM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-8.6666666666666661</v>
      </c>
      <c r="ET8" s="18">
        <f>IF($D8=0,"DNP",SUMIFS(OPPS_GbG[OPP POSS],OPPS_GbG[[TM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72.888888888888886</v>
      </c>
      <c r="EU8" s="18">
        <f>IF($D8=0,"DNP",SUMIFS(OPPS_GbG[OPP SHOOTING CHANCES],OPPS_GbG[[TM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83.444444444444443</v>
      </c>
      <c r="EV8" s="18">
        <f>IF($D8=0,"DNP",SUMIFS(OPPS_GbG[OPP KILLS],OPPS_GbG[[TM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4.333333333333333</v>
      </c>
      <c r="EW8" s="18">
        <f>IF($D8=0,"DNP",SUMIFS(OPPS_GbG[OPP ASTED_2FG],OPPS_GbG[[TM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7.1111111111111107</v>
      </c>
      <c r="EX8" s="18">
        <f>IF($D8=0,"DNP",SUMIFS(OPPS_GbG[OPP ASTED_3FG],OPPS_GbG[[TM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7.1111111111111107</v>
      </c>
      <c r="EY8" s="18">
        <f>IF($D8=0,"DNP",SUMIFS(OPPS_GbG[OPP ASTED_FT],OPPS_GbG[[TM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1.8888888888888888</v>
      </c>
      <c r="EZ8" s="18">
        <f>IF($D8=0,"DNP",SUMIFS(OPPS_GbG[OPP ASTED_FT PTS],OPPS_GbG[[TM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3.6666666666666665</v>
      </c>
      <c r="FA8" s="18">
        <f>IF($D8=0,"DNP",SUMIFS(OPPS_GbG[OPP OR_RIM],OPPS_GbG[[TM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1.2222222222222223</v>
      </c>
      <c r="FB8" s="18">
        <f>IF($D8=0,"DNP",SUMIFS(OPPS_GbG[OPP TM OR_RIM],OPPS_GbG[[TM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FC8" s="18">
        <f>IF($D8=0,"DNP",SUMIFS(OPPS_GbG[OPP OR_PAINT],OPPS_GbG[[TM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2.5555555555555554</v>
      </c>
      <c r="FD8" s="18">
        <f>IF($D8=0,"DNP",SUMIFS(OPPS_GbG[OPP TM OR_PAINT],OPPS_GbG[[TM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FE8" s="18">
        <f>IF($D8=0,"DNP",SUMIFS(OPPS_GbG[OPP OR_NP2],OPPS_GbG[[TM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1.3333333333333333</v>
      </c>
      <c r="FF8" s="18">
        <f>IF($D8=0,"DNP",SUMIFS(OPPS_GbG[OPP TM OR_NP2],OPPS_GbG[[TM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FG8" s="18">
        <f>IF($D8=0,"DNP",SUMIFS(OPPS_GbG[OPP OR_3C],OPPS_GbG[[TM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0.44444444444444442</v>
      </c>
      <c r="FH8" s="18">
        <f>IF($D8=0,"DNP",SUMIFS(OPPS_GbG[OPP TM OR_3C],OPPS_GbG[[TM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FI8" s="18">
        <f>IF($D8=0,"DNP",SUMIFS(OPPS_GbG[OPP OR_3L],OPPS_GbG[[TM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4.4444444444444446</v>
      </c>
      <c r="FJ8" s="18">
        <f>IF($D8=0,"DNP",SUMIFS(OPPS_GbG[OPP TM OR_3L],OPPS_GbG[[TM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0.55555555555555558</v>
      </c>
      <c r="FK8" s="18">
        <f>IF($D8=0,"DNP",SUMIFS(OPPS_GbG[OPP OR_FT],OPPS_GbG[[TM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FL8" s="18">
        <f>IF($D8=0,"DNP",SUMIFS(OPPS_GbG[OPP TM OR_FT],OPPS_GbG[[TM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FM8" s="18">
        <f>IF($D8=0,"DNP",SUMIFS(OPPS_GbG[OPP DR_RIM],OPPS_GbG[[TM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1.5555555555555556</v>
      </c>
      <c r="FN8" s="18">
        <f>IF($D8=0,"DNP",SUMIFS(OPPS_GbG[OPP TM DR_RIM],OPPS_GbG[[TM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FO8" s="18">
        <f>IF($D8=0,"DNP",SUMIFS(OPPS_GbG[OPP DR_PAINT],OPPS_GbG[[TM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5</v>
      </c>
      <c r="FP8" s="18">
        <f>IF($D8=0,"DNP",SUMIFS(OPPS_GbG[OPP TM DR_PAINT],OPPS_GbG[[TM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FQ8" s="18">
        <f>IF($D8=0,"DNP",SUMIFS(OPPS_GbG[OPP DR_NP2],OPPS_GbG[[TM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2.6666666666666665</v>
      </c>
      <c r="FR8" s="18">
        <f>IF($D8=0,"DNP",SUMIFS(OPPS_GbG[OPP TM DR_NP2],OPPS_GbG[[TM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FS8" s="18">
        <f>IF($D8=0,"DNP",SUMIFS(OPPS_GbG[OPP DR_3C],OPPS_GbG[[TM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2.1111111111111112</v>
      </c>
      <c r="FT8" s="18">
        <f>IF($D8=0,"DNP",SUMIFS(OPPS_GbG[OPP TM DR_3C],OPPS_GbG[[TM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FU8" s="18">
        <f>IF($D8=0,"DNP",SUMIFS(OPPS_GbG[OPP DR_3L],OPPS_GbG[[TM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8</v>
      </c>
      <c r="FV8" s="18">
        <f>IF($D8=0,"DNP",SUMIFS(OPPS_GbG[OPP TM DR_3L],OPPS_GbG[[TM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0.22222222222222221</v>
      </c>
      <c r="FW8" s="18">
        <f>IF($D8=0,"DNP",SUMIFS(OPPS_GbG[OPP DR_FT],OPPS_GbG[[TM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1.1111111111111112</v>
      </c>
      <c r="FX8" s="18">
        <f>IF($D8=0,"DNP",SUMIFS(OPPS_GbG[OPP TM DR_FT],OPPS_GbG[[TM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FY8" s="18">
        <f>IF($D8=0,"DNP",SUMIFS(OPPS_GbG[OPP FTM_T],OPPS_GbG[[TM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FZ8" s="18">
        <f>IF($D8=0,"DNP",SUMIFS(OPPS_GbG[OPP FTA_T],OPPS_GbG[[TM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  <c r="GA8" s="18">
        <f>IF($D8=0,"DNP",SUMIFS(OPPS_GbG[OPP FTM_1],OPPS_GbG[[TM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0.88888888888888884</v>
      </c>
      <c r="GB8" s="18">
        <f>IF($D8=0,"DNP",SUMIFS(OPPS_GbG[OPP FTA_1],OPPS_GbG[[TM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</v>
      </c>
      <c r="GC8" s="18">
        <f>IF($D8=0,"DNP",SUMIFS(OPPS_GbG[OPP FTM_2],OPPS_GbG[[TM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12.333333333333334</v>
      </c>
      <c r="GD8" s="18">
        <f>IF($D8=0,"DNP",SUMIFS(OPPS_GbG[OPP FTA_2],OPPS_GbG[[TM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14.222222222222221</v>
      </c>
      <c r="GE8" s="18">
        <f>IF($D8=0,"DNP",SUMIFS(OPPS_GbG[OPP FT 0/2],OPPS_GbG[[TM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0.33333333333333331</v>
      </c>
      <c r="GF8" s="18">
        <f>IF($D8=0,"DNP",SUMIFS(OPPS_GbG[OPP FTM_3],OPPS_GbG[[TM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</v>
      </c>
      <c r="GG8" s="18">
        <f>IF($D8=0,"DNP",SUMIFS(OPPS_GbG[OPP FTA_3],OPPS_GbG[[TM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1.3333333333333333</v>
      </c>
      <c r="GH8" s="18">
        <f>IF($D8=0,"DNP",SUMIFS(OPPS_GbG[OPP FT 0/3],OPPS_GbG[[TM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GI8" s="18">
        <f>IF($D8=0,"DNP",SUMIFS(OPPS_GbG[OPP RIM_M],OPPS_GbG[[TM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7.8888888888888893</v>
      </c>
      <c r="GJ8" s="18">
        <f>IF($D8=0,"DNP",SUMIFS(OPPS_GbG[OPP RIM_A],OPPS_GbG[[TM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11</v>
      </c>
      <c r="GK8" s="18">
        <f>IF($D8=0,"DNP",SUMIFS(OPPS_GbG[OPP PAINT_M],OPPS_GbG[[TM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6.7777777777777777</v>
      </c>
      <c r="GL8" s="18">
        <f>IF($D8=0,"DNP",SUMIFS(OPPS_GbG[OPP PAINT_A],OPPS_GbG[[TM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14.888888888888889</v>
      </c>
      <c r="GM8" s="18">
        <f>IF($D8=0,"DNP",SUMIFS(OPPS_GbG[OPP MID_M],OPPS_GbG[[TM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2.5555555555555554</v>
      </c>
      <c r="GN8" s="18">
        <f>IF($D8=0,"DNP",SUMIFS(OPPS_GbG[OPP MID_A],OPPS_GbG[[TM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7.2222222222222223</v>
      </c>
      <c r="GO8" s="18">
        <f>IF($D8=0,"DNP",SUMIFS(OPPS_GbG[OPP 3C_M],OPPS_GbG[[TM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1.6666666666666667</v>
      </c>
      <c r="GP8" s="18">
        <f>IF($D8=0,"DNP",SUMIFS(OPPS_GbG[OPP 3C_A],OPPS_GbG[[TM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3.6666666666666665</v>
      </c>
      <c r="GQ8" s="18">
        <f>IF($D8=0,"DNP",SUMIFS(OPPS_GbG[OPP 3L_M],OPPS_GbG[[TM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7.5555555555555554</v>
      </c>
      <c r="GR8" s="18">
        <f>IF($D8=0,"DNP",SUMIFS(OPPS_GbG[OPP 3L_A],OPPS_GbG[[TM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24</v>
      </c>
      <c r="GS8" s="18">
        <f>IF($D8=0,"DNP",SUMIFS(OPPS_GbG[OPP 3H_M],OPPS_GbG[[TM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</v>
      </c>
      <c r="GT8" s="18">
        <f>IF($D8=0,"DNP",SUMIFS(OPPS_GbG[OPP 3H_A],OPPS_GbG[[TM NAME]:[TM NAME]],$C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GAMES","&lt;1000",IF($F$3=BASIS_INFO!$T$3,"&lt;"&amp;BASIS_INFO!$B$11,IF($F$3=BASIS_INFO!$T$4,"&lt;"&amp;BASIS_INFO!$B$12,IF($F$3=BASIS_INFO!$T$5,"&lt;"&amp;BASIS_INFO!$B$13,IF($F$3=BASIS_INFO!$T$6,"&lt;"&amp;BASIS_INFO!$B$14))))))/IF($D$3="TOTAL",1,$D8))</f>
        <v>0.1111111111111111</v>
      </c>
    </row>
    <row r="9" spans="2:202" ht="15" customHeight="1" x14ac:dyDescent="0.25">
      <c r="B9" s="12">
        <f>_xlfn.AGGREGATE(3,5,$C$7:C8)</f>
        <v>2</v>
      </c>
      <c r="C9" s="14" t="str">
        <f>BASIS_INFO!F4</f>
        <v>Anadolu Efes Istanbul</v>
      </c>
      <c r="D9" s="20">
        <f>COUNTIFS(OPPS_GbG[[TM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9" s="20">
        <f>COUNTIFS(OPPS_GbG[[TM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4</v>
      </c>
      <c r="F9" s="20">
        <f>COUNTIFS(OPPS_GbG[[TM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5</v>
      </c>
      <c r="G9" s="18">
        <f>IF($D9=0,"DNP",SUMIFS(OPPS_GbG[MIN],OPPS_GbG[[TM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202.77777777777777</v>
      </c>
      <c r="H9" s="18">
        <f>IF($D9=0,"DNP",SUMIFS(OPPS_GbG[PTS],OPPS_GbG[[TM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86.111111111111114</v>
      </c>
      <c r="I9" s="18">
        <f>IF($D9=0,"DNP",SUMIFS(OPPS_GbG[2PTM],OPPS_GbG[[TM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22.222222222222221</v>
      </c>
      <c r="J9" s="18">
        <f>IF($D9=0,"DNP",SUMIFS(OPPS_GbG[2PTA],OPPS_GbG[[TM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38.222222222222221</v>
      </c>
      <c r="K9" s="16">
        <f t="shared" ref="K9:K23" si="38">IF($D9=0,"DNP",IF(J9=0,"-",I9/J9))</f>
        <v>0.58139534883720934</v>
      </c>
      <c r="L9" s="18">
        <f>IF($D9=0,"DNP",SUMIFS(OPPS_GbG[3PTM],OPPS_GbG[[TM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9.2222222222222214</v>
      </c>
      <c r="M9" s="18">
        <f>IF($D9=0,"DNP",SUMIFS(OPPS_GbG[3PTA],OPPS_GbG[[TM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24.333333333333332</v>
      </c>
      <c r="N9" s="16">
        <f t="shared" ref="N9:N23" si="39">IF($D9=0,"DNP",IF(M9=0,"-",L9/M9))</f>
        <v>0.37899543378995432</v>
      </c>
      <c r="O9" s="18">
        <f>IF($D9=0,"DNP",SUMIFS(OPPS_GbG[FGM],OPPS_GbG[[TM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31.444444444444443</v>
      </c>
      <c r="P9" s="18">
        <f>IF($D9=0,"DNP",SUMIFS(OPPS_GbG[FGA],OPPS_GbG[[TM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62.555555555555557</v>
      </c>
      <c r="Q9" s="16">
        <f t="shared" ref="Q9:Q23" si="40">IF($D9=0,"DNP",IF(P9=0,"-",O9/P9))</f>
        <v>0.50266429840142091</v>
      </c>
      <c r="R9" s="18">
        <f>IF($D9=0,"DNP",SUMIFS(OPPS_GbG[FTM],OPPS_GbG[[TM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14</v>
      </c>
      <c r="S9" s="18">
        <f>IF($D9=0,"DNP",SUMIFS(OPPS_GbG[FTA],OPPS_GbG[[TM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17.444444444444443</v>
      </c>
      <c r="T9" s="16">
        <f t="shared" ref="T9:T23" si="41">IF($D9=0,"DNP",IF(S9=0,"-",R9/S9))</f>
        <v>0.80254777070063699</v>
      </c>
      <c r="U9" s="18">
        <f>IF($D9=0,"DNP",SUMIFS(OPPS_GbG[OR],OPPS_GbG[[TM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9.6666666666666661</v>
      </c>
      <c r="V9" s="18">
        <f>IF($D9=0,"DNP",SUMIFS(OPPS_GbG[DR],OPPS_GbG[[TM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24.222222222222221</v>
      </c>
      <c r="W9" s="18">
        <f>IF($D9=0,"DNP",SUMIFS(OPPS_GbG[TR],OPPS_GbG[[TM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33.888888888888886</v>
      </c>
      <c r="X9" s="18">
        <f>IF($D9=0,"DNP",SUMIFS(OPPS_GbG[AST],OPPS_GbG[[TM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18.777777777777779</v>
      </c>
      <c r="Y9" s="18">
        <f>IF($D9=0,"DNP",SUMIFS(OPPS_GbG[TO],OPPS_GbG[[TM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10.333333333333334</v>
      </c>
      <c r="Z9" s="18">
        <f>IF($D9=0,"DNP",SUMIFS(OPPS_GbG[ST],OPPS_GbG[[TM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5.2222222222222223</v>
      </c>
      <c r="AA9" s="18">
        <f>IF($D9=0,"DNP",SUMIFS(OPPS_GbG[BLK],OPPS_GbG[[TM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1.7777777777777777</v>
      </c>
      <c r="AB9" s="18">
        <f>IF($D9=0,"DNP",SUMIFS(OPPS_GbG[BLKA],OPPS_GbG[[TM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2.2222222222222223</v>
      </c>
      <c r="AC9" s="18">
        <f>IF($D9=0,"DNP",SUMIFS(OPPS_GbG[PF],OPPS_GbG[[TM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19</v>
      </c>
      <c r="AD9" s="18">
        <f>IF($D9=0,"DNP",SUMIFS(OPPS_GbG[DF],OPPS_GbG[[TM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18.666666666666668</v>
      </c>
      <c r="AE9" s="18">
        <f>IF($D9=0,"DNP",SUMIFS(OPPS_GbG[VAL],OPPS_GbG[[TM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98.333333333333329</v>
      </c>
      <c r="AF9" s="18">
        <f>IF($D9=0,"DNP",SUMIFS(OPPS_GbG[+ / -],OPPS_GbG[[TM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7.333333333333333</v>
      </c>
      <c r="AG9" s="26">
        <f t="shared" si="0"/>
        <v>69.808219178082183</v>
      </c>
      <c r="AH9" s="18">
        <f>IF($D9=0,"DNP",SUMIFS(OPPS_GbG[POSS],OPPS_GbG[[TM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70.777777777777771</v>
      </c>
      <c r="AI9" s="18">
        <f>IF($D9=0,"DNP",SUMIFS(OPPS_GbG[SHOOTING CHANCES],OPPS_GbG[[TM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80.555555555555557</v>
      </c>
      <c r="AJ9" s="19">
        <f t="shared" si="1"/>
        <v>1.0689655172413792</v>
      </c>
      <c r="AK9" s="19">
        <f t="shared" si="2"/>
        <v>1.0085348506401137</v>
      </c>
      <c r="AL9" s="18">
        <f t="shared" si="3"/>
        <v>121.66405023547881</v>
      </c>
      <c r="AM9" s="18">
        <f t="shared" si="4"/>
        <v>113.258785942492</v>
      </c>
      <c r="AN9" s="18">
        <f t="shared" ref="AN9:AN23" si="42">IF($D9=0,"DNP",AL9-AM9)</f>
        <v>8.4052642929868142</v>
      </c>
      <c r="AO9" s="27">
        <f t="shared" si="5"/>
        <v>0.57637655417406752</v>
      </c>
      <c r="AP9" s="28">
        <f t="shared" si="6"/>
        <v>0.613132911392405</v>
      </c>
      <c r="AQ9" s="34">
        <f t="shared" si="7"/>
        <v>0.13793103448275862</v>
      </c>
      <c r="AR9" s="38">
        <f t="shared" si="8"/>
        <v>1.66</v>
      </c>
      <c r="AS9" s="27">
        <f t="shared" si="9"/>
        <v>0.26896551724137929</v>
      </c>
      <c r="AT9" s="38">
        <f t="shared" si="10"/>
        <v>0.99487179487179489</v>
      </c>
      <c r="AU9" s="27">
        <f t="shared" si="11"/>
        <v>6.7586206896551732E-2</v>
      </c>
      <c r="AV9" s="38">
        <f t="shared" si="12"/>
        <v>0.81632653061224492</v>
      </c>
      <c r="AW9" s="27">
        <f t="shared" si="13"/>
        <v>3.4482758620689655E-2</v>
      </c>
      <c r="AX9" s="38">
        <f t="shared" si="14"/>
        <v>1.8</v>
      </c>
      <c r="AY9" s="27">
        <f t="shared" si="15"/>
        <v>0.26206896551724135</v>
      </c>
      <c r="AZ9" s="38">
        <f t="shared" si="16"/>
        <v>1.0736842105263158</v>
      </c>
      <c r="BA9" s="28">
        <f t="shared" si="17"/>
        <v>9.5172413793103455E-2</v>
      </c>
      <c r="BB9" s="34">
        <f t="shared" si="18"/>
        <v>0.12845303867403315</v>
      </c>
      <c r="BC9" s="27">
        <f t="shared" si="19"/>
        <v>0.47443181818181829</v>
      </c>
      <c r="BD9" s="27">
        <f t="shared" si="20"/>
        <v>0.45</v>
      </c>
      <c r="BE9" s="27">
        <f t="shared" si="21"/>
        <v>0.74698795180722899</v>
      </c>
      <c r="BF9" s="27">
        <f t="shared" si="22"/>
        <v>0.21739130434782608</v>
      </c>
      <c r="BG9" s="27">
        <f t="shared" si="23"/>
        <v>0.2334254143646409</v>
      </c>
      <c r="BH9" s="35">
        <f t="shared" si="24"/>
        <v>1.8172043010752688</v>
      </c>
      <c r="BI9" s="34">
        <f t="shared" si="25"/>
        <v>0.30526315789473685</v>
      </c>
      <c r="BJ9" s="27">
        <f t="shared" si="26"/>
        <v>0.30821917808219179</v>
      </c>
      <c r="BK9" s="27">
        <f t="shared" si="27"/>
        <v>0.30827067669172925</v>
      </c>
      <c r="BL9" s="27">
        <f t="shared" si="28"/>
        <v>0.28571428571428575</v>
      </c>
      <c r="BM9" s="27">
        <f t="shared" si="29"/>
        <v>0.74149659863945583</v>
      </c>
      <c r="BN9" s="27">
        <f t="shared" si="30"/>
        <v>0.67586206896551726</v>
      </c>
      <c r="BO9" s="27">
        <f t="shared" si="31"/>
        <v>0.75657894736842113</v>
      </c>
      <c r="BP9" s="27">
        <f t="shared" si="32"/>
        <v>0.75</v>
      </c>
      <c r="BQ9" s="28">
        <f t="shared" si="33"/>
        <v>0.52677029360967187</v>
      </c>
      <c r="BR9" s="34">
        <f t="shared" si="34"/>
        <v>7.5079872204472847E-2</v>
      </c>
      <c r="BS9" s="27">
        <f t="shared" si="35"/>
        <v>2.9090909090909087E-2</v>
      </c>
      <c r="BT9" s="39">
        <f>IF($D9=0,"DNP",SUMIFS(OPPS_GbG[KILLS],OPPS_GbG[[TM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4</v>
      </c>
      <c r="BU9" s="34">
        <f t="shared" si="36"/>
        <v>0.43274853801169588</v>
      </c>
      <c r="BV9" s="28">
        <f t="shared" si="37"/>
        <v>0.4821428571428571</v>
      </c>
      <c r="BW9" s="18">
        <f>IF($D9=0,"DNP",SUMIFS(OPPS_GbG[ASTED_2FG],OPPS_GbG[[TM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</v>
      </c>
      <c r="BX9" s="18">
        <f>IF($D9=0,"DNP",SUMIFS(OPPS_GbG[ASTED_3FG],OPPS_GbG[[TM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6.8888888888888893</v>
      </c>
      <c r="BY9" s="18">
        <f>IF($D9=0,"DNP",SUMIFS(OPPS_GbG[ASTED_FT],OPPS_GbG[[TM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1.6666666666666667</v>
      </c>
      <c r="BZ9" s="18">
        <f>IF($D9=0,"DNP",SUMIFS(OPPS_GbG[ASTED_FT PTS],OPPS_GbG[[TM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2.6666666666666665</v>
      </c>
      <c r="CA9" s="18">
        <f>IF($D9=0,"DNP",SUMIFS(OPPS_GbG[OR_RIM],OPPS_GbG[[TM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0.66666666666666663</v>
      </c>
      <c r="CB9" s="18">
        <f>IF($D9=0,"DNP",SUMIFS(OPPS_GbG[TM OR_RIM],OPPS_GbG[[TM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C9" s="18">
        <f>IF($D9=0,"DNP",SUMIFS(OPPS_GbG[OR_PAINT],OPPS_GbG[[TM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3.4444444444444446</v>
      </c>
      <c r="CD9" s="18">
        <f>IF($D9=0,"DNP",SUMIFS(OPPS_GbG[TM OR_PAINT],OPPS_GbG[[TM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CE9" s="18">
        <f>IF($D9=0,"DNP",SUMIFS(OPPS_GbG[OR_NP2],OPPS_GbG[[TM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0.44444444444444442</v>
      </c>
      <c r="CF9" s="18">
        <f>IF($D9=0,"DNP",SUMIFS(OPPS_GbG[TM OR_NP2],OPPS_GbG[[TM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CG9" s="18">
        <f>IF($D9=0,"DNP",SUMIFS(OPPS_GbG[OR_3C],OPPS_GbG[[TM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CH9" s="18">
        <f>IF($D9=0,"DNP",SUMIFS(OPPS_GbG[TM OR_3C],OPPS_GbG[[TM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CI9" s="18">
        <f>IF($D9=0,"DNP",SUMIFS(OPPS_GbG[OR_3L],OPPS_GbG[[TM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4.1111111111111107</v>
      </c>
      <c r="CJ9" s="18">
        <f>IF($D9=0,"DNP",SUMIFS(OPPS_GbG[TM OR_3L],OPPS_GbG[[TM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K9" s="18">
        <f>IF($D9=0,"DNP",SUMIFS(OPPS_GbG[OR_FT],OPPS_GbG[[TM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0.55555555555555558</v>
      </c>
      <c r="CL9" s="18">
        <f>IF($D9=0,"DNP",SUMIFS(OPPS_GbG[TM OR_FT],OPPS_GbG[[TM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M9" s="18">
        <f>IF($D9=0,"DNP",SUMIFS(OPPS_GbG[DR_RIM],OPPS_GbG[[TM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0.77777777777777779</v>
      </c>
      <c r="CN9" s="18">
        <f>IF($D9=0,"DNP",SUMIFS(OPPS_GbG[TM DR_RIM],OPPS_GbG[[TM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CO9" s="18">
        <f>IF($D9=0,"DNP",SUMIFS(OPPS_GbG[DR_PAINT],OPPS_GbG[[TM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6.5555555555555554</v>
      </c>
      <c r="CP9" s="18">
        <f>IF($D9=0,"DNP",SUMIFS(OPPS_GbG[TM DR_PAINT],OPPS_GbG[[TM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0.44444444444444442</v>
      </c>
      <c r="CQ9" s="18">
        <f>IF($D9=0,"DNP",SUMIFS(OPPS_GbG[DR_NP2],OPPS_GbG[[TM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</v>
      </c>
      <c r="CR9" s="18">
        <f>IF($D9=0,"DNP",SUMIFS(OPPS_GbG[TM DR_NP2],OPPS_GbG[[TM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CS9" s="18">
        <f>IF($D9=0,"DNP",SUMIFS(OPPS_GbG[DR_3C],OPPS_GbG[[TM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1.5555555555555556</v>
      </c>
      <c r="CT9" s="18">
        <f>IF($D9=0,"DNP",SUMIFS(OPPS_GbG[TM DR_3C],OPPS_GbG[[TM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CU9" s="18">
        <f>IF($D9=0,"DNP",SUMIFS(OPPS_GbG[DR_3L],OPPS_GbG[[TM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10.888888888888889</v>
      </c>
      <c r="CV9" s="18">
        <f>IF($D9=0,"DNP",SUMIFS(OPPS_GbG[TM DR_3L],OPPS_GbG[[TM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CW9" s="18">
        <f>IF($D9=0,"DNP",SUMIFS(OPPS_GbG[DR_FT],OPPS_GbG[[TM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1.3333333333333333</v>
      </c>
      <c r="CX9" s="18">
        <f>IF($D9=0,"DNP",SUMIFS(OPPS_GbG[TM DR_FT],OPPS_GbG[[TM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CY9" s="18">
        <f>IF($D9=0,"DNP",SUMIFS(OPPS_GbG[FTM_T],OPPS_GbG[[TM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CZ9" s="18">
        <f>IF($D9=0,"DNP",SUMIFS(OPPS_GbG[FTA_T],OPPS_GbG[[TM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DA9" s="18">
        <f>IF($D9=0,"DNP",SUMIFS(OPPS_GbG[FTM_1],OPPS_GbG[[TM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0.77777777777777779</v>
      </c>
      <c r="DB9" s="18">
        <f>IF($D9=0,"DNP",SUMIFS(OPPS_GbG[FTA_1],OPPS_GbG[[TM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1.3333333333333333</v>
      </c>
      <c r="DC9" s="18">
        <f>IF($D9=0,"DNP",SUMIFS(OPPS_GbG[FTM_2],OPPS_GbG[[TM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11.666666666666666</v>
      </c>
      <c r="DD9" s="18">
        <f>IF($D9=0,"DNP",SUMIFS(OPPS_GbG[FTA_2],OPPS_GbG[[TM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14.444444444444445</v>
      </c>
      <c r="DE9" s="18">
        <f>IF($D9=0,"DNP",SUMIFS(OPPS_GbG[FT 0/2],OPPS_GbG[[TM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DF9" s="18">
        <f>IF($D9=0,"DNP",SUMIFS(OPPS_GbG[FTM_3],OPPS_GbG[[TM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1.2222222222222223</v>
      </c>
      <c r="DG9" s="18">
        <f>IF($D9=0,"DNP",SUMIFS(OPPS_GbG[FTA_3],OPPS_GbG[[TM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1.3333333333333333</v>
      </c>
      <c r="DH9" s="18">
        <f>IF($D9=0,"DNP",SUMIFS(OPPS_GbG[FT 0/3],OPPS_GbG[[TM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DI9" s="18">
        <f>IF($D9=0,"DNP",SUMIFS(OPPS_GbG[RIM_M],OPPS_GbG[[TM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9.2222222222222214</v>
      </c>
      <c r="DJ9" s="18">
        <f>IF($D9=0,"DNP",SUMIFS(OPPS_GbG[RIM_A],OPPS_GbG[[TM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11.111111111111111</v>
      </c>
      <c r="DK9" s="18">
        <f>IF($D9=0,"DNP",SUMIFS(OPPS_GbG[PAINT_M],OPPS_GbG[[TM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10.777777777777779</v>
      </c>
      <c r="DL9" s="18">
        <f>IF($D9=0,"DNP",SUMIFS(OPPS_GbG[PAINT_A],OPPS_GbG[[TM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21.666666666666668</v>
      </c>
      <c r="DM9" s="18">
        <f>IF($D9=0,"DNP",SUMIFS(OPPS_GbG[MID_M],OPPS_GbG[[TM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2.2222222222222223</v>
      </c>
      <c r="DN9" s="18">
        <f>IF($D9=0,"DNP",SUMIFS(OPPS_GbG[MID_A],OPPS_GbG[[TM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5.4444444444444446</v>
      </c>
      <c r="DO9" s="18">
        <f>IF($D9=0,"DNP",SUMIFS(OPPS_GbG[3C_M],OPPS_GbG[[TM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1.6666666666666667</v>
      </c>
      <c r="DP9" s="18">
        <f>IF($D9=0,"DNP",SUMIFS(OPPS_GbG[3C_A],OPPS_GbG[[TM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2.7777777777777777</v>
      </c>
      <c r="DQ9" s="18">
        <f>IF($D9=0,"DNP",SUMIFS(OPPS_GbG[3L_M],OPPS_GbG[[TM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7.5555555555555554</v>
      </c>
      <c r="DR9" s="18">
        <f>IF($D9=0,"DNP",SUMIFS(OPPS_GbG[3L_A],OPPS_GbG[[TM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21.111111111111111</v>
      </c>
      <c r="DS9" s="18">
        <f>IF($D9=0,"DNP",SUMIFS(OPPS_GbG[3H_M],OPPS_GbG[[TM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DT9" s="18">
        <f>IF($D9=0,"DNP",SUMIFS(OPPS_GbG[3H_A],OPPS_GbG[[TM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0.44444444444444442</v>
      </c>
      <c r="DU9" s="18">
        <f>IF($D9=0,"DNP",SUMIFS(OPPS_GbG[OPP PTS],OPPS_GbG[[TM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78.777777777777771</v>
      </c>
      <c r="DV9" s="18">
        <f>IF($D9=0,"DNP",SUMIFS(OPPS_GbG[OPP 2PTM],OPPS_GbG[[TM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20.777777777777779</v>
      </c>
      <c r="DW9" s="18">
        <f>IF($D9=0,"DNP",SUMIFS(OPPS_GbG[OPP 2PTA],OPPS_GbG[[TM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36.111111111111114</v>
      </c>
      <c r="DX9" s="16">
        <f t="shared" ref="DX9:DX23" si="43">IF($D9=0,"DNP",IF(DW9=0,"-",DV9/DW9))</f>
        <v>0.57538461538461538</v>
      </c>
      <c r="DY9" s="18">
        <f>IF($D9=0,"DNP",SUMIFS(OPPS_GbG[OPP 3PTM],OPPS_GbG[[TM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8.6666666666666661</v>
      </c>
      <c r="DZ9" s="18">
        <f>IF($D9=0,"DNP",SUMIFS(OPPS_GbG[OPP 3PTA],OPPS_GbG[[TM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25</v>
      </c>
      <c r="EA9" s="16">
        <f t="shared" ref="EA9:EA23" si="44">IF($D9=0,"DNP",IF(DZ9=0,"-",DY9/DZ9))</f>
        <v>0.34666666666666662</v>
      </c>
      <c r="EB9" s="18">
        <f>IF($D9=0,"DNP",SUMIFS(OPPS_GbG[OPP FGM],OPPS_GbG[[TM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29.444444444444443</v>
      </c>
      <c r="EC9" s="18">
        <f>IF($D9=0,"DNP",SUMIFS(OPPS_GbG[OPP FGA],OPPS_GbG[[TM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61.111111111111114</v>
      </c>
      <c r="ED9" s="16">
        <f t="shared" ref="ED9:ED23" si="45">IF($D9=0,"DNP",IF(EC9=0,"-",EB9/EC9))</f>
        <v>0.48181818181818176</v>
      </c>
      <c r="EE9" s="18">
        <f>IF($D9=0,"DNP",SUMIFS(OPPS_GbG[OPP FTM],OPPS_GbG[[TM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11.222222222222221</v>
      </c>
      <c r="EF9" s="18">
        <f>IF($D9=0,"DNP",SUMIFS(OPPS_GbG[OPP FTA],OPPS_GbG[[TM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15</v>
      </c>
      <c r="EG9" s="16">
        <f t="shared" ref="EG9:EG23" si="46">IF($D9=0,"DNP",IF(EF9=0,"-",EE9/EF9))</f>
        <v>0.74814814814814812</v>
      </c>
      <c r="EH9" s="18">
        <f>IF($D9=0,"DNP",SUMIFS(OPPS_GbG[OPP OR],OPPS_GbG[[TM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8.4444444444444446</v>
      </c>
      <c r="EI9" s="18">
        <f>IF($D9=0,"DNP",SUMIFS(OPPS_GbG[OPP DR],OPPS_GbG[[TM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22</v>
      </c>
      <c r="EJ9" s="18">
        <f>IF($D9=0,"DNP",SUMIFS(OPPS_GbG[OPP TR],OPPS_GbG[[TM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30.444444444444443</v>
      </c>
      <c r="EK9" s="18">
        <f>IF($D9=0,"DNP",SUMIFS(OPPS_GbG[OPP AST],OPPS_GbG[[TM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</v>
      </c>
      <c r="EL9" s="18">
        <f>IF($D9=0,"DNP",SUMIFS(OPPS_GbG[OPP PF],OPPS_GbG[[TM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19</v>
      </c>
      <c r="EM9" s="18">
        <f>IF($D9=0,"DNP",SUMIFS(OPPS_GbG[OPP DF],OPPS_GbG[[TM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18.888888888888889</v>
      </c>
      <c r="EN9" s="18">
        <f>IF($D9=0,"DNP",SUMIFS(OPPS_GbG[OPP ST],OPPS_GbG[[TM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6.333333333333333</v>
      </c>
      <c r="EO9" s="18">
        <f>IF($D9=0,"DNP",SUMIFS(OPPS_GbG[OPP TO],OPPS_GbG[[TM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10.555555555555555</v>
      </c>
      <c r="EP9" s="18">
        <f>IF($D9=0,"DNP",SUMIFS(OPPS_GbG[OPP BLK],OPPS_GbG[[TM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2.2222222222222223</v>
      </c>
      <c r="EQ9" s="18">
        <f>IF($D9=0,"DNP",SUMIFS(OPPS_GbG[OPP BLKA],OPPS_GbG[[TM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1.7777777777777777</v>
      </c>
      <c r="ER9" s="18">
        <f>IF($D9=0,"DNP",SUMIFS(OPPS_GbG[OPP VAL],OPPS_GbG[[TM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87.888888888888886</v>
      </c>
      <c r="ES9" s="18">
        <f>IF($D9=0,"DNP",SUMIFS(OPPS_GbG[OPP + / -],OPPS_GbG[[TM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-7.333333333333333</v>
      </c>
      <c r="ET9" s="18">
        <f>IF($D9=0,"DNP",SUMIFS(OPPS_GbG[OPP POSS],OPPS_GbG[[TM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69.555555555555557</v>
      </c>
      <c r="EU9" s="18">
        <f>IF($D9=0,"DNP",SUMIFS(OPPS_GbG[OPP SHOOTING CHANCES],OPPS_GbG[[TM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78.111111111111114</v>
      </c>
      <c r="EV9" s="18">
        <f>IF($D9=0,"DNP",SUMIFS(OPPS_GbG[OPP KILLS],OPPS_GbG[[TM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3.5555555555555554</v>
      </c>
      <c r="EW9" s="18">
        <f>IF($D9=0,"DNP",SUMIFS(OPPS_GbG[OPP ASTED_2FG],OPPS_GbG[[TM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10.111111111111111</v>
      </c>
      <c r="EX9" s="18">
        <f>IF($D9=0,"DNP",SUMIFS(OPPS_GbG[OPP ASTED_3FG],OPPS_GbG[[TM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</v>
      </c>
      <c r="EY9" s="18">
        <f>IF($D9=0,"DNP",SUMIFS(OPPS_GbG[OPP ASTED_FT],OPPS_GbG[[TM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0.88888888888888884</v>
      </c>
      <c r="EZ9" s="18">
        <f>IF($D9=0,"DNP",SUMIFS(OPPS_GbG[OPP ASTED_FT PTS],OPPS_GbG[[TM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1.5555555555555556</v>
      </c>
      <c r="FA9" s="18">
        <f>IF($D9=0,"DNP",SUMIFS(OPPS_GbG[OPP OR_RIM],OPPS_GbG[[TM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0.66666666666666663</v>
      </c>
      <c r="FB9" s="18">
        <f>IF($D9=0,"DNP",SUMIFS(OPPS_GbG[OPP TM OR_RIM],OPPS_GbG[[TM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0.22222222222222221</v>
      </c>
      <c r="FC9" s="18">
        <f>IF($D9=0,"DNP",SUMIFS(OPPS_GbG[OPP OR_PAINT],OPPS_GbG[[TM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</v>
      </c>
      <c r="FD9" s="18">
        <f>IF($D9=0,"DNP",SUMIFS(OPPS_GbG[OPP TM OR_PAINT],OPPS_GbG[[TM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FE9" s="18">
        <f>IF($D9=0,"DNP",SUMIFS(OPPS_GbG[OPP OR_NP2],OPPS_GbG[[TM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</v>
      </c>
      <c r="FF9" s="18">
        <f>IF($D9=0,"DNP",SUMIFS(OPPS_GbG[OPP TM OR_NP2],OPPS_GbG[[TM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FG9" s="18">
        <f>IF($D9=0,"DNP",SUMIFS(OPPS_GbG[OPP OR_3C],OPPS_GbG[[TM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H9" s="18">
        <f>IF($D9=0,"DNP",SUMIFS(OPPS_GbG[OPP TM OR_3C],OPPS_GbG[[TM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FI9" s="18">
        <f>IF($D9=0,"DNP",SUMIFS(OPPS_GbG[OPP OR_3L],OPPS_GbG[[TM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3.2222222222222223</v>
      </c>
      <c r="FJ9" s="18">
        <f>IF($D9=0,"DNP",SUMIFS(OPPS_GbG[OPP TM OR_3L],OPPS_GbG[[TM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0.77777777777777779</v>
      </c>
      <c r="FK9" s="18">
        <f>IF($D9=0,"DNP",SUMIFS(OPPS_GbG[OPP OR_FT],OPPS_GbG[[TM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FL9" s="18">
        <f>IF($D9=0,"DNP",SUMIFS(OPPS_GbG[OPP TM OR_FT],OPPS_GbG[[TM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M9" s="18">
        <f>IF($D9=0,"DNP",SUMIFS(OPPS_GbG[OPP DR_RIM],OPPS_GbG[[TM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1.1111111111111112</v>
      </c>
      <c r="FN9" s="18">
        <f>IF($D9=0,"DNP",SUMIFS(OPPS_GbG[OPP TM DR_RIM],OPPS_GbG[[TM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FO9" s="18">
        <f>IF($D9=0,"DNP",SUMIFS(OPPS_GbG[OPP DR_PAINT],OPPS_GbG[[TM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7.2222222222222223</v>
      </c>
      <c r="FP9" s="18">
        <f>IF($D9=0,"DNP",SUMIFS(OPPS_GbG[OPP TM DR_PAINT],OPPS_GbG[[TM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Q9" s="18">
        <f>IF($D9=0,"DNP",SUMIFS(OPPS_GbG[OPP DR_NP2],OPPS_GbG[[TM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2.6666666666666665</v>
      </c>
      <c r="FR9" s="18">
        <f>IF($D9=0,"DNP",SUMIFS(OPPS_GbG[OPP TM DR_NP2],OPPS_GbG[[TM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S9" s="18">
        <f>IF($D9=0,"DNP",SUMIFS(OPPS_GbG[OPP DR_3C],OPPS_GbG[[TM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0.77777777777777779</v>
      </c>
      <c r="FT9" s="18">
        <f>IF($D9=0,"DNP",SUMIFS(OPPS_GbG[OPP TM DR_3C],OPPS_GbG[[TM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0.22222222222222221</v>
      </c>
      <c r="FU9" s="18">
        <f>IF($D9=0,"DNP",SUMIFS(OPPS_GbG[OPP DR_3L],OPPS_GbG[[TM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8.5555555555555554</v>
      </c>
      <c r="FV9" s="18">
        <f>IF($D9=0,"DNP",SUMIFS(OPPS_GbG[OPP TM DR_3L],OPPS_GbG[[TM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0.66666666666666663</v>
      </c>
      <c r="FW9" s="18">
        <f>IF($D9=0,"DNP",SUMIFS(OPPS_GbG[OPP DR_FT],OPPS_GbG[[TM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1.5555555555555556</v>
      </c>
      <c r="FX9" s="18">
        <f>IF($D9=0,"DNP",SUMIFS(OPPS_GbG[OPP TM DR_FT],OPPS_GbG[[TM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Y9" s="18">
        <f>IF($D9=0,"DNP",SUMIFS(OPPS_GbG[OPP FTM_T],OPPS_GbG[[TM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FZ9" s="18">
        <f>IF($D9=0,"DNP",SUMIFS(OPPS_GbG[OPP FTA_T],OPPS_GbG[[TM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GA9" s="18">
        <f>IF($D9=0,"DNP",SUMIFS(OPPS_GbG[OPP FTM_1],OPPS_GbG[[TM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1.3333333333333333</v>
      </c>
      <c r="GB9" s="18">
        <f>IF($D9=0,"DNP",SUMIFS(OPPS_GbG[OPP FTA_1],OPPS_GbG[[TM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1.7777777777777777</v>
      </c>
      <c r="GC9" s="18">
        <f>IF($D9=0,"DNP",SUMIFS(OPPS_GbG[OPP FTM_2],OPPS_GbG[[TM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9.5555555555555554</v>
      </c>
      <c r="GD9" s="18">
        <f>IF($D9=0,"DNP",SUMIFS(OPPS_GbG[OPP FTA_2],OPPS_GbG[[TM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12.666666666666666</v>
      </c>
      <c r="GE9" s="18">
        <f>IF($D9=0,"DNP",SUMIFS(OPPS_GbG[OPP FT 0/2],OPPS_GbG[[TM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0.44444444444444442</v>
      </c>
      <c r="GF9" s="18">
        <f>IF($D9=0,"DNP",SUMIFS(OPPS_GbG[OPP FTM_3],OPPS_GbG[[TM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0.1111111111111111</v>
      </c>
      <c r="GG9" s="18">
        <f>IF($D9=0,"DNP",SUMIFS(OPPS_GbG[OPP FTA_3],OPPS_GbG[[TM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0.33333333333333331</v>
      </c>
      <c r="GH9" s="18">
        <f>IF($D9=0,"DNP",SUMIFS(OPPS_GbG[OPP FT 0/3],OPPS_GbG[[TM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GI9" s="18">
        <f>IF($D9=0,"DNP",SUMIFS(OPPS_GbG[OPP RIM_M],OPPS_GbG[[TM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8</v>
      </c>
      <c r="GJ9" s="18">
        <f>IF($D9=0,"DNP",SUMIFS(OPPS_GbG[OPP RIM_A],OPPS_GbG[[TM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9.5555555555555554</v>
      </c>
      <c r="GK9" s="18">
        <f>IF($D9=0,"DNP",SUMIFS(OPPS_GbG[OPP PAINT_M],OPPS_GbG[[TM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10</v>
      </c>
      <c r="GL9" s="18">
        <f>IF($D9=0,"DNP",SUMIFS(OPPS_GbG[OPP PAINT_A],OPPS_GbG[[TM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19.666666666666668</v>
      </c>
      <c r="GM9" s="18">
        <f>IF($D9=0,"DNP",SUMIFS(OPPS_GbG[OPP MID_M],OPPS_GbG[[TM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2.7777777777777777</v>
      </c>
      <c r="GN9" s="18">
        <f>IF($D9=0,"DNP",SUMIFS(OPPS_GbG[OPP MID_A],OPPS_GbG[[TM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6.8888888888888893</v>
      </c>
      <c r="GO9" s="18">
        <f>IF($D9=0,"DNP",SUMIFS(OPPS_GbG[OPP 3C_M],OPPS_GbG[[TM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1.5555555555555556</v>
      </c>
      <c r="GP9" s="18">
        <f>IF($D9=0,"DNP",SUMIFS(OPPS_GbG[OPP 3C_A],OPPS_GbG[[TM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3.2222222222222223</v>
      </c>
      <c r="GQ9" s="18">
        <f>IF($D9=0,"DNP",SUMIFS(OPPS_GbG[OPP 3L_M],OPPS_GbG[[TM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7.1111111111111107</v>
      </c>
      <c r="GR9" s="18">
        <f>IF($D9=0,"DNP",SUMIFS(OPPS_GbG[OPP 3L_A],OPPS_GbG[[TM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21.777777777777779</v>
      </c>
      <c r="GS9" s="18">
        <f>IF($D9=0,"DNP",SUMIFS(OPPS_GbG[OPP 3H_M],OPPS_GbG[[TM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  <c r="GT9" s="18">
        <f>IF($D9=0,"DNP",SUMIFS(OPPS_GbG[OPP 3H_A],OPPS_GbG[[TM NAME]:[TM NAME]],$C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GAMES","&lt;1000",IF($F$3=BASIS_INFO!$T$3,"&lt;"&amp;BASIS_INFO!$B$11,IF($F$3=BASIS_INFO!$T$4,"&lt;"&amp;BASIS_INFO!$B$12,IF($F$3=BASIS_INFO!$T$5,"&lt;"&amp;BASIS_INFO!$B$13,IF($F$3=BASIS_INFO!$T$6,"&lt;"&amp;BASIS_INFO!$B$14))))))/IF($D$3="TOTAL",1,$D9))</f>
        <v>0</v>
      </c>
    </row>
    <row r="10" spans="2:202" ht="15" customHeight="1" x14ac:dyDescent="0.25">
      <c r="B10" s="12">
        <f>_xlfn.AGGREGATE(3,5,$C$7:C9)</f>
        <v>3</v>
      </c>
      <c r="C10" s="14" t="str">
        <f>BASIS_INFO!F5</f>
        <v>AS Monaco</v>
      </c>
      <c r="D10" s="20">
        <f>COUNTIFS(OPPS_GbG[[TM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0" s="20">
        <f>COUNTIFS(OPPS_GbG[[TM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5</v>
      </c>
      <c r="F10" s="20">
        <f>COUNTIFS(OPPS_GbG[[TM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4</v>
      </c>
      <c r="G10" s="18">
        <f>IF($D10=0,"DNP",SUMIFS(OPPS_GbG[MIN],OPPS_GbG[[TM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200</v>
      </c>
      <c r="H10" s="18">
        <f>IF($D10=0,"DNP",SUMIFS(OPPS_GbG[PTS],OPPS_GbG[[TM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77.666666666666671</v>
      </c>
      <c r="I10" s="18">
        <f>IF($D10=0,"DNP",SUMIFS(OPPS_GbG[2PTM],OPPS_GbG[[TM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16.444444444444443</v>
      </c>
      <c r="J10" s="18">
        <f>IF($D10=0,"DNP",SUMIFS(OPPS_GbG[2PTA],OPPS_GbG[[TM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31.777777777777779</v>
      </c>
      <c r="K10" s="16">
        <f t="shared" si="38"/>
        <v>0.51748251748251739</v>
      </c>
      <c r="L10" s="18">
        <f>IF($D10=0,"DNP",SUMIFS(OPPS_GbG[3PTM],OPPS_GbG[[TM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11</v>
      </c>
      <c r="M10" s="18">
        <f>IF($D10=0,"DNP",SUMIFS(OPPS_GbG[3PTA],OPPS_GbG[[TM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29.222222222222221</v>
      </c>
      <c r="N10" s="16">
        <f t="shared" si="39"/>
        <v>0.37642585551330798</v>
      </c>
      <c r="O10" s="18">
        <f>IF($D10=0,"DNP",SUMIFS(OPPS_GbG[FGM],OPPS_GbG[[TM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27.444444444444443</v>
      </c>
      <c r="P10" s="18">
        <f>IF($D10=0,"DNP",SUMIFS(OPPS_GbG[FGA],OPPS_GbG[[TM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61</v>
      </c>
      <c r="Q10" s="16">
        <f t="shared" si="40"/>
        <v>0.44990892531876137</v>
      </c>
      <c r="R10" s="18">
        <f>IF($D10=0,"DNP",SUMIFS(OPPS_GbG[FTM],OPPS_GbG[[TM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11.777777777777779</v>
      </c>
      <c r="S10" s="18">
        <f>IF($D10=0,"DNP",SUMIFS(OPPS_GbG[FTA],OPPS_GbG[[TM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14.666666666666666</v>
      </c>
      <c r="T10" s="16">
        <f t="shared" si="41"/>
        <v>0.80303030303030309</v>
      </c>
      <c r="U10" s="18">
        <f>IF($D10=0,"DNP",SUMIFS(OPPS_GbG[OR],OPPS_GbG[[TM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12.444444444444445</v>
      </c>
      <c r="V10" s="18">
        <f>IF($D10=0,"DNP",SUMIFS(OPPS_GbG[DR],OPPS_GbG[[TM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23.222222222222221</v>
      </c>
      <c r="W10" s="18">
        <f>IF($D10=0,"DNP",SUMIFS(OPPS_GbG[TR],OPPS_GbG[[TM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35.666666666666664</v>
      </c>
      <c r="X10" s="18">
        <f>IF($D10=0,"DNP",SUMIFS(OPPS_GbG[AST],OPPS_GbG[[TM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18.777777777777779</v>
      </c>
      <c r="Y10" s="18">
        <f>IF($D10=0,"DNP",SUMIFS(OPPS_GbG[TO],OPPS_GbG[[TM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13.444444444444445</v>
      </c>
      <c r="Z10" s="18">
        <f>IF($D10=0,"DNP",SUMIFS(OPPS_GbG[ST],OPPS_GbG[[TM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5.4444444444444446</v>
      </c>
      <c r="AA10" s="18">
        <f>IF($D10=0,"DNP",SUMIFS(OPPS_GbG[BLK],OPPS_GbG[[TM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2.4444444444444446</v>
      </c>
      <c r="AB10" s="18">
        <f>IF($D10=0,"DNP",SUMIFS(OPPS_GbG[BLKA],OPPS_GbG[[TM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1.2222222222222223</v>
      </c>
      <c r="AC10" s="18">
        <f>IF($D10=0,"DNP",SUMIFS(OPPS_GbG[PF],OPPS_GbG[[TM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19.666666666666668</v>
      </c>
      <c r="AD10" s="18">
        <f>IF($D10=0,"DNP",SUMIFS(OPPS_GbG[DF],OPPS_GbG[[TM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18.555555555555557</v>
      </c>
      <c r="AE10" s="18">
        <f>IF($D10=0,"DNP",SUMIFS(OPPS_GbG[VAL],OPPS_GbG[[TM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87.777777777777771</v>
      </c>
      <c r="AF10" s="18">
        <f>IF($D10=0,"DNP",SUMIFS(OPPS_GbG[+ / -],OPPS_GbG[[TM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-0.77777777777777779</v>
      </c>
      <c r="AG10" s="26">
        <f t="shared" si="0"/>
        <v>68.555555555555557</v>
      </c>
      <c r="AH10" s="18">
        <f>IF($D10=0,"DNP",SUMIFS(OPPS_GbG[POSS],OPPS_GbG[[TM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68.555555555555557</v>
      </c>
      <c r="AI10" s="18">
        <f>IF($D10=0,"DNP",SUMIFS(OPPS_GbG[SHOOTING CHANCES],OPPS_GbG[[TM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81</v>
      </c>
      <c r="AJ10" s="19">
        <f t="shared" si="1"/>
        <v>0.95884773662551448</v>
      </c>
      <c r="AK10" s="19">
        <f t="shared" si="2"/>
        <v>0.96844993141289437</v>
      </c>
      <c r="AL10" s="18">
        <f t="shared" si="3"/>
        <v>113.290113452188</v>
      </c>
      <c r="AM10" s="18">
        <f t="shared" si="4"/>
        <v>114.23948220064723</v>
      </c>
      <c r="AN10" s="18">
        <f t="shared" si="42"/>
        <v>-0.94936874845923569</v>
      </c>
      <c r="AO10" s="27">
        <f t="shared" si="5"/>
        <v>0.54007285974499086</v>
      </c>
      <c r="AP10" s="28">
        <f t="shared" si="6"/>
        <v>0.57483552631578949</v>
      </c>
      <c r="AQ10" s="34">
        <f t="shared" si="7"/>
        <v>8.0932784636488342E-2</v>
      </c>
      <c r="AR10" s="38">
        <f t="shared" si="8"/>
        <v>1.5254237288135595</v>
      </c>
      <c r="AS10" s="27">
        <f t="shared" si="9"/>
        <v>0.23319615912208505</v>
      </c>
      <c r="AT10" s="38">
        <f t="shared" si="10"/>
        <v>1.0352941176470589</v>
      </c>
      <c r="AU10" s="27">
        <f t="shared" si="11"/>
        <v>7.8189300411522625E-2</v>
      </c>
      <c r="AV10" s="38">
        <f t="shared" si="12"/>
        <v>0.52631578947368429</v>
      </c>
      <c r="AW10" s="27">
        <f t="shared" si="13"/>
        <v>2.4691358024691357E-2</v>
      </c>
      <c r="AX10" s="38">
        <f t="shared" si="14"/>
        <v>1.3333333333333333</v>
      </c>
      <c r="AY10" s="27">
        <f t="shared" si="15"/>
        <v>0.33470507544581618</v>
      </c>
      <c r="AZ10" s="38">
        <f t="shared" si="16"/>
        <v>1.1188524590163935</v>
      </c>
      <c r="BA10" s="28">
        <f t="shared" si="17"/>
        <v>8.0932784636488342E-2</v>
      </c>
      <c r="BB10" s="34">
        <f t="shared" si="18"/>
        <v>0.16598079561042525</v>
      </c>
      <c r="BC10" s="27">
        <f t="shared" si="19"/>
        <v>0.55592105263157898</v>
      </c>
      <c r="BD10" s="27">
        <f t="shared" si="20"/>
        <v>0.45945945945945948</v>
      </c>
      <c r="BE10" s="27">
        <f t="shared" si="21"/>
        <v>0.86868686868686862</v>
      </c>
      <c r="BF10" s="27">
        <f t="shared" si="22"/>
        <v>0.26315789473684215</v>
      </c>
      <c r="BG10" s="27">
        <f t="shared" si="23"/>
        <v>0.23182441700960221</v>
      </c>
      <c r="BH10" s="35">
        <f t="shared" si="24"/>
        <v>1.3966942148760331</v>
      </c>
      <c r="BI10" s="34">
        <f t="shared" si="25"/>
        <v>0.36245954692556631</v>
      </c>
      <c r="BJ10" s="27">
        <f t="shared" si="26"/>
        <v>0.39869281045751642</v>
      </c>
      <c r="BK10" s="27">
        <f t="shared" si="27"/>
        <v>0.37356321839080464</v>
      </c>
      <c r="BL10" s="27">
        <f t="shared" si="28"/>
        <v>0.2857142857142857</v>
      </c>
      <c r="BM10" s="27">
        <f t="shared" si="29"/>
        <v>0.65930599369085174</v>
      </c>
      <c r="BN10" s="27">
        <f t="shared" si="30"/>
        <v>0.6512820512820513</v>
      </c>
      <c r="BO10" s="27">
        <f t="shared" si="31"/>
        <v>0.58992805755395683</v>
      </c>
      <c r="BP10" s="27">
        <f t="shared" si="32"/>
        <v>0.63157894736842113</v>
      </c>
      <c r="BQ10" s="28">
        <f t="shared" si="33"/>
        <v>0.51277955271565501</v>
      </c>
      <c r="BR10" s="34">
        <f t="shared" si="34"/>
        <v>7.9288025889967639E-2</v>
      </c>
      <c r="BS10" s="27">
        <f t="shared" si="35"/>
        <v>3.8596491228070177E-2</v>
      </c>
      <c r="BT10" s="39">
        <f>IF($D10=0,"DNP",SUMIFS(OPPS_GbG[KILLS],OPPS_GbG[[TM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4.5555555555555554</v>
      </c>
      <c r="BU10" s="34">
        <f t="shared" si="36"/>
        <v>0.42937853107344631</v>
      </c>
      <c r="BV10" s="28">
        <f t="shared" si="37"/>
        <v>0.41317365269461076</v>
      </c>
      <c r="BW10" s="18">
        <f>IF($D10=0,"DNP",SUMIFS(OPPS_GbG[ASTED_2FG],OPPS_GbG[[TM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7.5555555555555554</v>
      </c>
      <c r="BX10" s="18">
        <f>IF($D10=0,"DNP",SUMIFS(OPPS_GbG[ASTED_3FG],OPPS_GbG[[TM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9.5555555555555554</v>
      </c>
      <c r="BY10" s="18">
        <f>IF($D10=0,"DNP",SUMIFS(OPPS_GbG[ASTED_FT],OPPS_GbG[[TM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BZ10" s="18">
        <f>IF($D10=0,"DNP",SUMIFS(OPPS_GbG[ASTED_FT PTS],OPPS_GbG[[TM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2.8888888888888888</v>
      </c>
      <c r="CA10" s="18">
        <f>IF($D10=0,"DNP",SUMIFS(OPPS_GbG[OR_RIM],OPPS_GbG[[TM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CB10" s="18">
        <f>IF($D10=0,"DNP",SUMIFS(OPPS_GbG[TM OR_RIM],OPPS_GbG[[TM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CC10" s="18">
        <f>IF($D10=0,"DNP",SUMIFS(OPPS_GbG[OR_PAINT],OPPS_GbG[[TM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3.8888888888888888</v>
      </c>
      <c r="CD10" s="18">
        <f>IF($D10=0,"DNP",SUMIFS(OPPS_GbG[TM OR_PAINT],OPPS_GbG[[TM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0.55555555555555558</v>
      </c>
      <c r="CE10" s="18">
        <f>IF($D10=0,"DNP",SUMIFS(OPPS_GbG[OR_NP2],OPPS_GbG[[TM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CF10" s="18">
        <f>IF($D10=0,"DNP",SUMIFS(OPPS_GbG[TM OR_NP2],OPPS_GbG[[TM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CG10" s="18">
        <f>IF($D10=0,"DNP",SUMIFS(OPPS_GbG[OR_3C],OPPS_GbG[[TM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CH10" s="18">
        <f>IF($D10=0,"DNP",SUMIFS(OPPS_GbG[TM OR_3C],OPPS_GbG[[TM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CI10" s="18">
        <f>IF($D10=0,"DNP",SUMIFS(OPPS_GbG[OR_3L],OPPS_GbG[[TM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</v>
      </c>
      <c r="CJ10" s="18">
        <f>IF($D10=0,"DNP",SUMIFS(OPPS_GbG[TM OR_3L],OPPS_GbG[[TM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</v>
      </c>
      <c r="CK10" s="18">
        <f>IF($D10=0,"DNP",SUMIFS(OPPS_GbG[OR_FT],OPPS_GbG[[TM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CL10" s="18">
        <f>IF($D10=0,"DNP",SUMIFS(OPPS_GbG[TM OR_FT],OPPS_GbG[[TM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CM10" s="18">
        <f>IF($D10=0,"DNP",SUMIFS(OPPS_GbG[DR_RIM],OPPS_GbG[[TM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1.7777777777777777</v>
      </c>
      <c r="CN10" s="18">
        <f>IF($D10=0,"DNP",SUMIFS(OPPS_GbG[TM DR_RIM],OPPS_GbG[[TM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CO10" s="18">
        <f>IF($D10=0,"DNP",SUMIFS(OPPS_GbG[DR_PAINT],OPPS_GbG[[TM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</v>
      </c>
      <c r="CP10" s="18">
        <f>IF($D10=0,"DNP",SUMIFS(OPPS_GbG[TM DR_PAINT],OPPS_GbG[[TM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CQ10" s="18">
        <f>IF($D10=0,"DNP",SUMIFS(OPPS_GbG[DR_NP2],OPPS_GbG[[TM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4.4444444444444446</v>
      </c>
      <c r="CR10" s="18">
        <f>IF($D10=0,"DNP",SUMIFS(OPPS_GbG[TM DR_NP2],OPPS_GbG[[TM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CS10" s="18">
        <f>IF($D10=0,"DNP",SUMIFS(OPPS_GbG[DR_3C],OPPS_GbG[[TM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CT10" s="18">
        <f>IF($D10=0,"DNP",SUMIFS(OPPS_GbG[TM DR_3C],OPPS_GbG[[TM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CU10" s="18">
        <f>IF($D10=0,"DNP",SUMIFS(OPPS_GbG[DR_3L],OPPS_GbG[[TM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8.5555555555555554</v>
      </c>
      <c r="CV10" s="18">
        <f>IF($D10=0,"DNP",SUMIFS(OPPS_GbG[TM DR_3L],OPPS_GbG[[TM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CW10" s="18">
        <f>IF($D10=0,"DNP",SUMIFS(OPPS_GbG[DR_FT],OPPS_GbG[[TM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1.2222222222222223</v>
      </c>
      <c r="CX10" s="18">
        <f>IF($D10=0,"DNP",SUMIFS(OPPS_GbG[TM DR_FT],OPPS_GbG[[TM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CY10" s="18">
        <f>IF($D10=0,"DNP",SUMIFS(OPPS_GbG[FTM_T],OPPS_GbG[[TM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CZ10" s="18">
        <f>IF($D10=0,"DNP",SUMIFS(OPPS_GbG[FTA_T],OPPS_GbG[[TM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DA10" s="18">
        <f>IF($D10=0,"DNP",SUMIFS(OPPS_GbG[FTM_1],OPPS_GbG[[TM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0.77777777777777779</v>
      </c>
      <c r="DB10" s="18">
        <f>IF($D10=0,"DNP",SUMIFS(OPPS_GbG[FTA_1],OPPS_GbG[[TM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1.1111111111111112</v>
      </c>
      <c r="DC10" s="18">
        <f>IF($D10=0,"DNP",SUMIFS(OPPS_GbG[FTM_2],OPPS_GbG[[TM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10.333333333333334</v>
      </c>
      <c r="DD10" s="18">
        <f>IF($D10=0,"DNP",SUMIFS(OPPS_GbG[FTA_2],OPPS_GbG[[TM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12.666666666666666</v>
      </c>
      <c r="DE10" s="18">
        <f>IF($D10=0,"DNP",SUMIFS(OPPS_GbG[FT 0/2],OPPS_GbG[[TM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DF10" s="18">
        <f>IF($D10=0,"DNP",SUMIFS(OPPS_GbG[FTM_3],OPPS_GbG[[TM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DG10" s="18">
        <f>IF($D10=0,"DNP",SUMIFS(OPPS_GbG[FTA_3],OPPS_GbG[[TM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DH10" s="18">
        <f>IF($D10=0,"DNP",SUMIFS(OPPS_GbG[FT 0/3],OPPS_GbG[[TM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DI10" s="18">
        <f>IF($D10=0,"DNP",SUMIFS(OPPS_GbG[RIM_M],OPPS_GbG[[TM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</v>
      </c>
      <c r="DJ10" s="18">
        <f>IF($D10=0,"DNP",SUMIFS(OPPS_GbG[RIM_A],OPPS_GbG[[TM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6.5555555555555554</v>
      </c>
      <c r="DK10" s="18">
        <f>IF($D10=0,"DNP",SUMIFS(OPPS_GbG[PAINT_M],OPPS_GbG[[TM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9.7777777777777786</v>
      </c>
      <c r="DL10" s="18">
        <f>IF($D10=0,"DNP",SUMIFS(OPPS_GbG[PAINT_A],OPPS_GbG[[TM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18.888888888888889</v>
      </c>
      <c r="DM10" s="18">
        <f>IF($D10=0,"DNP",SUMIFS(OPPS_GbG[MID_M],OPPS_GbG[[TM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DN10" s="18">
        <f>IF($D10=0,"DNP",SUMIFS(OPPS_GbG[MID_A],OPPS_GbG[[TM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6.333333333333333</v>
      </c>
      <c r="DO10" s="18">
        <f>IF($D10=0,"DNP",SUMIFS(OPPS_GbG[3C_M],OPPS_GbG[[TM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0.88888888888888884</v>
      </c>
      <c r="DP10" s="18">
        <f>IF($D10=0,"DNP",SUMIFS(OPPS_GbG[3C_A],OPPS_GbG[[TM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</v>
      </c>
      <c r="DQ10" s="18">
        <f>IF($D10=0,"DNP",SUMIFS(OPPS_GbG[3L_M],OPPS_GbG[[TM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10.111111111111111</v>
      </c>
      <c r="DR10" s="18">
        <f>IF($D10=0,"DNP",SUMIFS(OPPS_GbG[3L_A],OPPS_GbG[[TM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27.111111111111111</v>
      </c>
      <c r="DS10" s="18">
        <f>IF($D10=0,"DNP",SUMIFS(OPPS_GbG[3H_M],OPPS_GbG[[TM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DT10" s="18">
        <f>IF($D10=0,"DNP",SUMIFS(OPPS_GbG[3H_A],OPPS_GbG[[TM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DU10" s="18">
        <f>IF($D10=0,"DNP",SUMIFS(OPPS_GbG[OPP PTS],OPPS_GbG[[TM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78.444444444444443</v>
      </c>
      <c r="DV10" s="18">
        <f>IF($D10=0,"DNP",SUMIFS(OPPS_GbG[OPP 2PTM],OPPS_GbG[[TM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20.333333333333332</v>
      </c>
      <c r="DW10" s="18">
        <f>IF($D10=0,"DNP",SUMIFS(OPPS_GbG[OPP 2PTA],OPPS_GbG[[TM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40.666666666666664</v>
      </c>
      <c r="DX10" s="16">
        <f t="shared" si="43"/>
        <v>0.5</v>
      </c>
      <c r="DY10" s="18">
        <f>IF($D10=0,"DNP",SUMIFS(OPPS_GbG[OPP 3PTM],OPPS_GbG[[TM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8.5555555555555554</v>
      </c>
      <c r="DZ10" s="18">
        <f>IF($D10=0,"DNP",SUMIFS(OPPS_GbG[OPP 3PTA],OPPS_GbG[[TM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22.666666666666668</v>
      </c>
      <c r="EA10" s="16">
        <f t="shared" si="44"/>
        <v>0.37745098039215685</v>
      </c>
      <c r="EB10" s="18">
        <f>IF($D10=0,"DNP",SUMIFS(OPPS_GbG[OPP FGM],OPPS_GbG[[TM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28.888888888888889</v>
      </c>
      <c r="EC10" s="18">
        <f>IF($D10=0,"DNP",SUMIFS(OPPS_GbG[OPP FGA],OPPS_GbG[[TM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63.333333333333336</v>
      </c>
      <c r="ED10" s="16">
        <f t="shared" si="45"/>
        <v>0.45614035087719296</v>
      </c>
      <c r="EE10" s="18">
        <f>IF($D10=0,"DNP",SUMIFS(OPPS_GbG[OPP FTM],OPPS_GbG[[TM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12.111111111111111</v>
      </c>
      <c r="EF10" s="18">
        <f>IF($D10=0,"DNP",SUMIFS(OPPS_GbG[OPP FTA],OPPS_GbG[[TM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16</v>
      </c>
      <c r="EG10" s="16">
        <f t="shared" si="46"/>
        <v>0.75694444444444442</v>
      </c>
      <c r="EH10" s="18">
        <f>IF($D10=0,"DNP",SUMIFS(OPPS_GbG[OPP OR],OPPS_GbG[[TM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12</v>
      </c>
      <c r="EI10" s="18">
        <f>IF($D10=0,"DNP",SUMIFS(OPPS_GbG[OPP DR],OPPS_GbG[[TM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21.888888888888889</v>
      </c>
      <c r="EJ10" s="18">
        <f>IF($D10=0,"DNP",SUMIFS(OPPS_GbG[OPP TR],OPPS_GbG[[TM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33.888888888888886</v>
      </c>
      <c r="EK10" s="18">
        <f>IF($D10=0,"DNP",SUMIFS(OPPS_GbG[OPP AST],OPPS_GbG[[TM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16.555555555555557</v>
      </c>
      <c r="EL10" s="18">
        <f>IF($D10=0,"DNP",SUMIFS(OPPS_GbG[OPP PF],OPPS_GbG[[TM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18.777777777777779</v>
      </c>
      <c r="EM10" s="18">
        <f>IF($D10=0,"DNP",SUMIFS(OPPS_GbG[OPP DF],OPPS_GbG[[TM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19.555555555555557</v>
      </c>
      <c r="EN10" s="18">
        <f>IF($D10=0,"DNP",SUMIFS(OPPS_GbG[OPP ST],OPPS_GbG[[TM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7.2222222222222223</v>
      </c>
      <c r="EO10" s="18">
        <f>IF($D10=0,"DNP",SUMIFS(OPPS_GbG[OPP TO],OPPS_GbG[[TM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10.888888888888889</v>
      </c>
      <c r="EP10" s="18">
        <f>IF($D10=0,"DNP",SUMIFS(OPPS_GbG[OPP BLK],OPPS_GbG[[TM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1.2222222222222223</v>
      </c>
      <c r="EQ10" s="18">
        <f>IF($D10=0,"DNP",SUMIFS(OPPS_GbG[OPP BLKA],OPPS_GbG[[TM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2.4444444444444446</v>
      </c>
      <c r="ER10" s="18">
        <f>IF($D10=0,"DNP",SUMIFS(OPPS_GbG[OPP VAL],OPPS_GbG[[TM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86.444444444444443</v>
      </c>
      <c r="ES10" s="18">
        <f>IF($D10=0,"DNP",SUMIFS(OPPS_GbG[OPP + / -],OPPS_GbG[[TM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0.77777777777777779</v>
      </c>
      <c r="ET10" s="18">
        <f>IF($D10=0,"DNP",SUMIFS(OPPS_GbG[OPP POSS],OPPS_GbG[[TM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68.666666666666671</v>
      </c>
      <c r="EU10" s="18">
        <f>IF($D10=0,"DNP",SUMIFS(OPPS_GbG[OPP SHOOTING CHANCES],OPPS_GbG[[TM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81</v>
      </c>
      <c r="EV10" s="18">
        <f>IF($D10=0,"DNP",SUMIFS(OPPS_GbG[OPP KILLS],OPPS_GbG[[TM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</v>
      </c>
      <c r="EW10" s="18">
        <f>IF($D10=0,"DNP",SUMIFS(OPPS_GbG[OPP ASTED_2FG],OPPS_GbG[[TM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9.3333333333333339</v>
      </c>
      <c r="EX10" s="18">
        <f>IF($D10=0,"DNP",SUMIFS(OPPS_GbG[OPP ASTED_3FG],OPPS_GbG[[TM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6.5555555555555554</v>
      </c>
      <c r="EY10" s="18">
        <f>IF($D10=0,"DNP",SUMIFS(OPPS_GbG[OPP ASTED_FT],OPPS_GbG[[TM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EZ10" s="18">
        <f>IF($D10=0,"DNP",SUMIFS(OPPS_GbG[OPP ASTED_FT PTS],OPPS_GbG[[TM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1.3333333333333333</v>
      </c>
      <c r="FA10" s="18">
        <f>IF($D10=0,"DNP",SUMIFS(OPPS_GbG[OPP OR_RIM],OPPS_GbG[[TM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1.2222222222222223</v>
      </c>
      <c r="FB10" s="18">
        <f>IF($D10=0,"DNP",SUMIFS(OPPS_GbG[OPP TM OR_RIM],OPPS_GbG[[TM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FC10" s="18">
        <f>IF($D10=0,"DNP",SUMIFS(OPPS_GbG[OPP OR_PAINT],OPPS_GbG[[TM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3.5555555555555554</v>
      </c>
      <c r="FD10" s="18">
        <f>IF($D10=0,"DNP",SUMIFS(OPPS_GbG[OPP TM OR_PAINT],OPPS_GbG[[TM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FE10" s="18">
        <f>IF($D10=0,"DNP",SUMIFS(OPPS_GbG[OPP OR_NP2],OPPS_GbG[[TM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FF10" s="18">
        <f>IF($D10=0,"DNP",SUMIFS(OPPS_GbG[OPP TM OR_NP2],OPPS_GbG[[TM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FG10" s="18">
        <f>IF($D10=0,"DNP",SUMIFS(OPPS_GbG[OPP OR_3C],OPPS_GbG[[TM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FH10" s="18">
        <f>IF($D10=0,"DNP",SUMIFS(OPPS_GbG[OPP TM OR_3C],OPPS_GbG[[TM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FI10" s="18">
        <f>IF($D10=0,"DNP",SUMIFS(OPPS_GbG[OPP OR_3L],OPPS_GbG[[TM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4.666666666666667</v>
      </c>
      <c r="FJ10" s="18">
        <f>IF($D10=0,"DNP",SUMIFS(OPPS_GbG[OPP TM OR_3L],OPPS_GbG[[TM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1.1111111111111112</v>
      </c>
      <c r="FK10" s="18">
        <f>IF($D10=0,"DNP",SUMIFS(OPPS_GbG[OPP OR_FT],OPPS_GbG[[TM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FL10" s="18">
        <f>IF($D10=0,"DNP",SUMIFS(OPPS_GbG[OPP TM OR_FT],OPPS_GbG[[TM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FM10" s="18">
        <f>IF($D10=0,"DNP",SUMIFS(OPPS_GbG[OPP DR_RIM],OPPS_GbG[[TM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1.3333333333333333</v>
      </c>
      <c r="FN10" s="18">
        <f>IF($D10=0,"DNP",SUMIFS(OPPS_GbG[OPP TM DR_RIM],OPPS_GbG[[TM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FO10" s="18">
        <f>IF($D10=0,"DNP",SUMIFS(OPPS_GbG[OPP DR_PAINT],OPPS_GbG[[TM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5.2222222222222223</v>
      </c>
      <c r="FP10" s="18">
        <f>IF($D10=0,"DNP",SUMIFS(OPPS_GbG[OPP TM DR_PAINT],OPPS_GbG[[TM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0.44444444444444442</v>
      </c>
      <c r="FQ10" s="18">
        <f>IF($D10=0,"DNP",SUMIFS(OPPS_GbG[OPP DR_NP2],OPPS_GbG[[TM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2.8888888888888888</v>
      </c>
      <c r="FR10" s="18">
        <f>IF($D10=0,"DNP",SUMIFS(OPPS_GbG[OPP TM DR_NP2],OPPS_GbG[[TM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FS10" s="18">
        <f>IF($D10=0,"DNP",SUMIFS(OPPS_GbG[OPP DR_3C],OPPS_GbG[[TM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0.88888888888888884</v>
      </c>
      <c r="FT10" s="18">
        <f>IF($D10=0,"DNP",SUMIFS(OPPS_GbG[OPP TM DR_3C],OPPS_GbG[[TM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FU10" s="18">
        <f>IF($D10=0,"DNP",SUMIFS(OPPS_GbG[OPP DR_3L],OPPS_GbG[[TM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10.444444444444445</v>
      </c>
      <c r="FV10" s="18">
        <f>IF($D10=0,"DNP",SUMIFS(OPPS_GbG[OPP TM DR_3L],OPPS_GbG[[TM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FW10" s="18">
        <f>IF($D10=0,"DNP",SUMIFS(OPPS_GbG[OPP DR_FT],OPPS_GbG[[TM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1.1111111111111112</v>
      </c>
      <c r="FX10" s="18">
        <f>IF($D10=0,"DNP",SUMIFS(OPPS_GbG[OPP TM DR_FT],OPPS_GbG[[TM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FY10" s="18">
        <f>IF($D10=0,"DNP",SUMIFS(OPPS_GbG[OPP FTM_T],OPPS_GbG[[TM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0.55555555555555558</v>
      </c>
      <c r="FZ10" s="18">
        <f>IF($D10=0,"DNP",SUMIFS(OPPS_GbG[OPP FTA_T],OPPS_GbG[[TM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GA10" s="18">
        <f>IF($D10=0,"DNP",SUMIFS(OPPS_GbG[OPP FTM_1],OPPS_GbG[[TM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1.3333333333333333</v>
      </c>
      <c r="GB10" s="18">
        <f>IF($D10=0,"DNP",SUMIFS(OPPS_GbG[OPP FTA_1],OPPS_GbG[[TM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1.6666666666666667</v>
      </c>
      <c r="GC10" s="18">
        <f>IF($D10=0,"DNP",SUMIFS(OPPS_GbG[OPP FTM_2],OPPS_GbG[[TM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10.111111111111111</v>
      </c>
      <c r="GD10" s="18">
        <f>IF($D10=0,"DNP",SUMIFS(OPPS_GbG[OPP FTA_2],OPPS_GbG[[TM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13.333333333333334</v>
      </c>
      <c r="GE10" s="18">
        <f>IF($D10=0,"DNP",SUMIFS(OPPS_GbG[OPP FT 0/2],OPPS_GbG[[TM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0.66666666666666663</v>
      </c>
      <c r="GF10" s="18">
        <f>IF($D10=0,"DNP",SUMIFS(OPPS_GbG[OPP FTM_3],OPPS_GbG[[TM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0.1111111111111111</v>
      </c>
      <c r="GG10" s="18">
        <f>IF($D10=0,"DNP",SUMIFS(OPPS_GbG[OPP FTA_3],OPPS_GbG[[TM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0.33333333333333331</v>
      </c>
      <c r="GH10" s="18">
        <f>IF($D10=0,"DNP",SUMIFS(OPPS_GbG[OPP FT 0/3],OPPS_GbG[[TM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GI10" s="18">
        <f>IF($D10=0,"DNP",SUMIFS(OPPS_GbG[OPP RIM_M],OPPS_GbG[[TM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5.8888888888888893</v>
      </c>
      <c r="GJ10" s="18">
        <f>IF($D10=0,"DNP",SUMIFS(OPPS_GbG[OPP RIM_A],OPPS_GbG[[TM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9</v>
      </c>
      <c r="GK10" s="18">
        <f>IF($D10=0,"DNP",SUMIFS(OPPS_GbG[OPP PAINT_M],OPPS_GbG[[TM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10.111111111111111</v>
      </c>
      <c r="GL10" s="18">
        <f>IF($D10=0,"DNP",SUMIFS(OPPS_GbG[OPP PAINT_A],OPPS_GbG[[TM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21</v>
      </c>
      <c r="GM10" s="18">
        <f>IF($D10=0,"DNP",SUMIFS(OPPS_GbG[OPP MID_M],OPPS_GbG[[TM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4.333333333333333</v>
      </c>
      <c r="GN10" s="18">
        <f>IF($D10=0,"DNP",SUMIFS(OPPS_GbG[OPP MID_A],OPPS_GbG[[TM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10.666666666666666</v>
      </c>
      <c r="GO10" s="18">
        <f>IF($D10=0,"DNP",SUMIFS(OPPS_GbG[OPP 3C_M],OPPS_GbG[[TM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0.22222222222222221</v>
      </c>
      <c r="GP10" s="18">
        <f>IF($D10=0,"DNP",SUMIFS(OPPS_GbG[OPP 3C_A],OPPS_GbG[[TM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0.77777777777777779</v>
      </c>
      <c r="GQ10" s="18">
        <f>IF($D10=0,"DNP",SUMIFS(OPPS_GbG[OPP 3L_M],OPPS_GbG[[TM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8.3333333333333339</v>
      </c>
      <c r="GR10" s="18">
        <f>IF($D10=0,"DNP",SUMIFS(OPPS_GbG[OPP 3L_A],OPPS_GbG[[TM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21.888888888888889</v>
      </c>
      <c r="GS10" s="18">
        <f>IF($D10=0,"DNP",SUMIFS(OPPS_GbG[OPP 3H_M],OPPS_GbG[[TM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  <c r="GT10" s="18">
        <f>IF($D10=0,"DNP",SUMIFS(OPPS_GbG[OPP 3H_A],OPPS_GbG[[TM NAME]:[TM NAME]],$C10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GAMES","&lt;1000",IF($F$3=BASIS_INFO!$T$3,"&lt;"&amp;BASIS_INFO!$B$11,IF($F$3=BASIS_INFO!$T$4,"&lt;"&amp;BASIS_INFO!$B$12,IF($F$3=BASIS_INFO!$T$5,"&lt;"&amp;BASIS_INFO!$B$13,IF($F$3=BASIS_INFO!$T$6,"&lt;"&amp;BASIS_INFO!$B$14))))))/IF($D$3="TOTAL",1,$D10))</f>
        <v>0</v>
      </c>
    </row>
    <row r="11" spans="2:202" ht="15" customHeight="1" x14ac:dyDescent="0.25">
      <c r="B11" s="12">
        <f>_xlfn.AGGREGATE(3,5,$C$7:C10)</f>
        <v>4</v>
      </c>
      <c r="C11" s="14" t="str">
        <f>BASIS_INFO!F6</f>
        <v>Baskonia Vitoria-Gasteiz</v>
      </c>
      <c r="D11" s="20">
        <f>COUNTIFS(OPPS_GbG[[TM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1" s="20">
        <f>COUNTIFS(OPPS_GbG[[TM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5</v>
      </c>
      <c r="F11" s="20">
        <f>COUNTIFS(OPPS_GbG[[TM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4</v>
      </c>
      <c r="G11" s="18">
        <f>IF($D11=0,"DNP",SUMIFS(OPPS_GbG[MIN],OPPS_GbG[[TM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200</v>
      </c>
      <c r="H11" s="18">
        <f>IF($D11=0,"DNP",SUMIFS(OPPS_GbG[PTS],OPPS_GbG[[TM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82.666666666666671</v>
      </c>
      <c r="I11" s="18">
        <f>IF($D11=0,"DNP",SUMIFS(OPPS_GbG[2PTM],OPPS_GbG[[TM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19</v>
      </c>
      <c r="J11" s="18">
        <f>IF($D11=0,"DNP",SUMIFS(OPPS_GbG[2PTA],OPPS_GbG[[TM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36</v>
      </c>
      <c r="K11" s="16">
        <f t="shared" si="38"/>
        <v>0.52777777777777779</v>
      </c>
      <c r="L11" s="18">
        <f>IF($D11=0,"DNP",SUMIFS(OPPS_GbG[3PTM],OPPS_GbG[[TM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10.555555555555555</v>
      </c>
      <c r="M11" s="18">
        <f>IF($D11=0,"DNP",SUMIFS(OPPS_GbG[3PTA],OPPS_GbG[[TM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27.888888888888889</v>
      </c>
      <c r="N11" s="16">
        <f t="shared" si="39"/>
        <v>0.37848605577689243</v>
      </c>
      <c r="O11" s="18">
        <f>IF($D11=0,"DNP",SUMIFS(OPPS_GbG[FGM],OPPS_GbG[[TM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29.555555555555557</v>
      </c>
      <c r="P11" s="18">
        <f>IF($D11=0,"DNP",SUMIFS(OPPS_GbG[FGA],OPPS_GbG[[TM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63.888888888888886</v>
      </c>
      <c r="Q11" s="16">
        <f t="shared" si="40"/>
        <v>0.46260869565217394</v>
      </c>
      <c r="R11" s="18">
        <f>IF($D11=0,"DNP",SUMIFS(OPPS_GbG[FTM],OPPS_GbG[[TM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13</v>
      </c>
      <c r="S11" s="18">
        <f>IF($D11=0,"DNP",SUMIFS(OPPS_GbG[FTA],OPPS_GbG[[TM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15.888888888888889</v>
      </c>
      <c r="T11" s="16">
        <f t="shared" si="41"/>
        <v>0.81818181818181812</v>
      </c>
      <c r="U11" s="18">
        <f>IF($D11=0,"DNP",SUMIFS(OPPS_GbG[OR],OPPS_GbG[[TM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</v>
      </c>
      <c r="V11" s="18">
        <f>IF($D11=0,"DNP",SUMIFS(OPPS_GbG[DR],OPPS_GbG[[TM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26</v>
      </c>
      <c r="W11" s="18">
        <f>IF($D11=0,"DNP",SUMIFS(OPPS_GbG[TR],OPPS_GbG[[TM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35</v>
      </c>
      <c r="X11" s="18">
        <f>IF($D11=0,"DNP",SUMIFS(OPPS_GbG[AST],OPPS_GbG[[TM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18</v>
      </c>
      <c r="Y11" s="18">
        <f>IF($D11=0,"DNP",SUMIFS(OPPS_GbG[TO],OPPS_GbG[[TM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</v>
      </c>
      <c r="Z11" s="18">
        <f>IF($D11=0,"DNP",SUMIFS(OPPS_GbG[ST],OPPS_GbG[[TM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5.666666666666667</v>
      </c>
      <c r="AA11" s="18">
        <f>IF($D11=0,"DNP",SUMIFS(OPPS_GbG[BLK],OPPS_GbG[[TM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3.3333333333333335</v>
      </c>
      <c r="AB11" s="18">
        <f>IF($D11=0,"DNP",SUMIFS(OPPS_GbG[BLKA],OPPS_GbG[[TM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2.2222222222222223</v>
      </c>
      <c r="AC11" s="18">
        <f>IF($D11=0,"DNP",SUMIFS(OPPS_GbG[PF],OPPS_GbG[[TM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19.333333333333332</v>
      </c>
      <c r="AD11" s="18">
        <f>IF($D11=0,"DNP",SUMIFS(OPPS_GbG[DF],OPPS_GbG[[TM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17.888888888888889</v>
      </c>
      <c r="AE11" s="18">
        <f>IF($D11=0,"DNP",SUMIFS(OPPS_GbG[VAL],OPPS_GbG[[TM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91.777777777777771</v>
      </c>
      <c r="AF11" s="18">
        <f>IF($D11=0,"DNP",SUMIFS(OPPS_GbG[+ / -],OPPS_GbG[[TM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AG11" s="26">
        <f t="shared" si="0"/>
        <v>73.333333333333329</v>
      </c>
      <c r="AH11" s="18">
        <f>IF($D11=0,"DNP",SUMIFS(OPPS_GbG[POSS],OPPS_GbG[[TM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73.333333333333329</v>
      </c>
      <c r="AI11" s="18">
        <f>IF($D11=0,"DNP",SUMIFS(OPPS_GbG[SHOOTING CHANCES],OPPS_GbG[[TM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82.333333333333329</v>
      </c>
      <c r="AJ11" s="19">
        <f t="shared" si="1"/>
        <v>1.0040485829959516</v>
      </c>
      <c r="AK11" s="19">
        <f t="shared" si="2"/>
        <v>0.95607235142118874</v>
      </c>
      <c r="AL11" s="18">
        <f t="shared" si="3"/>
        <v>112.72727272727275</v>
      </c>
      <c r="AM11" s="18">
        <f t="shared" si="4"/>
        <v>111.27819548872182</v>
      </c>
      <c r="AN11" s="18">
        <f t="shared" si="42"/>
        <v>1.4490772385509274</v>
      </c>
      <c r="AO11" s="27">
        <f t="shared" si="5"/>
        <v>0.54521739130434776</v>
      </c>
      <c r="AP11" s="28">
        <f t="shared" si="6"/>
        <v>0.58767772511848348</v>
      </c>
      <c r="AQ11" s="34">
        <f t="shared" si="7"/>
        <v>0.12010796221322538</v>
      </c>
      <c r="AR11" s="38">
        <f t="shared" si="8"/>
        <v>1.550561797752809</v>
      </c>
      <c r="AS11" s="27">
        <f t="shared" si="9"/>
        <v>0.24696356275303644</v>
      </c>
      <c r="AT11" s="38">
        <f t="shared" si="10"/>
        <v>0.93989071038251371</v>
      </c>
      <c r="AU11" s="27">
        <f t="shared" si="11"/>
        <v>7.0175438596491224E-2</v>
      </c>
      <c r="AV11" s="38">
        <f t="shared" si="12"/>
        <v>0.61538461538461531</v>
      </c>
      <c r="AW11" s="27">
        <f t="shared" si="13"/>
        <v>3.2388663967611336E-2</v>
      </c>
      <c r="AX11" s="38">
        <f t="shared" si="14"/>
        <v>1.875</v>
      </c>
      <c r="AY11" s="27">
        <f t="shared" si="15"/>
        <v>0.30229419703103916</v>
      </c>
      <c r="AZ11" s="38">
        <f t="shared" si="16"/>
        <v>1.0714285714285714</v>
      </c>
      <c r="BA11" s="28">
        <f t="shared" si="17"/>
        <v>7.8272604588394065E-2</v>
      </c>
      <c r="BB11" s="34">
        <f t="shared" si="18"/>
        <v>0.14574898785425103</v>
      </c>
      <c r="BC11" s="27">
        <f t="shared" si="19"/>
        <v>0.50624999999999998</v>
      </c>
      <c r="BD11" s="27">
        <f t="shared" si="20"/>
        <v>0.40935672514619881</v>
      </c>
      <c r="BE11" s="27">
        <f t="shared" si="21"/>
        <v>0.8</v>
      </c>
      <c r="BF11" s="27">
        <f t="shared" si="22"/>
        <v>0.29629629629629628</v>
      </c>
      <c r="BG11" s="27">
        <f t="shared" si="23"/>
        <v>0.21862348178137653</v>
      </c>
      <c r="BH11" s="35">
        <f t="shared" si="24"/>
        <v>1.5</v>
      </c>
      <c r="BI11" s="34">
        <f t="shared" si="25"/>
        <v>0.26045016077170419</v>
      </c>
      <c r="BJ11" s="27">
        <f t="shared" si="26"/>
        <v>0.22839506172839505</v>
      </c>
      <c r="BK11" s="27">
        <f t="shared" si="27"/>
        <v>0.31874999999999998</v>
      </c>
      <c r="BL11" s="27">
        <f t="shared" si="28"/>
        <v>9.9999999999999992E-2</v>
      </c>
      <c r="BM11" s="27">
        <f t="shared" si="29"/>
        <v>0.68621700879765402</v>
      </c>
      <c r="BN11" s="27">
        <f t="shared" si="30"/>
        <v>0.68333333333333335</v>
      </c>
      <c r="BO11" s="27">
        <f t="shared" si="31"/>
        <v>0.63243243243243252</v>
      </c>
      <c r="BP11" s="27">
        <f t="shared" si="32"/>
        <v>0.83333333333333326</v>
      </c>
      <c r="BQ11" s="28">
        <f t="shared" si="33"/>
        <v>0.48312883435582821</v>
      </c>
      <c r="BR11" s="34">
        <f t="shared" si="34"/>
        <v>7.6691729323308283E-2</v>
      </c>
      <c r="BS11" s="27">
        <f t="shared" si="35"/>
        <v>4.9999999999999996E-2</v>
      </c>
      <c r="BT11" s="39">
        <f>IF($D11=0,"DNP",SUMIFS(OPPS_GbG[KILLS],OPPS_GbG[[TM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5.5555555555555554</v>
      </c>
      <c r="BU11" s="34">
        <f t="shared" si="36"/>
        <v>0.46551724137931039</v>
      </c>
      <c r="BV11" s="28">
        <f t="shared" si="37"/>
        <v>0.49068322981366463</v>
      </c>
      <c r="BW11" s="18">
        <f>IF($D11=0,"DNP",SUMIFS(OPPS_GbG[ASTED_2FG],OPPS_GbG[[TM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7.7777777777777777</v>
      </c>
      <c r="BX11" s="18">
        <f>IF($D11=0,"DNP",SUMIFS(OPPS_GbG[ASTED_3FG],OPPS_GbG[[TM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8.4444444444444446</v>
      </c>
      <c r="BY11" s="18">
        <f>IF($D11=0,"DNP",SUMIFS(OPPS_GbG[ASTED_FT],OPPS_GbG[[TM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1.7777777777777777</v>
      </c>
      <c r="BZ11" s="18">
        <f>IF($D11=0,"DNP",SUMIFS(OPPS_GbG[ASTED_FT PTS],OPPS_GbG[[TM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3.6666666666666665</v>
      </c>
      <c r="CA11" s="18">
        <f>IF($D11=0,"DNP",SUMIFS(OPPS_GbG[OR_RIM],OPPS_GbG[[TM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0.77777777777777779</v>
      </c>
      <c r="CB11" s="18">
        <f>IF($D11=0,"DNP",SUMIFS(OPPS_GbG[TM OR_RIM],OPPS_GbG[[TM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C11" s="18">
        <f>IF($D11=0,"DNP",SUMIFS(OPPS_GbG[OR_PAINT],OPPS_GbG[[TM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</v>
      </c>
      <c r="CD11" s="18">
        <f>IF($D11=0,"DNP",SUMIFS(OPPS_GbG[TM OR_PAINT],OPPS_GbG[[TM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0.33333333333333331</v>
      </c>
      <c r="CE11" s="18">
        <f>IF($D11=0,"DNP",SUMIFS(OPPS_GbG[OR_NP2],OPPS_GbG[[TM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</v>
      </c>
      <c r="CF11" s="18">
        <f>IF($D11=0,"DNP",SUMIFS(OPPS_GbG[TM OR_NP2],OPPS_GbG[[TM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G11" s="18">
        <f>IF($D11=0,"DNP",SUMIFS(OPPS_GbG[OR_3C],OPPS_GbG[[TM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CH11" s="18">
        <f>IF($D11=0,"DNP",SUMIFS(OPPS_GbG[TM OR_3C],OPPS_GbG[[TM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CI11" s="18">
        <f>IF($D11=0,"DNP",SUMIFS(OPPS_GbG[OR_3L],OPPS_GbG[[TM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4.666666666666667</v>
      </c>
      <c r="CJ11" s="18">
        <f>IF($D11=0,"DNP",SUMIFS(OPPS_GbG[TM OR_3L],OPPS_GbG[[TM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CK11" s="18">
        <f>IF($D11=0,"DNP",SUMIFS(OPPS_GbG[OR_FT],OPPS_GbG[[TM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CL11" s="18">
        <f>IF($D11=0,"DNP",SUMIFS(OPPS_GbG[TM OR_FT],OPPS_GbG[[TM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M11" s="18">
        <f>IF($D11=0,"DNP",SUMIFS(OPPS_GbG[DR_RIM],OPPS_GbG[[TM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</v>
      </c>
      <c r="CN11" s="18">
        <f>IF($D11=0,"DNP",SUMIFS(OPPS_GbG[TM DR_RIM],OPPS_GbG[[TM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CO11" s="18">
        <f>IF($D11=0,"DNP",SUMIFS(OPPS_GbG[DR_PAINT],OPPS_GbG[[TM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7.5555555555555554</v>
      </c>
      <c r="CP11" s="18">
        <f>IF($D11=0,"DNP",SUMIFS(OPPS_GbG[TM DR_PAINT],OPPS_GbG[[TM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0.66666666666666663</v>
      </c>
      <c r="CQ11" s="18">
        <f>IF($D11=0,"DNP",SUMIFS(OPPS_GbG[DR_NP2],OPPS_GbG[[TM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3.1111111111111112</v>
      </c>
      <c r="CR11" s="18">
        <f>IF($D11=0,"DNP",SUMIFS(OPPS_GbG[TM DR_NP2],OPPS_GbG[[TM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CS11" s="18">
        <f>IF($D11=0,"DNP",SUMIFS(OPPS_GbG[DR_3C],OPPS_GbG[[TM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0.88888888888888884</v>
      </c>
      <c r="CT11" s="18">
        <f>IF($D11=0,"DNP",SUMIFS(OPPS_GbG[TM DR_3C],OPPS_GbG[[TM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U11" s="18">
        <f>IF($D11=0,"DNP",SUMIFS(OPPS_GbG[DR_3L],OPPS_GbG[[TM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11.222222222222221</v>
      </c>
      <c r="CV11" s="18">
        <f>IF($D11=0,"DNP",SUMIFS(OPPS_GbG[TM DR_3L],OPPS_GbG[[TM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0.88888888888888884</v>
      </c>
      <c r="CW11" s="18">
        <f>IF($D11=0,"DNP",SUMIFS(OPPS_GbG[DR_FT],OPPS_GbG[[TM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1.1111111111111112</v>
      </c>
      <c r="CX11" s="18">
        <f>IF($D11=0,"DNP",SUMIFS(OPPS_GbG[TM DR_FT],OPPS_GbG[[TM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CY11" s="18">
        <f>IF($D11=0,"DNP",SUMIFS(OPPS_GbG[FTM_T],OPPS_GbG[[TM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CZ11" s="18">
        <f>IF($D11=0,"DNP",SUMIFS(OPPS_GbG[FTA_T],OPPS_GbG[[TM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DA11" s="18">
        <f>IF($D11=0,"DNP",SUMIFS(OPPS_GbG[FTM_1],OPPS_GbG[[TM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1.7777777777777777</v>
      </c>
      <c r="DB11" s="18">
        <f>IF($D11=0,"DNP",SUMIFS(OPPS_GbG[FTA_1],OPPS_GbG[[TM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2.3333333333333335</v>
      </c>
      <c r="DC11" s="18">
        <f>IF($D11=0,"DNP",SUMIFS(OPPS_GbG[FTM_2],OPPS_GbG[[TM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9.8888888888888893</v>
      </c>
      <c r="DD11" s="18">
        <f>IF($D11=0,"DNP",SUMIFS(OPPS_GbG[FTA_2],OPPS_GbG[[TM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</v>
      </c>
      <c r="DE11" s="18">
        <f>IF($D11=0,"DNP",SUMIFS(OPPS_GbG[FT 0/2],OPPS_GbG[[TM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  <c r="DF11" s="18">
        <f>IF($D11=0,"DNP",SUMIFS(OPPS_GbG[FTM_3],OPPS_GbG[[TM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1.1111111111111112</v>
      </c>
      <c r="DG11" s="18">
        <f>IF($D11=0,"DNP",SUMIFS(OPPS_GbG[FTA_3],OPPS_GbG[[TM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1.3333333333333333</v>
      </c>
      <c r="DH11" s="18">
        <f>IF($D11=0,"DNP",SUMIFS(OPPS_GbG[FT 0/3],OPPS_GbG[[TM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DI11" s="18">
        <f>IF($D11=0,"DNP",SUMIFS(OPPS_GbG[RIM_M],OPPS_GbG[[TM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7.666666666666667</v>
      </c>
      <c r="DJ11" s="18">
        <f>IF($D11=0,"DNP",SUMIFS(OPPS_GbG[RIM_A],OPPS_GbG[[TM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9.8888888888888893</v>
      </c>
      <c r="DK11" s="18">
        <f>IF($D11=0,"DNP",SUMIFS(OPPS_GbG[PAINT_M],OPPS_GbG[[TM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9.5555555555555554</v>
      </c>
      <c r="DL11" s="18">
        <f>IF($D11=0,"DNP",SUMIFS(OPPS_GbG[PAINT_A],OPPS_GbG[[TM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20.333333333333332</v>
      </c>
      <c r="DM11" s="18">
        <f>IF($D11=0,"DNP",SUMIFS(OPPS_GbG[MID_M],OPPS_GbG[[TM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1.7777777777777777</v>
      </c>
      <c r="DN11" s="18">
        <f>IF($D11=0,"DNP",SUMIFS(OPPS_GbG[MID_A],OPPS_GbG[[TM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5.7777777777777777</v>
      </c>
      <c r="DO11" s="18">
        <f>IF($D11=0,"DNP",SUMIFS(OPPS_GbG[3C_M],OPPS_GbG[[TM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1.6666666666666667</v>
      </c>
      <c r="DP11" s="18">
        <f>IF($D11=0,"DNP",SUMIFS(OPPS_GbG[3C_A],OPPS_GbG[[TM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2.6666666666666665</v>
      </c>
      <c r="DQ11" s="18">
        <f>IF($D11=0,"DNP",SUMIFS(OPPS_GbG[3L_M],OPPS_GbG[[TM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8.8888888888888893</v>
      </c>
      <c r="DR11" s="18">
        <f>IF($D11=0,"DNP",SUMIFS(OPPS_GbG[3L_A],OPPS_GbG[[TM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24.888888888888889</v>
      </c>
      <c r="DS11" s="18">
        <f>IF($D11=0,"DNP",SUMIFS(OPPS_GbG[3H_M],OPPS_GbG[[TM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DT11" s="18">
        <f>IF($D11=0,"DNP",SUMIFS(OPPS_GbG[3H_A],OPPS_GbG[[TM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0.33333333333333331</v>
      </c>
      <c r="DU11" s="18">
        <f>IF($D11=0,"DNP",SUMIFS(OPPS_GbG[OPP PTS],OPPS_GbG[[TM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82.222222222222229</v>
      </c>
      <c r="DV11" s="18">
        <f>IF($D11=0,"DNP",SUMIFS(OPPS_GbG[OPP 2PTM],OPPS_GbG[[TM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19</v>
      </c>
      <c r="DW11" s="18">
        <f>IF($D11=0,"DNP",SUMIFS(OPPS_GbG[OPP 2PTA],OPPS_GbG[[TM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37.111111111111114</v>
      </c>
      <c r="DX11" s="16">
        <f t="shared" si="43"/>
        <v>0.5119760479041916</v>
      </c>
      <c r="DY11" s="18">
        <f>IF($D11=0,"DNP",SUMIFS(OPPS_GbG[OPP 3PTM],OPPS_GbG[[TM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10.111111111111111</v>
      </c>
      <c r="DZ11" s="18">
        <f>IF($D11=0,"DNP",SUMIFS(OPPS_GbG[OPP 3PTA],OPPS_GbG[[TM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29.555555555555557</v>
      </c>
      <c r="EA11" s="16">
        <f t="shared" si="44"/>
        <v>0.34210526315789469</v>
      </c>
      <c r="EB11" s="18">
        <f>IF($D11=0,"DNP",SUMIFS(OPPS_GbG[OPP FGM],OPPS_GbG[[TM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29.111111111111111</v>
      </c>
      <c r="EC11" s="18">
        <f>IF($D11=0,"DNP",SUMIFS(OPPS_GbG[OPP FGA],OPPS_GbG[[TM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66.666666666666671</v>
      </c>
      <c r="ED11" s="16">
        <f t="shared" si="45"/>
        <v>0.43666666666666665</v>
      </c>
      <c r="EE11" s="18">
        <f>IF($D11=0,"DNP",SUMIFS(OPPS_GbG[OPP FTM],OPPS_GbG[[TM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13.888888888888889</v>
      </c>
      <c r="EF11" s="18">
        <f>IF($D11=0,"DNP",SUMIFS(OPPS_GbG[OPP FTA],OPPS_GbG[[TM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17.666666666666668</v>
      </c>
      <c r="EG11" s="16">
        <f t="shared" si="46"/>
        <v>0.78616352201257855</v>
      </c>
      <c r="EH11" s="18">
        <f>IF($D11=0,"DNP",SUMIFS(OPPS_GbG[OPP OR],OPPS_GbG[[TM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11.888888888888889</v>
      </c>
      <c r="EI11" s="18">
        <f>IF($D11=0,"DNP",SUMIFS(OPPS_GbG[OPP DR],OPPS_GbG[[TM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25.555555555555557</v>
      </c>
      <c r="EJ11" s="18">
        <f>IF($D11=0,"DNP",SUMIFS(OPPS_GbG[OPP TR],OPPS_GbG[[TM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37.444444444444443</v>
      </c>
      <c r="EK11" s="18">
        <f>IF($D11=0,"DNP",SUMIFS(OPPS_GbG[OPP AST],OPPS_GbG[[TM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18.111111111111111</v>
      </c>
      <c r="EL11" s="18">
        <f>IF($D11=0,"DNP",SUMIFS(OPPS_GbG[OPP PF],OPPS_GbG[[TM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18.111111111111111</v>
      </c>
      <c r="EM11" s="18">
        <f>IF($D11=0,"DNP",SUMIFS(OPPS_GbG[OPP DF],OPPS_GbG[[TM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19.111111111111111</v>
      </c>
      <c r="EN11" s="18">
        <f>IF($D11=0,"DNP",SUMIFS(OPPS_GbG[OPP ST],OPPS_GbG[[TM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6.1111111111111107</v>
      </c>
      <c r="EO11" s="18">
        <f>IF($D11=0,"DNP",SUMIFS(OPPS_GbG[OPP TO],OPPS_GbG[[TM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12.222222222222221</v>
      </c>
      <c r="EP11" s="18">
        <f>IF($D11=0,"DNP",SUMIFS(OPPS_GbG[OPP BLK],OPPS_GbG[[TM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2.2222222222222223</v>
      </c>
      <c r="EQ11" s="18">
        <f>IF($D11=0,"DNP",SUMIFS(OPPS_GbG[OPP BLKA],OPPS_GbG[[TM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3.3333333333333335</v>
      </c>
      <c r="ER11" s="18">
        <f>IF($D11=0,"DNP",SUMIFS(OPPS_GbG[OPP VAL],OPPS_GbG[[TM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90.222222222222229</v>
      </c>
      <c r="ES11" s="18">
        <f>IF($D11=0,"DNP",SUMIFS(OPPS_GbG[OPP + / -],OPPS_GbG[[TM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-0.44444444444444442</v>
      </c>
      <c r="ET11" s="18">
        <f>IF($D11=0,"DNP",SUMIFS(OPPS_GbG[OPP POSS],OPPS_GbG[[TM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73.888888888888886</v>
      </c>
      <c r="EU11" s="18">
        <f>IF($D11=0,"DNP",SUMIFS(OPPS_GbG[OPP SHOOTING CHANCES],OPPS_GbG[[TM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86</v>
      </c>
      <c r="EV11" s="18">
        <f>IF($D11=0,"DNP",SUMIFS(OPPS_GbG[OPP KILLS],OPPS_GbG[[TM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4.8888888888888893</v>
      </c>
      <c r="EW11" s="18">
        <f>IF($D11=0,"DNP",SUMIFS(OPPS_GbG[OPP ASTED_2FG],OPPS_GbG[[TM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8.5555555555555554</v>
      </c>
      <c r="EX11" s="18">
        <f>IF($D11=0,"DNP",SUMIFS(OPPS_GbG[OPP ASTED_3FG],OPPS_GbG[[TM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7.333333333333333</v>
      </c>
      <c r="EY11" s="18">
        <f>IF($D11=0,"DNP",SUMIFS(OPPS_GbG[OPP ASTED_FT],OPPS_GbG[[TM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2.2222222222222223</v>
      </c>
      <c r="EZ11" s="18">
        <f>IF($D11=0,"DNP",SUMIFS(OPPS_GbG[OPP ASTED_FT PTS],OPPS_GbG[[TM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4.333333333333333</v>
      </c>
      <c r="FA11" s="18">
        <f>IF($D11=0,"DNP",SUMIFS(OPPS_GbG[OPP OR_RIM],OPPS_GbG[[TM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1.1111111111111112</v>
      </c>
      <c r="FB11" s="18">
        <f>IF($D11=0,"DNP",SUMIFS(OPPS_GbG[OPP TM OR_RIM],OPPS_GbG[[TM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FC11" s="18">
        <f>IF($D11=0,"DNP",SUMIFS(OPPS_GbG[OPP OR_PAINT],OPPS_GbG[[TM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2.7777777777777777</v>
      </c>
      <c r="FD11" s="18">
        <f>IF($D11=0,"DNP",SUMIFS(OPPS_GbG[OPP TM OR_PAINT],OPPS_GbG[[TM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0.77777777777777779</v>
      </c>
      <c r="FE11" s="18">
        <f>IF($D11=0,"DNP",SUMIFS(OPPS_GbG[OPP OR_NP2],OPPS_GbG[[TM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1.2222222222222223</v>
      </c>
      <c r="FF11" s="18">
        <f>IF($D11=0,"DNP",SUMIFS(OPPS_GbG[OPP TM OR_NP2],OPPS_GbG[[TM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FG11" s="18">
        <f>IF($D11=0,"DNP",SUMIFS(OPPS_GbG[OPP OR_3C],OPPS_GbG[[TM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0.66666666666666663</v>
      </c>
      <c r="FH11" s="18">
        <f>IF($D11=0,"DNP",SUMIFS(OPPS_GbG[OPP TM OR_3C],OPPS_GbG[[TM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FI11" s="18">
        <f>IF($D11=0,"DNP",SUMIFS(OPPS_GbG[OPP OR_3L],OPPS_GbG[[TM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5.8888888888888893</v>
      </c>
      <c r="FJ11" s="18">
        <f>IF($D11=0,"DNP",SUMIFS(OPPS_GbG[OPP TM OR_3L],OPPS_GbG[[TM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0.88888888888888884</v>
      </c>
      <c r="FK11" s="18">
        <f>IF($D11=0,"DNP",SUMIFS(OPPS_GbG[OPP OR_FT],OPPS_GbG[[TM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0.22222222222222221</v>
      </c>
      <c r="FL11" s="18">
        <f>IF($D11=0,"DNP",SUMIFS(OPPS_GbG[OPP TM OR_FT],OPPS_GbG[[TM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M11" s="18">
        <f>IF($D11=0,"DNP",SUMIFS(OPPS_GbG[OPP DR_RIM],OPPS_GbG[[TM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1.4444444444444444</v>
      </c>
      <c r="FN11" s="18">
        <f>IF($D11=0,"DNP",SUMIFS(OPPS_GbG[OPP TM DR_RIM],OPPS_GbG[[TM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0.1111111111111111</v>
      </c>
      <c r="FO11" s="18">
        <f>IF($D11=0,"DNP",SUMIFS(OPPS_GbG[OPP DR_PAINT],OPPS_GbG[[TM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8.5555555555555554</v>
      </c>
      <c r="FP11" s="18">
        <f>IF($D11=0,"DNP",SUMIFS(OPPS_GbG[OPP TM DR_PAINT],OPPS_GbG[[TM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0.77777777777777779</v>
      </c>
      <c r="FQ11" s="18">
        <f>IF($D11=0,"DNP",SUMIFS(OPPS_GbG[OPP DR_NP2],OPPS_GbG[[TM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3</v>
      </c>
      <c r="FR11" s="18">
        <f>IF($D11=0,"DNP",SUMIFS(OPPS_GbG[OPP TM DR_NP2],OPPS_GbG[[TM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S11" s="18">
        <f>IF($D11=0,"DNP",SUMIFS(OPPS_GbG[OPP DR_3C],OPPS_GbG[[TM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0.55555555555555558</v>
      </c>
      <c r="FT11" s="18">
        <f>IF($D11=0,"DNP",SUMIFS(OPPS_GbG[OPP TM DR_3C],OPPS_GbG[[TM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U11" s="18">
        <f>IF($D11=0,"DNP",SUMIFS(OPPS_GbG[OPP DR_3L],OPPS_GbG[[TM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10.888888888888889</v>
      </c>
      <c r="FV11" s="18">
        <f>IF($D11=0,"DNP",SUMIFS(OPPS_GbG[OPP TM DR_3L],OPPS_GbG[[TM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0.66666666666666663</v>
      </c>
      <c r="FW11" s="18">
        <f>IF($D11=0,"DNP",SUMIFS(OPPS_GbG[OPP DR_FT],OPPS_GbG[[TM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</v>
      </c>
      <c r="FX11" s="18">
        <f>IF($D11=0,"DNP",SUMIFS(OPPS_GbG[OPP TM DR_FT],OPPS_GbG[[TM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FY11" s="18">
        <f>IF($D11=0,"DNP",SUMIFS(OPPS_GbG[OPP FTM_T],OPPS_GbG[[TM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0.55555555555555558</v>
      </c>
      <c r="FZ11" s="18">
        <f>IF($D11=0,"DNP",SUMIFS(OPPS_GbG[OPP FTA_T],OPPS_GbG[[TM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0.55555555555555558</v>
      </c>
      <c r="GA11" s="18">
        <f>IF($D11=0,"DNP",SUMIFS(OPPS_GbG[OPP FTM_1],OPPS_GbG[[TM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1.6666666666666667</v>
      </c>
      <c r="GB11" s="18">
        <f>IF($D11=0,"DNP",SUMIFS(OPPS_GbG[OPP FTA_1],OPPS_GbG[[TM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1.8888888888888888</v>
      </c>
      <c r="GC11" s="18">
        <f>IF($D11=0,"DNP",SUMIFS(OPPS_GbG[OPP FTM_2],OPPS_GbG[[TM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9.7777777777777786</v>
      </c>
      <c r="GD11" s="18">
        <f>IF($D11=0,"DNP",SUMIFS(OPPS_GbG[OPP FTA_2],OPPS_GbG[[TM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12.666666666666666</v>
      </c>
      <c r="GE11" s="18">
        <f>IF($D11=0,"DNP",SUMIFS(OPPS_GbG[OPP FT 0/2],OPPS_GbG[[TM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0.33333333333333331</v>
      </c>
      <c r="GF11" s="18">
        <f>IF($D11=0,"DNP",SUMIFS(OPPS_GbG[OPP FTM_3],OPPS_GbG[[TM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1.6666666666666667</v>
      </c>
      <c r="GG11" s="18">
        <f>IF($D11=0,"DNP",SUMIFS(OPPS_GbG[OPP FTA_3],OPPS_GbG[[TM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2.3333333333333335</v>
      </c>
      <c r="GH11" s="18">
        <f>IF($D11=0,"DNP",SUMIFS(OPPS_GbG[OPP FT 0/3],OPPS_GbG[[TM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GI11" s="18">
        <f>IF($D11=0,"DNP",SUMIFS(OPPS_GbG[OPP RIM_M],OPPS_GbG[[TM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8.8888888888888893</v>
      </c>
      <c r="GJ11" s="18">
        <f>IF($D11=0,"DNP",SUMIFS(OPPS_GbG[OPP RIM_A],OPPS_GbG[[TM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12</v>
      </c>
      <c r="GK11" s="18">
        <f>IF($D11=0,"DNP",SUMIFS(OPPS_GbG[OPP PAINT_M],OPPS_GbG[[TM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7.7777777777777777</v>
      </c>
      <c r="GL11" s="18">
        <f>IF($D11=0,"DNP",SUMIFS(OPPS_GbG[OPP PAINT_A],OPPS_GbG[[TM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18.222222222222221</v>
      </c>
      <c r="GM11" s="18">
        <f>IF($D11=0,"DNP",SUMIFS(OPPS_GbG[OPP MID_M],OPPS_GbG[[TM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2.3333333333333335</v>
      </c>
      <c r="GN11" s="18">
        <f>IF($D11=0,"DNP",SUMIFS(OPPS_GbG[OPP MID_A],OPPS_GbG[[TM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6.8888888888888893</v>
      </c>
      <c r="GO11" s="18">
        <f>IF($D11=0,"DNP",SUMIFS(OPPS_GbG[OPP 3C_M],OPPS_GbG[[TM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1.3333333333333333</v>
      </c>
      <c r="GP11" s="18">
        <f>IF($D11=0,"DNP",SUMIFS(OPPS_GbG[OPP 3C_A],OPPS_GbG[[TM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2.8888888888888888</v>
      </c>
      <c r="GQ11" s="18">
        <f>IF($D11=0,"DNP",SUMIFS(OPPS_GbG[OPP 3L_M],OPPS_GbG[[TM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8.7777777777777786</v>
      </c>
      <c r="GR11" s="18">
        <f>IF($D11=0,"DNP",SUMIFS(OPPS_GbG[OPP 3L_A],OPPS_GbG[[TM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26.222222222222221</v>
      </c>
      <c r="GS11" s="18">
        <f>IF($D11=0,"DNP",SUMIFS(OPPS_GbG[OPP 3H_M],OPPS_GbG[[TM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</v>
      </c>
      <c r="GT11" s="18">
        <f>IF($D11=0,"DNP",SUMIFS(OPPS_GbG[OPP 3H_A],OPPS_GbG[[TM NAME]:[TM NAME]],$C11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GAMES","&lt;1000",IF($F$3=BASIS_INFO!$T$3,"&lt;"&amp;BASIS_INFO!$B$11,IF($F$3=BASIS_INFO!$T$4,"&lt;"&amp;BASIS_INFO!$B$12,IF($F$3=BASIS_INFO!$T$5,"&lt;"&amp;BASIS_INFO!$B$13,IF($F$3=BASIS_INFO!$T$6,"&lt;"&amp;BASIS_INFO!$B$14))))))/IF($D$3="TOTAL",1,$D11))</f>
        <v>0.44444444444444442</v>
      </c>
    </row>
    <row r="12" spans="2:202" ht="15" customHeight="1" x14ac:dyDescent="0.25">
      <c r="B12" s="12">
        <f>_xlfn.AGGREGATE(3,5,$C$7:C11)</f>
        <v>5</v>
      </c>
      <c r="C12" s="14" t="str">
        <f>BASIS_INFO!F7</f>
        <v>Crvena Zvezda Meridianbet Belgrade</v>
      </c>
      <c r="D12" s="20">
        <f>COUNTIFS(OPPS_GbG[[TM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2" s="20">
        <f>COUNTIFS(OPPS_GbG[[TM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3</v>
      </c>
      <c r="F12" s="20">
        <f>COUNTIFS(OPPS_GbG[[TM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6</v>
      </c>
      <c r="G12" s="18">
        <f>IF($D12=0,"DNP",SUMIFS(OPPS_GbG[MIN],OPPS_GbG[[TM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200</v>
      </c>
      <c r="H12" s="18">
        <f>IF($D12=0,"DNP",SUMIFS(OPPS_GbG[PTS],OPPS_GbG[[TM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78.333333333333329</v>
      </c>
      <c r="I12" s="18">
        <f>IF($D12=0,"DNP",SUMIFS(OPPS_GbG[2PTM],OPPS_GbG[[TM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19.888888888888889</v>
      </c>
      <c r="J12" s="18">
        <f>IF($D12=0,"DNP",SUMIFS(OPPS_GbG[2PTA],OPPS_GbG[[TM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34.222222222222221</v>
      </c>
      <c r="K12" s="16">
        <f t="shared" si="38"/>
        <v>0.58116883116883122</v>
      </c>
      <c r="L12" s="18">
        <f>IF($D12=0,"DNP",SUMIFS(OPPS_GbG[3PTM],OPPS_GbG[[TM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9.5555555555555554</v>
      </c>
      <c r="M12" s="18">
        <f>IF($D12=0,"DNP",SUMIFS(OPPS_GbG[3PTA],OPPS_GbG[[TM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24.888888888888889</v>
      </c>
      <c r="N12" s="16">
        <f t="shared" si="39"/>
        <v>0.3839285714285714</v>
      </c>
      <c r="O12" s="18">
        <f>IF($D12=0,"DNP",SUMIFS(OPPS_GbG[FGM],OPPS_GbG[[TM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29.444444444444443</v>
      </c>
      <c r="P12" s="18">
        <f>IF($D12=0,"DNP",SUMIFS(OPPS_GbG[FGA],OPPS_GbG[[TM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59.111111111111114</v>
      </c>
      <c r="Q12" s="16">
        <f t="shared" si="40"/>
        <v>0.49812030075187963</v>
      </c>
      <c r="R12" s="18">
        <f>IF($D12=0,"DNP",SUMIFS(OPPS_GbG[FTM],OPPS_GbG[[TM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9.8888888888888893</v>
      </c>
      <c r="S12" s="18">
        <f>IF($D12=0,"DNP",SUMIFS(OPPS_GbG[FTA],OPPS_GbG[[TM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15.222222222222221</v>
      </c>
      <c r="T12" s="16">
        <f t="shared" si="41"/>
        <v>0.64963503649635046</v>
      </c>
      <c r="U12" s="18">
        <f>IF($D12=0,"DNP",SUMIFS(OPPS_GbG[OR],OPPS_GbG[[TM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</v>
      </c>
      <c r="V12" s="18">
        <f>IF($D12=0,"DNP",SUMIFS(OPPS_GbG[DR],OPPS_GbG[[TM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24.111111111111111</v>
      </c>
      <c r="W12" s="18">
        <f>IF($D12=0,"DNP",SUMIFS(OPPS_GbG[TR],OPPS_GbG[[TM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33.111111111111114</v>
      </c>
      <c r="X12" s="18">
        <f>IF($D12=0,"DNP",SUMIFS(OPPS_GbG[AST],OPPS_GbG[[TM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19.666666666666668</v>
      </c>
      <c r="Y12" s="18">
        <f>IF($D12=0,"DNP",SUMIFS(OPPS_GbG[TO],OPPS_GbG[[TM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13.333333333333334</v>
      </c>
      <c r="Z12" s="18">
        <f>IF($D12=0,"DNP",SUMIFS(OPPS_GbG[ST],OPPS_GbG[[TM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4.7777777777777777</v>
      </c>
      <c r="AA12" s="18">
        <f>IF($D12=0,"DNP",SUMIFS(OPPS_GbG[BLK],OPPS_GbG[[TM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3.6666666666666665</v>
      </c>
      <c r="AB12" s="18">
        <f>IF($D12=0,"DNP",SUMIFS(OPPS_GbG[BLKA],OPPS_GbG[[TM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AC12" s="18">
        <f>IF($D12=0,"DNP",SUMIFS(OPPS_GbG[PF],OPPS_GbG[[TM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19.111111111111111</v>
      </c>
      <c r="AD12" s="18">
        <f>IF($D12=0,"DNP",SUMIFS(OPPS_GbG[DF],OPPS_GbG[[TM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19.666666666666668</v>
      </c>
      <c r="AE12" s="18">
        <f>IF($D12=0,"DNP",SUMIFS(OPPS_GbG[VAL],OPPS_GbG[[TM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90.333333333333329</v>
      </c>
      <c r="AF12" s="18">
        <f>IF($D12=0,"DNP",SUMIFS(OPPS_GbG[+ / -],OPPS_GbG[[TM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-3.2222222222222223</v>
      </c>
      <c r="AG12" s="26">
        <f t="shared" si="0"/>
        <v>69.555555555555557</v>
      </c>
      <c r="AH12" s="18">
        <f>IF($D12=0,"DNP",SUMIFS(OPPS_GbG[POSS],OPPS_GbG[[TM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69.555555555555557</v>
      </c>
      <c r="AI12" s="18">
        <f>IF($D12=0,"DNP",SUMIFS(OPPS_GbG[SHOOTING CHANCES],OPPS_GbG[[TM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78.592592592592595</v>
      </c>
      <c r="AJ12" s="19">
        <f t="shared" si="1"/>
        <v>0.99670122525918936</v>
      </c>
      <c r="AK12" s="19">
        <f t="shared" si="2"/>
        <v>0.96325459317585294</v>
      </c>
      <c r="AL12" s="18">
        <f t="shared" si="3"/>
        <v>112.61980830670926</v>
      </c>
      <c r="AM12" s="18">
        <f t="shared" si="4"/>
        <v>116.13924050632912</v>
      </c>
      <c r="AN12" s="18">
        <f t="shared" si="42"/>
        <v>-3.5194321996198568</v>
      </c>
      <c r="AO12" s="27">
        <f t="shared" si="5"/>
        <v>0.57894736842105254</v>
      </c>
      <c r="AP12" s="28">
        <f t="shared" si="6"/>
        <v>0.60017026106696936</v>
      </c>
      <c r="AQ12" s="34">
        <f t="shared" si="7"/>
        <v>0.12865221489161169</v>
      </c>
      <c r="AR12" s="38">
        <f t="shared" si="8"/>
        <v>1.6263736263736264</v>
      </c>
      <c r="AS12" s="27">
        <f t="shared" si="9"/>
        <v>0.20075400565504242</v>
      </c>
      <c r="AT12" s="38">
        <f t="shared" si="10"/>
        <v>0.88732394366197176</v>
      </c>
      <c r="AU12" s="27">
        <f t="shared" si="11"/>
        <v>0.10603204524033931</v>
      </c>
      <c r="AV12" s="38">
        <f t="shared" si="12"/>
        <v>1.1199999999999999</v>
      </c>
      <c r="AW12" s="27">
        <f t="shared" si="13"/>
        <v>4.0999057492931194E-2</v>
      </c>
      <c r="AX12" s="38">
        <f t="shared" si="14"/>
        <v>1.5517241379310345</v>
      </c>
      <c r="AY12" s="27">
        <f t="shared" si="15"/>
        <v>0.27568331762488218</v>
      </c>
      <c r="AZ12" s="38">
        <f t="shared" si="16"/>
        <v>1.0923076923076922</v>
      </c>
      <c r="BA12" s="28">
        <f t="shared" si="17"/>
        <v>7.8228086710650319E-2</v>
      </c>
      <c r="BB12" s="34">
        <f t="shared" si="18"/>
        <v>0.16973125884016974</v>
      </c>
      <c r="BC12" s="27">
        <f t="shared" si="19"/>
        <v>0.56131078224101483</v>
      </c>
      <c r="BD12" s="27">
        <f t="shared" si="20"/>
        <v>0.50837988826815639</v>
      </c>
      <c r="BE12" s="27">
        <f t="shared" si="21"/>
        <v>0.80232558139534893</v>
      </c>
      <c r="BF12" s="27">
        <f t="shared" si="22"/>
        <v>0.33774834437086093</v>
      </c>
      <c r="BG12" s="27">
        <f t="shared" si="23"/>
        <v>0.25035360678925034</v>
      </c>
      <c r="BH12" s="35">
        <f t="shared" si="24"/>
        <v>1.4750000000000001</v>
      </c>
      <c r="BI12" s="34">
        <f t="shared" si="25"/>
        <v>0.28825622775800713</v>
      </c>
      <c r="BJ12" s="27">
        <f t="shared" si="26"/>
        <v>0.34328358208955229</v>
      </c>
      <c r="BK12" s="27">
        <f t="shared" si="27"/>
        <v>0.27272727272727276</v>
      </c>
      <c r="BL12" s="27">
        <f t="shared" si="28"/>
        <v>0.19999999999999998</v>
      </c>
      <c r="BM12" s="27">
        <f t="shared" si="29"/>
        <v>0.6308139534883721</v>
      </c>
      <c r="BN12" s="27">
        <f t="shared" si="30"/>
        <v>0.57558139534883723</v>
      </c>
      <c r="BO12" s="27">
        <f t="shared" si="31"/>
        <v>0.63265306122448972</v>
      </c>
      <c r="BP12" s="27">
        <f t="shared" si="32"/>
        <v>0.66666666666666674</v>
      </c>
      <c r="BQ12" s="28">
        <f t="shared" si="33"/>
        <v>0.47679999999999995</v>
      </c>
      <c r="BR12" s="34">
        <f t="shared" si="34"/>
        <v>6.8037974683544292E-2</v>
      </c>
      <c r="BS12" s="27">
        <f t="shared" si="35"/>
        <v>5.509181969949916E-2</v>
      </c>
      <c r="BT12" s="39">
        <f>IF($D12=0,"DNP",SUMIFS(OPPS_GbG[KILLS],OPPS_GbG[[TM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4.7777777777777777</v>
      </c>
      <c r="BU12" s="34">
        <f t="shared" si="36"/>
        <v>0.44767441860465118</v>
      </c>
      <c r="BV12" s="28">
        <f t="shared" si="37"/>
        <v>0.4199623352165725</v>
      </c>
      <c r="BW12" s="18">
        <f>IF($D12=0,"DNP",SUMIFS(OPPS_GbG[ASTED_2FG],OPPS_GbG[[TM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10.111111111111111</v>
      </c>
      <c r="BX12" s="18">
        <f>IF($D12=0,"DNP",SUMIFS(OPPS_GbG[ASTED_3FG],OPPS_GbG[[TM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7.666666666666667</v>
      </c>
      <c r="BY12" s="18">
        <f>IF($D12=0,"DNP",SUMIFS(OPPS_GbG[ASTED_FT],OPPS_GbG[[TM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1.8888888888888888</v>
      </c>
      <c r="BZ12" s="18">
        <f>IF($D12=0,"DNP",SUMIFS(OPPS_GbG[ASTED_FT PTS],OPPS_GbG[[TM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3.3333333333333335</v>
      </c>
      <c r="CA12" s="18">
        <f>IF($D12=0,"DNP",SUMIFS(OPPS_GbG[OR_RIM],OPPS_GbG[[TM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0.88888888888888884</v>
      </c>
      <c r="CB12" s="18">
        <f>IF($D12=0,"DNP",SUMIFS(OPPS_GbG[TM OR_RIM],OPPS_GbG[[TM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C12" s="18">
        <f>IF($D12=0,"DNP",SUMIFS(OPPS_GbG[OR_PAINT],OPPS_GbG[[TM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2.5555555555555554</v>
      </c>
      <c r="CD12" s="18">
        <f>IF($D12=0,"DNP",SUMIFS(OPPS_GbG[TM OR_PAINT],OPPS_GbG[[TM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CE12" s="18">
        <f>IF($D12=0,"DNP",SUMIFS(OPPS_GbG[OR_NP2],OPPS_GbG[[TM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</v>
      </c>
      <c r="CF12" s="18">
        <f>IF($D12=0,"DNP",SUMIFS(OPPS_GbG[TM OR_NP2],OPPS_GbG[[TM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0.22222222222222221</v>
      </c>
      <c r="CG12" s="18">
        <f>IF($D12=0,"DNP",SUMIFS(OPPS_GbG[OR_3C],OPPS_GbG[[TM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CH12" s="18">
        <f>IF($D12=0,"DNP",SUMIFS(OPPS_GbG[TM OR_3C],OPPS_GbG[[TM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I12" s="18">
        <f>IF($D12=0,"DNP",SUMIFS(OPPS_GbG[OR_3L],OPPS_GbG[[TM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3.7777777777777777</v>
      </c>
      <c r="CJ12" s="18">
        <f>IF($D12=0,"DNP",SUMIFS(OPPS_GbG[TM OR_3L],OPPS_GbG[[TM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CK12" s="18">
        <f>IF($D12=0,"DNP",SUMIFS(OPPS_GbG[OR_FT],OPPS_GbG[[TM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CL12" s="18">
        <f>IF($D12=0,"DNP",SUMIFS(OPPS_GbG[TM OR_FT],OPPS_GbG[[TM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M12" s="18">
        <f>IF($D12=0,"DNP",SUMIFS(OPPS_GbG[DR_RIM],OPPS_GbG[[TM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2.4444444444444446</v>
      </c>
      <c r="CN12" s="18">
        <f>IF($D12=0,"DNP",SUMIFS(OPPS_GbG[TM DR_RIM],OPPS_GbG[[TM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O12" s="18">
        <f>IF($D12=0,"DNP",SUMIFS(OPPS_GbG[DR_PAINT],OPPS_GbG[[TM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6.1111111111111107</v>
      </c>
      <c r="CP12" s="18">
        <f>IF($D12=0,"DNP",SUMIFS(OPPS_GbG[TM DR_PAINT],OPPS_GbG[[TM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CQ12" s="18">
        <f>IF($D12=0,"DNP",SUMIFS(OPPS_GbG[DR_NP2],OPPS_GbG[[TM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1.8888888888888888</v>
      </c>
      <c r="CR12" s="18">
        <f>IF($D12=0,"DNP",SUMIFS(OPPS_GbG[TM DR_NP2],OPPS_GbG[[TM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CS12" s="18">
        <f>IF($D12=0,"DNP",SUMIFS(OPPS_GbG[DR_3C],OPPS_GbG[[TM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CT12" s="18">
        <f>IF($D12=0,"DNP",SUMIFS(OPPS_GbG[TM DR_3C],OPPS_GbG[[TM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CU12" s="18">
        <f>IF($D12=0,"DNP",SUMIFS(OPPS_GbG[DR_3L],OPPS_GbG[[TM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11.222222222222221</v>
      </c>
      <c r="CV12" s="18">
        <f>IF($D12=0,"DNP",SUMIFS(OPPS_GbG[TM DR_3L],OPPS_GbG[[TM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</v>
      </c>
      <c r="CW12" s="18">
        <f>IF($D12=0,"DNP",SUMIFS(OPPS_GbG[DR_FT],OPPS_GbG[[TM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1.2222222222222223</v>
      </c>
      <c r="CX12" s="18">
        <f>IF($D12=0,"DNP",SUMIFS(OPPS_GbG[TM DR_FT],OPPS_GbG[[TM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CY12" s="18">
        <f>IF($D12=0,"DNP",SUMIFS(OPPS_GbG[FTM_T],OPPS_GbG[[TM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CZ12" s="18">
        <f>IF($D12=0,"DNP",SUMIFS(OPPS_GbG[FTA_T],OPPS_GbG[[TM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DA12" s="18">
        <f>IF($D12=0,"DNP",SUMIFS(OPPS_GbG[FTM_1],OPPS_GbG[[TM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1.3333333333333333</v>
      </c>
      <c r="DB12" s="18">
        <f>IF($D12=0,"DNP",SUMIFS(OPPS_GbG[FTA_1],OPPS_GbG[[TM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2.1111111111111112</v>
      </c>
      <c r="DC12" s="18">
        <f>IF($D12=0,"DNP",SUMIFS(OPPS_GbG[FTM_2],OPPS_GbG[[TM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7.4444444444444446</v>
      </c>
      <c r="DD12" s="18">
        <f>IF($D12=0,"DNP",SUMIFS(OPPS_GbG[FTA_2],OPPS_GbG[[TM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11.555555555555555</v>
      </c>
      <c r="DE12" s="18">
        <f>IF($D12=0,"DNP",SUMIFS(OPPS_GbG[FT 0/2],OPPS_GbG[[TM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0.55555555555555558</v>
      </c>
      <c r="DF12" s="18">
        <f>IF($D12=0,"DNP",SUMIFS(OPPS_GbG[FTM_3],OPPS_GbG[[TM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0.77777777777777779</v>
      </c>
      <c r="DG12" s="18">
        <f>IF($D12=0,"DNP",SUMIFS(OPPS_GbG[FTA_3],OPPS_GbG[[TM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DH12" s="18">
        <f>IF($D12=0,"DNP",SUMIFS(OPPS_GbG[FT 0/3],OPPS_GbG[[TM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DI12" s="18">
        <f>IF($D12=0,"DNP",SUMIFS(OPPS_GbG[RIM_M],OPPS_GbG[[TM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8.2222222222222214</v>
      </c>
      <c r="DJ12" s="18">
        <f>IF($D12=0,"DNP",SUMIFS(OPPS_GbG[RIM_A],OPPS_GbG[[TM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10.111111111111111</v>
      </c>
      <c r="DK12" s="18">
        <f>IF($D12=0,"DNP",SUMIFS(OPPS_GbG[PAINT_M],OPPS_GbG[[TM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</v>
      </c>
      <c r="DL12" s="18">
        <f>IF($D12=0,"DNP",SUMIFS(OPPS_GbG[PAINT_A],OPPS_GbG[[TM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15.777777777777779</v>
      </c>
      <c r="DM12" s="18">
        <f>IF($D12=0,"DNP",SUMIFS(OPPS_GbG[MID_M],OPPS_GbG[[TM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4.666666666666667</v>
      </c>
      <c r="DN12" s="18">
        <f>IF($D12=0,"DNP",SUMIFS(OPPS_GbG[MID_A],OPPS_GbG[[TM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8.3333333333333339</v>
      </c>
      <c r="DO12" s="18">
        <f>IF($D12=0,"DNP",SUMIFS(OPPS_GbG[3C_M],OPPS_GbG[[TM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1.6666666666666667</v>
      </c>
      <c r="DP12" s="18">
        <f>IF($D12=0,"DNP",SUMIFS(OPPS_GbG[3C_A],OPPS_GbG[[TM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3.2222222222222223</v>
      </c>
      <c r="DQ12" s="18">
        <f>IF($D12=0,"DNP",SUMIFS(OPPS_GbG[3L_M],OPPS_GbG[[TM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7.8888888888888893</v>
      </c>
      <c r="DR12" s="18">
        <f>IF($D12=0,"DNP",SUMIFS(OPPS_GbG[3L_A],OPPS_GbG[[TM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21.666666666666668</v>
      </c>
      <c r="DS12" s="18">
        <f>IF($D12=0,"DNP",SUMIFS(OPPS_GbG[3H_M],OPPS_GbG[[TM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DT12" s="18">
        <f>IF($D12=0,"DNP",SUMIFS(OPPS_GbG[3H_A],OPPS_GbG[[TM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DU12" s="18">
        <f>IF($D12=0,"DNP",SUMIFS(OPPS_GbG[OPP PTS],OPPS_GbG[[TM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81.555555555555557</v>
      </c>
      <c r="DV12" s="18">
        <f>IF($D12=0,"DNP",SUMIFS(OPPS_GbG[OPP 2PTM],OPPS_GbG[[TM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18.222222222222221</v>
      </c>
      <c r="DW12" s="18">
        <f>IF($D12=0,"DNP",SUMIFS(OPPS_GbG[OPP 2PTA],OPPS_GbG[[TM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35.555555555555557</v>
      </c>
      <c r="DX12" s="16">
        <f t="shared" si="43"/>
        <v>0.51249999999999996</v>
      </c>
      <c r="DY12" s="18">
        <f>IF($D12=0,"DNP",SUMIFS(OPPS_GbG[OPP 3PTM],OPPS_GbG[[TM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10.888888888888889</v>
      </c>
      <c r="DZ12" s="18">
        <f>IF($D12=0,"DNP",SUMIFS(OPPS_GbG[OPP 3PTA],OPPS_GbG[[TM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31</v>
      </c>
      <c r="EA12" s="16">
        <f t="shared" si="44"/>
        <v>0.35125448028673839</v>
      </c>
      <c r="EB12" s="18">
        <f>IF($D12=0,"DNP",SUMIFS(OPPS_GbG[OPP FGM],OPPS_GbG[[TM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29.111111111111111</v>
      </c>
      <c r="EC12" s="18">
        <f>IF($D12=0,"DNP",SUMIFS(OPPS_GbG[OPP FGA],OPPS_GbG[[TM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66.555555555555557</v>
      </c>
      <c r="ED12" s="16">
        <f t="shared" si="45"/>
        <v>0.43739565943238728</v>
      </c>
      <c r="EE12" s="18">
        <f>IF($D12=0,"DNP",SUMIFS(OPPS_GbG[OPP FTM],OPPS_GbG[[TM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12.444444444444445</v>
      </c>
      <c r="EF12" s="18">
        <f>IF($D12=0,"DNP",SUMIFS(OPPS_GbG[OPP FTA],OPPS_GbG[[TM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16.111111111111111</v>
      </c>
      <c r="EG12" s="16">
        <f t="shared" si="46"/>
        <v>0.77241379310344827</v>
      </c>
      <c r="EH12" s="18">
        <f>IF($D12=0,"DNP",SUMIFS(OPPS_GbG[OPP OR],OPPS_GbG[[TM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14.111111111111111</v>
      </c>
      <c r="EI12" s="18">
        <f>IF($D12=0,"DNP",SUMIFS(OPPS_GbG[OPP DR],OPPS_GbG[[TM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22.222222222222221</v>
      </c>
      <c r="EJ12" s="18">
        <f>IF($D12=0,"DNP",SUMIFS(OPPS_GbG[OPP TR],OPPS_GbG[[TM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36.333333333333336</v>
      </c>
      <c r="EK12" s="18">
        <f>IF($D12=0,"DNP",SUMIFS(OPPS_GbG[OPP AST],OPPS_GbG[[TM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18</v>
      </c>
      <c r="EL12" s="18">
        <f>IF($D12=0,"DNP",SUMIFS(OPPS_GbG[OPP PF],OPPS_GbG[[TM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20</v>
      </c>
      <c r="EM12" s="18">
        <f>IF($D12=0,"DNP",SUMIFS(OPPS_GbG[OPP DF],OPPS_GbG[[TM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19.111111111111111</v>
      </c>
      <c r="EN12" s="18">
        <f>IF($D12=0,"DNP",SUMIFS(OPPS_GbG[OPP ST],OPPS_GbG[[TM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8.1111111111111107</v>
      </c>
      <c r="EO12" s="18">
        <f>IF($D12=0,"DNP",SUMIFS(OPPS_GbG[OPP TO],OPPS_GbG[[TM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11</v>
      </c>
      <c r="EP12" s="18">
        <f>IF($D12=0,"DNP",SUMIFS(OPPS_GbG[OPP BLK],OPPS_GbG[[TM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EQ12" s="18">
        <f>IF($D12=0,"DNP",SUMIFS(OPPS_GbG[OPP BLKA],OPPS_GbG[[TM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3.6666666666666665</v>
      </c>
      <c r="ER12" s="18">
        <f>IF($D12=0,"DNP",SUMIFS(OPPS_GbG[OPP VAL],OPPS_GbG[[TM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88.777777777777771</v>
      </c>
      <c r="ES12" s="18">
        <f>IF($D12=0,"DNP",SUMIFS(OPPS_GbG[OPP + / -],OPPS_GbG[[TM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3.2222222222222223</v>
      </c>
      <c r="ET12" s="18">
        <f>IF($D12=0,"DNP",SUMIFS(OPPS_GbG[OPP POSS],OPPS_GbG[[TM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70.222222222222229</v>
      </c>
      <c r="EU12" s="18">
        <f>IF($D12=0,"DNP",SUMIFS(OPPS_GbG[OPP SHOOTING CHANCES],OPPS_GbG[[TM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84.666666666666671</v>
      </c>
      <c r="EV12" s="18">
        <f>IF($D12=0,"DNP",SUMIFS(OPPS_GbG[OPP KILLS],OPPS_GbG[[TM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4.333333333333333</v>
      </c>
      <c r="EW12" s="18">
        <f>IF($D12=0,"DNP",SUMIFS(OPPS_GbG[OPP ASTED_2FG],OPPS_GbG[[TM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9.3333333333333339</v>
      </c>
      <c r="EX12" s="18">
        <f>IF($D12=0,"DNP",SUMIFS(OPPS_GbG[OPP ASTED_3FG],OPPS_GbG[[TM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7</v>
      </c>
      <c r="EY12" s="18">
        <f>IF($D12=0,"DNP",SUMIFS(OPPS_GbG[OPP ASTED_FT],OPPS_GbG[[TM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1.5555555555555556</v>
      </c>
      <c r="EZ12" s="18">
        <f>IF($D12=0,"DNP",SUMIFS(OPPS_GbG[OPP ASTED_FT PTS],OPPS_GbG[[TM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2.7777777777777777</v>
      </c>
      <c r="FA12" s="18">
        <f>IF($D12=0,"DNP",SUMIFS(OPPS_GbG[OPP OR_RIM],OPPS_GbG[[TM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1.3333333333333333</v>
      </c>
      <c r="FB12" s="18">
        <f>IF($D12=0,"DNP",SUMIFS(OPPS_GbG[OPP TM OR_RIM],OPPS_GbG[[TM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FC12" s="18">
        <f>IF($D12=0,"DNP",SUMIFS(OPPS_GbG[OPP OR_PAINT],OPPS_GbG[[TM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4.1111111111111107</v>
      </c>
      <c r="FD12" s="18">
        <f>IF($D12=0,"DNP",SUMIFS(OPPS_GbG[OPP TM OR_PAINT],OPPS_GbG[[TM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FE12" s="18">
        <f>IF($D12=0,"DNP",SUMIFS(OPPS_GbG[OPP OR_NP2],OPPS_GbG[[TM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FF12" s="18">
        <f>IF($D12=0,"DNP",SUMIFS(OPPS_GbG[OPP TM OR_NP2],OPPS_GbG[[TM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G12" s="18">
        <f>IF($D12=0,"DNP",SUMIFS(OPPS_GbG[OPP OR_3C],OPPS_GbG[[TM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0.33333333333333331</v>
      </c>
      <c r="FH12" s="18">
        <f>IF($D12=0,"DNP",SUMIFS(OPPS_GbG[OPP TM OR_3C],OPPS_GbG[[TM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I12" s="18">
        <f>IF($D12=0,"DNP",SUMIFS(OPPS_GbG[OPP OR_3L],OPPS_GbG[[TM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6.666666666666667</v>
      </c>
      <c r="FJ12" s="18">
        <f>IF($D12=0,"DNP",SUMIFS(OPPS_GbG[OPP TM OR_3L],OPPS_GbG[[TM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0.88888888888888884</v>
      </c>
      <c r="FK12" s="18">
        <f>IF($D12=0,"DNP",SUMIFS(OPPS_GbG[OPP OR_FT],OPPS_GbG[[TM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0.55555555555555558</v>
      </c>
      <c r="FL12" s="18">
        <f>IF($D12=0,"DNP",SUMIFS(OPPS_GbG[OPP TM OR_FT],OPPS_GbG[[TM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M12" s="18">
        <f>IF($D12=0,"DNP",SUMIFS(OPPS_GbG[OPP DR_RIM],OPPS_GbG[[TM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0.88888888888888884</v>
      </c>
      <c r="FN12" s="18">
        <f>IF($D12=0,"DNP",SUMIFS(OPPS_GbG[OPP TM DR_RIM],OPPS_GbG[[TM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O12" s="18">
        <f>IF($D12=0,"DNP",SUMIFS(OPPS_GbG[OPP DR_PAINT],OPPS_GbG[[TM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5.7777777777777777</v>
      </c>
      <c r="FP12" s="18">
        <f>IF($D12=0,"DNP",SUMIFS(OPPS_GbG[OPP TM DR_PAINT],OPPS_GbG[[TM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0.22222222222222221</v>
      </c>
      <c r="FQ12" s="18">
        <f>IF($D12=0,"DNP",SUMIFS(OPPS_GbG[OPP DR_NP2],OPPS_GbG[[TM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2.6666666666666665</v>
      </c>
      <c r="FR12" s="18">
        <f>IF($D12=0,"DNP",SUMIFS(OPPS_GbG[OPP TM DR_NP2],OPPS_GbG[[TM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S12" s="18">
        <f>IF($D12=0,"DNP",SUMIFS(OPPS_GbG[OPP DR_3C],OPPS_GbG[[TM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1.2222222222222223</v>
      </c>
      <c r="FT12" s="18">
        <f>IF($D12=0,"DNP",SUMIFS(OPPS_GbG[OPP TM DR_3C],OPPS_GbG[[TM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FU12" s="18">
        <f>IF($D12=0,"DNP",SUMIFS(OPPS_GbG[OPP DR_3L],OPPS_GbG[[TM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9.7777777777777786</v>
      </c>
      <c r="FV12" s="18">
        <f>IF($D12=0,"DNP",SUMIFS(OPPS_GbG[OPP TM DR_3L],OPPS_GbG[[TM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FW12" s="18">
        <f>IF($D12=0,"DNP",SUMIFS(OPPS_GbG[OPP DR_FT],OPPS_GbG[[TM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1.6666666666666667</v>
      </c>
      <c r="FX12" s="18">
        <f>IF($D12=0,"DNP",SUMIFS(OPPS_GbG[OPP TM DR_FT],OPPS_GbG[[TM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0.1111111111111111</v>
      </c>
      <c r="FY12" s="18">
        <f>IF($D12=0,"DNP",SUMIFS(OPPS_GbG[OPP FTM_T],OPPS_GbG[[TM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FZ12" s="18">
        <f>IF($D12=0,"DNP",SUMIFS(OPPS_GbG[OPP FTA_T],OPPS_GbG[[TM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GA12" s="18">
        <f>IF($D12=0,"DNP",SUMIFS(OPPS_GbG[OPP FTM_1],OPPS_GbG[[TM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1.2222222222222223</v>
      </c>
      <c r="GB12" s="18">
        <f>IF($D12=0,"DNP",SUMIFS(OPPS_GbG[OPP FTA_1],OPPS_GbG[[TM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GC12" s="18">
        <f>IF($D12=0,"DNP",SUMIFS(OPPS_GbG[OPP FTM_2],OPPS_GbG[[TM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10.111111111111111</v>
      </c>
      <c r="GD12" s="18">
        <f>IF($D12=0,"DNP",SUMIFS(OPPS_GbG[OPP FTA_2],OPPS_GbG[[TM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13.333333333333334</v>
      </c>
      <c r="GE12" s="18">
        <f>IF($D12=0,"DNP",SUMIFS(OPPS_GbG[OPP FT 0/2],OPPS_GbG[[TM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0.44444444444444442</v>
      </c>
      <c r="GF12" s="18">
        <f>IF($D12=0,"DNP",SUMIFS(OPPS_GbG[OPP FTM_3],OPPS_GbG[[TM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GG12" s="18">
        <f>IF($D12=0,"DNP",SUMIFS(OPPS_GbG[OPP FTA_3],OPPS_GbG[[TM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1.3333333333333333</v>
      </c>
      <c r="GH12" s="18">
        <f>IF($D12=0,"DNP",SUMIFS(OPPS_GbG[OPP FT 0/3],OPPS_GbG[[TM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GI12" s="18">
        <f>IF($D12=0,"DNP",SUMIFS(OPPS_GbG[OPP RIM_M],OPPS_GbG[[TM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8.5555555555555554</v>
      </c>
      <c r="GJ12" s="18">
        <f>IF($D12=0,"DNP",SUMIFS(OPPS_GbG[OPP RIM_A],OPPS_GbG[[TM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12.444444444444445</v>
      </c>
      <c r="GK12" s="18">
        <f>IF($D12=0,"DNP",SUMIFS(OPPS_GbG[OPP PAINT_M],OPPS_GbG[[TM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8.5555555555555554</v>
      </c>
      <c r="GL12" s="18">
        <f>IF($D12=0,"DNP",SUMIFS(OPPS_GbG[OPP PAINT_A],OPPS_GbG[[TM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18.777777777777779</v>
      </c>
      <c r="GM12" s="18">
        <f>IF($D12=0,"DNP",SUMIFS(OPPS_GbG[OPP MID_M],OPPS_GbG[[TM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1.1111111111111112</v>
      </c>
      <c r="GN12" s="18">
        <f>IF($D12=0,"DNP",SUMIFS(OPPS_GbG[OPP MID_A],OPPS_GbG[[TM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4.333333333333333</v>
      </c>
      <c r="GO12" s="18">
        <f>IF($D12=0,"DNP",SUMIFS(OPPS_GbG[OPP 3C_M],OPPS_GbG[[TM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1.4444444444444444</v>
      </c>
      <c r="GP12" s="18">
        <f>IF($D12=0,"DNP",SUMIFS(OPPS_GbG[OPP 3C_A],OPPS_GbG[[TM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2.8888888888888888</v>
      </c>
      <c r="GQ12" s="18">
        <f>IF($D12=0,"DNP",SUMIFS(OPPS_GbG[OPP 3L_M],OPPS_GbG[[TM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9.4444444444444446</v>
      </c>
      <c r="GR12" s="18">
        <f>IF($D12=0,"DNP",SUMIFS(OPPS_GbG[OPP 3L_A],OPPS_GbG[[TM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28.111111111111111</v>
      </c>
      <c r="GS12" s="18">
        <f>IF($D12=0,"DNP",SUMIFS(OPPS_GbG[OPP 3H_M],OPPS_GbG[[TM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  <c r="GT12" s="18">
        <f>IF($D12=0,"DNP",SUMIFS(OPPS_GbG[OPP 3H_A],OPPS_GbG[[TM NAME]:[TM NAME]],$C12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GAMES","&lt;1000",IF($F$3=BASIS_INFO!$T$3,"&lt;"&amp;BASIS_INFO!$B$11,IF($F$3=BASIS_INFO!$T$4,"&lt;"&amp;BASIS_INFO!$B$12,IF($F$3=BASIS_INFO!$T$5,"&lt;"&amp;BASIS_INFO!$B$13,IF($F$3=BASIS_INFO!$T$6,"&lt;"&amp;BASIS_INFO!$B$14))))))/IF($D$3="TOTAL",1,$D12))</f>
        <v>0</v>
      </c>
    </row>
    <row r="13" spans="2:202" ht="15" customHeight="1" x14ac:dyDescent="0.25">
      <c r="B13" s="12">
        <f>_xlfn.AGGREGATE(3,5,$C$7:C12)</f>
        <v>6</v>
      </c>
      <c r="C13" s="14" t="str">
        <f>BASIS_INFO!F8</f>
        <v>EA7 Emporio Armani Milan</v>
      </c>
      <c r="D13" s="20">
        <f>COUNTIFS(OPPS_GbG[[TM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3" s="20">
        <f>COUNTIFS(OPPS_GbG[[TM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3</v>
      </c>
      <c r="F13" s="20">
        <f>COUNTIFS(OPPS_GbG[[TM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6</v>
      </c>
      <c r="G13" s="18">
        <f>IF($D13=0,"DNP",SUMIFS(OPPS_GbG[MIN],OPPS_GbG[[TM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202.77777777777777</v>
      </c>
      <c r="H13" s="18">
        <f>IF($D13=0,"DNP",SUMIFS(OPPS_GbG[PTS],OPPS_GbG[[TM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77.222222222222229</v>
      </c>
      <c r="I13" s="18">
        <f>IF($D13=0,"DNP",SUMIFS(OPPS_GbG[2PTM],OPPS_GbG[[TM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19.111111111111111</v>
      </c>
      <c r="J13" s="18">
        <f>IF($D13=0,"DNP",SUMIFS(OPPS_GbG[2PTA],OPPS_GbG[[TM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35.444444444444443</v>
      </c>
      <c r="K13" s="16">
        <f t="shared" si="38"/>
        <v>0.53918495297805646</v>
      </c>
      <c r="L13" s="18">
        <f>IF($D13=0,"DNP",SUMIFS(OPPS_GbG[3PTM],OPPS_GbG[[TM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M13" s="18">
        <f>IF($D13=0,"DNP",SUMIFS(OPPS_GbG[3PTA],OPPS_GbG[[TM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23.666666666666668</v>
      </c>
      <c r="N13" s="16">
        <f t="shared" si="39"/>
        <v>0.37089201877934275</v>
      </c>
      <c r="O13" s="18">
        <f>IF($D13=0,"DNP",SUMIFS(OPPS_GbG[FGM],OPPS_GbG[[TM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27.888888888888889</v>
      </c>
      <c r="P13" s="18">
        <f>IF($D13=0,"DNP",SUMIFS(OPPS_GbG[FGA],OPPS_GbG[[TM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59.111111111111114</v>
      </c>
      <c r="Q13" s="16">
        <f t="shared" si="40"/>
        <v>0.47180451127819545</v>
      </c>
      <c r="R13" s="18">
        <f>IF($D13=0,"DNP",SUMIFS(OPPS_GbG[FTM],OPPS_GbG[[TM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12.666666666666666</v>
      </c>
      <c r="S13" s="18">
        <f>IF($D13=0,"DNP",SUMIFS(OPPS_GbG[FTA],OPPS_GbG[[TM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16.111111111111111</v>
      </c>
      <c r="T13" s="16">
        <f t="shared" si="41"/>
        <v>0.78620689655172415</v>
      </c>
      <c r="U13" s="18">
        <f>IF($D13=0,"DNP",SUMIFS(OPPS_GbG[OR],OPPS_GbG[[TM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V13" s="18">
        <f>IF($D13=0,"DNP",SUMIFS(OPPS_GbG[DR],OPPS_GbG[[TM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22</v>
      </c>
      <c r="W13" s="18">
        <f>IF($D13=0,"DNP",SUMIFS(OPPS_GbG[TR],OPPS_GbG[[TM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30.777777777777779</v>
      </c>
      <c r="X13" s="18">
        <f>IF($D13=0,"DNP",SUMIFS(OPPS_GbG[AST],OPPS_GbG[[TM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16.555555555555557</v>
      </c>
      <c r="Y13" s="18">
        <f>IF($D13=0,"DNP",SUMIFS(OPPS_GbG[TO],OPPS_GbG[[TM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12.555555555555555</v>
      </c>
      <c r="Z13" s="18">
        <f>IF($D13=0,"DNP",SUMIFS(OPPS_GbG[ST],OPPS_GbG[[TM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6.5555555555555554</v>
      </c>
      <c r="AA13" s="18">
        <f>IF($D13=0,"DNP",SUMIFS(OPPS_GbG[BLK],OPPS_GbG[[TM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AB13" s="18">
        <f>IF($D13=0,"DNP",SUMIFS(OPPS_GbG[BLKA],OPPS_GbG[[TM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1.4444444444444444</v>
      </c>
      <c r="AC13" s="18">
        <f>IF($D13=0,"DNP",SUMIFS(OPPS_GbG[PF],OPPS_GbG[[TM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19.555555555555557</v>
      </c>
      <c r="AD13" s="18">
        <f>IF($D13=0,"DNP",SUMIFS(OPPS_GbG[DF],OPPS_GbG[[TM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19.555555555555557</v>
      </c>
      <c r="AE13" s="18">
        <f>IF($D13=0,"DNP",SUMIFS(OPPS_GbG[VAL],OPPS_GbG[[TM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84.111111111111114</v>
      </c>
      <c r="AF13" s="18">
        <f>IF($D13=0,"DNP",SUMIFS(OPPS_GbG[+ / -],OPPS_GbG[[TM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-1.6666666666666667</v>
      </c>
      <c r="AG13" s="26">
        <f t="shared" si="0"/>
        <v>68.821917808219169</v>
      </c>
      <c r="AH13" s="18">
        <f>IF($D13=0,"DNP",SUMIFS(OPPS_GbG[POSS],OPPS_GbG[[TM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69.777777777777771</v>
      </c>
      <c r="AI13" s="18">
        <f>IF($D13=0,"DNP",SUMIFS(OPPS_GbG[SHOOTING CHANCES],OPPS_GbG[[TM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78.666666666666671</v>
      </c>
      <c r="AJ13" s="19">
        <f t="shared" si="1"/>
        <v>0.98163841807909602</v>
      </c>
      <c r="AK13" s="19">
        <f t="shared" si="2"/>
        <v>0.98474341192787784</v>
      </c>
      <c r="AL13" s="18">
        <f t="shared" si="3"/>
        <v>110.66878980891721</v>
      </c>
      <c r="AM13" s="18">
        <f t="shared" si="4"/>
        <v>112.51980982567353</v>
      </c>
      <c r="AN13" s="18">
        <f t="shared" si="42"/>
        <v>-1.8510200167563227</v>
      </c>
      <c r="AO13" s="27">
        <f t="shared" si="5"/>
        <v>0.54605263157894735</v>
      </c>
      <c r="AP13" s="28">
        <f t="shared" si="6"/>
        <v>0.58403361344537819</v>
      </c>
      <c r="AQ13" s="34">
        <f t="shared" si="7"/>
        <v>0.15677966101694915</v>
      </c>
      <c r="AR13" s="38">
        <f t="shared" si="8"/>
        <v>1.6216216216216215</v>
      </c>
      <c r="AS13" s="27">
        <f t="shared" si="9"/>
        <v>0.1963276836158192</v>
      </c>
      <c r="AT13" s="38">
        <f t="shared" si="10"/>
        <v>0.84892086330935246</v>
      </c>
      <c r="AU13" s="27">
        <f t="shared" si="11"/>
        <v>9.7457627118644072E-2</v>
      </c>
      <c r="AV13" s="38">
        <f t="shared" si="12"/>
        <v>0.66666666666666663</v>
      </c>
      <c r="AW13" s="27">
        <f t="shared" si="13"/>
        <v>2.8248587570621469E-2</v>
      </c>
      <c r="AX13" s="38">
        <f t="shared" si="14"/>
        <v>1.5</v>
      </c>
      <c r="AY13" s="27">
        <f t="shared" si="15"/>
        <v>0.27118644067796605</v>
      </c>
      <c r="AZ13" s="38">
        <f t="shared" si="16"/>
        <v>1.078125</v>
      </c>
      <c r="BA13" s="28">
        <f t="shared" si="17"/>
        <v>8.8983050847457626E-2</v>
      </c>
      <c r="BB13" s="34">
        <f t="shared" si="18"/>
        <v>0.15983026874115985</v>
      </c>
      <c r="BC13" s="27">
        <f t="shared" si="19"/>
        <v>0.47909967845659168</v>
      </c>
      <c r="BD13" s="27">
        <f t="shared" si="20"/>
        <v>0.51744186046511631</v>
      </c>
      <c r="BE13" s="27">
        <f t="shared" si="21"/>
        <v>0.65822784810126578</v>
      </c>
      <c r="BF13" s="27">
        <f t="shared" si="22"/>
        <v>0.13333333333333333</v>
      </c>
      <c r="BG13" s="27">
        <f t="shared" si="23"/>
        <v>0.21074964639321081</v>
      </c>
      <c r="BH13" s="35">
        <f t="shared" si="24"/>
        <v>1.3185840707964602</v>
      </c>
      <c r="BI13" s="34">
        <f t="shared" si="25"/>
        <v>0.27430555555555558</v>
      </c>
      <c r="BJ13" s="27">
        <f t="shared" si="26"/>
        <v>0.310126582278481</v>
      </c>
      <c r="BK13" s="27">
        <f t="shared" si="27"/>
        <v>0.32191780821917804</v>
      </c>
      <c r="BL13" s="27">
        <f t="shared" si="28"/>
        <v>0.14285714285714288</v>
      </c>
      <c r="BM13" s="27">
        <f t="shared" si="29"/>
        <v>0.69230769230769229</v>
      </c>
      <c r="BN13" s="27">
        <f t="shared" si="30"/>
        <v>0.72932330827067671</v>
      </c>
      <c r="BO13" s="27">
        <f t="shared" si="31"/>
        <v>0.62666666666666682</v>
      </c>
      <c r="BP13" s="27">
        <f t="shared" si="32"/>
        <v>0.73076923076923084</v>
      </c>
      <c r="BQ13" s="28">
        <f t="shared" si="33"/>
        <v>0.48257839721254359</v>
      </c>
      <c r="BR13" s="34">
        <f t="shared" si="34"/>
        <v>9.3502377179080817E-2</v>
      </c>
      <c r="BS13" s="27">
        <f t="shared" si="35"/>
        <v>2.819548872180451E-2</v>
      </c>
      <c r="BT13" s="39">
        <f>IF($D13=0,"DNP",SUMIFS(OPPS_GbG[KILLS],OPPS_GbG[[TM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</v>
      </c>
      <c r="BU13" s="34">
        <f t="shared" si="36"/>
        <v>0.39204545454545453</v>
      </c>
      <c r="BV13" s="28">
        <f t="shared" si="37"/>
        <v>0.44886363636363635</v>
      </c>
      <c r="BW13" s="18">
        <f>IF($D13=0,"DNP",SUMIFS(OPPS_GbG[ASTED_2FG],OPPS_GbG[[TM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9.8888888888888893</v>
      </c>
      <c r="BX13" s="18">
        <f>IF($D13=0,"DNP",SUMIFS(OPPS_GbG[ASTED_3FG],OPPS_GbG[[TM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5.7777777777777777</v>
      </c>
      <c r="BY13" s="18">
        <f>IF($D13=0,"DNP",SUMIFS(OPPS_GbG[ASTED_FT],OPPS_GbG[[TM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BZ13" s="18">
        <f>IF($D13=0,"DNP",SUMIFS(OPPS_GbG[ASTED_FT PTS],OPPS_GbG[[TM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1.5555555555555556</v>
      </c>
      <c r="CA13" s="18">
        <f>IF($D13=0,"DNP",SUMIFS(OPPS_GbG[OR_RIM],OPPS_GbG[[TM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</v>
      </c>
      <c r="CB13" s="18">
        <f>IF($D13=0,"DNP",SUMIFS(OPPS_GbG[TM OR_RIM],OPPS_GbG[[TM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CC13" s="18">
        <f>IF($D13=0,"DNP",SUMIFS(OPPS_GbG[OR_PAINT],OPPS_GbG[[TM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1.7777777777777777</v>
      </c>
      <c r="CD13" s="18">
        <f>IF($D13=0,"DNP",SUMIFS(OPPS_GbG[TM OR_PAINT],OPPS_GbG[[TM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E13" s="18">
        <f>IF($D13=0,"DNP",SUMIFS(OPPS_GbG[OR_NP2],OPPS_GbG[[TM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1.7777777777777777</v>
      </c>
      <c r="CF13" s="18">
        <f>IF($D13=0,"DNP",SUMIFS(OPPS_GbG[TM OR_NP2],OPPS_GbG[[TM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0.44444444444444442</v>
      </c>
      <c r="CG13" s="18">
        <f>IF($D13=0,"DNP",SUMIFS(OPPS_GbG[OR_3C],OPPS_GbG[[TM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0.44444444444444442</v>
      </c>
      <c r="CH13" s="18">
        <f>IF($D13=0,"DNP",SUMIFS(OPPS_GbG[TM OR_3C],OPPS_GbG[[TM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0.22222222222222221</v>
      </c>
      <c r="CI13" s="18">
        <f>IF($D13=0,"DNP",SUMIFS(OPPS_GbG[OR_3L],OPPS_GbG[[TM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3.6666666666666665</v>
      </c>
      <c r="CJ13" s="18">
        <f>IF($D13=0,"DNP",SUMIFS(OPPS_GbG[TM OR_3L],OPPS_GbG[[TM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CK13" s="18">
        <f>IF($D13=0,"DNP",SUMIFS(OPPS_GbG[OR_FT],OPPS_GbG[[TM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L13" s="18">
        <f>IF($D13=0,"DNP",SUMIFS(OPPS_GbG[TM OR_FT],OPPS_GbG[[TM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M13" s="18">
        <f>IF($D13=0,"DNP",SUMIFS(OPPS_GbG[DR_RIM],OPPS_GbG[[TM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1.8888888888888888</v>
      </c>
      <c r="CN13" s="18">
        <f>IF($D13=0,"DNP",SUMIFS(OPPS_GbG[TM DR_RIM],OPPS_GbG[[TM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CO13" s="18">
        <f>IF($D13=0,"DNP",SUMIFS(OPPS_GbG[DR_PAINT],OPPS_GbG[[TM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4.2222222222222223</v>
      </c>
      <c r="CP13" s="18">
        <f>IF($D13=0,"DNP",SUMIFS(OPPS_GbG[TM DR_PAINT],OPPS_GbG[[TM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Q13" s="18">
        <f>IF($D13=0,"DNP",SUMIFS(OPPS_GbG[DR_NP2],OPPS_GbG[[TM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4.2222222222222223</v>
      </c>
      <c r="CR13" s="18">
        <f>IF($D13=0,"DNP",SUMIFS(OPPS_GbG[TM DR_NP2],OPPS_GbG[[TM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CS13" s="18">
        <f>IF($D13=0,"DNP",SUMIFS(OPPS_GbG[DR_3C],OPPS_GbG[[TM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CT13" s="18">
        <f>IF($D13=0,"DNP",SUMIFS(OPPS_GbG[TM DR_3C],OPPS_GbG[[TM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U13" s="18">
        <f>IF($D13=0,"DNP",SUMIFS(OPPS_GbG[DR_3L],OPPS_GbG[[TM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8.4444444444444446</v>
      </c>
      <c r="CV13" s="18">
        <f>IF($D13=0,"DNP",SUMIFS(OPPS_GbG[TM DR_3L],OPPS_GbG[[TM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</v>
      </c>
      <c r="CW13" s="18">
        <f>IF($D13=0,"DNP",SUMIFS(OPPS_GbG[DR_FT],OPPS_GbG[[TM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</v>
      </c>
      <c r="CX13" s="18">
        <f>IF($D13=0,"DNP",SUMIFS(OPPS_GbG[TM DR_FT],OPPS_GbG[[TM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CY13" s="18">
        <f>IF($D13=0,"DNP",SUMIFS(OPPS_GbG[FTM_T],OPPS_GbG[[TM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CZ13" s="18">
        <f>IF($D13=0,"DNP",SUMIFS(OPPS_GbG[FTA_T],OPPS_GbG[[TM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0.22222222222222221</v>
      </c>
      <c r="DA13" s="18">
        <f>IF($D13=0,"DNP",SUMIFS(OPPS_GbG[FTM_1],OPPS_GbG[[TM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DB13" s="18">
        <f>IF($D13=0,"DNP",SUMIFS(OPPS_GbG[FTA_1],OPPS_GbG[[TM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1.7777777777777777</v>
      </c>
      <c r="DC13" s="18">
        <f>IF($D13=0,"DNP",SUMIFS(OPPS_GbG[FTM_2],OPPS_GbG[[TM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10.666666666666666</v>
      </c>
      <c r="DD13" s="18">
        <f>IF($D13=0,"DNP",SUMIFS(OPPS_GbG[FTA_2],OPPS_GbG[[TM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13.777777777777779</v>
      </c>
      <c r="DE13" s="18">
        <f>IF($D13=0,"DNP",SUMIFS(OPPS_GbG[FT 0/2],OPPS_GbG[[TM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DF13" s="18">
        <f>IF($D13=0,"DNP",SUMIFS(OPPS_GbG[FTM_3],OPPS_GbG[[TM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DG13" s="18">
        <f>IF($D13=0,"DNP",SUMIFS(OPPS_GbG[FTA_3],OPPS_GbG[[TM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DH13" s="18">
        <f>IF($D13=0,"DNP",SUMIFS(OPPS_GbG[FT 0/3],OPPS_GbG[[TM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DI13" s="18">
        <f>IF($D13=0,"DNP",SUMIFS(OPPS_GbG[RIM_M],OPPS_GbG[[TM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10</v>
      </c>
      <c r="DJ13" s="18">
        <f>IF($D13=0,"DNP",SUMIFS(OPPS_GbG[RIM_A],OPPS_GbG[[TM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12.333333333333334</v>
      </c>
      <c r="DK13" s="18">
        <f>IF($D13=0,"DNP",SUMIFS(OPPS_GbG[PAINT_M],OPPS_GbG[[TM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6.5555555555555554</v>
      </c>
      <c r="DL13" s="18">
        <f>IF($D13=0,"DNP",SUMIFS(OPPS_GbG[PAINT_A],OPPS_GbG[[TM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15.444444444444445</v>
      </c>
      <c r="DM13" s="18">
        <f>IF($D13=0,"DNP",SUMIFS(OPPS_GbG[MID_M],OPPS_GbG[[TM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2.5555555555555554</v>
      </c>
      <c r="DN13" s="18">
        <f>IF($D13=0,"DNP",SUMIFS(OPPS_GbG[MID_A],OPPS_GbG[[TM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7.666666666666667</v>
      </c>
      <c r="DO13" s="18">
        <f>IF($D13=0,"DNP",SUMIFS(OPPS_GbG[3C_M],OPPS_GbG[[TM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1.1111111111111112</v>
      </c>
      <c r="DP13" s="18">
        <f>IF($D13=0,"DNP",SUMIFS(OPPS_GbG[3C_A],OPPS_GbG[[TM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2.2222222222222223</v>
      </c>
      <c r="DQ13" s="18">
        <f>IF($D13=0,"DNP",SUMIFS(OPPS_GbG[3L_M],OPPS_GbG[[TM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7.666666666666667</v>
      </c>
      <c r="DR13" s="18">
        <f>IF($D13=0,"DNP",SUMIFS(OPPS_GbG[3L_A],OPPS_GbG[[TM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21.333333333333332</v>
      </c>
      <c r="DS13" s="18">
        <f>IF($D13=0,"DNP",SUMIFS(OPPS_GbG[3H_M],OPPS_GbG[[TM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DT13" s="18">
        <f>IF($D13=0,"DNP",SUMIFS(OPPS_GbG[3H_A],OPPS_GbG[[TM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DU13" s="18">
        <f>IF($D13=0,"DNP",SUMIFS(OPPS_GbG[OPP PTS],OPPS_GbG[[TM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78.888888888888886</v>
      </c>
      <c r="DV13" s="18">
        <f>IF($D13=0,"DNP",SUMIFS(OPPS_GbG[OPP 2PTM],OPPS_GbG[[TM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18.333333333333332</v>
      </c>
      <c r="DW13" s="18">
        <f>IF($D13=0,"DNP",SUMIFS(OPPS_GbG[OPP 2PTA],OPPS_GbG[[TM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32.555555555555557</v>
      </c>
      <c r="DX13" s="16">
        <f t="shared" si="43"/>
        <v>0.56313993174061427</v>
      </c>
      <c r="DY13" s="18">
        <f>IF($D13=0,"DNP",SUMIFS(OPPS_GbG[OPP 3PTM],OPPS_GbG[[TM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10.444444444444445</v>
      </c>
      <c r="DZ13" s="18">
        <f>IF($D13=0,"DNP",SUMIFS(OPPS_GbG[OPP 3PTA],OPPS_GbG[[TM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26.555555555555557</v>
      </c>
      <c r="EA13" s="16">
        <f t="shared" si="44"/>
        <v>0.3933054393305439</v>
      </c>
      <c r="EB13" s="18">
        <f>IF($D13=0,"DNP",SUMIFS(OPPS_GbG[OPP FGM],OPPS_GbG[[TM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28.777777777777779</v>
      </c>
      <c r="EC13" s="18">
        <f>IF($D13=0,"DNP",SUMIFS(OPPS_GbG[OPP FGA],OPPS_GbG[[TM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59.111111111111114</v>
      </c>
      <c r="ED13" s="16">
        <f t="shared" si="45"/>
        <v>0.48684210526315791</v>
      </c>
      <c r="EE13" s="18">
        <f>IF($D13=0,"DNP",SUMIFS(OPPS_GbG[OPP FTM],OPPS_GbG[[TM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10.888888888888889</v>
      </c>
      <c r="EF13" s="18">
        <f>IF($D13=0,"DNP",SUMIFS(OPPS_GbG[OPP FTA],OPPS_GbG[[TM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15.555555555555555</v>
      </c>
      <c r="EG13" s="16">
        <f t="shared" si="46"/>
        <v>0.70000000000000007</v>
      </c>
      <c r="EH13" s="18">
        <f>IF($D13=0,"DNP",SUMIFS(OPPS_GbG[OPP OR],OPPS_GbG[[TM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9.7777777777777786</v>
      </c>
      <c r="EI13" s="18">
        <f>IF($D13=0,"DNP",SUMIFS(OPPS_GbG[OPP DR],OPPS_GbG[[TM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23.222222222222221</v>
      </c>
      <c r="EJ13" s="18">
        <f>IF($D13=0,"DNP",SUMIFS(OPPS_GbG[OPP TR],OPPS_GbG[[TM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33</v>
      </c>
      <c r="EK13" s="18">
        <f>IF($D13=0,"DNP",SUMIFS(OPPS_GbG[OPP AST],OPPS_GbG[[TM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17.555555555555557</v>
      </c>
      <c r="EL13" s="18">
        <f>IF($D13=0,"DNP",SUMIFS(OPPS_GbG[OPP PF],OPPS_GbG[[TM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19.777777777777779</v>
      </c>
      <c r="EM13" s="18">
        <f>IF($D13=0,"DNP",SUMIFS(OPPS_GbG[OPP DF],OPPS_GbG[[TM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18.888888888888889</v>
      </c>
      <c r="EN13" s="18">
        <f>IF($D13=0,"DNP",SUMIFS(OPPS_GbG[OPP ST],OPPS_GbG[[TM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6.333333333333333</v>
      </c>
      <c r="EO13" s="18">
        <f>IF($D13=0,"DNP",SUMIFS(OPPS_GbG[OPP TO],OPPS_GbG[[TM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14.444444444444445</v>
      </c>
      <c r="EP13" s="18">
        <f>IF($D13=0,"DNP",SUMIFS(OPPS_GbG[OPP BLK],OPPS_GbG[[TM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1.4444444444444444</v>
      </c>
      <c r="EQ13" s="18">
        <f>IF($D13=0,"DNP",SUMIFS(OPPS_GbG[OPP BLKA],OPPS_GbG[[TM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ER13" s="18">
        <f>IF($D13=0,"DNP",SUMIFS(OPPS_GbG[OPP VAL],OPPS_GbG[[TM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85.222222222222229</v>
      </c>
      <c r="ES13" s="18">
        <f>IF($D13=0,"DNP",SUMIFS(OPPS_GbG[OPP + / -],OPPS_GbG[[TM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ET13" s="18">
        <f>IF($D13=0,"DNP",SUMIFS(OPPS_GbG[OPP POSS],OPPS_GbG[[TM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70.111111111111114</v>
      </c>
      <c r="EU13" s="18">
        <f>IF($D13=0,"DNP",SUMIFS(OPPS_GbG[OPP SHOOTING CHANCES],OPPS_GbG[[TM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80.111111111111114</v>
      </c>
      <c r="EV13" s="18">
        <f>IF($D13=0,"DNP",SUMIFS(OPPS_GbG[OPP KILLS],OPPS_GbG[[TM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4.333333333333333</v>
      </c>
      <c r="EW13" s="18">
        <f>IF($D13=0,"DNP",SUMIFS(OPPS_GbG[OPP ASTED_2FG],OPPS_GbG[[TM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7.666666666666667</v>
      </c>
      <c r="EX13" s="18">
        <f>IF($D13=0,"DNP",SUMIFS(OPPS_GbG[OPP ASTED_3FG],OPPS_GbG[[TM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EY13" s="18">
        <f>IF($D13=0,"DNP",SUMIFS(OPPS_GbG[OPP ASTED_FT],OPPS_GbG[[TM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1.1111111111111112</v>
      </c>
      <c r="EZ13" s="18">
        <f>IF($D13=0,"DNP",SUMIFS(OPPS_GbG[OPP ASTED_FT PTS],OPPS_GbG[[TM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1.7777777777777777</v>
      </c>
      <c r="FA13" s="18">
        <f>IF($D13=0,"DNP",SUMIFS(OPPS_GbG[OPP OR_RIM],OPPS_GbG[[TM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0.77777777777777779</v>
      </c>
      <c r="FB13" s="18">
        <f>IF($D13=0,"DNP",SUMIFS(OPPS_GbG[OPP TM OR_RIM],OPPS_GbG[[TM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FC13" s="18">
        <f>IF($D13=0,"DNP",SUMIFS(OPPS_GbG[OPP OR_PAINT],OPPS_GbG[[TM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2.4444444444444446</v>
      </c>
      <c r="FD13" s="18">
        <f>IF($D13=0,"DNP",SUMIFS(OPPS_GbG[OPP TM OR_PAINT],OPPS_GbG[[TM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E13" s="18">
        <f>IF($D13=0,"DNP",SUMIFS(OPPS_GbG[OPP OR_NP2],OPPS_GbG[[TM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0.44444444444444442</v>
      </c>
      <c r="FF13" s="18">
        <f>IF($D13=0,"DNP",SUMIFS(OPPS_GbG[OPP TM OR_NP2],OPPS_GbG[[TM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0.22222222222222221</v>
      </c>
      <c r="FG13" s="18">
        <f>IF($D13=0,"DNP",SUMIFS(OPPS_GbG[OPP OR_3C],OPPS_GbG[[TM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0.22222222222222221</v>
      </c>
      <c r="FH13" s="18">
        <f>IF($D13=0,"DNP",SUMIFS(OPPS_GbG[OPP TM OR_3C],OPPS_GbG[[TM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I13" s="18">
        <f>IF($D13=0,"DNP",SUMIFS(OPPS_GbG[OPP OR_3L],OPPS_GbG[[TM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5.1111111111111107</v>
      </c>
      <c r="FJ13" s="18">
        <f>IF($D13=0,"DNP",SUMIFS(OPPS_GbG[OPP TM OR_3L],OPPS_GbG[[TM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0.77777777777777779</v>
      </c>
      <c r="FK13" s="18">
        <f>IF($D13=0,"DNP",SUMIFS(OPPS_GbG[OPP OR_FT],OPPS_GbG[[TM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0.66666666666666663</v>
      </c>
      <c r="FL13" s="18">
        <f>IF($D13=0,"DNP",SUMIFS(OPPS_GbG[OPP TM OR_FT],OPPS_GbG[[TM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M13" s="18">
        <f>IF($D13=0,"DNP",SUMIFS(OPPS_GbG[OPP DR_RIM],OPPS_GbG[[TM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1.4444444444444444</v>
      </c>
      <c r="FN13" s="18">
        <f>IF($D13=0,"DNP",SUMIFS(OPPS_GbG[OPP TM DR_RIM],OPPS_GbG[[TM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O13" s="18">
        <f>IF($D13=0,"DNP",SUMIFS(OPPS_GbG[OPP DR_PAINT],OPPS_GbG[[TM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6.8888888888888893</v>
      </c>
      <c r="FP13" s="18">
        <f>IF($D13=0,"DNP",SUMIFS(OPPS_GbG[OPP TM DR_PAINT],OPPS_GbG[[TM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0.33333333333333331</v>
      </c>
      <c r="FQ13" s="18">
        <f>IF($D13=0,"DNP",SUMIFS(OPPS_GbG[OPP DR_NP2],OPPS_GbG[[TM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3.2222222222222223</v>
      </c>
      <c r="FR13" s="18">
        <f>IF($D13=0,"DNP",SUMIFS(OPPS_GbG[OPP TM DR_NP2],OPPS_GbG[[TM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  <c r="FS13" s="18">
        <f>IF($D13=0,"DNP",SUMIFS(OPPS_GbG[OPP DR_3C],OPPS_GbG[[TM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0.55555555555555558</v>
      </c>
      <c r="FT13" s="18">
        <f>IF($D13=0,"DNP",SUMIFS(OPPS_GbG[OPP TM DR_3C],OPPS_GbG[[TM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FU13" s="18">
        <f>IF($D13=0,"DNP",SUMIFS(OPPS_GbG[OPP DR_3L],OPPS_GbG[[TM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9.7777777777777786</v>
      </c>
      <c r="FV13" s="18">
        <f>IF($D13=0,"DNP",SUMIFS(OPPS_GbG[OPP TM DR_3L],OPPS_GbG[[TM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0.66666666666666663</v>
      </c>
      <c r="FW13" s="18">
        <f>IF($D13=0,"DNP",SUMIFS(OPPS_GbG[OPP DR_FT],OPPS_GbG[[TM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1.3333333333333333</v>
      </c>
      <c r="FX13" s="18">
        <f>IF($D13=0,"DNP",SUMIFS(OPPS_GbG[OPP TM DR_FT],OPPS_GbG[[TM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FY13" s="18">
        <f>IF($D13=0,"DNP",SUMIFS(OPPS_GbG[OPP FTM_T],OPPS_GbG[[TM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0.55555555555555558</v>
      </c>
      <c r="FZ13" s="18">
        <f>IF($D13=0,"DNP",SUMIFS(OPPS_GbG[OPP FTA_T],OPPS_GbG[[TM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GA13" s="18">
        <f>IF($D13=0,"DNP",SUMIFS(OPPS_GbG[OPP FTM_1],OPPS_GbG[[TM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0.55555555555555558</v>
      </c>
      <c r="GB13" s="18">
        <f>IF($D13=0,"DNP",SUMIFS(OPPS_GbG[OPP FTA_1],OPPS_GbG[[TM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1.1111111111111112</v>
      </c>
      <c r="GC13" s="18">
        <f>IF($D13=0,"DNP",SUMIFS(OPPS_GbG[OPP FTM_2],OPPS_GbG[[TM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GD13" s="18">
        <f>IF($D13=0,"DNP",SUMIFS(OPPS_GbG[OPP FTA_2],OPPS_GbG[[TM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12.444444444444445</v>
      </c>
      <c r="GE13" s="18">
        <f>IF($D13=0,"DNP",SUMIFS(OPPS_GbG[OPP FT 0/2],OPPS_GbG[[TM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0.66666666666666663</v>
      </c>
      <c r="GF13" s="18">
        <f>IF($D13=0,"DNP",SUMIFS(OPPS_GbG[OPP FTM_3],OPPS_GbG[[TM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0.88888888888888884</v>
      </c>
      <c r="GG13" s="18">
        <f>IF($D13=0,"DNP",SUMIFS(OPPS_GbG[OPP FTA_3],OPPS_GbG[[TM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</v>
      </c>
      <c r="GH13" s="18">
        <f>IF($D13=0,"DNP",SUMIFS(OPPS_GbG[OPP FT 0/3],OPPS_GbG[[TM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GI13" s="18">
        <f>IF($D13=0,"DNP",SUMIFS(OPPS_GbG[OPP RIM_M],OPPS_GbG[[TM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9</v>
      </c>
      <c r="GJ13" s="18">
        <f>IF($D13=0,"DNP",SUMIFS(OPPS_GbG[OPP RIM_A],OPPS_GbG[[TM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11.666666666666666</v>
      </c>
      <c r="GK13" s="18">
        <f>IF($D13=0,"DNP",SUMIFS(OPPS_GbG[OPP PAINT_M],OPPS_GbG[[TM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</v>
      </c>
      <c r="GL13" s="18">
        <f>IF($D13=0,"DNP",SUMIFS(OPPS_GbG[OPP PAINT_A],OPPS_GbG[[TM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13.777777777777779</v>
      </c>
      <c r="GM13" s="18">
        <f>IF($D13=0,"DNP",SUMIFS(OPPS_GbG[OPP MID_M],OPPS_GbG[[TM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2.3333333333333335</v>
      </c>
      <c r="GN13" s="18">
        <f>IF($D13=0,"DNP",SUMIFS(OPPS_GbG[OPP MID_A],OPPS_GbG[[TM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7.1111111111111107</v>
      </c>
      <c r="GO13" s="18">
        <f>IF($D13=0,"DNP",SUMIFS(OPPS_GbG[OPP 3C_M],OPPS_GbG[[TM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1.6666666666666667</v>
      </c>
      <c r="GP13" s="18">
        <f>IF($D13=0,"DNP",SUMIFS(OPPS_GbG[OPP 3C_A],OPPS_GbG[[TM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2.8888888888888888</v>
      </c>
      <c r="GQ13" s="18">
        <f>IF($D13=0,"DNP",SUMIFS(OPPS_GbG[OPP 3L_M],OPPS_GbG[[TM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8.7777777777777786</v>
      </c>
      <c r="GR13" s="18">
        <f>IF($D13=0,"DNP",SUMIFS(OPPS_GbG[OPP 3L_A],OPPS_GbG[[TM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23.555555555555557</v>
      </c>
      <c r="GS13" s="18">
        <f>IF($D13=0,"DNP",SUMIFS(OPPS_GbG[OPP 3H_M],OPPS_GbG[[TM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</v>
      </c>
      <c r="GT13" s="18">
        <f>IF($D13=0,"DNP",SUMIFS(OPPS_GbG[OPP 3H_A],OPPS_GbG[[TM NAME]:[TM NAME]],$C13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GAMES","&lt;1000",IF($F$3=BASIS_INFO!$T$3,"&lt;"&amp;BASIS_INFO!$B$11,IF($F$3=BASIS_INFO!$T$4,"&lt;"&amp;BASIS_INFO!$B$12,IF($F$3=BASIS_INFO!$T$5,"&lt;"&amp;BASIS_INFO!$B$13,IF($F$3=BASIS_INFO!$T$6,"&lt;"&amp;BASIS_INFO!$B$14))))))/IF($D$3="TOTAL",1,$D13))</f>
        <v>0.1111111111111111</v>
      </c>
    </row>
    <row r="14" spans="2:202" ht="15" customHeight="1" x14ac:dyDescent="0.25">
      <c r="B14" s="12">
        <f>_xlfn.AGGREGATE(3,5,$C$7:C13)</f>
        <v>7</v>
      </c>
      <c r="C14" s="14" t="str">
        <f>BASIS_INFO!F9</f>
        <v>FC Barcelona</v>
      </c>
      <c r="D14" s="20">
        <f>COUNTIFS(OPPS_GbG[[TM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4" s="20">
        <f>COUNTIFS(OPPS_GbG[[TM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7</v>
      </c>
      <c r="F14" s="20">
        <f>COUNTIFS(OPPS_GbG[[TM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2</v>
      </c>
      <c r="G14" s="18">
        <f>IF($D14=0,"DNP",SUMIFS(OPPS_GbG[MIN],OPPS_GbG[[TM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200</v>
      </c>
      <c r="H14" s="18">
        <f>IF($D14=0,"DNP",SUMIFS(OPPS_GbG[PTS],OPPS_GbG[[TM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74</v>
      </c>
      <c r="I14" s="18">
        <f>IF($D14=0,"DNP",SUMIFS(OPPS_GbG[2PTM],OPPS_GbG[[TM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20.444444444444443</v>
      </c>
      <c r="J14" s="18">
        <f>IF($D14=0,"DNP",SUMIFS(OPPS_GbG[2PTA],OPPS_GbG[[TM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40.555555555555557</v>
      </c>
      <c r="K14" s="16">
        <f t="shared" si="38"/>
        <v>0.50410958904109582</v>
      </c>
      <c r="L14" s="18">
        <f>IF($D14=0,"DNP",SUMIFS(OPPS_GbG[3PTM],OPPS_GbG[[TM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7.333333333333333</v>
      </c>
      <c r="M14" s="18">
        <f>IF($D14=0,"DNP",SUMIFS(OPPS_GbG[3PTA],OPPS_GbG[[TM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24.111111111111111</v>
      </c>
      <c r="N14" s="16">
        <f t="shared" si="39"/>
        <v>0.30414746543778803</v>
      </c>
      <c r="O14" s="18">
        <f>IF($D14=0,"DNP",SUMIFS(OPPS_GbG[FGM],OPPS_GbG[[TM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27.777777777777779</v>
      </c>
      <c r="P14" s="18">
        <f>IF($D14=0,"DNP",SUMIFS(OPPS_GbG[FGA],OPPS_GbG[[TM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64.666666666666671</v>
      </c>
      <c r="Q14" s="16">
        <f t="shared" si="40"/>
        <v>0.42955326460481097</v>
      </c>
      <c r="R14" s="18">
        <f>IF($D14=0,"DNP",SUMIFS(OPPS_GbG[FTM],OPPS_GbG[[TM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11.111111111111111</v>
      </c>
      <c r="S14" s="18">
        <f>IF($D14=0,"DNP",SUMIFS(OPPS_GbG[FTA],OPPS_GbG[[TM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15.222222222222221</v>
      </c>
      <c r="T14" s="16">
        <f t="shared" si="41"/>
        <v>0.72992700729927007</v>
      </c>
      <c r="U14" s="18">
        <f>IF($D14=0,"DNP",SUMIFS(OPPS_GbG[OR],OPPS_GbG[[TM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11.666666666666666</v>
      </c>
      <c r="V14" s="18">
        <f>IF($D14=0,"DNP",SUMIFS(OPPS_GbG[DR],OPPS_GbG[[TM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24</v>
      </c>
      <c r="W14" s="18">
        <f>IF($D14=0,"DNP",SUMIFS(OPPS_GbG[TR],OPPS_GbG[[TM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35.666666666666664</v>
      </c>
      <c r="X14" s="18">
        <f>IF($D14=0,"DNP",SUMIFS(OPPS_GbG[AST],OPPS_GbG[[TM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16.222222222222221</v>
      </c>
      <c r="Y14" s="18">
        <f>IF($D14=0,"DNP",SUMIFS(OPPS_GbG[TO],OPPS_GbG[[TM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11.555555555555555</v>
      </c>
      <c r="Z14" s="18">
        <f>IF($D14=0,"DNP",SUMIFS(OPPS_GbG[ST],OPPS_GbG[[TM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</v>
      </c>
      <c r="AA14" s="18">
        <f>IF($D14=0,"DNP",SUMIFS(OPPS_GbG[BLK],OPPS_GbG[[TM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1.2222222222222223</v>
      </c>
      <c r="AB14" s="18">
        <f>IF($D14=0,"DNP",SUMIFS(OPPS_GbG[BLKA],OPPS_GbG[[TM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3.1111111111111112</v>
      </c>
      <c r="AC14" s="18">
        <f>IF($D14=0,"DNP",SUMIFS(OPPS_GbG[PF],OPPS_GbG[[TM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19.444444444444443</v>
      </c>
      <c r="AD14" s="18">
        <f>IF($D14=0,"DNP",SUMIFS(OPPS_GbG[DF],OPPS_GbG[[TM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18.111111111111111</v>
      </c>
      <c r="AE14" s="18">
        <f>IF($D14=0,"DNP",SUMIFS(OPPS_GbG[VAL],OPPS_GbG[[TM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76.111111111111114</v>
      </c>
      <c r="AF14" s="18">
        <f>IF($D14=0,"DNP",SUMIFS(OPPS_GbG[+ / -],OPPS_GbG[[TM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-7.4444444444444446</v>
      </c>
      <c r="AG14" s="26">
        <f t="shared" si="0"/>
        <v>70.333333333333329</v>
      </c>
      <c r="AH14" s="18">
        <f>IF($D14=0,"DNP",SUMIFS(OPPS_GbG[POSS],OPPS_GbG[[TM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70.333333333333329</v>
      </c>
      <c r="AI14" s="18">
        <f>IF($D14=0,"DNP",SUMIFS(OPPS_GbG[SHOOTING CHANCES],OPPS_GbG[[TM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82.111111111111114</v>
      </c>
      <c r="AJ14" s="19">
        <f t="shared" si="1"/>
        <v>0.90121786197564269</v>
      </c>
      <c r="AK14" s="19">
        <f t="shared" si="2"/>
        <v>0.98521505376344076</v>
      </c>
      <c r="AL14" s="18">
        <f t="shared" si="3"/>
        <v>105.21327014218009</v>
      </c>
      <c r="AM14" s="18">
        <f t="shared" si="4"/>
        <v>114.17445482866044</v>
      </c>
      <c r="AN14" s="18">
        <f t="shared" si="42"/>
        <v>-8.961184686480351</v>
      </c>
      <c r="AO14" s="27">
        <f t="shared" si="5"/>
        <v>0.48625429553264599</v>
      </c>
      <c r="AP14" s="28">
        <f t="shared" si="6"/>
        <v>0.52440944881889762</v>
      </c>
      <c r="AQ14" s="34">
        <f t="shared" si="7"/>
        <v>0.12855209742895804</v>
      </c>
      <c r="AR14" s="38">
        <f t="shared" si="8"/>
        <v>1.5578947368421052</v>
      </c>
      <c r="AS14" s="27">
        <f t="shared" si="9"/>
        <v>0.29634641407307172</v>
      </c>
      <c r="AT14" s="38">
        <f t="shared" si="10"/>
        <v>0.83105022831050224</v>
      </c>
      <c r="AU14" s="27">
        <f t="shared" si="11"/>
        <v>6.9012178619756434E-2</v>
      </c>
      <c r="AV14" s="38">
        <f t="shared" si="12"/>
        <v>0.74509803921568629</v>
      </c>
      <c r="AW14" s="27">
        <f t="shared" si="13"/>
        <v>2.7063599458728011E-2</v>
      </c>
      <c r="AX14" s="38">
        <f t="shared" si="14"/>
        <v>1.5</v>
      </c>
      <c r="AY14" s="27">
        <f t="shared" si="15"/>
        <v>0.26657645466847091</v>
      </c>
      <c r="AZ14" s="38">
        <f t="shared" si="16"/>
        <v>0.85279187817258884</v>
      </c>
      <c r="BA14" s="28">
        <f t="shared" si="17"/>
        <v>7.1718538565629222E-2</v>
      </c>
      <c r="BB14" s="34">
        <f t="shared" si="18"/>
        <v>0.14092140921409213</v>
      </c>
      <c r="BC14" s="27">
        <f t="shared" si="19"/>
        <v>0.48333333333333328</v>
      </c>
      <c r="BD14" s="27">
        <f t="shared" si="20"/>
        <v>0.47282608695652173</v>
      </c>
      <c r="BE14" s="27">
        <f t="shared" si="21"/>
        <v>0.72727272727272729</v>
      </c>
      <c r="BF14" s="27">
        <f t="shared" si="22"/>
        <v>0.2</v>
      </c>
      <c r="BG14" s="27">
        <f t="shared" si="23"/>
        <v>0.19783197831978319</v>
      </c>
      <c r="BH14" s="35">
        <f t="shared" si="24"/>
        <v>1.4038461538461537</v>
      </c>
      <c r="BI14" s="34">
        <f t="shared" si="25"/>
        <v>0.30434782608695649</v>
      </c>
      <c r="BJ14" s="27">
        <f t="shared" si="26"/>
        <v>0.38118811881188119</v>
      </c>
      <c r="BK14" s="27">
        <f t="shared" si="27"/>
        <v>0.29113924050632911</v>
      </c>
      <c r="BL14" s="27">
        <f t="shared" si="28"/>
        <v>0.29166666666666663</v>
      </c>
      <c r="BM14" s="27">
        <f t="shared" si="29"/>
        <v>0.68138801261829651</v>
      </c>
      <c r="BN14" s="27">
        <f t="shared" si="30"/>
        <v>0.67073170731707332</v>
      </c>
      <c r="BO14" s="27">
        <f t="shared" si="31"/>
        <v>0.67499999999999993</v>
      </c>
      <c r="BP14" s="27">
        <f t="shared" si="32"/>
        <v>0.88235294117647067</v>
      </c>
      <c r="BQ14" s="28">
        <f t="shared" si="33"/>
        <v>0.48489425981873119</v>
      </c>
      <c r="BR14" s="34">
        <f t="shared" si="34"/>
        <v>8.411214953271029E-2</v>
      </c>
      <c r="BS14" s="27">
        <f t="shared" si="35"/>
        <v>1.9097222222222224E-2</v>
      </c>
      <c r="BT14" s="39">
        <f>IF($D14=0,"DNP",SUMIFS(OPPS_GbG[KILLS],OPPS_GbG[[TM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4.8888888888888893</v>
      </c>
      <c r="BU14" s="34">
        <f t="shared" si="36"/>
        <v>0.46857142857142858</v>
      </c>
      <c r="BV14" s="28">
        <f t="shared" si="37"/>
        <v>0.46625766871165647</v>
      </c>
      <c r="BW14" s="18">
        <f>IF($D14=0,"DNP",SUMIFS(OPPS_GbG[ASTED_2FG],OPPS_GbG[[TM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9.6666666666666661</v>
      </c>
      <c r="BX14" s="18">
        <f>IF($D14=0,"DNP",SUMIFS(OPPS_GbG[ASTED_3FG],OPPS_GbG[[TM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5.333333333333333</v>
      </c>
      <c r="BY14" s="18">
        <f>IF($D14=0,"DNP",SUMIFS(OPPS_GbG[ASTED_FT],OPPS_GbG[[TM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BZ14" s="18">
        <f>IF($D14=0,"DNP",SUMIFS(OPPS_GbG[ASTED_FT PTS],OPPS_GbG[[TM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1.7777777777777777</v>
      </c>
      <c r="CA14" s="18">
        <f>IF($D14=0,"DNP",SUMIFS(OPPS_GbG[OR_RIM],OPPS_GbG[[TM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CB14" s="18">
        <f>IF($D14=0,"DNP",SUMIFS(OPPS_GbG[TM OR_RIM],OPPS_GbG[[TM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0.55555555555555558</v>
      </c>
      <c r="CC14" s="18">
        <f>IF($D14=0,"DNP",SUMIFS(OPPS_GbG[OR_PAINT],OPPS_GbG[[TM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5</v>
      </c>
      <c r="CD14" s="18">
        <f>IF($D14=0,"DNP",SUMIFS(OPPS_GbG[TM OR_PAINT],OPPS_GbG[[TM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</v>
      </c>
      <c r="CE14" s="18">
        <f>IF($D14=0,"DNP",SUMIFS(OPPS_GbG[OR_NP2],OPPS_GbG[[TM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CF14" s="18">
        <f>IF($D14=0,"DNP",SUMIFS(OPPS_GbG[TM OR_NP2],OPPS_GbG[[TM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CG14" s="18">
        <f>IF($D14=0,"DNP",SUMIFS(OPPS_GbG[OR_3C],OPPS_GbG[[TM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0.33333333333333331</v>
      </c>
      <c r="CH14" s="18">
        <f>IF($D14=0,"DNP",SUMIFS(OPPS_GbG[TM OR_3C],OPPS_GbG[[TM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0.1111111111111111</v>
      </c>
      <c r="CI14" s="18">
        <f>IF($D14=0,"DNP",SUMIFS(OPPS_GbG[OR_3L],OPPS_GbG[[TM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4</v>
      </c>
      <c r="CJ14" s="18">
        <f>IF($D14=0,"DNP",SUMIFS(OPPS_GbG[TM OR_3L],OPPS_GbG[[TM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CK14" s="18">
        <f>IF($D14=0,"DNP",SUMIFS(OPPS_GbG[OR_FT],OPPS_GbG[[TM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0.55555555555555558</v>
      </c>
      <c r="CL14" s="18">
        <f>IF($D14=0,"DNP",SUMIFS(OPPS_GbG[TM OR_FT],OPPS_GbG[[TM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CM14" s="18">
        <f>IF($D14=0,"DNP",SUMIFS(OPPS_GbG[DR_RIM],OPPS_GbG[[TM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0.77777777777777779</v>
      </c>
      <c r="CN14" s="18">
        <f>IF($D14=0,"DNP",SUMIFS(OPPS_GbG[TM DR_RIM],OPPS_GbG[[TM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CO14" s="18">
        <f>IF($D14=0,"DNP",SUMIFS(OPPS_GbG[DR_PAINT],OPPS_GbG[[TM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8.6666666666666661</v>
      </c>
      <c r="CP14" s="18">
        <f>IF($D14=0,"DNP",SUMIFS(OPPS_GbG[TM DR_PAINT],OPPS_GbG[[TM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CQ14" s="18">
        <f>IF($D14=0,"DNP",SUMIFS(OPPS_GbG[DR_NP2],OPPS_GbG[[TM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</v>
      </c>
      <c r="CR14" s="18">
        <f>IF($D14=0,"DNP",SUMIFS(OPPS_GbG[TM DR_NP2],OPPS_GbG[[TM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0.1111111111111111</v>
      </c>
      <c r="CS14" s="18">
        <f>IF($D14=0,"DNP",SUMIFS(OPPS_GbG[DR_3C],OPPS_GbG[[TM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</v>
      </c>
      <c r="CT14" s="18">
        <f>IF($D14=0,"DNP",SUMIFS(OPPS_GbG[TM DR_3C],OPPS_GbG[[TM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0.1111111111111111</v>
      </c>
      <c r="CU14" s="18">
        <f>IF($D14=0,"DNP",SUMIFS(OPPS_GbG[DR_3L],OPPS_GbG[[TM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9.8888888888888893</v>
      </c>
      <c r="CV14" s="18">
        <f>IF($D14=0,"DNP",SUMIFS(OPPS_GbG[TM DR_3L],OPPS_GbG[[TM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</v>
      </c>
      <c r="CW14" s="18">
        <f>IF($D14=0,"DNP",SUMIFS(OPPS_GbG[DR_FT],OPPS_GbG[[TM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1.5555555555555556</v>
      </c>
      <c r="CX14" s="18">
        <f>IF($D14=0,"DNP",SUMIFS(OPPS_GbG[TM DR_FT],OPPS_GbG[[TM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0.1111111111111111</v>
      </c>
      <c r="CY14" s="18">
        <f>IF($D14=0,"DNP",SUMIFS(OPPS_GbG[FTM_T],OPPS_GbG[[TM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0.55555555555555558</v>
      </c>
      <c r="CZ14" s="18">
        <f>IF($D14=0,"DNP",SUMIFS(OPPS_GbG[FTA_T],OPPS_GbG[[TM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0.55555555555555558</v>
      </c>
      <c r="DA14" s="18">
        <f>IF($D14=0,"DNP",SUMIFS(OPPS_GbG[FTM_1],OPPS_GbG[[TM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1.3333333333333333</v>
      </c>
      <c r="DB14" s="18">
        <f>IF($D14=0,"DNP",SUMIFS(OPPS_GbG[FTA_1],OPPS_GbG[[TM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2.5555555555555554</v>
      </c>
      <c r="DC14" s="18">
        <f>IF($D14=0,"DNP",SUMIFS(OPPS_GbG[FTM_2],OPPS_GbG[[TM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8.5555555555555554</v>
      </c>
      <c r="DD14" s="18">
        <f>IF($D14=0,"DNP",SUMIFS(OPPS_GbG[FTA_2],OPPS_GbG[[TM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11.111111111111111</v>
      </c>
      <c r="DE14" s="18">
        <f>IF($D14=0,"DNP",SUMIFS(OPPS_GbG[FT 0/2],OPPS_GbG[[TM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0.33333333333333331</v>
      </c>
      <c r="DF14" s="18">
        <f>IF($D14=0,"DNP",SUMIFS(OPPS_GbG[FTM_3],OPPS_GbG[[TM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DG14" s="18">
        <f>IF($D14=0,"DNP",SUMIFS(OPPS_GbG[FTA_3],OPPS_GbG[[TM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</v>
      </c>
      <c r="DH14" s="18">
        <f>IF($D14=0,"DNP",SUMIFS(OPPS_GbG[FT 0/3],OPPS_GbG[[TM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DI14" s="18">
        <f>IF($D14=0,"DNP",SUMIFS(OPPS_GbG[RIM_M],OPPS_GbG[[TM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8.2222222222222214</v>
      </c>
      <c r="DJ14" s="18">
        <f>IF($D14=0,"DNP",SUMIFS(OPPS_GbG[RIM_A],OPPS_GbG[[TM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10.555555555555555</v>
      </c>
      <c r="DK14" s="18">
        <f>IF($D14=0,"DNP",SUMIFS(OPPS_GbG[PAINT_M],OPPS_GbG[[TM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10.111111111111111</v>
      </c>
      <c r="DL14" s="18">
        <f>IF($D14=0,"DNP",SUMIFS(OPPS_GbG[PAINT_A],OPPS_GbG[[TM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24.333333333333332</v>
      </c>
      <c r="DM14" s="18">
        <f>IF($D14=0,"DNP",SUMIFS(OPPS_GbG[MID_M],OPPS_GbG[[TM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2.1111111111111112</v>
      </c>
      <c r="DN14" s="18">
        <f>IF($D14=0,"DNP",SUMIFS(OPPS_GbG[MID_A],OPPS_GbG[[TM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5.666666666666667</v>
      </c>
      <c r="DO14" s="18">
        <f>IF($D14=0,"DNP",SUMIFS(OPPS_GbG[3C_M],OPPS_GbG[[TM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DP14" s="18">
        <f>IF($D14=0,"DNP",SUMIFS(OPPS_GbG[3C_A],OPPS_GbG[[TM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2.2222222222222223</v>
      </c>
      <c r="DQ14" s="18">
        <f>IF($D14=0,"DNP",SUMIFS(OPPS_GbG[3L_M],OPPS_GbG[[TM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6.2222222222222223</v>
      </c>
      <c r="DR14" s="18">
        <f>IF($D14=0,"DNP",SUMIFS(OPPS_GbG[3L_A],OPPS_GbG[[TM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21.888888888888889</v>
      </c>
      <c r="DS14" s="18">
        <f>IF($D14=0,"DNP",SUMIFS(OPPS_GbG[3H_M],OPPS_GbG[[TM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DT14" s="18">
        <f>IF($D14=0,"DNP",SUMIFS(OPPS_GbG[3H_A],OPPS_GbG[[TM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DU14" s="18">
        <f>IF($D14=0,"DNP",SUMIFS(OPPS_GbG[OPP PTS],OPPS_GbG[[TM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81.444444444444443</v>
      </c>
      <c r="DV14" s="18">
        <f>IF($D14=0,"DNP",SUMIFS(OPPS_GbG[OPP 2PTM],OPPS_GbG[[TM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21.222222222222221</v>
      </c>
      <c r="DW14" s="18">
        <f>IF($D14=0,"DNP",SUMIFS(OPPS_GbG[OPP 2PTA],OPPS_GbG[[TM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39.111111111111114</v>
      </c>
      <c r="DX14" s="16">
        <f t="shared" si="43"/>
        <v>0.54261363636363635</v>
      </c>
      <c r="DY14" s="18">
        <f>IF($D14=0,"DNP",SUMIFS(OPPS_GbG[OPP 3PTM],OPPS_GbG[[TM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8.7777777777777786</v>
      </c>
      <c r="DZ14" s="18">
        <f>IF($D14=0,"DNP",SUMIFS(OPPS_GbG[OPP 3PTA],OPPS_GbG[[TM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24.888888888888889</v>
      </c>
      <c r="EA14" s="16">
        <f t="shared" si="44"/>
        <v>0.35267857142857145</v>
      </c>
      <c r="EB14" s="18">
        <f>IF($D14=0,"DNP",SUMIFS(OPPS_GbG[OPP FGM],OPPS_GbG[[TM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30</v>
      </c>
      <c r="EC14" s="18">
        <f>IF($D14=0,"DNP",SUMIFS(OPPS_GbG[OPP FGA],OPPS_GbG[[TM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64</v>
      </c>
      <c r="ED14" s="16">
        <f t="shared" si="45"/>
        <v>0.46875</v>
      </c>
      <c r="EE14" s="18">
        <f>IF($D14=0,"DNP",SUMIFS(OPPS_GbG[OPP FTM],OPPS_GbG[[TM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12.666666666666666</v>
      </c>
      <c r="EF14" s="18">
        <f>IF($D14=0,"DNP",SUMIFS(OPPS_GbG[OPP FTA],OPPS_GbG[[TM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17</v>
      </c>
      <c r="EG14" s="16">
        <f t="shared" si="46"/>
        <v>0.74509803921568629</v>
      </c>
      <c r="EH14" s="18">
        <f>IF($D14=0,"DNP",SUMIFS(OPPS_GbG[OPP OR],OPPS_GbG[[TM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11.222222222222221</v>
      </c>
      <c r="EI14" s="18">
        <f>IF($D14=0,"DNP",SUMIFS(OPPS_GbG[OPP DR],OPPS_GbG[[TM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26.666666666666668</v>
      </c>
      <c r="EJ14" s="18">
        <f>IF($D14=0,"DNP",SUMIFS(OPPS_GbG[OPP TR],OPPS_GbG[[TM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37.888888888888886</v>
      </c>
      <c r="EK14" s="18">
        <f>IF($D14=0,"DNP",SUMIFS(OPPS_GbG[OPP AST],OPPS_GbG[[TM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18.111111111111111</v>
      </c>
      <c r="EL14" s="18">
        <f>IF($D14=0,"DNP",SUMIFS(OPPS_GbG[OPP PF],OPPS_GbG[[TM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18.777777777777779</v>
      </c>
      <c r="EM14" s="18">
        <f>IF($D14=0,"DNP",SUMIFS(OPPS_GbG[OPP DF],OPPS_GbG[[TM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19.222222222222221</v>
      </c>
      <c r="EN14" s="18">
        <f>IF($D14=0,"DNP",SUMIFS(OPPS_GbG[OPP ST],OPPS_GbG[[TM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</v>
      </c>
      <c r="EO14" s="18">
        <f>IF($D14=0,"DNP",SUMIFS(OPPS_GbG[OPP TO],OPPS_GbG[[TM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11.222222222222221</v>
      </c>
      <c r="EP14" s="18">
        <f>IF($D14=0,"DNP",SUMIFS(OPPS_GbG[OPP BLK],OPPS_GbG[[TM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3.1111111111111112</v>
      </c>
      <c r="EQ14" s="18">
        <f>IF($D14=0,"DNP",SUMIFS(OPPS_GbG[OPP BLKA],OPPS_GbG[[TM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1.2222222222222223</v>
      </c>
      <c r="ER14" s="18">
        <f>IF($D14=0,"DNP",SUMIFS(OPPS_GbG[OPP VAL],OPPS_GbG[[TM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96.222222222222229</v>
      </c>
      <c r="ES14" s="18">
        <f>IF($D14=0,"DNP",SUMIFS(OPPS_GbG[OPP + / -],OPPS_GbG[[TM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7.4444444444444446</v>
      </c>
      <c r="ET14" s="18">
        <f>IF($D14=0,"DNP",SUMIFS(OPPS_GbG[OPP POSS],OPPS_GbG[[TM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71.333333333333329</v>
      </c>
      <c r="EU14" s="18">
        <f>IF($D14=0,"DNP",SUMIFS(OPPS_GbG[OPP SHOOTING CHANCES],OPPS_GbG[[TM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82.666666666666671</v>
      </c>
      <c r="EV14" s="18">
        <f>IF($D14=0,"DNP",SUMIFS(OPPS_GbG[OPP KILLS],OPPS_GbG[[TM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5.5555555555555554</v>
      </c>
      <c r="EW14" s="18">
        <f>IF($D14=0,"DNP",SUMIFS(OPPS_GbG[OPP ASTED_2FG],OPPS_GbG[[TM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9.2222222222222214</v>
      </c>
      <c r="EX14" s="18">
        <f>IF($D14=0,"DNP",SUMIFS(OPPS_GbG[OPP ASTED_3FG],OPPS_GbG[[TM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7.1111111111111107</v>
      </c>
      <c r="EY14" s="18">
        <f>IF($D14=0,"DNP",SUMIFS(OPPS_GbG[OPP ASTED_FT],OPPS_GbG[[TM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1.6666666666666667</v>
      </c>
      <c r="EZ14" s="18">
        <f>IF($D14=0,"DNP",SUMIFS(OPPS_GbG[OPP ASTED_FT PTS],OPPS_GbG[[TM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2.8888888888888888</v>
      </c>
      <c r="FA14" s="18">
        <f>IF($D14=0,"DNP",SUMIFS(OPPS_GbG[OPP OR_RIM],OPPS_GbG[[TM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FB14" s="18">
        <f>IF($D14=0,"DNP",SUMIFS(OPPS_GbG[OPP TM OR_RIM],OPPS_GbG[[TM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FC14" s="18">
        <f>IF($D14=0,"DNP",SUMIFS(OPPS_GbG[OPP OR_PAINT],OPPS_GbG[[TM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3.8888888888888888</v>
      </c>
      <c r="FD14" s="18">
        <f>IF($D14=0,"DNP",SUMIFS(OPPS_GbG[OPP TM OR_PAINT],OPPS_GbG[[TM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FE14" s="18">
        <f>IF($D14=0,"DNP",SUMIFS(OPPS_GbG[OPP OR_NP2],OPPS_GbG[[TM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1.2222222222222223</v>
      </c>
      <c r="FF14" s="18">
        <f>IF($D14=0,"DNP",SUMIFS(OPPS_GbG[OPP TM OR_NP2],OPPS_GbG[[TM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FG14" s="18">
        <f>IF($D14=0,"DNP",SUMIFS(OPPS_GbG[OPP OR_3C],OPPS_GbG[[TM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0.33333333333333331</v>
      </c>
      <c r="FH14" s="18">
        <f>IF($D14=0,"DNP",SUMIFS(OPPS_GbG[OPP TM OR_3C],OPPS_GbG[[TM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FI14" s="18">
        <f>IF($D14=0,"DNP",SUMIFS(OPPS_GbG[OPP OR_3L],OPPS_GbG[[TM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4.666666666666667</v>
      </c>
      <c r="FJ14" s="18">
        <f>IF($D14=0,"DNP",SUMIFS(OPPS_GbG[OPP TM OR_3L],OPPS_GbG[[TM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0.77777777777777779</v>
      </c>
      <c r="FK14" s="18">
        <f>IF($D14=0,"DNP",SUMIFS(OPPS_GbG[OPP OR_FT],OPPS_GbG[[TM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FL14" s="18">
        <f>IF($D14=0,"DNP",SUMIFS(OPPS_GbG[OPP TM OR_FT],OPPS_GbG[[TM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FM14" s="18">
        <f>IF($D14=0,"DNP",SUMIFS(OPPS_GbG[OPP DR_RIM],OPPS_GbG[[TM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FN14" s="18">
        <f>IF($D14=0,"DNP",SUMIFS(OPPS_GbG[OPP TM DR_RIM],OPPS_GbG[[TM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FO14" s="18">
        <f>IF($D14=0,"DNP",SUMIFS(OPPS_GbG[OPP DR_PAINT],OPPS_GbG[[TM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9</v>
      </c>
      <c r="FP14" s="18">
        <f>IF($D14=0,"DNP",SUMIFS(OPPS_GbG[OPP TM DR_PAINT],OPPS_GbG[[TM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FQ14" s="18">
        <f>IF($D14=0,"DNP",SUMIFS(OPPS_GbG[OPP DR_NP2],OPPS_GbG[[TM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2.8888888888888888</v>
      </c>
      <c r="FR14" s="18">
        <f>IF($D14=0,"DNP",SUMIFS(OPPS_GbG[OPP TM DR_NP2],OPPS_GbG[[TM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FS14" s="18">
        <f>IF($D14=0,"DNP",SUMIFS(OPPS_GbG[OPP DR_3C],OPPS_GbG[[TM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0.77777777777777779</v>
      </c>
      <c r="FT14" s="18">
        <f>IF($D14=0,"DNP",SUMIFS(OPPS_GbG[OPP TM DR_3C],OPPS_GbG[[TM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FU14" s="18">
        <f>IF($D14=0,"DNP",SUMIFS(OPPS_GbG[OPP DR_3L],OPPS_GbG[[TM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10.777777777777779</v>
      </c>
      <c r="FV14" s="18">
        <f>IF($D14=0,"DNP",SUMIFS(OPPS_GbG[OPP TM DR_3L],OPPS_GbG[[TM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0.88888888888888884</v>
      </c>
      <c r="FW14" s="18">
        <f>IF($D14=0,"DNP",SUMIFS(OPPS_GbG[OPP DR_FT],OPPS_GbG[[TM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1.6666666666666667</v>
      </c>
      <c r="FX14" s="18">
        <f>IF($D14=0,"DNP",SUMIFS(OPPS_GbG[OPP TM DR_FT],OPPS_GbG[[TM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FY14" s="18">
        <f>IF($D14=0,"DNP",SUMIFS(OPPS_GbG[OPP FTM_T],OPPS_GbG[[TM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FZ14" s="18">
        <f>IF($D14=0,"DNP",SUMIFS(OPPS_GbG[OPP FTA_T],OPPS_GbG[[TM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GA14" s="18">
        <f>IF($D14=0,"DNP",SUMIFS(OPPS_GbG[OPP FTM_1],OPPS_GbG[[TM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1.1111111111111112</v>
      </c>
      <c r="GB14" s="18">
        <f>IF($D14=0,"DNP",SUMIFS(OPPS_GbG[OPP FTA_1],OPPS_GbG[[TM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1.6666666666666667</v>
      </c>
      <c r="GC14" s="18">
        <f>IF($D14=0,"DNP",SUMIFS(OPPS_GbG[OPP FTM_2],OPPS_GbG[[TM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11.111111111111111</v>
      </c>
      <c r="GD14" s="18">
        <f>IF($D14=0,"DNP",SUMIFS(OPPS_GbG[OPP FTA_2],OPPS_GbG[[TM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14.444444444444445</v>
      </c>
      <c r="GE14" s="18">
        <f>IF($D14=0,"DNP",SUMIFS(OPPS_GbG[OPP FT 0/2],OPPS_GbG[[TM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GF14" s="18">
        <f>IF($D14=0,"DNP",SUMIFS(OPPS_GbG[OPP FTM_3],OPPS_GbG[[TM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  <c r="GG14" s="18">
        <f>IF($D14=0,"DNP",SUMIFS(OPPS_GbG[OPP FTA_3],OPPS_GbG[[TM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0.66666666666666663</v>
      </c>
      <c r="GH14" s="18">
        <f>IF($D14=0,"DNP",SUMIFS(OPPS_GbG[OPP FT 0/3],OPPS_GbG[[TM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GI14" s="18">
        <f>IF($D14=0,"DNP",SUMIFS(OPPS_GbG[OPP RIM_M],OPPS_GbG[[TM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6.333333333333333</v>
      </c>
      <c r="GJ14" s="18">
        <f>IF($D14=0,"DNP",SUMIFS(OPPS_GbG[OPP RIM_A],OPPS_GbG[[TM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7.7777777777777777</v>
      </c>
      <c r="GK14" s="18">
        <f>IF($D14=0,"DNP",SUMIFS(OPPS_GbG[OPP PAINT_M],OPPS_GbG[[TM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12.111111111111111</v>
      </c>
      <c r="GL14" s="18">
        <f>IF($D14=0,"DNP",SUMIFS(OPPS_GbG[OPP PAINT_A],OPPS_GbG[[TM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25.222222222222221</v>
      </c>
      <c r="GM14" s="18">
        <f>IF($D14=0,"DNP",SUMIFS(OPPS_GbG[OPP MID_M],OPPS_GbG[[TM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2.7777777777777777</v>
      </c>
      <c r="GN14" s="18">
        <f>IF($D14=0,"DNP",SUMIFS(OPPS_GbG[OPP MID_A],OPPS_GbG[[TM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6.1111111111111107</v>
      </c>
      <c r="GO14" s="18">
        <f>IF($D14=0,"DNP",SUMIFS(OPPS_GbG[OPP 3C_M],OPPS_GbG[[TM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1.3333333333333333</v>
      </c>
      <c r="GP14" s="18">
        <f>IF($D14=0,"DNP",SUMIFS(OPPS_GbG[OPP 3C_A],OPPS_GbG[[TM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2.6666666666666665</v>
      </c>
      <c r="GQ14" s="18">
        <f>IF($D14=0,"DNP",SUMIFS(OPPS_GbG[OPP 3L_M],OPPS_GbG[[TM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7.4444444444444446</v>
      </c>
      <c r="GR14" s="18">
        <f>IF($D14=0,"DNP",SUMIFS(OPPS_GbG[OPP 3L_A],OPPS_GbG[[TM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22</v>
      </c>
      <c r="GS14" s="18">
        <f>IF($D14=0,"DNP",SUMIFS(OPPS_GbG[OPP 3H_M],OPPS_GbG[[TM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</v>
      </c>
      <c r="GT14" s="18">
        <f>IF($D14=0,"DNP",SUMIFS(OPPS_GbG[OPP 3H_A],OPPS_GbG[[TM NAME]:[TM NAME]],$C14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GAMES","&lt;1000",IF($F$3=BASIS_INFO!$T$3,"&lt;"&amp;BASIS_INFO!$B$11,IF($F$3=BASIS_INFO!$T$4,"&lt;"&amp;BASIS_INFO!$B$12,IF($F$3=BASIS_INFO!$T$5,"&lt;"&amp;BASIS_INFO!$B$13,IF($F$3=BASIS_INFO!$T$6,"&lt;"&amp;BASIS_INFO!$B$14))))))/IF($D$3="TOTAL",1,$D14))</f>
        <v>0.22222222222222221</v>
      </c>
    </row>
    <row r="15" spans="2:202" ht="15" customHeight="1" x14ac:dyDescent="0.25">
      <c r="B15" s="12">
        <f>_xlfn.AGGREGATE(3,5,$C$7:C14)</f>
        <v>8</v>
      </c>
      <c r="C15" s="14" t="str">
        <f>BASIS_INFO!F10</f>
        <v>FC Bayern Munich</v>
      </c>
      <c r="D15" s="20">
        <f>COUNTIFS(OPPS_GbG[[TM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5" s="20">
        <f>COUNTIFS(OPPS_GbG[[TM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3</v>
      </c>
      <c r="F15" s="20">
        <f>COUNTIFS(OPPS_GbG[[TM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6</v>
      </c>
      <c r="G15" s="18">
        <f>IF($D15=0,"DNP",SUMIFS(OPPS_GbG[MIN],OPPS_GbG[[TM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200</v>
      </c>
      <c r="H15" s="18">
        <f>IF($D15=0,"DNP",SUMIFS(OPPS_GbG[PTS],OPPS_GbG[[TM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79.333333333333329</v>
      </c>
      <c r="I15" s="18">
        <f>IF($D15=0,"DNP",SUMIFS(OPPS_GbG[2PTM],OPPS_GbG[[TM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18.111111111111111</v>
      </c>
      <c r="J15" s="18">
        <f>IF($D15=0,"DNP",SUMIFS(OPPS_GbG[2PTA],OPPS_GbG[[TM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34.333333333333336</v>
      </c>
      <c r="K15" s="16">
        <f t="shared" si="38"/>
        <v>0.52750809061488668</v>
      </c>
      <c r="L15" s="18">
        <f>IF($D15=0,"DNP",SUMIFS(OPPS_GbG[3PTM],OPPS_GbG[[TM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9.2222222222222214</v>
      </c>
      <c r="M15" s="18">
        <f>IF($D15=0,"DNP",SUMIFS(OPPS_GbG[3PTA],OPPS_GbG[[TM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26.777777777777779</v>
      </c>
      <c r="N15" s="16">
        <f t="shared" si="39"/>
        <v>0.3443983402489626</v>
      </c>
      <c r="O15" s="18">
        <f>IF($D15=0,"DNP",SUMIFS(OPPS_GbG[FGM],OPPS_GbG[[TM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27.333333333333332</v>
      </c>
      <c r="P15" s="18">
        <f>IF($D15=0,"DNP",SUMIFS(OPPS_GbG[FGA],OPPS_GbG[[TM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61.111111111111114</v>
      </c>
      <c r="Q15" s="16">
        <f t="shared" si="40"/>
        <v>0.44727272727272721</v>
      </c>
      <c r="R15" s="18">
        <f>IF($D15=0,"DNP",SUMIFS(OPPS_GbG[FTM],OPPS_GbG[[TM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15.444444444444445</v>
      </c>
      <c r="S15" s="18">
        <f>IF($D15=0,"DNP",SUMIFS(OPPS_GbG[FTA],OPPS_GbG[[TM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19.555555555555557</v>
      </c>
      <c r="T15" s="16">
        <f t="shared" si="41"/>
        <v>0.78977272727272718</v>
      </c>
      <c r="U15" s="18">
        <f>IF($D15=0,"DNP",SUMIFS(OPPS_GbG[OR],OPPS_GbG[[TM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8.7777777777777786</v>
      </c>
      <c r="V15" s="18">
        <f>IF($D15=0,"DNP",SUMIFS(OPPS_GbG[DR],OPPS_GbG[[TM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23.444444444444443</v>
      </c>
      <c r="W15" s="18">
        <f>IF($D15=0,"DNP",SUMIFS(OPPS_GbG[TR],OPPS_GbG[[TM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32.222222222222221</v>
      </c>
      <c r="X15" s="18">
        <f>IF($D15=0,"DNP",SUMIFS(OPPS_GbG[AST],OPPS_GbG[[TM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15.444444444444445</v>
      </c>
      <c r="Y15" s="18">
        <f>IF($D15=0,"DNP",SUMIFS(OPPS_GbG[TO],OPPS_GbG[[TM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10.888888888888889</v>
      </c>
      <c r="Z15" s="18">
        <f>IF($D15=0,"DNP",SUMIFS(OPPS_GbG[ST],OPPS_GbG[[TM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AA15" s="18">
        <f>IF($D15=0,"DNP",SUMIFS(OPPS_GbG[BLK],OPPS_GbG[[TM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2.5555555555555554</v>
      </c>
      <c r="AB15" s="18">
        <f>IF($D15=0,"DNP",SUMIFS(OPPS_GbG[BLKA],OPPS_GbG[[TM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2.5555555555555554</v>
      </c>
      <c r="AC15" s="18">
        <f>IF($D15=0,"DNP",SUMIFS(OPPS_GbG[PF],OPPS_GbG[[TM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18.333333333333332</v>
      </c>
      <c r="AD15" s="18">
        <f>IF($D15=0,"DNP",SUMIFS(OPPS_GbG[DF],OPPS_GbG[[TM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20.111111111111111</v>
      </c>
      <c r="AE15" s="18">
        <f>IF($D15=0,"DNP",SUMIFS(OPPS_GbG[VAL],OPPS_GbG[[TM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87.333333333333329</v>
      </c>
      <c r="AF15" s="18">
        <f>IF($D15=0,"DNP",SUMIFS(OPPS_GbG[+ / -],OPPS_GbG[[TM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</v>
      </c>
      <c r="AG15" s="26">
        <f t="shared" si="0"/>
        <v>71.111111111111114</v>
      </c>
      <c r="AH15" s="18">
        <f>IF($D15=0,"DNP",SUMIFS(OPPS_GbG[POSS],OPPS_GbG[[TM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71.111111111111114</v>
      </c>
      <c r="AI15" s="18">
        <f>IF($D15=0,"DNP",SUMIFS(OPPS_GbG[SHOOTING CHANCES],OPPS_GbG[[TM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80.333333333333329</v>
      </c>
      <c r="AJ15" s="19">
        <f t="shared" si="1"/>
        <v>0.98755186721991706</v>
      </c>
      <c r="AK15" s="19">
        <f t="shared" si="2"/>
        <v>0.90039840637450186</v>
      </c>
      <c r="AL15" s="18">
        <f t="shared" si="3"/>
        <v>111.56249999999999</v>
      </c>
      <c r="AM15" s="18">
        <f t="shared" si="4"/>
        <v>107.10900473933648</v>
      </c>
      <c r="AN15" s="18">
        <f t="shared" si="42"/>
        <v>4.4534952606635017</v>
      </c>
      <c r="AO15" s="27">
        <f t="shared" si="5"/>
        <v>0.52272727272727271</v>
      </c>
      <c r="AP15" s="28">
        <f t="shared" si="6"/>
        <v>0.57119999999999993</v>
      </c>
      <c r="AQ15" s="34">
        <f t="shared" si="7"/>
        <v>9.4052558782849238E-2</v>
      </c>
      <c r="AR15" s="38">
        <f t="shared" si="8"/>
        <v>1.5000000000000002</v>
      </c>
      <c r="AS15" s="27">
        <f t="shared" si="9"/>
        <v>0.24204702627939143</v>
      </c>
      <c r="AT15" s="38">
        <f t="shared" si="10"/>
        <v>0.98285714285714287</v>
      </c>
      <c r="AU15" s="27">
        <f t="shared" si="11"/>
        <v>9.1286307053941904E-2</v>
      </c>
      <c r="AV15" s="38">
        <f t="shared" si="12"/>
        <v>0.78787878787878785</v>
      </c>
      <c r="AW15" s="27">
        <f t="shared" si="13"/>
        <v>5.9474412171507611E-2</v>
      </c>
      <c r="AX15" s="38">
        <f t="shared" si="14"/>
        <v>1.1860465116279069</v>
      </c>
      <c r="AY15" s="27">
        <f t="shared" si="15"/>
        <v>0.2669432918395574</v>
      </c>
      <c r="AZ15" s="38">
        <f t="shared" si="16"/>
        <v>1.0259067357512954</v>
      </c>
      <c r="BA15" s="28">
        <f t="shared" si="17"/>
        <v>0.10373443983402492</v>
      </c>
      <c r="BB15" s="34">
        <f t="shared" si="18"/>
        <v>0.13630041724617525</v>
      </c>
      <c r="BC15" s="27">
        <f t="shared" si="19"/>
        <v>0.43533123028391169</v>
      </c>
      <c r="BD15" s="27">
        <f t="shared" si="20"/>
        <v>0.35582822085889571</v>
      </c>
      <c r="BE15" s="27">
        <f t="shared" si="21"/>
        <v>0.71084337349397597</v>
      </c>
      <c r="BF15" s="27">
        <f t="shared" si="22"/>
        <v>0.29577464788732399</v>
      </c>
      <c r="BG15" s="27">
        <f t="shared" si="23"/>
        <v>0.19332406119610571</v>
      </c>
      <c r="BH15" s="35">
        <f t="shared" si="24"/>
        <v>1.4183673469387754</v>
      </c>
      <c r="BI15" s="34">
        <f t="shared" si="25"/>
        <v>0.25483870967741939</v>
      </c>
      <c r="BJ15" s="27">
        <f t="shared" si="26"/>
        <v>0.31210191082802546</v>
      </c>
      <c r="BK15" s="27">
        <f t="shared" si="27"/>
        <v>0.25465838509316768</v>
      </c>
      <c r="BL15" s="27">
        <f t="shared" si="28"/>
        <v>0.1764705882352941</v>
      </c>
      <c r="BM15" s="27">
        <f t="shared" si="29"/>
        <v>0.64133738601823698</v>
      </c>
      <c r="BN15" s="27">
        <f t="shared" si="30"/>
        <v>0.63905325443786976</v>
      </c>
      <c r="BO15" s="27">
        <f t="shared" si="31"/>
        <v>0.60869565217391297</v>
      </c>
      <c r="BP15" s="27">
        <f t="shared" si="32"/>
        <v>0.79999999999999993</v>
      </c>
      <c r="BQ15" s="28">
        <f t="shared" si="33"/>
        <v>0.45383411580594679</v>
      </c>
      <c r="BR15" s="34">
        <f t="shared" si="34"/>
        <v>0.1042654028436019</v>
      </c>
      <c r="BS15" s="27">
        <f t="shared" si="35"/>
        <v>3.8917089678510992E-2</v>
      </c>
      <c r="BT15" s="39">
        <f>IF($D15=0,"DNP",SUMIFS(OPPS_GbG[KILLS],OPPS_GbG[[TM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5.1111111111111107</v>
      </c>
      <c r="BU15" s="34">
        <f t="shared" si="36"/>
        <v>0.3575757575757576</v>
      </c>
      <c r="BV15" s="28">
        <f t="shared" si="37"/>
        <v>0.51381215469613262</v>
      </c>
      <c r="BW15" s="18">
        <f>IF($D15=0,"DNP",SUMIFS(OPPS_GbG[ASTED_2FG],OPPS_GbG[[TM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6.4444444444444446</v>
      </c>
      <c r="BX15" s="18">
        <f>IF($D15=0,"DNP",SUMIFS(OPPS_GbG[ASTED_3FG],OPPS_GbG[[TM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6.5555555555555554</v>
      </c>
      <c r="BY15" s="18">
        <f>IF($D15=0,"DNP",SUMIFS(OPPS_GbG[ASTED_FT],OPPS_GbG[[TM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2.3333333333333335</v>
      </c>
      <c r="BZ15" s="18">
        <f>IF($D15=0,"DNP",SUMIFS(OPPS_GbG[ASTED_FT PTS],OPPS_GbG[[TM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4.5555555555555554</v>
      </c>
      <c r="CA15" s="18">
        <f>IF($D15=0,"DNP",SUMIFS(OPPS_GbG[OR_RIM],OPPS_GbG[[TM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CB15" s="18">
        <f>IF($D15=0,"DNP",SUMIFS(OPPS_GbG[TM OR_RIM],OPPS_GbG[[TM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CC15" s="18">
        <f>IF($D15=0,"DNP",SUMIFS(OPPS_GbG[OR_PAINT],OPPS_GbG[[TM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</v>
      </c>
      <c r="CD15" s="18">
        <f>IF($D15=0,"DNP",SUMIFS(OPPS_GbG[TM OR_PAINT],OPPS_GbG[[TM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CE15" s="18">
        <f>IF($D15=0,"DNP",SUMIFS(OPPS_GbG[OR_NP2],OPPS_GbG[[TM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</v>
      </c>
      <c r="CF15" s="18">
        <f>IF($D15=0,"DNP",SUMIFS(OPPS_GbG[TM OR_NP2],OPPS_GbG[[TM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G15" s="18">
        <f>IF($D15=0,"DNP",SUMIFS(OPPS_GbG[OR_3C],OPPS_GbG[[TM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CH15" s="18">
        <f>IF($D15=0,"DNP",SUMIFS(OPPS_GbG[TM OR_3C],OPPS_GbG[[TM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CI15" s="18">
        <f>IF($D15=0,"DNP",SUMIFS(OPPS_GbG[OR_3L],OPPS_GbG[[TM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3.4444444444444446</v>
      </c>
      <c r="CJ15" s="18">
        <f>IF($D15=0,"DNP",SUMIFS(OPPS_GbG[TM OR_3L],OPPS_GbG[[TM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CK15" s="18">
        <f>IF($D15=0,"DNP",SUMIFS(OPPS_GbG[OR_FT],OPPS_GbG[[TM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L15" s="18">
        <f>IF($D15=0,"DNP",SUMIFS(OPPS_GbG[TM OR_FT],OPPS_GbG[[TM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CM15" s="18">
        <f>IF($D15=0,"DNP",SUMIFS(OPPS_GbG[DR_RIM],OPPS_GbG[[TM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1.1111111111111112</v>
      </c>
      <c r="CN15" s="18">
        <f>IF($D15=0,"DNP",SUMIFS(OPPS_GbG[TM DR_RIM],OPPS_GbG[[TM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CO15" s="18">
        <f>IF($D15=0,"DNP",SUMIFS(OPPS_GbG[DR_PAINT],OPPS_GbG[[TM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5.8888888888888893</v>
      </c>
      <c r="CP15" s="18">
        <f>IF($D15=0,"DNP",SUMIFS(OPPS_GbG[TM DR_PAINT],OPPS_GbG[[TM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Q15" s="18">
        <f>IF($D15=0,"DNP",SUMIFS(OPPS_GbG[DR_NP2],OPPS_GbG[[TM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4.1111111111111107</v>
      </c>
      <c r="CR15" s="18">
        <f>IF($D15=0,"DNP",SUMIFS(OPPS_GbG[TM DR_NP2],OPPS_GbG[[TM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CS15" s="18">
        <f>IF($D15=0,"DNP",SUMIFS(OPPS_GbG[DR_3C],OPPS_GbG[[TM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1.7777777777777777</v>
      </c>
      <c r="CT15" s="18">
        <f>IF($D15=0,"DNP",SUMIFS(OPPS_GbG[TM DR_3C],OPPS_GbG[[TM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U15" s="18">
        <f>IF($D15=0,"DNP",SUMIFS(OPPS_GbG[DR_3L],OPPS_GbG[[TM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9.3333333333333339</v>
      </c>
      <c r="CV15" s="18">
        <f>IF($D15=0,"DNP",SUMIFS(OPPS_GbG[TM DR_3L],OPPS_GbG[[TM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1.1111111111111112</v>
      </c>
      <c r="CW15" s="18">
        <f>IF($D15=0,"DNP",SUMIFS(OPPS_GbG[DR_FT],OPPS_GbG[[TM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0.88888888888888884</v>
      </c>
      <c r="CX15" s="18">
        <f>IF($D15=0,"DNP",SUMIFS(OPPS_GbG[TM DR_FT],OPPS_GbG[[TM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CY15" s="18">
        <f>IF($D15=0,"DNP",SUMIFS(OPPS_GbG[FTM_T],OPPS_GbG[[TM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CZ15" s="18">
        <f>IF($D15=0,"DNP",SUMIFS(OPPS_GbG[FTA_T],OPPS_GbG[[TM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0.33333333333333331</v>
      </c>
      <c r="DA15" s="18">
        <f>IF($D15=0,"DNP",SUMIFS(OPPS_GbG[FTM_1],OPPS_GbG[[TM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1.4444444444444444</v>
      </c>
      <c r="DB15" s="18">
        <f>IF($D15=0,"DNP",SUMIFS(OPPS_GbG[FTA_1],OPPS_GbG[[TM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</v>
      </c>
      <c r="DC15" s="18">
        <f>IF($D15=0,"DNP",SUMIFS(OPPS_GbG[FTM_2],OPPS_GbG[[TM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12.333333333333334</v>
      </c>
      <c r="DD15" s="18">
        <f>IF($D15=0,"DNP",SUMIFS(OPPS_GbG[FTA_2],OPPS_GbG[[TM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15.555555555555555</v>
      </c>
      <c r="DE15" s="18">
        <f>IF($D15=0,"DNP",SUMIFS(OPPS_GbG[FT 0/2],OPPS_GbG[[TM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0.44444444444444442</v>
      </c>
      <c r="DF15" s="18">
        <f>IF($D15=0,"DNP",SUMIFS(OPPS_GbG[FTM_3],OPPS_GbG[[TM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1.4444444444444444</v>
      </c>
      <c r="DG15" s="18">
        <f>IF($D15=0,"DNP",SUMIFS(OPPS_GbG[FTA_3],OPPS_GbG[[TM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1.6666666666666667</v>
      </c>
      <c r="DH15" s="18">
        <f>IF($D15=0,"DNP",SUMIFS(OPPS_GbG[FT 0/3],OPPS_GbG[[TM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DI15" s="18">
        <f>IF($D15=0,"DNP",SUMIFS(OPPS_GbG[RIM_M],OPPS_GbG[[TM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5.666666666666667</v>
      </c>
      <c r="DJ15" s="18">
        <f>IF($D15=0,"DNP",SUMIFS(OPPS_GbG[RIM_A],OPPS_GbG[[TM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7.5555555555555554</v>
      </c>
      <c r="DK15" s="18">
        <f>IF($D15=0,"DNP",SUMIFS(OPPS_GbG[PAINT_M],OPPS_GbG[[TM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9.5555555555555554</v>
      </c>
      <c r="DL15" s="18">
        <f>IF($D15=0,"DNP",SUMIFS(OPPS_GbG[PAINT_A],OPPS_GbG[[TM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19.444444444444443</v>
      </c>
      <c r="DM15" s="18">
        <f>IF($D15=0,"DNP",SUMIFS(OPPS_GbG[MID_M],OPPS_GbG[[TM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2.8888888888888888</v>
      </c>
      <c r="DN15" s="18">
        <f>IF($D15=0,"DNP",SUMIFS(OPPS_GbG[MID_A],OPPS_GbG[[TM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DO15" s="18">
        <f>IF($D15=0,"DNP",SUMIFS(OPPS_GbG[3C_M],OPPS_GbG[[TM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1.8888888888888888</v>
      </c>
      <c r="DP15" s="18">
        <f>IF($D15=0,"DNP",SUMIFS(OPPS_GbG[3C_A],OPPS_GbG[[TM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4.7777777777777777</v>
      </c>
      <c r="DQ15" s="18">
        <f>IF($D15=0,"DNP",SUMIFS(OPPS_GbG[3L_M],OPPS_GbG[[TM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DR15" s="18">
        <f>IF($D15=0,"DNP",SUMIFS(OPPS_GbG[3L_A],OPPS_GbG[[TM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21.444444444444443</v>
      </c>
      <c r="DS15" s="18">
        <f>IF($D15=0,"DNP",SUMIFS(OPPS_GbG[3H_M],OPPS_GbG[[TM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DT15" s="18">
        <f>IF($D15=0,"DNP",SUMIFS(OPPS_GbG[3H_A],OPPS_GbG[[TM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DU15" s="18">
        <f>IF($D15=0,"DNP",SUMIFS(OPPS_GbG[OPP PTS],OPPS_GbG[[TM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75.333333333333329</v>
      </c>
      <c r="DV15" s="18">
        <f>IF($D15=0,"DNP",SUMIFS(OPPS_GbG[OPP 2PTM],OPPS_GbG[[TM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20.555555555555557</v>
      </c>
      <c r="DW15" s="18">
        <f>IF($D15=0,"DNP",SUMIFS(OPPS_GbG[OPP 2PTA],OPPS_GbG[[TM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37.555555555555557</v>
      </c>
      <c r="DX15" s="16">
        <f t="shared" si="43"/>
        <v>0.5473372781065089</v>
      </c>
      <c r="DY15" s="18">
        <f>IF($D15=0,"DNP",SUMIFS(OPPS_GbG[OPP 3PTM],OPPS_GbG[[TM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8.5555555555555554</v>
      </c>
      <c r="DZ15" s="18">
        <f>IF($D15=0,"DNP",SUMIFS(OPPS_GbG[OPP 3PTA],OPPS_GbG[[TM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28.111111111111111</v>
      </c>
      <c r="EA15" s="16">
        <f t="shared" si="44"/>
        <v>0.30434782608695654</v>
      </c>
      <c r="EB15" s="18">
        <f>IF($D15=0,"DNP",SUMIFS(OPPS_GbG[OPP FGM],OPPS_GbG[[TM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29.111111111111111</v>
      </c>
      <c r="EC15" s="18">
        <f>IF($D15=0,"DNP",SUMIFS(OPPS_GbG[OPP FGA],OPPS_GbG[[TM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65.666666666666671</v>
      </c>
      <c r="ED15" s="16">
        <f t="shared" si="45"/>
        <v>0.44331641285956003</v>
      </c>
      <c r="EE15" s="18">
        <f>IF($D15=0,"DNP",SUMIFS(OPPS_GbG[OPP FTM],OPPS_GbG[[TM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8.5555555555555554</v>
      </c>
      <c r="EF15" s="18">
        <f>IF($D15=0,"DNP",SUMIFS(OPPS_GbG[OPP FTA],OPPS_GbG[[TM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11.222222222222221</v>
      </c>
      <c r="EG15" s="16">
        <f t="shared" si="46"/>
        <v>0.76237623762376239</v>
      </c>
      <c r="EH15" s="18">
        <f>IF($D15=0,"DNP",SUMIFS(OPPS_GbG[OPP OR],OPPS_GbG[[TM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13.111111111111111</v>
      </c>
      <c r="EI15" s="18">
        <f>IF($D15=0,"DNP",SUMIFS(OPPS_GbG[OPP DR],OPPS_GbG[[TM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25.666666666666668</v>
      </c>
      <c r="EJ15" s="18">
        <f>IF($D15=0,"DNP",SUMIFS(OPPS_GbG[OPP TR],OPPS_GbG[[TM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38.777777777777779</v>
      </c>
      <c r="EK15" s="18">
        <f>IF($D15=0,"DNP",SUMIFS(OPPS_GbG[OPP AST],OPPS_GbG[[TM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14.555555555555555</v>
      </c>
      <c r="EL15" s="18">
        <f>IF($D15=0,"DNP",SUMIFS(OPPS_GbG[OPP PF],OPPS_GbG[[TM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20.444444444444443</v>
      </c>
      <c r="EM15" s="18">
        <f>IF($D15=0,"DNP",SUMIFS(OPPS_GbG[OPP DF],OPPS_GbG[[TM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18.333333333333332</v>
      </c>
      <c r="EN15" s="18">
        <f>IF($D15=0,"DNP",SUMIFS(OPPS_GbG[OPP ST],OPPS_GbG[[TM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</v>
      </c>
      <c r="EO15" s="18">
        <f>IF($D15=0,"DNP",SUMIFS(OPPS_GbG[OPP TO],OPPS_GbG[[TM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13.333333333333334</v>
      </c>
      <c r="EP15" s="18">
        <f>IF($D15=0,"DNP",SUMIFS(OPPS_GbG[OPP BLK],OPPS_GbG[[TM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2.5555555555555554</v>
      </c>
      <c r="EQ15" s="18">
        <f>IF($D15=0,"DNP",SUMIFS(OPPS_GbG[OPP BLKA],OPPS_GbG[[TM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2.5555555555555554</v>
      </c>
      <c r="ER15" s="18">
        <f>IF($D15=0,"DNP",SUMIFS(OPPS_GbG[OPP VAL],OPPS_GbG[[TM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80</v>
      </c>
      <c r="ES15" s="18">
        <f>IF($D15=0,"DNP",SUMIFS(OPPS_GbG[OPP + / -],OPPS_GbG[[TM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-4</v>
      </c>
      <c r="ET15" s="18">
        <f>IF($D15=0,"DNP",SUMIFS(OPPS_GbG[OPP POSS],OPPS_GbG[[TM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70.333333333333329</v>
      </c>
      <c r="EU15" s="18">
        <f>IF($D15=0,"DNP",SUMIFS(OPPS_GbG[OPP SHOOTING CHANCES],OPPS_GbG[[TM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83.666666666666671</v>
      </c>
      <c r="EV15" s="18">
        <f>IF($D15=0,"DNP",SUMIFS(OPPS_GbG[OPP KILLS],OPPS_GbG[[TM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5.4444444444444446</v>
      </c>
      <c r="EW15" s="18">
        <f>IF($D15=0,"DNP",SUMIFS(OPPS_GbG[OPP ASTED_2FG],OPPS_GbG[[TM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EX15" s="18">
        <f>IF($D15=0,"DNP",SUMIFS(OPPS_GbG[OPP ASTED_3FG],OPPS_GbG[[TM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6.1111111111111107</v>
      </c>
      <c r="EY15" s="18">
        <f>IF($D15=0,"DNP",SUMIFS(OPPS_GbG[OPP ASTED_FT],OPPS_GbG[[TM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</v>
      </c>
      <c r="EZ15" s="18">
        <f>IF($D15=0,"DNP",SUMIFS(OPPS_GbG[OPP ASTED_FT PTS],OPPS_GbG[[TM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1.7777777777777777</v>
      </c>
      <c r="FA15" s="18">
        <f>IF($D15=0,"DNP",SUMIFS(OPPS_GbG[OPP OR_RIM],OPPS_GbG[[TM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0.88888888888888884</v>
      </c>
      <c r="FB15" s="18">
        <f>IF($D15=0,"DNP",SUMIFS(OPPS_GbG[OPP TM OR_RIM],OPPS_GbG[[TM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FC15" s="18">
        <f>IF($D15=0,"DNP",SUMIFS(OPPS_GbG[OPP OR_PAINT],OPPS_GbG[[TM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3.2222222222222223</v>
      </c>
      <c r="FD15" s="18">
        <f>IF($D15=0,"DNP",SUMIFS(OPPS_GbG[OPP TM OR_PAINT],OPPS_GbG[[TM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0.77777777777777779</v>
      </c>
      <c r="FE15" s="18">
        <f>IF($D15=0,"DNP",SUMIFS(OPPS_GbG[OPP OR_NP2],OPPS_GbG[[TM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1.5555555555555556</v>
      </c>
      <c r="FF15" s="18">
        <f>IF($D15=0,"DNP",SUMIFS(OPPS_GbG[OPP TM OR_NP2],OPPS_GbG[[TM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G15" s="18">
        <f>IF($D15=0,"DNP",SUMIFS(OPPS_GbG[OPP OR_3C],OPPS_GbG[[TM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0.88888888888888884</v>
      </c>
      <c r="FH15" s="18">
        <f>IF($D15=0,"DNP",SUMIFS(OPPS_GbG[OPP TM OR_3C],OPPS_GbG[[TM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I15" s="18">
        <f>IF($D15=0,"DNP",SUMIFS(OPPS_GbG[OPP OR_3L],OPPS_GbG[[TM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6.333333333333333</v>
      </c>
      <c r="FJ15" s="18">
        <f>IF($D15=0,"DNP",SUMIFS(OPPS_GbG[OPP TM OR_3L],OPPS_GbG[[TM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0.55555555555555558</v>
      </c>
      <c r="FK15" s="18">
        <f>IF($D15=0,"DNP",SUMIFS(OPPS_GbG[OPP OR_FT],OPPS_GbG[[TM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L15" s="18">
        <f>IF($D15=0,"DNP",SUMIFS(OPPS_GbG[OPP TM OR_FT],OPPS_GbG[[TM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FM15" s="18">
        <f>IF($D15=0,"DNP",SUMIFS(OPPS_GbG[OPP DR_RIM],OPPS_GbG[[TM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1.2222222222222223</v>
      </c>
      <c r="FN15" s="18">
        <f>IF($D15=0,"DNP",SUMIFS(OPPS_GbG[OPP TM DR_RIM],OPPS_GbG[[TM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O15" s="18">
        <f>IF($D15=0,"DNP",SUMIFS(OPPS_GbG[OPP DR_PAINT],OPPS_GbG[[TM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6.7777777777777777</v>
      </c>
      <c r="FP15" s="18">
        <f>IF($D15=0,"DNP",SUMIFS(OPPS_GbG[OPP TM DR_PAINT],OPPS_GbG[[TM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0.33333333333333331</v>
      </c>
      <c r="FQ15" s="18">
        <f>IF($D15=0,"DNP",SUMIFS(OPPS_GbG[OPP DR_NP2],OPPS_GbG[[TM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3.4444444444444446</v>
      </c>
      <c r="FR15" s="18">
        <f>IF($D15=0,"DNP",SUMIFS(OPPS_GbG[OPP TM DR_NP2],OPPS_GbG[[TM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FS15" s="18">
        <f>IF($D15=0,"DNP",SUMIFS(OPPS_GbG[OPP DR_3C],OPPS_GbG[[TM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2.2222222222222223</v>
      </c>
      <c r="FT15" s="18">
        <f>IF($D15=0,"DNP",SUMIFS(OPPS_GbG[OPP TM DR_3C],OPPS_GbG[[TM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0.22222222222222221</v>
      </c>
      <c r="FU15" s="18">
        <f>IF($D15=0,"DNP",SUMIFS(OPPS_GbG[OPP DR_3L],OPPS_GbG[[TM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10.222222222222221</v>
      </c>
      <c r="FV15" s="18">
        <f>IF($D15=0,"DNP",SUMIFS(OPPS_GbG[OPP TM DR_3L],OPPS_GbG[[TM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0.66666666666666663</v>
      </c>
      <c r="FW15" s="18">
        <f>IF($D15=0,"DNP",SUMIFS(OPPS_GbG[OPP DR_FT],OPPS_GbG[[TM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1.5555555555555556</v>
      </c>
      <c r="FX15" s="18">
        <f>IF($D15=0,"DNP",SUMIFS(OPPS_GbG[OPP TM DR_FT],OPPS_GbG[[TM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FY15" s="18">
        <f>IF($D15=0,"DNP",SUMIFS(OPPS_GbG[OPP FTM_T],OPPS_GbG[[TM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FZ15" s="18">
        <f>IF($D15=0,"DNP",SUMIFS(OPPS_GbG[OPP FTA_T],OPPS_GbG[[TM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GA15" s="18">
        <f>IF($D15=0,"DNP",SUMIFS(OPPS_GbG[OPP FTM_1],OPPS_GbG[[TM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1.2222222222222223</v>
      </c>
      <c r="GB15" s="18">
        <f>IF($D15=0,"DNP",SUMIFS(OPPS_GbG[OPP FTA_1],OPPS_GbG[[TM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1.8888888888888888</v>
      </c>
      <c r="GC15" s="18">
        <f>IF($D15=0,"DNP",SUMIFS(OPPS_GbG[OPP FTM_2],OPPS_GbG[[TM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7.333333333333333</v>
      </c>
      <c r="GD15" s="18">
        <f>IF($D15=0,"DNP",SUMIFS(OPPS_GbG[OPP FTA_2],OPPS_GbG[[TM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9.3333333333333339</v>
      </c>
      <c r="GE15" s="18">
        <f>IF($D15=0,"DNP",SUMIFS(OPPS_GbG[OPP FT 0/2],OPPS_GbG[[TM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0.1111111111111111</v>
      </c>
      <c r="GF15" s="18">
        <f>IF($D15=0,"DNP",SUMIFS(OPPS_GbG[OPP FTM_3],OPPS_GbG[[TM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GG15" s="18">
        <f>IF($D15=0,"DNP",SUMIFS(OPPS_GbG[OPP FTA_3],OPPS_GbG[[TM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GH15" s="18">
        <f>IF($D15=0,"DNP",SUMIFS(OPPS_GbG[OPP FT 0/3],OPPS_GbG[[TM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GI15" s="18">
        <f>IF($D15=0,"DNP",SUMIFS(OPPS_GbG[OPP RIM_M],OPPS_GbG[[TM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7.4444444444444446</v>
      </c>
      <c r="GJ15" s="18">
        <f>IF($D15=0,"DNP",SUMIFS(OPPS_GbG[OPP RIM_A],OPPS_GbG[[TM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9.4444444444444446</v>
      </c>
      <c r="GK15" s="18">
        <f>IF($D15=0,"DNP",SUMIFS(OPPS_GbG[OPP PAINT_M],OPPS_GbG[[TM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8.2222222222222214</v>
      </c>
      <c r="GL15" s="18">
        <f>IF($D15=0,"DNP",SUMIFS(OPPS_GbG[OPP PAINT_A],OPPS_GbG[[TM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17.444444444444443</v>
      </c>
      <c r="GM15" s="18">
        <f>IF($D15=0,"DNP",SUMIFS(OPPS_GbG[OPP MID_M],OPPS_GbG[[TM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4.8888888888888893</v>
      </c>
      <c r="GN15" s="18">
        <f>IF($D15=0,"DNP",SUMIFS(OPPS_GbG[OPP MID_A],OPPS_GbG[[TM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10.666666666666666</v>
      </c>
      <c r="GO15" s="18">
        <f>IF($D15=0,"DNP",SUMIFS(OPPS_GbG[OPP 3C_M],OPPS_GbG[[TM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1.1111111111111112</v>
      </c>
      <c r="GP15" s="18">
        <f>IF($D15=0,"DNP",SUMIFS(OPPS_GbG[OPP 3C_A],OPPS_GbG[[TM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3.7777777777777777</v>
      </c>
      <c r="GQ15" s="18">
        <f>IF($D15=0,"DNP",SUMIFS(OPPS_GbG[OPP 3L_M],OPPS_GbG[[TM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7.4444444444444446</v>
      </c>
      <c r="GR15" s="18">
        <f>IF($D15=0,"DNP",SUMIFS(OPPS_GbG[OPP 3L_A],OPPS_GbG[[TM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24</v>
      </c>
      <c r="GS15" s="18">
        <f>IF($D15=0,"DNP",SUMIFS(OPPS_GbG[OPP 3H_M],OPPS_GbG[[TM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</v>
      </c>
      <c r="GT15" s="18">
        <f>IF($D15=0,"DNP",SUMIFS(OPPS_GbG[OPP 3H_A],OPPS_GbG[[TM NAME]:[TM NAME]],$C15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GAMES","&lt;1000",IF($F$3=BASIS_INFO!$T$3,"&lt;"&amp;BASIS_INFO!$B$11,IF($F$3=BASIS_INFO!$T$4,"&lt;"&amp;BASIS_INFO!$B$12,IF($F$3=BASIS_INFO!$T$5,"&lt;"&amp;BASIS_INFO!$B$13,IF($F$3=BASIS_INFO!$T$6,"&lt;"&amp;BASIS_INFO!$B$14))))))/IF($D$3="TOTAL",1,$D15))</f>
        <v>0.33333333333333331</v>
      </c>
    </row>
    <row r="16" spans="2:202" ht="15" customHeight="1" x14ac:dyDescent="0.25">
      <c r="B16" s="12">
        <f>_xlfn.AGGREGATE(3,5,$C$7:C15)</f>
        <v>9</v>
      </c>
      <c r="C16" s="14" t="str">
        <f>BASIS_INFO!F11</f>
        <v>Fenerbahce Beko Istanbul</v>
      </c>
      <c r="D16" s="20">
        <f>COUNTIFS(OPPS_GbG[[TM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6" s="20">
        <f>COUNTIFS(OPPS_GbG[[TM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5</v>
      </c>
      <c r="F16" s="20">
        <f>COUNTIFS(OPPS_GbG[[TM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4</v>
      </c>
      <c r="G16" s="18">
        <f>IF($D16=0,"DNP",SUMIFS(OPPS_GbG[MIN],OPPS_GbG[[TM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202.77777777777777</v>
      </c>
      <c r="H16" s="18">
        <f>IF($D16=0,"DNP",SUMIFS(OPPS_GbG[PTS],OPPS_GbG[[TM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78.666666666666671</v>
      </c>
      <c r="I16" s="18">
        <f>IF($D16=0,"DNP",SUMIFS(OPPS_GbG[2PTM],OPPS_GbG[[TM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21</v>
      </c>
      <c r="J16" s="18">
        <f>IF($D16=0,"DNP",SUMIFS(OPPS_GbG[2PTA],OPPS_GbG[[TM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40.222222222222221</v>
      </c>
      <c r="K16" s="16">
        <f t="shared" si="38"/>
        <v>0.52209944751381221</v>
      </c>
      <c r="L16" s="18">
        <f>IF($D16=0,"DNP",SUMIFS(OPPS_GbG[3PTM],OPPS_GbG[[TM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7.7777777777777777</v>
      </c>
      <c r="M16" s="18">
        <f>IF($D16=0,"DNP",SUMIFS(OPPS_GbG[3PTA],OPPS_GbG[[TM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22.777777777777779</v>
      </c>
      <c r="N16" s="16">
        <f t="shared" si="39"/>
        <v>0.34146341463414631</v>
      </c>
      <c r="O16" s="18">
        <f>IF($D16=0,"DNP",SUMIFS(OPPS_GbG[FGM],OPPS_GbG[[TM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28.777777777777779</v>
      </c>
      <c r="P16" s="18">
        <f>IF($D16=0,"DNP",SUMIFS(OPPS_GbG[FGA],OPPS_GbG[[TM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63</v>
      </c>
      <c r="Q16" s="16">
        <f t="shared" si="40"/>
        <v>0.45679012345679015</v>
      </c>
      <c r="R16" s="18">
        <f>IF($D16=0,"DNP",SUMIFS(OPPS_GbG[FTM],OPPS_GbG[[TM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13.333333333333334</v>
      </c>
      <c r="S16" s="18">
        <f>IF($D16=0,"DNP",SUMIFS(OPPS_GbG[FTA],OPPS_GbG[[TM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17.555555555555557</v>
      </c>
      <c r="T16" s="16">
        <f t="shared" si="41"/>
        <v>0.75949367088607589</v>
      </c>
      <c r="U16" s="18">
        <f>IF($D16=0,"DNP",SUMIFS(OPPS_GbG[OR],OPPS_GbG[[TM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12.111111111111111</v>
      </c>
      <c r="V16" s="18">
        <f>IF($D16=0,"DNP",SUMIFS(OPPS_GbG[DR],OPPS_GbG[[TM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24.111111111111111</v>
      </c>
      <c r="W16" s="18">
        <f>IF($D16=0,"DNP",SUMIFS(OPPS_GbG[TR],OPPS_GbG[[TM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36.222222222222221</v>
      </c>
      <c r="X16" s="18">
        <f>IF($D16=0,"DNP",SUMIFS(OPPS_GbG[AST],OPPS_GbG[[TM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16.666666666666668</v>
      </c>
      <c r="Y16" s="18">
        <f>IF($D16=0,"DNP",SUMIFS(OPPS_GbG[TO],OPPS_GbG[[TM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11.777777777777779</v>
      </c>
      <c r="Z16" s="18">
        <f>IF($D16=0,"DNP",SUMIFS(OPPS_GbG[ST],OPPS_GbG[[TM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</v>
      </c>
      <c r="AA16" s="18">
        <f>IF($D16=0,"DNP",SUMIFS(OPPS_GbG[BLK],OPPS_GbG[[TM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</v>
      </c>
      <c r="AB16" s="18">
        <f>IF($D16=0,"DNP",SUMIFS(OPPS_GbG[BLKA],OPPS_GbG[[TM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</v>
      </c>
      <c r="AC16" s="18">
        <f>IF($D16=0,"DNP",SUMIFS(OPPS_GbG[PF],OPPS_GbG[[TM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19.777777777777779</v>
      </c>
      <c r="AD16" s="18">
        <f>IF($D16=0,"DNP",SUMIFS(OPPS_GbG[DF],OPPS_GbG[[TM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20.888888888888889</v>
      </c>
      <c r="AE16" s="18">
        <f>IF($D16=0,"DNP",SUMIFS(OPPS_GbG[VAL],OPPS_GbG[[TM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87.444444444444443</v>
      </c>
      <c r="AF16" s="18">
        <f>IF($D16=0,"DNP",SUMIFS(OPPS_GbG[+ / -],OPPS_GbG[[TM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-0.33333333333333331</v>
      </c>
      <c r="AG16" s="26">
        <f t="shared" si="0"/>
        <v>69.150684931506859</v>
      </c>
      <c r="AH16" s="18">
        <f>IF($D16=0,"DNP",SUMIFS(OPPS_GbG[POSS],OPPS_GbG[[TM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70.111111111111114</v>
      </c>
      <c r="AI16" s="18">
        <f>IF($D16=0,"DNP",SUMIFS(OPPS_GbG[SHOOTING CHANCES],OPPS_GbG[[TM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82.333333333333329</v>
      </c>
      <c r="AJ16" s="19">
        <f t="shared" si="1"/>
        <v>0.95546558704453455</v>
      </c>
      <c r="AK16" s="19">
        <f t="shared" si="2"/>
        <v>0.9820441988950277</v>
      </c>
      <c r="AL16" s="18">
        <f t="shared" si="3"/>
        <v>112.202852614897</v>
      </c>
      <c r="AM16" s="18">
        <f t="shared" si="4"/>
        <v>112.5</v>
      </c>
      <c r="AN16" s="18">
        <f t="shared" si="42"/>
        <v>-0.29714738510300265</v>
      </c>
      <c r="AO16" s="27">
        <f t="shared" si="5"/>
        <v>0.51851851851851849</v>
      </c>
      <c r="AP16" s="28">
        <f t="shared" si="6"/>
        <v>0.55748031496063</v>
      </c>
      <c r="AQ16" s="34">
        <f t="shared" si="7"/>
        <v>0.15789473684210528</v>
      </c>
      <c r="AR16" s="38">
        <f t="shared" si="8"/>
        <v>1.4358974358974359</v>
      </c>
      <c r="AS16" s="27">
        <f t="shared" si="9"/>
        <v>0.23751686909581649</v>
      </c>
      <c r="AT16" s="38">
        <f t="shared" si="10"/>
        <v>0.88636363636363624</v>
      </c>
      <c r="AU16" s="27">
        <f t="shared" si="11"/>
        <v>9.3117408906882596E-2</v>
      </c>
      <c r="AV16" s="38">
        <f t="shared" si="12"/>
        <v>0.78260869565217384</v>
      </c>
      <c r="AW16" s="27">
        <f t="shared" si="13"/>
        <v>4.0485829959514177E-2</v>
      </c>
      <c r="AX16" s="38">
        <f t="shared" si="14"/>
        <v>1.5</v>
      </c>
      <c r="AY16" s="27">
        <f t="shared" si="15"/>
        <v>0.23481781376518218</v>
      </c>
      <c r="AZ16" s="38">
        <f t="shared" si="16"/>
        <v>0.94827586206896552</v>
      </c>
      <c r="BA16" s="28">
        <f t="shared" si="17"/>
        <v>9.1767881241565458E-2</v>
      </c>
      <c r="BB16" s="34">
        <f t="shared" si="18"/>
        <v>0.14324324324324325</v>
      </c>
      <c r="BC16" s="27">
        <f t="shared" si="19"/>
        <v>0.46439628482972123</v>
      </c>
      <c r="BD16" s="27">
        <f t="shared" si="20"/>
        <v>0.46031746031746029</v>
      </c>
      <c r="BE16" s="27">
        <f t="shared" si="21"/>
        <v>0.7142857142857143</v>
      </c>
      <c r="BF16" s="27">
        <f t="shared" si="22"/>
        <v>0.203125</v>
      </c>
      <c r="BG16" s="27">
        <f t="shared" si="23"/>
        <v>0.20270270270270271</v>
      </c>
      <c r="BH16" s="35">
        <f t="shared" si="24"/>
        <v>1.4150943396226414</v>
      </c>
      <c r="BI16" s="34">
        <f t="shared" si="25"/>
        <v>0.34824281150159742</v>
      </c>
      <c r="BJ16" s="27">
        <f t="shared" si="26"/>
        <v>0.37912087912087922</v>
      </c>
      <c r="BK16" s="27">
        <f t="shared" si="27"/>
        <v>0.32846715328467146</v>
      </c>
      <c r="BL16" s="27">
        <f t="shared" si="28"/>
        <v>0.22222222222222221</v>
      </c>
      <c r="BM16" s="27">
        <f t="shared" si="29"/>
        <v>0.70454545454545459</v>
      </c>
      <c r="BN16" s="27">
        <f t="shared" si="30"/>
        <v>0.69230769230769229</v>
      </c>
      <c r="BO16" s="27">
        <f t="shared" si="31"/>
        <v>0.69189189189189193</v>
      </c>
      <c r="BP16" s="27">
        <f t="shared" si="32"/>
        <v>0.76923076923076916</v>
      </c>
      <c r="BQ16" s="28">
        <f t="shared" si="33"/>
        <v>0.5249597423510467</v>
      </c>
      <c r="BR16" s="34">
        <f t="shared" si="34"/>
        <v>8.5443037974683542E-2</v>
      </c>
      <c r="BS16" s="27">
        <f t="shared" si="35"/>
        <v>3.1914893617021281E-2</v>
      </c>
      <c r="BT16" s="39">
        <f>IF($D16=0,"DNP",SUMIFS(OPPS_GbG[KILLS],OPPS_GbG[[TM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4.1111111111111107</v>
      </c>
      <c r="BU16" s="34">
        <f t="shared" si="36"/>
        <v>0.38764044943820225</v>
      </c>
      <c r="BV16" s="28">
        <f t="shared" si="37"/>
        <v>0.42553191489361702</v>
      </c>
      <c r="BW16" s="18">
        <f>IF($D16=0,"DNP",SUMIFS(OPPS_GbG[ASTED_2FG],OPPS_GbG[[TM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9.6666666666666661</v>
      </c>
      <c r="BX16" s="18">
        <f>IF($D16=0,"DNP",SUMIFS(OPPS_GbG[ASTED_3FG],OPPS_GbG[[TM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5.5555555555555554</v>
      </c>
      <c r="BY16" s="18">
        <f>IF($D16=0,"DNP",SUMIFS(OPPS_GbG[ASTED_FT],OPPS_GbG[[TM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1.4444444444444444</v>
      </c>
      <c r="BZ16" s="18">
        <f>IF($D16=0,"DNP",SUMIFS(OPPS_GbG[ASTED_FT PTS],OPPS_GbG[[TM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</v>
      </c>
      <c r="CA16" s="18">
        <f>IF($D16=0,"DNP",SUMIFS(OPPS_GbG[OR_RIM],OPPS_GbG[[TM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1.3333333333333333</v>
      </c>
      <c r="CB16" s="18">
        <f>IF($D16=0,"DNP",SUMIFS(OPPS_GbG[TM OR_RIM],OPPS_GbG[[TM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CC16" s="18">
        <f>IF($D16=0,"DNP",SUMIFS(OPPS_GbG[OR_PAINT],OPPS_GbG[[TM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4.2222222222222223</v>
      </c>
      <c r="CD16" s="18">
        <f>IF($D16=0,"DNP",SUMIFS(OPPS_GbG[TM OR_PAINT],OPPS_GbG[[TM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CE16" s="18">
        <f>IF($D16=0,"DNP",SUMIFS(OPPS_GbG[OR_NP2],OPPS_GbG[[TM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1.1111111111111112</v>
      </c>
      <c r="CF16" s="18">
        <f>IF($D16=0,"DNP",SUMIFS(OPPS_GbG[TM OR_NP2],OPPS_GbG[[TM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CG16" s="18">
        <f>IF($D16=0,"DNP",SUMIFS(OPPS_GbG[OR_3C],OPPS_GbG[[TM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CH16" s="18">
        <f>IF($D16=0,"DNP",SUMIFS(OPPS_GbG[TM OR_3C],OPPS_GbG[[TM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CI16" s="18">
        <f>IF($D16=0,"DNP",SUMIFS(OPPS_GbG[OR_3L],OPPS_GbG[[TM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4.1111111111111107</v>
      </c>
      <c r="CJ16" s="18">
        <f>IF($D16=0,"DNP",SUMIFS(OPPS_GbG[TM OR_3L],OPPS_GbG[[TM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CK16" s="18">
        <f>IF($D16=0,"DNP",SUMIFS(OPPS_GbG[OR_FT],OPPS_GbG[[TM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CL16" s="18">
        <f>IF($D16=0,"DNP",SUMIFS(OPPS_GbG[TM OR_FT],OPPS_GbG[[TM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CM16" s="18">
        <f>IF($D16=0,"DNP",SUMIFS(OPPS_GbG[DR_RIM],OPPS_GbG[[TM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CN16" s="18">
        <f>IF($D16=0,"DNP",SUMIFS(OPPS_GbG[TM DR_RIM],OPPS_GbG[[TM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CO16" s="18">
        <f>IF($D16=0,"DNP",SUMIFS(OPPS_GbG[DR_PAINT],OPPS_GbG[[TM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6.4444444444444446</v>
      </c>
      <c r="CP16" s="18">
        <f>IF($D16=0,"DNP",SUMIFS(OPPS_GbG[TM DR_PAINT],OPPS_GbG[[TM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CQ16" s="18">
        <f>IF($D16=0,"DNP",SUMIFS(OPPS_GbG[DR_NP2],OPPS_GbG[[TM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3.3333333333333335</v>
      </c>
      <c r="CR16" s="18">
        <f>IF($D16=0,"DNP",SUMIFS(OPPS_GbG[TM DR_NP2],OPPS_GbG[[TM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CS16" s="18">
        <f>IF($D16=0,"DNP",SUMIFS(OPPS_GbG[DR_3C],OPPS_GbG[[TM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2.1111111111111112</v>
      </c>
      <c r="CT16" s="18">
        <f>IF($D16=0,"DNP",SUMIFS(OPPS_GbG[TM DR_3C],OPPS_GbG[[TM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CU16" s="18">
        <f>IF($D16=0,"DNP",SUMIFS(OPPS_GbG[DR_3L],OPPS_GbG[[TM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10.222222222222221</v>
      </c>
      <c r="CV16" s="18">
        <f>IF($D16=0,"DNP",SUMIFS(OPPS_GbG[TM DR_3L],OPPS_GbG[[TM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1.6666666666666667</v>
      </c>
      <c r="CW16" s="18">
        <f>IF($D16=0,"DNP",SUMIFS(OPPS_GbG[DR_FT],OPPS_GbG[[TM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1.1111111111111112</v>
      </c>
      <c r="CX16" s="18">
        <f>IF($D16=0,"DNP",SUMIFS(OPPS_GbG[TM DR_FT],OPPS_GbG[[TM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CY16" s="18">
        <f>IF($D16=0,"DNP",SUMIFS(OPPS_GbG[FTM_T],OPPS_GbG[[TM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CZ16" s="18">
        <f>IF($D16=0,"DNP",SUMIFS(OPPS_GbG[FTA_T],OPPS_GbG[[TM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DA16" s="18">
        <f>IF($D16=0,"DNP",SUMIFS(OPPS_GbG[FTM_1],OPPS_GbG[[TM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DB16" s="18">
        <f>IF($D16=0,"DNP",SUMIFS(OPPS_GbG[FTA_1],OPPS_GbG[[TM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1.3333333333333333</v>
      </c>
      <c r="DC16" s="18">
        <f>IF($D16=0,"DNP",SUMIFS(OPPS_GbG[FTM_2],OPPS_GbG[[TM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10.333333333333334</v>
      </c>
      <c r="DD16" s="18">
        <f>IF($D16=0,"DNP",SUMIFS(OPPS_GbG[FTA_2],OPPS_GbG[[TM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14</v>
      </c>
      <c r="DE16" s="18">
        <f>IF($D16=0,"DNP",SUMIFS(OPPS_GbG[FT 0/2],OPPS_GbG[[TM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DF16" s="18">
        <f>IF($D16=0,"DNP",SUMIFS(OPPS_GbG[FTM_3],OPPS_GbG[[TM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1.6666666666666667</v>
      </c>
      <c r="DG16" s="18">
        <f>IF($D16=0,"DNP",SUMIFS(OPPS_GbG[FTA_3],OPPS_GbG[[TM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1.6666666666666667</v>
      </c>
      <c r="DH16" s="18">
        <f>IF($D16=0,"DNP",SUMIFS(OPPS_GbG[FT 0/3],OPPS_GbG[[TM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DI16" s="18">
        <f>IF($D16=0,"DNP",SUMIFS(OPPS_GbG[RIM_M],OPPS_GbG[[TM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9.3333333333333339</v>
      </c>
      <c r="DJ16" s="18">
        <f>IF($D16=0,"DNP",SUMIFS(OPPS_GbG[RIM_A],OPPS_GbG[[TM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13</v>
      </c>
      <c r="DK16" s="18">
        <f>IF($D16=0,"DNP",SUMIFS(OPPS_GbG[PAINT_M],OPPS_GbG[[TM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8.6666666666666661</v>
      </c>
      <c r="DL16" s="18">
        <f>IF($D16=0,"DNP",SUMIFS(OPPS_GbG[PAINT_A],OPPS_GbG[[TM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19.555555555555557</v>
      </c>
      <c r="DM16" s="18">
        <f>IF($D16=0,"DNP",SUMIFS(OPPS_GbG[MID_M],OPPS_GbG[[TM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</v>
      </c>
      <c r="DN16" s="18">
        <f>IF($D16=0,"DNP",SUMIFS(OPPS_GbG[MID_A],OPPS_GbG[[TM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7.666666666666667</v>
      </c>
      <c r="DO16" s="18">
        <f>IF($D16=0,"DNP",SUMIFS(OPPS_GbG[3C_M],OPPS_GbG[[TM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1.6666666666666667</v>
      </c>
      <c r="DP16" s="18">
        <f>IF($D16=0,"DNP",SUMIFS(OPPS_GbG[3C_A],OPPS_GbG[[TM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3.3333333333333335</v>
      </c>
      <c r="DQ16" s="18">
        <f>IF($D16=0,"DNP",SUMIFS(OPPS_GbG[3L_M],OPPS_GbG[[TM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6.1111111111111107</v>
      </c>
      <c r="DR16" s="18">
        <f>IF($D16=0,"DNP",SUMIFS(OPPS_GbG[3L_A],OPPS_GbG[[TM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19.333333333333332</v>
      </c>
      <c r="DS16" s="18">
        <f>IF($D16=0,"DNP",SUMIFS(OPPS_GbG[3H_M],OPPS_GbG[[TM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DT16" s="18">
        <f>IF($D16=0,"DNP",SUMIFS(OPPS_GbG[3H_A],OPPS_GbG[[TM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DU16" s="18">
        <f>IF($D16=0,"DNP",SUMIFS(OPPS_GbG[OPP PTS],OPPS_GbG[[TM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79</v>
      </c>
      <c r="DV16" s="18">
        <f>IF($D16=0,"DNP",SUMIFS(OPPS_GbG[OPP 2PTM],OPPS_GbG[[TM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17.666666666666668</v>
      </c>
      <c r="DW16" s="18">
        <f>IF($D16=0,"DNP",SUMIFS(OPPS_GbG[OPP 2PTA],OPPS_GbG[[TM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32.666666666666664</v>
      </c>
      <c r="DX16" s="16">
        <f t="shared" si="43"/>
        <v>0.54081632653061229</v>
      </c>
      <c r="DY16" s="18">
        <f>IF($D16=0,"DNP",SUMIFS(OPPS_GbG[OPP 3PTM],OPPS_GbG[[TM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10.777777777777779</v>
      </c>
      <c r="DZ16" s="18">
        <f>IF($D16=0,"DNP",SUMIFS(OPPS_GbG[OPP 3PTA],OPPS_GbG[[TM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30</v>
      </c>
      <c r="EA16" s="16">
        <f t="shared" si="44"/>
        <v>0.35925925925925928</v>
      </c>
      <c r="EB16" s="18">
        <f>IF($D16=0,"DNP",SUMIFS(OPPS_GbG[OPP FGM],OPPS_GbG[[TM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28.444444444444443</v>
      </c>
      <c r="EC16" s="18">
        <f>IF($D16=0,"DNP",SUMIFS(OPPS_GbG[OPP FGA],OPPS_GbG[[TM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62.666666666666664</v>
      </c>
      <c r="ED16" s="16">
        <f t="shared" si="45"/>
        <v>0.45390070921985815</v>
      </c>
      <c r="EE16" s="18">
        <f>IF($D16=0,"DNP",SUMIFS(OPPS_GbG[OPP FTM],OPPS_GbG[[TM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11.333333333333334</v>
      </c>
      <c r="EF16" s="18">
        <f>IF($D16=0,"DNP",SUMIFS(OPPS_GbG[OPP FTA],OPPS_GbG[[TM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14.888888888888889</v>
      </c>
      <c r="EG16" s="16">
        <f t="shared" si="46"/>
        <v>0.76119402985074625</v>
      </c>
      <c r="EH16" s="18">
        <f>IF($D16=0,"DNP",SUMIFS(OPPS_GbG[OPP OR],OPPS_GbG[[TM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10.111111111111111</v>
      </c>
      <c r="EI16" s="18">
        <f>IF($D16=0,"DNP",SUMIFS(OPPS_GbG[OPP DR],OPPS_GbG[[TM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22.666666666666668</v>
      </c>
      <c r="EJ16" s="18">
        <f>IF($D16=0,"DNP",SUMIFS(OPPS_GbG[OPP TR],OPPS_GbG[[TM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32.777777777777779</v>
      </c>
      <c r="EK16" s="18">
        <f>IF($D16=0,"DNP",SUMIFS(OPPS_GbG[OPP AST],OPPS_GbG[[TM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16.333333333333332</v>
      </c>
      <c r="EL16" s="18">
        <f>IF($D16=0,"DNP",SUMIFS(OPPS_GbG[OPP PF],OPPS_GbG[[TM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21.666666666666668</v>
      </c>
      <c r="EM16" s="18">
        <f>IF($D16=0,"DNP",SUMIFS(OPPS_GbG[OPP DF],OPPS_GbG[[TM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19.555555555555557</v>
      </c>
      <c r="EN16" s="18">
        <f>IF($D16=0,"DNP",SUMIFS(OPPS_GbG[OPP ST],OPPS_GbG[[TM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4.8888888888888893</v>
      </c>
      <c r="EO16" s="18">
        <f>IF($D16=0,"DNP",SUMIFS(OPPS_GbG[OPP TO],OPPS_GbG[[TM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11.333333333333334</v>
      </c>
      <c r="EP16" s="18">
        <f>IF($D16=0,"DNP",SUMIFS(OPPS_GbG[OPP BLK],OPPS_GbG[[TM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</v>
      </c>
      <c r="EQ16" s="18">
        <f>IF($D16=0,"DNP",SUMIFS(OPPS_GbG[OPP BLKA],OPPS_GbG[[TM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</v>
      </c>
      <c r="ER16" s="18">
        <f>IF($D16=0,"DNP",SUMIFS(OPPS_GbG[OPP VAL],OPPS_GbG[[TM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82.777777777777771</v>
      </c>
      <c r="ES16" s="18">
        <f>IF($D16=0,"DNP",SUMIFS(OPPS_GbG[OPP + / -],OPPS_GbG[[TM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ET16" s="18">
        <f>IF($D16=0,"DNP",SUMIFS(OPPS_GbG[OPP POSS],OPPS_GbG[[TM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70.222222222222229</v>
      </c>
      <c r="EU16" s="18">
        <f>IF($D16=0,"DNP",SUMIFS(OPPS_GbG[OPP SHOOTING CHANCES],OPPS_GbG[[TM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80.444444444444443</v>
      </c>
      <c r="EV16" s="18">
        <f>IF($D16=0,"DNP",SUMIFS(OPPS_GbG[OPP KILLS],OPPS_GbG[[TM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4.4444444444444446</v>
      </c>
      <c r="EW16" s="18">
        <f>IF($D16=0,"DNP",SUMIFS(OPPS_GbG[OPP ASTED_2FG],OPPS_GbG[[TM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8.4444444444444446</v>
      </c>
      <c r="EX16" s="18">
        <f>IF($D16=0,"DNP",SUMIFS(OPPS_GbG[OPP ASTED_3FG],OPPS_GbG[[TM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7.1111111111111107</v>
      </c>
      <c r="EY16" s="18">
        <f>IF($D16=0,"DNP",SUMIFS(OPPS_GbG[OPP ASTED_FT],OPPS_GbG[[TM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EZ16" s="18">
        <f>IF($D16=0,"DNP",SUMIFS(OPPS_GbG[OPP ASTED_FT PTS],OPPS_GbG[[TM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0.88888888888888884</v>
      </c>
      <c r="FA16" s="18">
        <f>IF($D16=0,"DNP",SUMIFS(OPPS_GbG[OPP OR_RIM],OPPS_GbG[[TM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1.2222222222222223</v>
      </c>
      <c r="FB16" s="18">
        <f>IF($D16=0,"DNP",SUMIFS(OPPS_GbG[OPP TM OR_RIM],OPPS_GbG[[TM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FC16" s="18">
        <f>IF($D16=0,"DNP",SUMIFS(OPPS_GbG[OPP OR_PAINT],OPPS_GbG[[TM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2.3333333333333335</v>
      </c>
      <c r="FD16" s="18">
        <f>IF($D16=0,"DNP",SUMIFS(OPPS_GbG[OPP TM OR_PAINT],OPPS_GbG[[TM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FE16" s="18">
        <f>IF($D16=0,"DNP",SUMIFS(OPPS_GbG[OPP OR_NP2],OPPS_GbG[[TM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FF16" s="18">
        <f>IF($D16=0,"DNP",SUMIFS(OPPS_GbG[OPP TM OR_NP2],OPPS_GbG[[TM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FG16" s="18">
        <f>IF($D16=0,"DNP",SUMIFS(OPPS_GbG[OPP OR_3C],OPPS_GbG[[TM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  <c r="FH16" s="18">
        <f>IF($D16=0,"DNP",SUMIFS(OPPS_GbG[OPP TM OR_3C],OPPS_GbG[[TM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FI16" s="18">
        <f>IF($D16=0,"DNP",SUMIFS(OPPS_GbG[OPP OR_3L],OPPS_GbG[[TM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4.8888888888888893</v>
      </c>
      <c r="FJ16" s="18">
        <f>IF($D16=0,"DNP",SUMIFS(OPPS_GbG[OPP TM OR_3L],OPPS_GbG[[TM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0.66666666666666663</v>
      </c>
      <c r="FK16" s="18">
        <f>IF($D16=0,"DNP",SUMIFS(OPPS_GbG[OPP OR_FT],OPPS_GbG[[TM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FL16" s="18">
        <f>IF($D16=0,"DNP",SUMIFS(OPPS_GbG[OPP TM OR_FT],OPPS_GbG[[TM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FM16" s="18">
        <f>IF($D16=0,"DNP",SUMIFS(OPPS_GbG[OPP DR_RIM],OPPS_GbG[[TM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2.1111111111111112</v>
      </c>
      <c r="FN16" s="18">
        <f>IF($D16=0,"DNP",SUMIFS(OPPS_GbG[OPP TM DR_RIM],OPPS_GbG[[TM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FO16" s="18">
        <f>IF($D16=0,"DNP",SUMIFS(OPPS_GbG[OPP DR_PAINT],OPPS_GbG[[TM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6.333333333333333</v>
      </c>
      <c r="FP16" s="18">
        <f>IF($D16=0,"DNP",SUMIFS(OPPS_GbG[OPP TM DR_PAINT],OPPS_GbG[[TM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FQ16" s="18">
        <f>IF($D16=0,"DNP",SUMIFS(OPPS_GbG[OPP DR_NP2],OPPS_GbG[[TM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3.3333333333333335</v>
      </c>
      <c r="FR16" s="18">
        <f>IF($D16=0,"DNP",SUMIFS(OPPS_GbG[OPP TM DR_NP2],OPPS_GbG[[TM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FS16" s="18">
        <f>IF($D16=0,"DNP",SUMIFS(OPPS_GbG[OPP DR_3C],OPPS_GbG[[TM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1.2222222222222223</v>
      </c>
      <c r="FT16" s="18">
        <f>IF($D16=0,"DNP",SUMIFS(OPPS_GbG[OPP TM DR_3C],OPPS_GbG[[TM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0.22222222222222221</v>
      </c>
      <c r="FU16" s="18">
        <f>IF($D16=0,"DNP",SUMIFS(OPPS_GbG[OPP DR_3L],OPPS_GbG[[TM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</v>
      </c>
      <c r="FV16" s="18">
        <f>IF($D16=0,"DNP",SUMIFS(OPPS_GbG[OPP TM DR_3L],OPPS_GbG[[TM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0.77777777777777779</v>
      </c>
      <c r="FW16" s="18">
        <f>IF($D16=0,"DNP",SUMIFS(OPPS_GbG[OPP DR_FT],OPPS_GbG[[TM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1.4444444444444444</v>
      </c>
      <c r="FX16" s="18">
        <f>IF($D16=0,"DNP",SUMIFS(OPPS_GbG[OPP TM DR_FT],OPPS_GbG[[TM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0.1111111111111111</v>
      </c>
      <c r="FY16" s="18">
        <f>IF($D16=0,"DNP",SUMIFS(OPPS_GbG[OPP FTM_T],OPPS_GbG[[TM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FZ16" s="18">
        <f>IF($D16=0,"DNP",SUMIFS(OPPS_GbG[OPP FTA_T],OPPS_GbG[[TM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0.33333333333333331</v>
      </c>
      <c r="GA16" s="18">
        <f>IF($D16=0,"DNP",SUMIFS(OPPS_GbG[OPP FTM_1],OPPS_GbG[[TM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</v>
      </c>
      <c r="GB16" s="18">
        <f>IF($D16=0,"DNP",SUMIFS(OPPS_GbG[OPP FTA_1],OPPS_GbG[[TM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1.2222222222222223</v>
      </c>
      <c r="GC16" s="18">
        <f>IF($D16=0,"DNP",SUMIFS(OPPS_GbG[OPP FTM_2],OPPS_GbG[[TM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9</v>
      </c>
      <c r="GD16" s="18">
        <f>IF($D16=0,"DNP",SUMIFS(OPPS_GbG[OPP FTA_2],OPPS_GbG[[TM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12</v>
      </c>
      <c r="GE16" s="18">
        <f>IF($D16=0,"DNP",SUMIFS(OPPS_GbG[OPP FT 0/2],OPPS_GbG[[TM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0.44444444444444442</v>
      </c>
      <c r="GF16" s="18">
        <f>IF($D16=0,"DNP",SUMIFS(OPPS_GbG[OPP FTM_3],OPPS_GbG[[TM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1.3333333333333333</v>
      </c>
      <c r="GG16" s="18">
        <f>IF($D16=0,"DNP",SUMIFS(OPPS_GbG[OPP FTA_3],OPPS_GbG[[TM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1.3333333333333333</v>
      </c>
      <c r="GH16" s="18">
        <f>IF($D16=0,"DNP",SUMIFS(OPPS_GbG[OPP FT 0/3],OPPS_GbG[[TM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GI16" s="18">
        <f>IF($D16=0,"DNP",SUMIFS(OPPS_GbG[OPP RIM_M],OPPS_GbG[[TM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9.2222222222222214</v>
      </c>
      <c r="GJ16" s="18">
        <f>IF($D16=0,"DNP",SUMIFS(OPPS_GbG[OPP RIM_A],OPPS_GbG[[TM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11.222222222222221</v>
      </c>
      <c r="GK16" s="18">
        <f>IF($D16=0,"DNP",SUMIFS(OPPS_GbG[OPP PAINT_M],OPPS_GbG[[TM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5.8888888888888893</v>
      </c>
      <c r="GL16" s="18">
        <f>IF($D16=0,"DNP",SUMIFS(OPPS_GbG[OPP PAINT_A],OPPS_GbG[[TM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14.777777777777779</v>
      </c>
      <c r="GM16" s="18">
        <f>IF($D16=0,"DNP",SUMIFS(OPPS_GbG[OPP MID_M],OPPS_GbG[[TM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2.5555555555555554</v>
      </c>
      <c r="GN16" s="18">
        <f>IF($D16=0,"DNP",SUMIFS(OPPS_GbG[OPP MID_A],OPPS_GbG[[TM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6.666666666666667</v>
      </c>
      <c r="GO16" s="18">
        <f>IF($D16=0,"DNP",SUMIFS(OPPS_GbG[OPP 3C_M],OPPS_GbG[[TM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1.8888888888888888</v>
      </c>
      <c r="GP16" s="18">
        <f>IF($D16=0,"DNP",SUMIFS(OPPS_GbG[OPP 3C_A],OPPS_GbG[[TM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4.5555555555555554</v>
      </c>
      <c r="GQ16" s="18">
        <f>IF($D16=0,"DNP",SUMIFS(OPPS_GbG[OPP 3L_M],OPPS_GbG[[TM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8.7777777777777786</v>
      </c>
      <c r="GR16" s="18">
        <f>IF($D16=0,"DNP",SUMIFS(OPPS_GbG[OPP 3L_A],OPPS_GbG[[TM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24.777777777777779</v>
      </c>
      <c r="GS16" s="18">
        <f>IF($D16=0,"DNP",SUMIFS(OPPS_GbG[OPP 3H_M],OPPS_GbG[[TM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</v>
      </c>
      <c r="GT16" s="18">
        <f>IF($D16=0,"DNP",SUMIFS(OPPS_GbG[OPP 3H_A],OPPS_GbG[[TM NAME]:[TM NAME]],$C16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GAMES","&lt;1000",IF($F$3=BASIS_INFO!$T$3,"&lt;"&amp;BASIS_INFO!$B$11,IF($F$3=BASIS_INFO!$T$4,"&lt;"&amp;BASIS_INFO!$B$12,IF($F$3=BASIS_INFO!$T$5,"&lt;"&amp;BASIS_INFO!$B$13,IF($F$3=BASIS_INFO!$T$6,"&lt;"&amp;BASIS_INFO!$B$14))))))/IF($D$3="TOTAL",1,$D16))</f>
        <v>0.55555555555555558</v>
      </c>
    </row>
    <row r="17" spans="2:202" ht="15" customHeight="1" x14ac:dyDescent="0.25">
      <c r="B17" s="12">
        <f>_xlfn.AGGREGATE(3,5,$C$7:C16)</f>
        <v>10</v>
      </c>
      <c r="C17" s="14" t="str">
        <f>BASIS_INFO!F12</f>
        <v>LDLC ASVEL Villeurbanne</v>
      </c>
      <c r="D17" s="20">
        <f>COUNTIFS(OPPS_GbG[[TM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7" s="20">
        <f>COUNTIFS(OPPS_GbG[[TM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2</v>
      </c>
      <c r="F17" s="20">
        <f>COUNTIFS(OPPS_GbG[[TM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7</v>
      </c>
      <c r="G17" s="18">
        <f>IF($D17=0,"DNP",SUMIFS(OPPS_GbG[MIN],OPPS_GbG[[TM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200</v>
      </c>
      <c r="H17" s="18">
        <f>IF($D17=0,"DNP",SUMIFS(OPPS_GbG[PTS],OPPS_GbG[[TM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87</v>
      </c>
      <c r="I17" s="18">
        <f>IF($D17=0,"DNP",SUMIFS(OPPS_GbG[2PTM],OPPS_GbG[[TM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19.444444444444443</v>
      </c>
      <c r="J17" s="18">
        <f>IF($D17=0,"DNP",SUMIFS(OPPS_GbG[2PTA],OPPS_GbG[[TM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34.111111111111114</v>
      </c>
      <c r="K17" s="16">
        <f t="shared" si="38"/>
        <v>0.5700325732899022</v>
      </c>
      <c r="L17" s="18">
        <f>IF($D17=0,"DNP",SUMIFS(OPPS_GbG[3PTM],OPPS_GbG[[TM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11.444444444444445</v>
      </c>
      <c r="M17" s="18">
        <f>IF($D17=0,"DNP",SUMIFS(OPPS_GbG[3PTA],OPPS_GbG[[TM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30.111111111111111</v>
      </c>
      <c r="N17" s="16">
        <f t="shared" si="39"/>
        <v>0.38007380073800739</v>
      </c>
      <c r="O17" s="18">
        <f>IF($D17=0,"DNP",SUMIFS(OPPS_GbG[FGM],OPPS_GbG[[TM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30.888888888888889</v>
      </c>
      <c r="P17" s="18">
        <f>IF($D17=0,"DNP",SUMIFS(OPPS_GbG[FGA],OPPS_GbG[[TM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64.222222222222229</v>
      </c>
      <c r="Q17" s="16">
        <f t="shared" si="40"/>
        <v>0.48096885813148788</v>
      </c>
      <c r="R17" s="18">
        <f>IF($D17=0,"DNP",SUMIFS(OPPS_GbG[FTM],OPPS_GbG[[TM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13.777777777777779</v>
      </c>
      <c r="S17" s="18">
        <f>IF($D17=0,"DNP",SUMIFS(OPPS_GbG[FTA],OPPS_GbG[[TM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15.777777777777779</v>
      </c>
      <c r="T17" s="16">
        <f t="shared" si="41"/>
        <v>0.87323943661971837</v>
      </c>
      <c r="U17" s="18">
        <f>IF($D17=0,"DNP",SUMIFS(OPPS_GbG[OR],OPPS_GbG[[TM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11</v>
      </c>
      <c r="V17" s="18">
        <f>IF($D17=0,"DNP",SUMIFS(OPPS_GbG[DR],OPPS_GbG[[TM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23.666666666666668</v>
      </c>
      <c r="W17" s="18">
        <f>IF($D17=0,"DNP",SUMIFS(OPPS_GbG[TR],OPPS_GbG[[TM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34.666666666666664</v>
      </c>
      <c r="X17" s="18">
        <f>IF($D17=0,"DNP",SUMIFS(OPPS_GbG[AST],OPPS_GbG[[TM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19.111111111111111</v>
      </c>
      <c r="Y17" s="18">
        <f>IF($D17=0,"DNP",SUMIFS(OPPS_GbG[TO],OPPS_GbG[[TM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11.222222222222221</v>
      </c>
      <c r="Z17" s="18">
        <f>IF($D17=0,"DNP",SUMIFS(OPPS_GbG[ST],OPPS_GbG[[TM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7.8888888888888893</v>
      </c>
      <c r="AA17" s="18">
        <f>IF($D17=0,"DNP",SUMIFS(OPPS_GbG[BLK],OPPS_GbG[[TM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2.6666666666666665</v>
      </c>
      <c r="AB17" s="18">
        <f>IF($D17=0,"DNP",SUMIFS(OPPS_GbG[BLKA],OPPS_GbG[[TM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1.5555555555555556</v>
      </c>
      <c r="AC17" s="18">
        <f>IF($D17=0,"DNP",SUMIFS(OPPS_GbG[PF],OPPS_GbG[[TM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20</v>
      </c>
      <c r="AD17" s="18">
        <f>IF($D17=0,"DNP",SUMIFS(OPPS_GbG[DF],OPPS_GbG[[TM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16.111111111111111</v>
      </c>
      <c r="AE17" s="18">
        <f>IF($D17=0,"DNP",SUMIFS(OPPS_GbG[VAL],OPPS_GbG[[TM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99.333333333333329</v>
      </c>
      <c r="AF17" s="18">
        <f>IF($D17=0,"DNP",SUMIFS(OPPS_GbG[+ / -],OPPS_GbG[[TM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8.7777777777777786</v>
      </c>
      <c r="AG17" s="26">
        <f t="shared" si="0"/>
        <v>70.888888888888886</v>
      </c>
      <c r="AH17" s="18">
        <f>IF($D17=0,"DNP",SUMIFS(OPPS_GbG[POSS],OPPS_GbG[[TM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70.888888888888886</v>
      </c>
      <c r="AI17" s="18">
        <f>IF($D17=0,"DNP",SUMIFS(OPPS_GbG[SHOOTING CHANCES],OPPS_GbG[[TM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81.888888888888886</v>
      </c>
      <c r="AJ17" s="19">
        <f t="shared" si="1"/>
        <v>1.0624151967435549</v>
      </c>
      <c r="AK17" s="19">
        <f t="shared" si="2"/>
        <v>0.95912806539509543</v>
      </c>
      <c r="AL17" s="18">
        <f t="shared" si="3"/>
        <v>122.72727272727273</v>
      </c>
      <c r="AM17" s="18">
        <f t="shared" si="4"/>
        <v>109.65732087227416</v>
      </c>
      <c r="AN17" s="18">
        <f t="shared" si="42"/>
        <v>13.069951854998578</v>
      </c>
      <c r="AO17" s="27">
        <f t="shared" si="5"/>
        <v>0.57006920415224915</v>
      </c>
      <c r="AP17" s="28">
        <f t="shared" si="6"/>
        <v>0.61556603773584906</v>
      </c>
      <c r="AQ17" s="34">
        <f t="shared" si="7"/>
        <v>0.13839891451831751</v>
      </c>
      <c r="AR17" s="38">
        <f t="shared" si="8"/>
        <v>1.6666666666666665</v>
      </c>
      <c r="AS17" s="27">
        <f t="shared" si="9"/>
        <v>0.19267299864314791</v>
      </c>
      <c r="AT17" s="38">
        <f t="shared" si="10"/>
        <v>0.85915492957746475</v>
      </c>
      <c r="AU17" s="27">
        <f t="shared" si="11"/>
        <v>8.5481682496607869E-2</v>
      </c>
      <c r="AV17" s="38">
        <f t="shared" si="12"/>
        <v>0.92063492063492069</v>
      </c>
      <c r="AW17" s="27">
        <f t="shared" si="13"/>
        <v>4.4776119402985072E-2</v>
      </c>
      <c r="AX17" s="38">
        <f t="shared" si="14"/>
        <v>1.4545454545454546</v>
      </c>
      <c r="AY17" s="27">
        <f t="shared" si="15"/>
        <v>0.31886024423337855</v>
      </c>
      <c r="AZ17" s="38">
        <f t="shared" si="16"/>
        <v>1.1106382978723404</v>
      </c>
      <c r="BA17" s="28">
        <f t="shared" si="17"/>
        <v>7.8697421981004073E-2</v>
      </c>
      <c r="BB17" s="34">
        <f t="shared" si="18"/>
        <v>0.13704206241519673</v>
      </c>
      <c r="BC17" s="27">
        <f t="shared" si="19"/>
        <v>0.5135135135135136</v>
      </c>
      <c r="BD17" s="27">
        <f t="shared" si="20"/>
        <v>0.44</v>
      </c>
      <c r="BE17" s="27">
        <f t="shared" si="21"/>
        <v>0.73786407766990292</v>
      </c>
      <c r="BF17" s="27">
        <f t="shared" si="22"/>
        <v>0.32727272727272727</v>
      </c>
      <c r="BG17" s="27">
        <f t="shared" si="23"/>
        <v>0.23337856173677068</v>
      </c>
      <c r="BH17" s="35">
        <f t="shared" si="24"/>
        <v>1.7029702970297032</v>
      </c>
      <c r="BI17" s="34">
        <f t="shared" si="25"/>
        <v>0.32673267326732669</v>
      </c>
      <c r="BJ17" s="27">
        <f t="shared" si="26"/>
        <v>0.3611111111111111</v>
      </c>
      <c r="BK17" s="27">
        <f t="shared" si="27"/>
        <v>0.34574468085106386</v>
      </c>
      <c r="BL17" s="27">
        <f t="shared" si="28"/>
        <v>0.27272727272727276</v>
      </c>
      <c r="BM17" s="27">
        <f t="shared" si="29"/>
        <v>0.70065789473684215</v>
      </c>
      <c r="BN17" s="27">
        <f t="shared" si="30"/>
        <v>0.65536723163841804</v>
      </c>
      <c r="BO17" s="27">
        <f t="shared" si="31"/>
        <v>0.70542635658914732</v>
      </c>
      <c r="BP17" s="27">
        <f t="shared" si="32"/>
        <v>0.86363636363636354</v>
      </c>
      <c r="BQ17" s="28">
        <f t="shared" si="33"/>
        <v>0.51400329489291596</v>
      </c>
      <c r="BR17" s="34">
        <f t="shared" si="34"/>
        <v>0.11059190031152649</v>
      </c>
      <c r="BS17" s="27">
        <f t="shared" si="35"/>
        <v>4.3715846994535519E-2</v>
      </c>
      <c r="BT17" s="39">
        <f>IF($D17=0,"DNP",SUMIFS(OPPS_GbG[KILLS],OPPS_GbG[[TM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4.5555555555555554</v>
      </c>
      <c r="BU17" s="34">
        <f t="shared" si="36"/>
        <v>0.45</v>
      </c>
      <c r="BV17" s="28">
        <f t="shared" si="37"/>
        <v>0.51034482758620681</v>
      </c>
      <c r="BW17" s="18">
        <f>IF($D17=0,"DNP",SUMIFS(OPPS_GbG[ASTED_2FG],OPPS_GbG[[TM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8.5555555555555554</v>
      </c>
      <c r="BX17" s="18">
        <f>IF($D17=0,"DNP",SUMIFS(OPPS_GbG[ASTED_3FG],OPPS_GbG[[TM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8.4444444444444446</v>
      </c>
      <c r="BY17" s="18">
        <f>IF($D17=0,"DNP",SUMIFS(OPPS_GbG[ASTED_FT],OPPS_GbG[[TM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</v>
      </c>
      <c r="BZ17" s="18">
        <f>IF($D17=0,"DNP",SUMIFS(OPPS_GbG[ASTED_FT PTS],OPPS_GbG[[TM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3.7777777777777777</v>
      </c>
      <c r="CA17" s="18">
        <f>IF($D17=0,"DNP",SUMIFS(OPPS_GbG[OR_RIM],OPPS_GbG[[TM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1.1111111111111112</v>
      </c>
      <c r="CB17" s="18">
        <f>IF($D17=0,"DNP",SUMIFS(OPPS_GbG[TM OR_RIM],OPPS_GbG[[TM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CC17" s="18">
        <f>IF($D17=0,"DNP",SUMIFS(OPPS_GbG[OR_PAINT],OPPS_GbG[[TM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2.6666666666666665</v>
      </c>
      <c r="CD17" s="18">
        <f>IF($D17=0,"DNP",SUMIFS(OPPS_GbG[TM OR_PAINT],OPPS_GbG[[TM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CE17" s="18">
        <f>IF($D17=0,"DNP",SUMIFS(OPPS_GbG[OR_NP2],OPPS_GbG[[TM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1.2222222222222223</v>
      </c>
      <c r="CF17" s="18">
        <f>IF($D17=0,"DNP",SUMIFS(OPPS_GbG[TM OR_NP2],OPPS_GbG[[TM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G17" s="18">
        <f>IF($D17=0,"DNP",SUMIFS(OPPS_GbG[OR_3C],OPPS_GbG[[TM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CH17" s="18">
        <f>IF($D17=0,"DNP",SUMIFS(OPPS_GbG[TM OR_3C],OPPS_GbG[[TM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I17" s="18">
        <f>IF($D17=0,"DNP",SUMIFS(OPPS_GbG[OR_3L],OPPS_GbG[[TM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5.333333333333333</v>
      </c>
      <c r="CJ17" s="18">
        <f>IF($D17=0,"DNP",SUMIFS(OPPS_GbG[TM OR_3L],OPPS_GbG[[TM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1.3333333333333333</v>
      </c>
      <c r="CK17" s="18">
        <f>IF($D17=0,"DNP",SUMIFS(OPPS_GbG[OR_FT],OPPS_GbG[[TM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CL17" s="18">
        <f>IF($D17=0,"DNP",SUMIFS(OPPS_GbG[TM OR_FT],OPPS_GbG[[TM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M17" s="18">
        <f>IF($D17=0,"DNP",SUMIFS(OPPS_GbG[DR_RIM],OPPS_GbG[[TM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1.7777777777777777</v>
      </c>
      <c r="CN17" s="18">
        <f>IF($D17=0,"DNP",SUMIFS(OPPS_GbG[TM DR_RIM],OPPS_GbG[[TM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O17" s="18">
        <f>IF($D17=0,"DNP",SUMIFS(OPPS_GbG[DR_PAINT],OPPS_GbG[[TM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7.333333333333333</v>
      </c>
      <c r="CP17" s="18">
        <f>IF($D17=0,"DNP",SUMIFS(OPPS_GbG[TM DR_PAINT],OPPS_GbG[[TM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CQ17" s="18">
        <f>IF($D17=0,"DNP",SUMIFS(OPPS_GbG[DR_NP2],OPPS_GbG[[TM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3.1111111111111112</v>
      </c>
      <c r="CR17" s="18">
        <f>IF($D17=0,"DNP",SUMIFS(OPPS_GbG[TM DR_NP2],OPPS_GbG[[TM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S17" s="18">
        <f>IF($D17=0,"DNP",SUMIFS(OPPS_GbG[DR_3C],OPPS_GbG[[TM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1.4444444444444444</v>
      </c>
      <c r="CT17" s="18">
        <f>IF($D17=0,"DNP",SUMIFS(OPPS_GbG[TM DR_3C],OPPS_GbG[[TM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CU17" s="18">
        <f>IF($D17=0,"DNP",SUMIFS(OPPS_GbG[DR_3L],OPPS_GbG[[TM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8.1111111111111107</v>
      </c>
      <c r="CV17" s="18">
        <f>IF($D17=0,"DNP",SUMIFS(OPPS_GbG[TM DR_3L],OPPS_GbG[[TM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CW17" s="18">
        <f>IF($D17=0,"DNP",SUMIFS(OPPS_GbG[DR_FT],OPPS_GbG[[TM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1.8888888888888888</v>
      </c>
      <c r="CX17" s="18">
        <f>IF($D17=0,"DNP",SUMIFS(OPPS_GbG[TM DR_FT],OPPS_GbG[[TM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CY17" s="18">
        <f>IF($D17=0,"DNP",SUMIFS(OPPS_GbG[FTM_T],OPPS_GbG[[TM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0.55555555555555558</v>
      </c>
      <c r="CZ17" s="18">
        <f>IF($D17=0,"DNP",SUMIFS(OPPS_GbG[FTA_T],OPPS_GbG[[TM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0.66666666666666663</v>
      </c>
      <c r="DA17" s="18">
        <f>IF($D17=0,"DNP",SUMIFS(OPPS_GbG[FTM_1],OPPS_GbG[[TM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1.6666666666666667</v>
      </c>
      <c r="DB17" s="18">
        <f>IF($D17=0,"DNP",SUMIFS(OPPS_GbG[FTA_1],OPPS_GbG[[TM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1.7777777777777777</v>
      </c>
      <c r="DC17" s="18">
        <f>IF($D17=0,"DNP",SUMIFS(OPPS_GbG[FTM_2],OPPS_GbG[[TM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10.333333333333334</v>
      </c>
      <c r="DD17" s="18">
        <f>IF($D17=0,"DNP",SUMIFS(OPPS_GbG[FTA_2],OPPS_GbG[[TM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12</v>
      </c>
      <c r="DE17" s="18">
        <f>IF($D17=0,"DNP",SUMIFS(OPPS_GbG[FT 0/2],OPPS_GbG[[TM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DF17" s="18">
        <f>IF($D17=0,"DNP",SUMIFS(OPPS_GbG[FTM_3],OPPS_GbG[[TM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1.2222222222222223</v>
      </c>
      <c r="DG17" s="18">
        <f>IF($D17=0,"DNP",SUMIFS(OPPS_GbG[FTA_3],OPPS_GbG[[TM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1.3333333333333333</v>
      </c>
      <c r="DH17" s="18">
        <f>IF($D17=0,"DNP",SUMIFS(OPPS_GbG[FT 0/3],OPPS_GbG[[TM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DI17" s="18">
        <f>IF($D17=0,"DNP",SUMIFS(OPPS_GbG[RIM_M],OPPS_GbG[[TM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9.4444444444444446</v>
      </c>
      <c r="DJ17" s="18">
        <f>IF($D17=0,"DNP",SUMIFS(OPPS_GbG[RIM_A],OPPS_GbG[[TM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11.333333333333334</v>
      </c>
      <c r="DK17" s="18">
        <f>IF($D17=0,"DNP",SUMIFS(OPPS_GbG[PAINT_M],OPPS_GbG[[TM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6.7777777777777777</v>
      </c>
      <c r="DL17" s="18">
        <f>IF($D17=0,"DNP",SUMIFS(OPPS_GbG[PAINT_A],OPPS_GbG[[TM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15.777777777777779</v>
      </c>
      <c r="DM17" s="18">
        <f>IF($D17=0,"DNP",SUMIFS(OPPS_GbG[MID_M],OPPS_GbG[[TM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3.2222222222222223</v>
      </c>
      <c r="DN17" s="18">
        <f>IF($D17=0,"DNP",SUMIFS(OPPS_GbG[MID_A],OPPS_GbG[[TM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</v>
      </c>
      <c r="DO17" s="18">
        <f>IF($D17=0,"DNP",SUMIFS(OPPS_GbG[3C_M],OPPS_GbG[[TM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1.7777777777777777</v>
      </c>
      <c r="DP17" s="18">
        <f>IF($D17=0,"DNP",SUMIFS(OPPS_GbG[3C_A],OPPS_GbG[[TM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3.6666666666666665</v>
      </c>
      <c r="DQ17" s="18">
        <f>IF($D17=0,"DNP",SUMIFS(OPPS_GbG[3L_M],OPPS_GbG[[TM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9.6666666666666661</v>
      </c>
      <c r="DR17" s="18">
        <f>IF($D17=0,"DNP",SUMIFS(OPPS_GbG[3L_A],OPPS_GbG[[TM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26.111111111111111</v>
      </c>
      <c r="DS17" s="18">
        <f>IF($D17=0,"DNP",SUMIFS(OPPS_GbG[3H_M],OPPS_GbG[[TM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DT17" s="18">
        <f>IF($D17=0,"DNP",SUMIFS(OPPS_GbG[3H_A],OPPS_GbG[[TM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DU17" s="18">
        <f>IF($D17=0,"DNP",SUMIFS(OPPS_GbG[OPP PTS],OPPS_GbG[[TM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78.222222222222229</v>
      </c>
      <c r="DV17" s="18">
        <f>IF($D17=0,"DNP",SUMIFS(OPPS_GbG[OPP 2PTM],OPPS_GbG[[TM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20.222222222222221</v>
      </c>
      <c r="DW17" s="18">
        <f>IF($D17=0,"DNP",SUMIFS(OPPS_GbG[OPP 2PTA],OPPS_GbG[[TM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38.777777777777779</v>
      </c>
      <c r="DX17" s="16">
        <f t="shared" si="43"/>
        <v>0.52148997134670483</v>
      </c>
      <c r="DY17" s="18">
        <f>IF($D17=0,"DNP",SUMIFS(OPPS_GbG[OPP 3PTM],OPPS_GbG[[TM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8.1111111111111107</v>
      </c>
      <c r="DZ17" s="18">
        <f>IF($D17=0,"DNP",SUMIFS(OPPS_GbG[OPP 3PTA],OPPS_GbG[[TM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22.222222222222221</v>
      </c>
      <c r="EA17" s="16">
        <f t="shared" si="44"/>
        <v>0.36499999999999999</v>
      </c>
      <c r="EB17" s="18">
        <f>IF($D17=0,"DNP",SUMIFS(OPPS_GbG[OPP FGM],OPPS_GbG[[TM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28.333333333333332</v>
      </c>
      <c r="EC17" s="18">
        <f>IF($D17=0,"DNP",SUMIFS(OPPS_GbG[OPP FGA],OPPS_GbG[[TM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61</v>
      </c>
      <c r="ED17" s="16">
        <f t="shared" si="45"/>
        <v>0.46448087431693985</v>
      </c>
      <c r="EE17" s="18">
        <f>IF($D17=0,"DNP",SUMIFS(OPPS_GbG[OPP FTM],OPPS_GbG[[TM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13.444444444444445</v>
      </c>
      <c r="EF17" s="18">
        <f>IF($D17=0,"DNP",SUMIFS(OPPS_GbG[OPP FTA],OPPS_GbG[[TM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17.555555555555557</v>
      </c>
      <c r="EG17" s="16">
        <f t="shared" si="46"/>
        <v>0.76582278481012656</v>
      </c>
      <c r="EH17" s="18">
        <f>IF($D17=0,"DNP",SUMIFS(OPPS_GbG[OPP OR],OPPS_GbG[[TM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10.111111111111111</v>
      </c>
      <c r="EI17" s="18">
        <f>IF($D17=0,"DNP",SUMIFS(OPPS_GbG[OPP DR],OPPS_GbG[[TM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22.666666666666668</v>
      </c>
      <c r="EJ17" s="18">
        <f>IF($D17=0,"DNP",SUMIFS(OPPS_GbG[OPP TR],OPPS_GbG[[TM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32.777777777777779</v>
      </c>
      <c r="EK17" s="18">
        <f>IF($D17=0,"DNP",SUMIFS(OPPS_GbG[OPP AST],OPPS_GbG[[TM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16.777777777777779</v>
      </c>
      <c r="EL17" s="18">
        <f>IF($D17=0,"DNP",SUMIFS(OPPS_GbG[OPP PF],OPPS_GbG[[TM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16.777777777777779</v>
      </c>
      <c r="EM17" s="18">
        <f>IF($D17=0,"DNP",SUMIFS(OPPS_GbG[OPP DF],OPPS_GbG[[TM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19.777777777777779</v>
      </c>
      <c r="EN17" s="18">
        <f>IF($D17=0,"DNP",SUMIFS(OPPS_GbG[OPP ST],OPPS_GbG[[TM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5.2222222222222223</v>
      </c>
      <c r="EO17" s="18">
        <f>IF($D17=0,"DNP",SUMIFS(OPPS_GbG[OPP TO],OPPS_GbG[[TM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13.222222222222221</v>
      </c>
      <c r="EP17" s="18">
        <f>IF($D17=0,"DNP",SUMIFS(OPPS_GbG[OPP BLK],OPPS_GbG[[TM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1.5555555555555556</v>
      </c>
      <c r="EQ17" s="18">
        <f>IF($D17=0,"DNP",SUMIFS(OPPS_GbG[OPP BLKA],OPPS_GbG[[TM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2.6666666666666665</v>
      </c>
      <c r="ER17" s="18">
        <f>IF($D17=0,"DNP",SUMIFS(OPPS_GbG[OPP VAL],OPPS_GbG[[TM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84.888888888888886</v>
      </c>
      <c r="ES17" s="18">
        <f>IF($D17=0,"DNP",SUMIFS(OPPS_GbG[OPP + / -],OPPS_GbG[[TM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-8.7777777777777786</v>
      </c>
      <c r="ET17" s="18">
        <f>IF($D17=0,"DNP",SUMIFS(OPPS_GbG[OPP POSS],OPPS_GbG[[TM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71.333333333333329</v>
      </c>
      <c r="EU17" s="18">
        <f>IF($D17=0,"DNP",SUMIFS(OPPS_GbG[OPP SHOOTING CHANCES],OPPS_GbG[[TM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81.555555555555557</v>
      </c>
      <c r="EV17" s="18">
        <f>IF($D17=0,"DNP",SUMIFS(OPPS_GbG[OPP KILLS],OPPS_GbG[[TM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4.5555555555555554</v>
      </c>
      <c r="EW17" s="18">
        <f>IF($D17=0,"DNP",SUMIFS(OPPS_GbG[OPP ASTED_2FG],OPPS_GbG[[TM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8.5555555555555554</v>
      </c>
      <c r="EX17" s="18">
        <f>IF($D17=0,"DNP",SUMIFS(OPPS_GbG[OPP ASTED_3FG],OPPS_GbG[[TM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6.333333333333333</v>
      </c>
      <c r="EY17" s="18">
        <f>IF($D17=0,"DNP",SUMIFS(OPPS_GbG[OPP ASTED_FT],OPPS_GbG[[TM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1.7777777777777777</v>
      </c>
      <c r="EZ17" s="18">
        <f>IF($D17=0,"DNP",SUMIFS(OPPS_GbG[OPP ASTED_FT PTS],OPPS_GbG[[TM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3.3333333333333335</v>
      </c>
      <c r="FA17" s="18">
        <f>IF($D17=0,"DNP",SUMIFS(OPPS_GbG[OPP OR_RIM],OPPS_GbG[[TM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1.3333333333333333</v>
      </c>
      <c r="FB17" s="18">
        <f>IF($D17=0,"DNP",SUMIFS(OPPS_GbG[OPP TM OR_RIM],OPPS_GbG[[TM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FC17" s="18">
        <f>IF($D17=0,"DNP",SUMIFS(OPPS_GbG[OPP OR_PAINT],OPPS_GbG[[TM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3.7777777777777777</v>
      </c>
      <c r="FD17" s="18">
        <f>IF($D17=0,"DNP",SUMIFS(OPPS_GbG[OPP TM OR_PAINT],OPPS_GbG[[TM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FE17" s="18">
        <f>IF($D17=0,"DNP",SUMIFS(OPPS_GbG[OPP OR_NP2],OPPS_GbG[[TM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0.77777777777777779</v>
      </c>
      <c r="FF17" s="18">
        <f>IF($D17=0,"DNP",SUMIFS(OPPS_GbG[OPP TM OR_NP2],OPPS_GbG[[TM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G17" s="18">
        <f>IF($D17=0,"DNP",SUMIFS(OPPS_GbG[OPP OR_3C],OPPS_GbG[[TM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0.44444444444444442</v>
      </c>
      <c r="FH17" s="18">
        <f>IF($D17=0,"DNP",SUMIFS(OPPS_GbG[OPP TM OR_3C],OPPS_GbG[[TM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FI17" s="18">
        <f>IF($D17=0,"DNP",SUMIFS(OPPS_GbG[OPP OR_3L],OPPS_GbG[[TM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3.3333333333333335</v>
      </c>
      <c r="FJ17" s="18">
        <f>IF($D17=0,"DNP",SUMIFS(OPPS_GbG[OPP TM OR_3L],OPPS_GbG[[TM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FK17" s="18">
        <f>IF($D17=0,"DNP",SUMIFS(OPPS_GbG[OPP OR_FT],OPPS_GbG[[TM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0.22222222222222221</v>
      </c>
      <c r="FL17" s="18">
        <f>IF($D17=0,"DNP",SUMIFS(OPPS_GbG[OPP TM OR_FT],OPPS_GbG[[TM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M17" s="18">
        <f>IF($D17=0,"DNP",SUMIFS(OPPS_GbG[OPP DR_RIM],OPPS_GbG[[TM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0.77777777777777779</v>
      </c>
      <c r="FN17" s="18">
        <f>IF($D17=0,"DNP",SUMIFS(OPPS_GbG[OPP TM DR_RIM],OPPS_GbG[[TM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O17" s="18">
        <f>IF($D17=0,"DNP",SUMIFS(OPPS_GbG[OPP DR_PAINT],OPPS_GbG[[TM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6.1111111111111107</v>
      </c>
      <c r="FP17" s="18">
        <f>IF($D17=0,"DNP",SUMIFS(OPPS_GbG[OPP TM DR_PAINT],OPPS_GbG[[TM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0.66666666666666663</v>
      </c>
      <c r="FQ17" s="18">
        <f>IF($D17=0,"DNP",SUMIFS(OPPS_GbG[OPP DR_NP2],OPPS_GbG[[TM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2.5555555555555554</v>
      </c>
      <c r="FR17" s="18">
        <f>IF($D17=0,"DNP",SUMIFS(OPPS_GbG[OPP TM DR_NP2],OPPS_GbG[[TM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FS17" s="18">
        <f>IF($D17=0,"DNP",SUMIFS(OPPS_GbG[OPP DR_3C],OPPS_GbG[[TM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1.4444444444444444</v>
      </c>
      <c r="FT17" s="18">
        <f>IF($D17=0,"DNP",SUMIFS(OPPS_GbG[OPP TM DR_3C],OPPS_GbG[[TM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0.1111111111111111</v>
      </c>
      <c r="FU17" s="18">
        <f>IF($D17=0,"DNP",SUMIFS(OPPS_GbG[OPP DR_3L],OPPS_GbG[[TM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10.888888888888889</v>
      </c>
      <c r="FV17" s="18">
        <f>IF($D17=0,"DNP",SUMIFS(OPPS_GbG[OPP TM DR_3L],OPPS_GbG[[TM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1.2222222222222223</v>
      </c>
      <c r="FW17" s="18">
        <f>IF($D17=0,"DNP",SUMIFS(OPPS_GbG[OPP DR_FT],OPPS_GbG[[TM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0.88888888888888884</v>
      </c>
      <c r="FX17" s="18">
        <f>IF($D17=0,"DNP",SUMIFS(OPPS_GbG[OPP TM DR_FT],OPPS_GbG[[TM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FY17" s="18">
        <f>IF($D17=0,"DNP",SUMIFS(OPPS_GbG[OPP FTM_T],OPPS_GbG[[TM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FZ17" s="18">
        <f>IF($D17=0,"DNP",SUMIFS(OPPS_GbG[OPP FTA_T],OPPS_GbG[[TM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GA17" s="18">
        <f>IF($D17=0,"DNP",SUMIFS(OPPS_GbG[OPP FTM_1],OPPS_GbG[[TM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</v>
      </c>
      <c r="GB17" s="18">
        <f>IF($D17=0,"DNP",SUMIFS(OPPS_GbG[OPP FTA_1],OPPS_GbG[[TM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1.6666666666666667</v>
      </c>
      <c r="GC17" s="18">
        <f>IF($D17=0,"DNP",SUMIFS(OPPS_GbG[OPP FTM_2],OPPS_GbG[[TM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10.111111111111111</v>
      </c>
      <c r="GD17" s="18">
        <f>IF($D17=0,"DNP",SUMIFS(OPPS_GbG[OPP FTA_2],OPPS_GbG[[TM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13.111111111111111</v>
      </c>
      <c r="GE17" s="18">
        <f>IF($D17=0,"DNP",SUMIFS(OPPS_GbG[OPP FT 0/2],OPPS_GbG[[TM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0.33333333333333331</v>
      </c>
      <c r="GF17" s="18">
        <f>IF($D17=0,"DNP",SUMIFS(OPPS_GbG[OPP FTM_3],OPPS_GbG[[TM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</v>
      </c>
      <c r="GG17" s="18">
        <f>IF($D17=0,"DNP",SUMIFS(OPPS_GbG[OPP FTA_3],OPPS_GbG[[TM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2.3333333333333335</v>
      </c>
      <c r="GH17" s="18">
        <f>IF($D17=0,"DNP",SUMIFS(OPPS_GbG[OPP FT 0/3],OPPS_GbG[[TM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GI17" s="18">
        <f>IF($D17=0,"DNP",SUMIFS(OPPS_GbG[OPP RIM_M],OPPS_GbG[[TM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9.6666666666666661</v>
      </c>
      <c r="GJ17" s="18">
        <f>IF($D17=0,"DNP",SUMIFS(OPPS_GbG[OPP RIM_A],OPPS_GbG[[TM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12.888888888888889</v>
      </c>
      <c r="GK17" s="18">
        <f>IF($D17=0,"DNP",SUMIFS(OPPS_GbG[OPP PAINT_M],OPPS_GbG[[TM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7.666666666666667</v>
      </c>
      <c r="GL17" s="18">
        <f>IF($D17=0,"DNP",SUMIFS(OPPS_GbG[OPP PAINT_A],OPPS_GbG[[TM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19</v>
      </c>
      <c r="GM17" s="18">
        <f>IF($D17=0,"DNP",SUMIFS(OPPS_GbG[OPP MID_M],OPPS_GbG[[TM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2.8888888888888888</v>
      </c>
      <c r="GN17" s="18">
        <f>IF($D17=0,"DNP",SUMIFS(OPPS_GbG[OPP MID_A],OPPS_GbG[[TM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6.8888888888888893</v>
      </c>
      <c r="GO17" s="18">
        <f>IF($D17=0,"DNP",SUMIFS(OPPS_GbG[OPP 3C_M],OPPS_GbG[[TM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1.8888888888888888</v>
      </c>
      <c r="GP17" s="18">
        <f>IF($D17=0,"DNP",SUMIFS(OPPS_GbG[OPP 3C_A],OPPS_GbG[[TM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3.8888888888888888</v>
      </c>
      <c r="GQ17" s="18">
        <f>IF($D17=0,"DNP",SUMIFS(OPPS_GbG[OPP 3L_M],OPPS_GbG[[TM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6.2222222222222223</v>
      </c>
      <c r="GR17" s="18">
        <f>IF($D17=0,"DNP",SUMIFS(OPPS_GbG[OPP 3L_A],OPPS_GbG[[TM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18.333333333333332</v>
      </c>
      <c r="GS17" s="18">
        <f>IF($D17=0,"DNP",SUMIFS(OPPS_GbG[OPP 3H_M],OPPS_GbG[[TM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  <c r="GT17" s="18">
        <f>IF($D17=0,"DNP",SUMIFS(OPPS_GbG[OPP 3H_A],OPPS_GbG[[TM NAME]:[TM NAME]],$C17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GAMES","&lt;1000",IF($F$3=BASIS_INFO!$T$3,"&lt;"&amp;BASIS_INFO!$B$11,IF($F$3=BASIS_INFO!$T$4,"&lt;"&amp;BASIS_INFO!$B$12,IF($F$3=BASIS_INFO!$T$5,"&lt;"&amp;BASIS_INFO!$B$13,IF($F$3=BASIS_INFO!$T$6,"&lt;"&amp;BASIS_INFO!$B$14))))))/IF($D$3="TOTAL",1,$D17))</f>
        <v>0</v>
      </c>
    </row>
    <row r="18" spans="2:202" ht="15" customHeight="1" x14ac:dyDescent="0.25">
      <c r="B18" s="12">
        <f>_xlfn.AGGREGATE(3,5,$C$7:C17)</f>
        <v>11</v>
      </c>
      <c r="C18" s="14" t="str">
        <f>BASIS_INFO!F13</f>
        <v>Maccabi Playtika Tel Aviv</v>
      </c>
      <c r="D18" s="20">
        <f>COUNTIFS(OPPS_GbG[[TM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8</v>
      </c>
      <c r="E18" s="20">
        <f>COUNTIFS(OPPS_GbG[[TM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5</v>
      </c>
      <c r="F18" s="20">
        <f>COUNTIFS(OPPS_GbG[[TM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3</v>
      </c>
      <c r="G18" s="18">
        <f>IF($D18=0,"DNP",SUMIFS(OPPS_GbG[MIN],OPPS_GbG[[TM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203.125</v>
      </c>
      <c r="H18" s="18">
        <f>IF($D18=0,"DNP",SUMIFS(OPPS_GbG[PTS],OPPS_GbG[[TM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84.5</v>
      </c>
      <c r="I18" s="18">
        <f>IF($D18=0,"DNP",SUMIFS(OPPS_GbG[2PTM],OPPS_GbG[[TM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21.75</v>
      </c>
      <c r="J18" s="18">
        <f>IF($D18=0,"DNP",SUMIFS(OPPS_GbG[2PTA],OPPS_GbG[[TM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37.75</v>
      </c>
      <c r="K18" s="16">
        <f t="shared" si="38"/>
        <v>0.57615894039735094</v>
      </c>
      <c r="L18" s="18">
        <f>IF($D18=0,"DNP",SUMIFS(OPPS_GbG[3PTM],OPPS_GbG[[TM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9.125</v>
      </c>
      <c r="M18" s="18">
        <f>IF($D18=0,"DNP",SUMIFS(OPPS_GbG[3PTA],OPPS_GbG[[TM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23.25</v>
      </c>
      <c r="N18" s="16">
        <f t="shared" si="39"/>
        <v>0.39247311827956988</v>
      </c>
      <c r="O18" s="18">
        <f>IF($D18=0,"DNP",SUMIFS(OPPS_GbG[FGM],OPPS_GbG[[TM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30.875</v>
      </c>
      <c r="P18" s="18">
        <f>IF($D18=0,"DNP",SUMIFS(OPPS_GbG[FGA],OPPS_GbG[[TM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61</v>
      </c>
      <c r="Q18" s="16">
        <f t="shared" si="40"/>
        <v>0.50614754098360659</v>
      </c>
      <c r="R18" s="18">
        <f>IF($D18=0,"DNP",SUMIFS(OPPS_GbG[FTM],OPPS_GbG[[TM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13.625</v>
      </c>
      <c r="S18" s="18">
        <f>IF($D18=0,"DNP",SUMIFS(OPPS_GbG[FTA],OPPS_GbG[[TM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19.375</v>
      </c>
      <c r="T18" s="16">
        <f t="shared" si="41"/>
        <v>0.70322580645161292</v>
      </c>
      <c r="U18" s="18">
        <f>IF($D18=0,"DNP",SUMIFS(OPPS_GbG[OR],OPPS_GbG[[TM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11.125</v>
      </c>
      <c r="V18" s="18">
        <f>IF($D18=0,"DNP",SUMIFS(OPPS_GbG[DR],OPPS_GbG[[TM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22.125</v>
      </c>
      <c r="W18" s="18">
        <f>IF($D18=0,"DNP",SUMIFS(OPPS_GbG[TR],OPPS_GbG[[TM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33.25</v>
      </c>
      <c r="X18" s="18">
        <f>IF($D18=0,"DNP",SUMIFS(OPPS_GbG[AST],OPPS_GbG[[TM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19.125</v>
      </c>
      <c r="Y18" s="18">
        <f>IF($D18=0,"DNP",SUMIFS(OPPS_GbG[TO],OPPS_GbG[[TM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16</v>
      </c>
      <c r="Z18" s="18">
        <f>IF($D18=0,"DNP",SUMIFS(OPPS_GbG[ST],OPPS_GbG[[TM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6.75</v>
      </c>
      <c r="AA18" s="18">
        <f>IF($D18=0,"DNP",SUMIFS(OPPS_GbG[BLK],OPPS_GbG[[TM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2.5</v>
      </c>
      <c r="AB18" s="18">
        <f>IF($D18=0,"DNP",SUMIFS(OPPS_GbG[BLKA],OPPS_GbG[[TM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</v>
      </c>
      <c r="AC18" s="18">
        <f>IF($D18=0,"DNP",SUMIFS(OPPS_GbG[PF],OPPS_GbG[[TM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20.375</v>
      </c>
      <c r="AD18" s="18">
        <f>IF($D18=0,"DNP",SUMIFS(OPPS_GbG[DF],OPPS_GbG[[TM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21.75</v>
      </c>
      <c r="AE18" s="18">
        <f>IF($D18=0,"DNP",SUMIFS(OPPS_GbG[VAL],OPPS_GbG[[TM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92.625</v>
      </c>
      <c r="AF18" s="18">
        <f>IF($D18=0,"DNP",SUMIFS(OPPS_GbG[+ / -],OPPS_GbG[[TM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0.75</v>
      </c>
      <c r="AG18" s="26">
        <f t="shared" si="0"/>
        <v>73.230769230769226</v>
      </c>
      <c r="AH18" s="18">
        <f>IF($D18=0,"DNP",SUMIFS(OPPS_GbG[POSS],OPPS_GbG[[TM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74.375</v>
      </c>
      <c r="AI18" s="18">
        <f>IF($D18=0,"DNP",SUMIFS(OPPS_GbG[SHOOTING CHANCES],OPPS_GbG[[TM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85.75</v>
      </c>
      <c r="AJ18" s="19">
        <f t="shared" si="1"/>
        <v>0.98542274052478129</v>
      </c>
      <c r="AK18" s="19">
        <f t="shared" si="2"/>
        <v>0.94766619519094764</v>
      </c>
      <c r="AL18" s="18">
        <f t="shared" si="3"/>
        <v>113.61344537815125</v>
      </c>
      <c r="AM18" s="18">
        <f t="shared" si="4"/>
        <v>112.98482293423271</v>
      </c>
      <c r="AN18" s="18">
        <f t="shared" si="42"/>
        <v>0.6286224439185446</v>
      </c>
      <c r="AO18" s="27">
        <f t="shared" si="5"/>
        <v>0.58094262295081966</v>
      </c>
      <c r="AP18" s="28">
        <f t="shared" si="6"/>
        <v>0.60573476702508966</v>
      </c>
      <c r="AQ18" s="34">
        <f t="shared" si="7"/>
        <v>0.15014577259475217</v>
      </c>
      <c r="AR18" s="38">
        <f t="shared" si="8"/>
        <v>1.6116504854368932</v>
      </c>
      <c r="AS18" s="27">
        <f t="shared" si="9"/>
        <v>0.19387755102040816</v>
      </c>
      <c r="AT18" s="38">
        <f t="shared" si="10"/>
        <v>0.99248120300751874</v>
      </c>
      <c r="AU18" s="27">
        <f t="shared" si="11"/>
        <v>9.6209912536443148E-2</v>
      </c>
      <c r="AV18" s="38">
        <f t="shared" si="12"/>
        <v>0.75757575757575757</v>
      </c>
      <c r="AW18" s="27">
        <f t="shared" si="13"/>
        <v>1.4577259475218658E-2</v>
      </c>
      <c r="AX18" s="38">
        <f t="shared" si="14"/>
        <v>0.9</v>
      </c>
      <c r="AY18" s="27">
        <f t="shared" si="15"/>
        <v>0.25218658892128282</v>
      </c>
      <c r="AZ18" s="38">
        <f t="shared" si="16"/>
        <v>1.2138728323699421</v>
      </c>
      <c r="BA18" s="28">
        <f t="shared" si="17"/>
        <v>0.10204081632653061</v>
      </c>
      <c r="BB18" s="34">
        <f t="shared" si="18"/>
        <v>0.1871345029239766</v>
      </c>
      <c r="BC18" s="27">
        <f t="shared" si="19"/>
        <v>0.48726114649681529</v>
      </c>
      <c r="BD18" s="27">
        <f t="shared" si="20"/>
        <v>0.45977011494252873</v>
      </c>
      <c r="BE18" s="27">
        <f t="shared" si="21"/>
        <v>0.75342465753424659</v>
      </c>
      <c r="BF18" s="27">
        <f t="shared" si="22"/>
        <v>0.26865671641791045</v>
      </c>
      <c r="BG18" s="27">
        <f t="shared" si="23"/>
        <v>0.22368421052631579</v>
      </c>
      <c r="BH18" s="35">
        <f t="shared" si="24"/>
        <v>1.1953125</v>
      </c>
      <c r="BI18" s="34">
        <f t="shared" si="25"/>
        <v>0.3531746031746032</v>
      </c>
      <c r="BJ18" s="27">
        <f t="shared" si="26"/>
        <v>0.40425531914893614</v>
      </c>
      <c r="BK18" s="27">
        <f t="shared" si="27"/>
        <v>0.38983050847457629</v>
      </c>
      <c r="BL18" s="27">
        <f t="shared" si="28"/>
        <v>0.27272727272727271</v>
      </c>
      <c r="BM18" s="27">
        <f t="shared" si="29"/>
        <v>0.60824742268041232</v>
      </c>
      <c r="BN18" s="27">
        <f t="shared" si="30"/>
        <v>0.53987730061349692</v>
      </c>
      <c r="BO18" s="27">
        <f t="shared" si="31"/>
        <v>0.59354838709677415</v>
      </c>
      <c r="BP18" s="27">
        <f t="shared" si="32"/>
        <v>0.83333333333333337</v>
      </c>
      <c r="BQ18" s="28">
        <f t="shared" si="33"/>
        <v>0.48987108655616945</v>
      </c>
      <c r="BR18" s="34">
        <f t="shared" si="34"/>
        <v>9.1062394603709948E-2</v>
      </c>
      <c r="BS18" s="27">
        <f t="shared" si="35"/>
        <v>3.8022813688212927E-2</v>
      </c>
      <c r="BT18" s="39">
        <f>IF($D18=0,"DNP",SUMIFS(OPPS_GbG[KILLS],OPPS_GbG[[TM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3.875</v>
      </c>
      <c r="BU18" s="34">
        <f t="shared" si="36"/>
        <v>0.50920245398773001</v>
      </c>
      <c r="BV18" s="28">
        <f t="shared" si="37"/>
        <v>0.44827586206896552</v>
      </c>
      <c r="BW18" s="18">
        <f>IF($D18=0,"DNP",SUMIFS(OPPS_GbG[ASTED_2FG],OPPS_GbG[[TM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10</v>
      </c>
      <c r="BX18" s="18">
        <f>IF($D18=0,"DNP",SUMIFS(OPPS_GbG[ASTED_3FG],OPPS_GbG[[TM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6.875</v>
      </c>
      <c r="BY18" s="18">
        <f>IF($D18=0,"DNP",SUMIFS(OPPS_GbG[ASTED_FT],OPPS_GbG[[TM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2.25</v>
      </c>
      <c r="BZ18" s="18">
        <f>IF($D18=0,"DNP",SUMIFS(OPPS_GbG[ASTED_FT PTS],OPPS_GbG[[TM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</v>
      </c>
      <c r="CA18" s="18">
        <f>IF($D18=0,"DNP",SUMIFS(OPPS_GbG[OR_RIM],OPPS_GbG[[TM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1.125</v>
      </c>
      <c r="CB18" s="18">
        <f>IF($D18=0,"DNP",SUMIFS(OPPS_GbG[TM OR_RIM],OPPS_GbG[[TM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CC18" s="18">
        <f>IF($D18=0,"DNP",SUMIFS(OPPS_GbG[OR_PAINT],OPPS_GbG[[TM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3.375</v>
      </c>
      <c r="CD18" s="18">
        <f>IF($D18=0,"DNP",SUMIFS(OPPS_GbG[TM OR_PAINT],OPPS_GbG[[TM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</v>
      </c>
      <c r="CE18" s="18">
        <f>IF($D18=0,"DNP",SUMIFS(OPPS_GbG[OR_NP2],OPPS_GbG[[TM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1.25</v>
      </c>
      <c r="CF18" s="18">
        <f>IF($D18=0,"DNP",SUMIFS(OPPS_GbG[TM OR_NP2],OPPS_GbG[[TM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CG18" s="18">
        <f>IF($D18=0,"DNP",SUMIFS(OPPS_GbG[OR_3C],OPPS_GbG[[TM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CH18" s="18">
        <f>IF($D18=0,"DNP",SUMIFS(OPPS_GbG[TM OR_3C],OPPS_GbG[[TM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CI18" s="18">
        <f>IF($D18=0,"DNP",SUMIFS(OPPS_GbG[OR_3L],OPPS_GbG[[TM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4.5</v>
      </c>
      <c r="CJ18" s="18">
        <f>IF($D18=0,"DNP",SUMIFS(OPPS_GbG[TM OR_3L],OPPS_GbG[[TM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</v>
      </c>
      <c r="CK18" s="18">
        <f>IF($D18=0,"DNP",SUMIFS(OPPS_GbG[OR_FT],OPPS_GbG[[TM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0.625</v>
      </c>
      <c r="CL18" s="18">
        <f>IF($D18=0,"DNP",SUMIFS(OPPS_GbG[TM OR_FT],OPPS_GbG[[TM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CM18" s="18">
        <f>IF($D18=0,"DNP",SUMIFS(OPPS_GbG[DR_RIM],OPPS_GbG[[TM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1.625</v>
      </c>
      <c r="CN18" s="18">
        <f>IF($D18=0,"DNP",SUMIFS(OPPS_GbG[TM DR_RIM],OPPS_GbG[[TM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CO18" s="18">
        <f>IF($D18=0,"DNP",SUMIFS(OPPS_GbG[DR_PAINT],OPPS_GbG[[TM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6.5</v>
      </c>
      <c r="CP18" s="18">
        <f>IF($D18=0,"DNP",SUMIFS(OPPS_GbG[TM DR_PAINT],OPPS_GbG[[TM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CQ18" s="18">
        <f>IF($D18=0,"DNP",SUMIFS(OPPS_GbG[DR_NP2],OPPS_GbG[[TM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2.25</v>
      </c>
      <c r="CR18" s="18">
        <f>IF($D18=0,"DNP",SUMIFS(OPPS_GbG[TM DR_NP2],OPPS_GbG[[TM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CS18" s="18">
        <f>IF($D18=0,"DNP",SUMIFS(OPPS_GbG[DR_3C],OPPS_GbG[[TM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1.375</v>
      </c>
      <c r="CT18" s="18">
        <f>IF($D18=0,"DNP",SUMIFS(OPPS_GbG[TM DR_3C],OPPS_GbG[[TM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CU18" s="18">
        <f>IF($D18=0,"DNP",SUMIFS(OPPS_GbG[DR_3L],OPPS_GbG[[TM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</v>
      </c>
      <c r="CV18" s="18">
        <f>IF($D18=0,"DNP",SUMIFS(OPPS_GbG[TM DR_3L],OPPS_GbG[[TM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1.125</v>
      </c>
      <c r="CW18" s="18">
        <f>IF($D18=0,"DNP",SUMIFS(OPPS_GbG[DR_FT],OPPS_GbG[[TM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1.25</v>
      </c>
      <c r="CX18" s="18">
        <f>IF($D18=0,"DNP",SUMIFS(OPPS_GbG[TM DR_FT],OPPS_GbG[[TM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CY18" s="18">
        <f>IF($D18=0,"DNP",SUMIFS(OPPS_GbG[FTM_T],OPPS_GbG[[TM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CZ18" s="18">
        <f>IF($D18=0,"DNP",SUMIFS(OPPS_GbG[FTA_T],OPPS_GbG[[TM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DA18" s="18">
        <f>IF($D18=0,"DNP",SUMIFS(OPPS_GbG[FTM_1],OPPS_GbG[[TM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DB18" s="18">
        <f>IF($D18=0,"DNP",SUMIFS(OPPS_GbG[FTA_1],OPPS_GbG[[TM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</v>
      </c>
      <c r="DC18" s="18">
        <f>IF($D18=0,"DNP",SUMIFS(OPPS_GbG[FTM_2],OPPS_GbG[[TM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11.875</v>
      </c>
      <c r="DD18" s="18">
        <f>IF($D18=0,"DNP",SUMIFS(OPPS_GbG[FTA_2],OPPS_GbG[[TM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16.75</v>
      </c>
      <c r="DE18" s="18">
        <f>IF($D18=0,"DNP",SUMIFS(OPPS_GbG[FT 0/2],OPPS_GbG[[TM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DF18" s="18">
        <f>IF($D18=0,"DNP",SUMIFS(OPPS_GbG[FTM_3],OPPS_GbG[[TM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</v>
      </c>
      <c r="DG18" s="18">
        <f>IF($D18=0,"DNP",SUMIFS(OPPS_GbG[FTA_3],OPPS_GbG[[TM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1.125</v>
      </c>
      <c r="DH18" s="18">
        <f>IF($D18=0,"DNP",SUMIFS(OPPS_GbG[FT 0/3],OPPS_GbG[[TM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DI18" s="18">
        <f>IF($D18=0,"DNP",SUMIFS(OPPS_GbG[RIM_M],OPPS_GbG[[TM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10.375</v>
      </c>
      <c r="DJ18" s="18">
        <f>IF($D18=0,"DNP",SUMIFS(OPPS_GbG[RIM_A],OPPS_GbG[[TM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12.875</v>
      </c>
      <c r="DK18" s="18">
        <f>IF($D18=0,"DNP",SUMIFS(OPPS_GbG[PAINT_M],OPPS_GbG[[TM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8.25</v>
      </c>
      <c r="DL18" s="18">
        <f>IF($D18=0,"DNP",SUMIFS(OPPS_GbG[PAINT_A],OPPS_GbG[[TM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16.625</v>
      </c>
      <c r="DM18" s="18">
        <f>IF($D18=0,"DNP",SUMIFS(OPPS_GbG[MID_M],OPPS_GbG[[TM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3.125</v>
      </c>
      <c r="DN18" s="18">
        <f>IF($D18=0,"DNP",SUMIFS(OPPS_GbG[MID_A],OPPS_GbG[[TM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8.25</v>
      </c>
      <c r="DO18" s="18">
        <f>IF($D18=0,"DNP",SUMIFS(OPPS_GbG[3C_M],OPPS_GbG[[TM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DP18" s="18">
        <f>IF($D18=0,"DNP",SUMIFS(OPPS_GbG[3C_A],OPPS_GbG[[TM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1.25</v>
      </c>
      <c r="DQ18" s="18">
        <f>IF($D18=0,"DNP",SUMIFS(OPPS_GbG[3L_M],OPPS_GbG[[TM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8.75</v>
      </c>
      <c r="DR18" s="18">
        <f>IF($D18=0,"DNP",SUMIFS(OPPS_GbG[3L_A],OPPS_GbG[[TM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21.625</v>
      </c>
      <c r="DS18" s="18">
        <f>IF($D18=0,"DNP",SUMIFS(OPPS_GbG[3H_M],OPPS_GbG[[TM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DT18" s="18">
        <f>IF($D18=0,"DNP",SUMIFS(OPPS_GbG[3H_A],OPPS_GbG[[TM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DU18" s="18">
        <f>IF($D18=0,"DNP",SUMIFS(OPPS_GbG[OPP PTS],OPPS_GbG[[TM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83.75</v>
      </c>
      <c r="DV18" s="18">
        <f>IF($D18=0,"DNP",SUMIFS(OPPS_GbG[OPP 2PTM],OPPS_GbG[[TM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22.25</v>
      </c>
      <c r="DW18" s="18">
        <f>IF($D18=0,"DNP",SUMIFS(OPPS_GbG[OPP 2PTA],OPPS_GbG[[TM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40</v>
      </c>
      <c r="DX18" s="16">
        <f t="shared" si="43"/>
        <v>0.55625000000000002</v>
      </c>
      <c r="DY18" s="18">
        <f>IF($D18=0,"DNP",SUMIFS(OPPS_GbG[OPP 3PTM],OPPS_GbG[[TM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7.75</v>
      </c>
      <c r="DZ18" s="18">
        <f>IF($D18=0,"DNP",SUMIFS(OPPS_GbG[OPP 3PTA],OPPS_GbG[[TM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25.75</v>
      </c>
      <c r="EA18" s="16">
        <f t="shared" si="44"/>
        <v>0.30097087378640774</v>
      </c>
      <c r="EB18" s="18">
        <f>IF($D18=0,"DNP",SUMIFS(OPPS_GbG[OPP FGM],OPPS_GbG[[TM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30</v>
      </c>
      <c r="EC18" s="18">
        <f>IF($D18=0,"DNP",SUMIFS(OPPS_GbG[OPP FGA],OPPS_GbG[[TM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65.75</v>
      </c>
      <c r="ED18" s="16">
        <f t="shared" si="45"/>
        <v>0.45627376425855515</v>
      </c>
      <c r="EE18" s="18">
        <f>IF($D18=0,"DNP",SUMIFS(OPPS_GbG[OPP FTM],OPPS_GbG[[TM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16</v>
      </c>
      <c r="EF18" s="18">
        <f>IF($D18=0,"DNP",SUMIFS(OPPS_GbG[OPP FTA],OPPS_GbG[[TM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20.5</v>
      </c>
      <c r="EG18" s="16">
        <f t="shared" si="46"/>
        <v>0.78048780487804881</v>
      </c>
      <c r="EH18" s="18">
        <f>IF($D18=0,"DNP",SUMIFS(OPPS_GbG[OPP OR],OPPS_GbG[[TM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14.25</v>
      </c>
      <c r="EI18" s="18">
        <f>IF($D18=0,"DNP",SUMIFS(OPPS_GbG[OPP DR],OPPS_GbG[[TM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20.375</v>
      </c>
      <c r="EJ18" s="18">
        <f>IF($D18=0,"DNP",SUMIFS(OPPS_GbG[OPP TR],OPPS_GbG[[TM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34.625</v>
      </c>
      <c r="EK18" s="18">
        <f>IF($D18=0,"DNP",SUMIFS(OPPS_GbG[OPP AST],OPPS_GbG[[TM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20.25</v>
      </c>
      <c r="EL18" s="18">
        <f>IF($D18=0,"DNP",SUMIFS(OPPS_GbG[OPP PF],OPPS_GbG[[TM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22.5</v>
      </c>
      <c r="EM18" s="18">
        <f>IF($D18=0,"DNP",SUMIFS(OPPS_GbG[OPP DF],OPPS_GbG[[TM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20.125</v>
      </c>
      <c r="EN18" s="18">
        <f>IF($D18=0,"DNP",SUMIFS(OPPS_GbG[OPP ST],OPPS_GbG[[TM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8.375</v>
      </c>
      <c r="EO18" s="18">
        <f>IF($D18=0,"DNP",SUMIFS(OPPS_GbG[OPP TO],OPPS_GbG[[TM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13.625</v>
      </c>
      <c r="EP18" s="18">
        <f>IF($D18=0,"DNP",SUMIFS(OPPS_GbG[OPP BLK],OPPS_GbG[[TM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</v>
      </c>
      <c r="EQ18" s="18">
        <f>IF($D18=0,"DNP",SUMIFS(OPPS_GbG[OPP BLKA],OPPS_GbG[[TM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2.5</v>
      </c>
      <c r="ER18" s="18">
        <f>IF($D18=0,"DNP",SUMIFS(OPPS_GbG[OPP VAL],OPPS_GbG[[TM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91.25</v>
      </c>
      <c r="ES18" s="18">
        <f>IF($D18=0,"DNP",SUMIFS(OPPS_GbG[OPP + / -],OPPS_GbG[[TM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-0.75</v>
      </c>
      <c r="ET18" s="18">
        <f>IF($D18=0,"DNP",SUMIFS(OPPS_GbG[OPP POSS],OPPS_GbG[[TM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74.125</v>
      </c>
      <c r="EU18" s="18">
        <f>IF($D18=0,"DNP",SUMIFS(OPPS_GbG[OPP SHOOTING CHANCES],OPPS_GbG[[TM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88.375</v>
      </c>
      <c r="EV18" s="18">
        <f>IF($D18=0,"DNP",SUMIFS(OPPS_GbG[OPP KILLS],OPPS_GbG[[TM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3.75</v>
      </c>
      <c r="EW18" s="18">
        <f>IF($D18=0,"DNP",SUMIFS(OPPS_GbG[OPP ASTED_2FG],OPPS_GbG[[TM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12.125</v>
      </c>
      <c r="EX18" s="18">
        <f>IF($D18=0,"DNP",SUMIFS(OPPS_GbG[OPP ASTED_3FG],OPPS_GbG[[TM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5.5</v>
      </c>
      <c r="EY18" s="18">
        <f>IF($D18=0,"DNP",SUMIFS(OPPS_GbG[OPP ASTED_FT],OPPS_GbG[[TM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2.5</v>
      </c>
      <c r="EZ18" s="18">
        <f>IF($D18=0,"DNP",SUMIFS(OPPS_GbG[OPP ASTED_FT PTS],OPPS_GbG[[TM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</v>
      </c>
      <c r="FA18" s="18">
        <f>IF($D18=0,"DNP",SUMIFS(OPPS_GbG[OPP OR_RIM],OPPS_GbG[[TM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0.875</v>
      </c>
      <c r="FB18" s="18">
        <f>IF($D18=0,"DNP",SUMIFS(OPPS_GbG[OPP TM OR_RIM],OPPS_GbG[[TM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FC18" s="18">
        <f>IF($D18=0,"DNP",SUMIFS(OPPS_GbG[OPP OR_PAINT],OPPS_GbG[[TM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4.75</v>
      </c>
      <c r="FD18" s="18">
        <f>IF($D18=0,"DNP",SUMIFS(OPPS_GbG[OPP TM OR_PAINT],OPPS_GbG[[TM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1.375</v>
      </c>
      <c r="FE18" s="18">
        <f>IF($D18=0,"DNP",SUMIFS(OPPS_GbG[OPP OR_NP2],OPPS_GbG[[TM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1.625</v>
      </c>
      <c r="FF18" s="18">
        <f>IF($D18=0,"DNP",SUMIFS(OPPS_GbG[OPP TM OR_NP2],OPPS_GbG[[TM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FG18" s="18">
        <f>IF($D18=0,"DNP",SUMIFS(OPPS_GbG[OPP OR_3C],OPPS_GbG[[TM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0.75</v>
      </c>
      <c r="FH18" s="18">
        <f>IF($D18=0,"DNP",SUMIFS(OPPS_GbG[OPP TM OR_3C],OPPS_GbG[[TM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FI18" s="18">
        <f>IF($D18=0,"DNP",SUMIFS(OPPS_GbG[OPP OR_3L],OPPS_GbG[[TM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</v>
      </c>
      <c r="FJ18" s="18">
        <f>IF($D18=0,"DNP",SUMIFS(OPPS_GbG[OPP TM OR_3L],OPPS_GbG[[TM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1.125</v>
      </c>
      <c r="FK18" s="18">
        <f>IF($D18=0,"DNP",SUMIFS(OPPS_GbG[OPP OR_FT],OPPS_GbG[[TM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FL18" s="18">
        <f>IF($D18=0,"DNP",SUMIFS(OPPS_GbG[OPP TM OR_FT],OPPS_GbG[[TM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FM18" s="18">
        <f>IF($D18=0,"DNP",SUMIFS(OPPS_GbG[OPP DR_RIM],OPPS_GbG[[TM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1.375</v>
      </c>
      <c r="FN18" s="18">
        <f>IF($D18=0,"DNP",SUMIFS(OPPS_GbG[OPP TM DR_RIM],OPPS_GbG[[TM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FO18" s="18">
        <f>IF($D18=0,"DNP",SUMIFS(OPPS_GbG[OPP DR_PAINT],OPPS_GbG[[TM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4.875</v>
      </c>
      <c r="FP18" s="18">
        <f>IF($D18=0,"DNP",SUMIFS(OPPS_GbG[OPP TM DR_PAINT],OPPS_GbG[[TM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FQ18" s="18">
        <f>IF($D18=0,"DNP",SUMIFS(OPPS_GbG[OPP DR_NP2],OPPS_GbG[[TM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3.625</v>
      </c>
      <c r="FR18" s="18">
        <f>IF($D18=0,"DNP",SUMIFS(OPPS_GbG[OPP TM DR_NP2],OPPS_GbG[[TM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FS18" s="18">
        <f>IF($D18=0,"DNP",SUMIFS(OPPS_GbG[OPP DR_3C],OPPS_GbG[[TM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FT18" s="18">
        <f>IF($D18=0,"DNP",SUMIFS(OPPS_GbG[OPP TM DR_3C],OPPS_GbG[[TM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FU18" s="18">
        <f>IF($D18=0,"DNP",SUMIFS(OPPS_GbG[OPP DR_3L],OPPS_GbG[[TM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7.875</v>
      </c>
      <c r="FV18" s="18">
        <f>IF($D18=0,"DNP",SUMIFS(OPPS_GbG[OPP TM DR_3L],OPPS_GbG[[TM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0.5</v>
      </c>
      <c r="FW18" s="18">
        <f>IF($D18=0,"DNP",SUMIFS(OPPS_GbG[OPP DR_FT],OPPS_GbG[[TM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1.875</v>
      </c>
      <c r="FX18" s="18">
        <f>IF($D18=0,"DNP",SUMIFS(OPPS_GbG[OPP TM DR_FT],OPPS_GbG[[TM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0.125</v>
      </c>
      <c r="FY18" s="18">
        <f>IF($D18=0,"DNP",SUMIFS(OPPS_GbG[OPP FTM_T],OPPS_GbG[[TM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0.625</v>
      </c>
      <c r="FZ18" s="18">
        <f>IF($D18=0,"DNP",SUMIFS(OPPS_GbG[OPP FTA_T],OPPS_GbG[[TM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0.75</v>
      </c>
      <c r="GA18" s="18">
        <f>IF($D18=0,"DNP",SUMIFS(OPPS_GbG[OPP FTM_1],OPPS_GbG[[TM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1.25</v>
      </c>
      <c r="GB18" s="18">
        <f>IF($D18=0,"DNP",SUMIFS(OPPS_GbG[OPP FTA_1],OPPS_GbG[[TM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1.375</v>
      </c>
      <c r="GC18" s="18">
        <f>IF($D18=0,"DNP",SUMIFS(OPPS_GbG[OPP FTM_2],OPPS_GbG[[TM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13.75</v>
      </c>
      <c r="GD18" s="18">
        <f>IF($D18=0,"DNP",SUMIFS(OPPS_GbG[OPP FTA_2],OPPS_GbG[[TM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17.75</v>
      </c>
      <c r="GE18" s="18">
        <f>IF($D18=0,"DNP",SUMIFS(OPPS_GbG[OPP FT 0/2],OPPS_GbG[[TM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GF18" s="18">
        <f>IF($D18=0,"DNP",SUMIFS(OPPS_GbG[OPP FTM_3],OPPS_GbG[[TM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0.25</v>
      </c>
      <c r="GG18" s="18">
        <f>IF($D18=0,"DNP",SUMIFS(OPPS_GbG[OPP FTA_3],OPPS_GbG[[TM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  <c r="GH18" s="18">
        <f>IF($D18=0,"DNP",SUMIFS(OPPS_GbG[OPP FT 0/3],OPPS_GbG[[TM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GI18" s="18">
        <f>IF($D18=0,"DNP",SUMIFS(OPPS_GbG[OPP RIM_M],OPPS_GbG[[TM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9.375</v>
      </c>
      <c r="GJ18" s="18">
        <f>IF($D18=0,"DNP",SUMIFS(OPPS_GbG[OPP RIM_A],OPPS_GbG[[TM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11.75</v>
      </c>
      <c r="GK18" s="18">
        <f>IF($D18=0,"DNP",SUMIFS(OPPS_GbG[OPP PAINT_M],OPPS_GbG[[TM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10</v>
      </c>
      <c r="GL18" s="18">
        <f>IF($D18=0,"DNP",SUMIFS(OPPS_GbG[OPP PAINT_A],OPPS_GbG[[TM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21.5</v>
      </c>
      <c r="GM18" s="18">
        <f>IF($D18=0,"DNP",SUMIFS(OPPS_GbG[OPP MID_M],OPPS_GbG[[TM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2.875</v>
      </c>
      <c r="GN18" s="18">
        <f>IF($D18=0,"DNP",SUMIFS(OPPS_GbG[OPP MID_A],OPPS_GbG[[TM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6.75</v>
      </c>
      <c r="GO18" s="18">
        <f>IF($D18=0,"DNP",SUMIFS(OPPS_GbG[OPP 3C_M],OPPS_GbG[[TM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0.75</v>
      </c>
      <c r="GP18" s="18">
        <f>IF($D18=0,"DNP",SUMIFS(OPPS_GbG[OPP 3C_A],OPPS_GbG[[TM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2.875</v>
      </c>
      <c r="GQ18" s="18">
        <f>IF($D18=0,"DNP",SUMIFS(OPPS_GbG[OPP 3L_M],OPPS_GbG[[TM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7</v>
      </c>
      <c r="GR18" s="18">
        <f>IF($D18=0,"DNP",SUMIFS(OPPS_GbG[OPP 3L_A],OPPS_GbG[[TM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22.375</v>
      </c>
      <c r="GS18" s="18">
        <f>IF($D18=0,"DNP",SUMIFS(OPPS_GbG[OPP 3H_M],OPPS_GbG[[TM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</v>
      </c>
      <c r="GT18" s="18">
        <f>IF($D18=0,"DNP",SUMIFS(OPPS_GbG[OPP 3H_A],OPPS_GbG[[TM NAME]:[TM NAME]],$C18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GAMES","&lt;1000",IF($F$3=BASIS_INFO!$T$3,"&lt;"&amp;BASIS_INFO!$B$11,IF($F$3=BASIS_INFO!$T$4,"&lt;"&amp;BASIS_INFO!$B$12,IF($F$3=BASIS_INFO!$T$5,"&lt;"&amp;BASIS_INFO!$B$13,IF($F$3=BASIS_INFO!$T$6,"&lt;"&amp;BASIS_INFO!$B$14))))))/IF($D$3="TOTAL",1,$D18))</f>
        <v>0.375</v>
      </c>
    </row>
    <row r="19" spans="2:202" ht="15" customHeight="1" x14ac:dyDescent="0.25">
      <c r="B19" s="12">
        <f>_xlfn.AGGREGATE(3,5,$C$7:C18)</f>
        <v>12</v>
      </c>
      <c r="C19" s="14" t="str">
        <f>BASIS_INFO!F14</f>
        <v>Olympiacos Piraeus</v>
      </c>
      <c r="D19" s="20">
        <f>COUNTIFS(OPPS_GbG[[TM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19" s="20">
        <f>COUNTIFS(OPPS_GbG[[TM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5</v>
      </c>
      <c r="F19" s="20">
        <f>COUNTIFS(OPPS_GbG[[TM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4</v>
      </c>
      <c r="G19" s="18">
        <f>IF($D19=0,"DNP",SUMIFS(OPPS_GbG[MIN],OPPS_GbG[[TM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205.55555555555554</v>
      </c>
      <c r="H19" s="18">
        <f>IF($D19=0,"DNP",SUMIFS(OPPS_GbG[PTS],OPPS_GbG[[TM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75.777777777777771</v>
      </c>
      <c r="I19" s="18">
        <f>IF($D19=0,"DNP",SUMIFS(OPPS_GbG[2PTM],OPPS_GbG[[TM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17.444444444444443</v>
      </c>
      <c r="J19" s="18">
        <f>IF($D19=0,"DNP",SUMIFS(OPPS_GbG[2PTA],OPPS_GbG[[TM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31.444444444444443</v>
      </c>
      <c r="K19" s="16">
        <f t="shared" si="38"/>
        <v>0.55477031802120136</v>
      </c>
      <c r="L19" s="18">
        <f>IF($D19=0,"DNP",SUMIFS(OPPS_GbG[3PTM],OPPS_GbG[[TM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9.7777777777777786</v>
      </c>
      <c r="M19" s="18">
        <f>IF($D19=0,"DNP",SUMIFS(OPPS_GbG[3PTA],OPPS_GbG[[TM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27.111111111111111</v>
      </c>
      <c r="N19" s="16">
        <f t="shared" si="39"/>
        <v>0.36065573770491804</v>
      </c>
      <c r="O19" s="18">
        <f>IF($D19=0,"DNP",SUMIFS(OPPS_GbG[FGM],OPPS_GbG[[TM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27.222222222222221</v>
      </c>
      <c r="P19" s="18">
        <f>IF($D19=0,"DNP",SUMIFS(OPPS_GbG[FGA],OPPS_GbG[[TM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58.555555555555557</v>
      </c>
      <c r="Q19" s="16">
        <f t="shared" si="40"/>
        <v>0.46489563567362424</v>
      </c>
      <c r="R19" s="18">
        <f>IF($D19=0,"DNP",SUMIFS(OPPS_GbG[FTM],OPPS_GbG[[TM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11.555555555555555</v>
      </c>
      <c r="S19" s="18">
        <f>IF($D19=0,"DNP",SUMIFS(OPPS_GbG[FTA],OPPS_GbG[[TM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14.444444444444445</v>
      </c>
      <c r="T19" s="16">
        <f t="shared" si="41"/>
        <v>0.79999999999999993</v>
      </c>
      <c r="U19" s="18">
        <f>IF($D19=0,"DNP",SUMIFS(OPPS_GbG[OR],OPPS_GbG[[TM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9.1111111111111107</v>
      </c>
      <c r="V19" s="18">
        <f>IF($D19=0,"DNP",SUMIFS(OPPS_GbG[DR],OPPS_GbG[[TM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22.555555555555557</v>
      </c>
      <c r="W19" s="18">
        <f>IF($D19=0,"DNP",SUMIFS(OPPS_GbG[TR],OPPS_GbG[[TM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31.666666666666668</v>
      </c>
      <c r="X19" s="18">
        <f>IF($D19=0,"DNP",SUMIFS(OPPS_GbG[AST],OPPS_GbG[[TM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16.777777777777779</v>
      </c>
      <c r="Y19" s="18">
        <f>IF($D19=0,"DNP",SUMIFS(OPPS_GbG[TO],OPPS_GbG[[TM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13.222222222222221</v>
      </c>
      <c r="Z19" s="18">
        <f>IF($D19=0,"DNP",SUMIFS(OPPS_GbG[ST],OPPS_GbG[[TM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6.5555555555555554</v>
      </c>
      <c r="AA19" s="18">
        <f>IF($D19=0,"DNP",SUMIFS(OPPS_GbG[BLK],OPPS_GbG[[TM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2.8888888888888888</v>
      </c>
      <c r="AB19" s="18">
        <f>IF($D19=0,"DNP",SUMIFS(OPPS_GbG[BLKA],OPPS_GbG[[TM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2.4444444444444446</v>
      </c>
      <c r="AC19" s="18">
        <f>IF($D19=0,"DNP",SUMIFS(OPPS_GbG[PF],OPPS_GbG[[TM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20.222222222222221</v>
      </c>
      <c r="AD19" s="18">
        <f>IF($D19=0,"DNP",SUMIFS(OPPS_GbG[DF],OPPS_GbG[[TM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18</v>
      </c>
      <c r="AE19" s="18">
        <f>IF($D19=0,"DNP",SUMIFS(OPPS_GbG[VAL],OPPS_GbG[[TM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81.555555555555557</v>
      </c>
      <c r="AF19" s="18">
        <f>IF($D19=0,"DNP",SUMIFS(OPPS_GbG[+ / -],OPPS_GbG[[TM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-2</v>
      </c>
      <c r="AG19" s="26">
        <f t="shared" si="0"/>
        <v>66.702702702702709</v>
      </c>
      <c r="AH19" s="18">
        <f>IF($D19=0,"DNP",SUMIFS(OPPS_GbG[POSS],OPPS_GbG[[TM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68.555555555555557</v>
      </c>
      <c r="AI19" s="18">
        <f>IF($D19=0,"DNP",SUMIFS(OPPS_GbG[SHOOTING CHANCES],OPPS_GbG[[TM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77.888888888888886</v>
      </c>
      <c r="AJ19" s="19">
        <f t="shared" si="1"/>
        <v>0.97289586305278175</v>
      </c>
      <c r="AK19" s="19">
        <f t="shared" si="2"/>
        <v>0.97447795823665873</v>
      </c>
      <c r="AL19" s="18">
        <f t="shared" si="3"/>
        <v>110.53484602917341</v>
      </c>
      <c r="AM19" s="18">
        <f t="shared" si="4"/>
        <v>113.08562197092084</v>
      </c>
      <c r="AN19" s="18">
        <f t="shared" si="42"/>
        <v>-2.5507759417474318</v>
      </c>
      <c r="AO19" s="27">
        <f t="shared" si="5"/>
        <v>0.54838709677419362</v>
      </c>
      <c r="AP19" s="28">
        <f t="shared" si="6"/>
        <v>0.58591065292096212</v>
      </c>
      <c r="AQ19" s="34">
        <f t="shared" si="7"/>
        <v>0.13694721825962911</v>
      </c>
      <c r="AR19" s="38">
        <f t="shared" si="8"/>
        <v>1.5416666666666665</v>
      </c>
      <c r="AS19" s="27">
        <f t="shared" si="9"/>
        <v>0.16690442225392296</v>
      </c>
      <c r="AT19" s="38">
        <f t="shared" si="10"/>
        <v>0.90598290598290609</v>
      </c>
      <c r="AU19" s="27">
        <f t="shared" si="11"/>
        <v>9.9857346647646228E-2</v>
      </c>
      <c r="AV19" s="38">
        <f t="shared" si="12"/>
        <v>0.85714285714285721</v>
      </c>
      <c r="AW19" s="27">
        <f t="shared" si="13"/>
        <v>4.7075606276747506E-2</v>
      </c>
      <c r="AX19" s="38">
        <f t="shared" si="14"/>
        <v>1.1818181818181819</v>
      </c>
      <c r="AY19" s="27">
        <f t="shared" si="15"/>
        <v>0.29957203994293868</v>
      </c>
      <c r="AZ19" s="38">
        <f t="shared" si="16"/>
        <v>1.0714285714285714</v>
      </c>
      <c r="BA19" s="28">
        <f t="shared" si="17"/>
        <v>7.8459343794579181E-2</v>
      </c>
      <c r="BB19" s="34">
        <f t="shared" si="18"/>
        <v>0.17024320457796852</v>
      </c>
      <c r="BC19" s="27">
        <f t="shared" si="19"/>
        <v>0.5016722408026757</v>
      </c>
      <c r="BD19" s="27">
        <f t="shared" si="20"/>
        <v>0.45222929936305739</v>
      </c>
      <c r="BE19" s="27">
        <f t="shared" si="21"/>
        <v>0.78409090909090906</v>
      </c>
      <c r="BF19" s="27">
        <f t="shared" si="22"/>
        <v>0.18518518518518517</v>
      </c>
      <c r="BG19" s="27">
        <f t="shared" si="23"/>
        <v>0.21602288984263232</v>
      </c>
      <c r="BH19" s="35">
        <f t="shared" si="24"/>
        <v>1.2689075630252102</v>
      </c>
      <c r="BI19" s="34">
        <f t="shared" si="25"/>
        <v>0.28873239436619719</v>
      </c>
      <c r="BJ19" s="27">
        <f t="shared" si="26"/>
        <v>0.34782608695652173</v>
      </c>
      <c r="BK19" s="27">
        <f t="shared" si="27"/>
        <v>0.27810650887573962</v>
      </c>
      <c r="BL19" s="27">
        <f t="shared" si="28"/>
        <v>0</v>
      </c>
      <c r="BM19" s="27">
        <f t="shared" si="29"/>
        <v>0.67441860465116288</v>
      </c>
      <c r="BN19" s="27">
        <f t="shared" si="30"/>
        <v>0.61073825503355705</v>
      </c>
      <c r="BO19" s="27">
        <f t="shared" si="31"/>
        <v>0.68098159509202449</v>
      </c>
      <c r="BP19" s="27">
        <f t="shared" si="32"/>
        <v>0.79999999999999993</v>
      </c>
      <c r="BQ19" s="28">
        <f t="shared" si="33"/>
        <v>0.48717948717948723</v>
      </c>
      <c r="BR19" s="34">
        <f t="shared" si="34"/>
        <v>9.5315024232633286E-2</v>
      </c>
      <c r="BS19" s="27">
        <f t="shared" si="35"/>
        <v>4.7531992687385741E-2</v>
      </c>
      <c r="BT19" s="39">
        <f>IF($D19=0,"DNP",SUMIFS(OPPS_GbG[KILLS],OPPS_GbG[[TM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4.7777777777777777</v>
      </c>
      <c r="BU19" s="34">
        <f t="shared" si="36"/>
        <v>0.43040293040293043</v>
      </c>
      <c r="BV19" s="28">
        <f t="shared" si="37"/>
        <v>0.40740740740740744</v>
      </c>
      <c r="BW19" s="18">
        <f>IF($D19=0,"DNP",SUMIFS(OPPS_GbG[ASTED_2FG],OPPS_GbG[[TM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7.8888888888888893</v>
      </c>
      <c r="BX19" s="18">
        <f>IF($D19=0,"DNP",SUMIFS(OPPS_GbG[ASTED_3FG],OPPS_GbG[[TM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7.666666666666667</v>
      </c>
      <c r="BY19" s="18">
        <f>IF($D19=0,"DNP",SUMIFS(OPPS_GbG[ASTED_FT],OPPS_GbG[[TM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1.1111111111111112</v>
      </c>
      <c r="BZ19" s="18">
        <f>IF($D19=0,"DNP",SUMIFS(OPPS_GbG[ASTED_FT PTS],OPPS_GbG[[TM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2.3333333333333335</v>
      </c>
      <c r="CA19" s="18">
        <f>IF($D19=0,"DNP",SUMIFS(OPPS_GbG[OR_RIM],OPPS_GbG[[TM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0.55555555555555558</v>
      </c>
      <c r="CB19" s="18">
        <f>IF($D19=0,"DNP",SUMIFS(OPPS_GbG[TM OR_RIM],OPPS_GbG[[TM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CC19" s="18">
        <f>IF($D19=0,"DNP",SUMIFS(OPPS_GbG[OR_PAINT],OPPS_GbG[[TM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2.5555555555555554</v>
      </c>
      <c r="CD19" s="18">
        <f>IF($D19=0,"DNP",SUMIFS(OPPS_GbG[TM OR_PAINT],OPPS_GbG[[TM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0.66666666666666663</v>
      </c>
      <c r="CE19" s="18">
        <f>IF($D19=0,"DNP",SUMIFS(OPPS_GbG[OR_NP2],OPPS_GbG[[TM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1.3333333333333333</v>
      </c>
      <c r="CF19" s="18">
        <f>IF($D19=0,"DNP",SUMIFS(OPPS_GbG[TM OR_NP2],OPPS_GbG[[TM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CG19" s="18">
        <f>IF($D19=0,"DNP",SUMIFS(OPPS_GbG[OR_3C],OPPS_GbG[[TM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0.55555555555555558</v>
      </c>
      <c r="CH19" s="18">
        <f>IF($D19=0,"DNP",SUMIFS(OPPS_GbG[TM OR_3C],OPPS_GbG[[TM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CI19" s="18">
        <f>IF($D19=0,"DNP",SUMIFS(OPPS_GbG[OR_3L],OPPS_GbG[[TM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4.1111111111111107</v>
      </c>
      <c r="CJ19" s="18">
        <f>IF($D19=0,"DNP",SUMIFS(OPPS_GbG[TM OR_3L],OPPS_GbG[[TM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0.55555555555555558</v>
      </c>
      <c r="CK19" s="18">
        <f>IF($D19=0,"DNP",SUMIFS(OPPS_GbG[OR_FT],OPPS_GbG[[TM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CL19" s="18">
        <f>IF($D19=0,"DNP",SUMIFS(OPPS_GbG[TM OR_FT],OPPS_GbG[[TM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CM19" s="18">
        <f>IF($D19=0,"DNP",SUMIFS(OPPS_GbG[DR_RIM],OPPS_GbG[[TM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1.8888888888888888</v>
      </c>
      <c r="CN19" s="18">
        <f>IF($D19=0,"DNP",SUMIFS(OPPS_GbG[TM DR_RIM],OPPS_GbG[[TM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CO19" s="18">
        <f>IF($D19=0,"DNP",SUMIFS(OPPS_GbG[DR_PAINT],OPPS_GbG[[TM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</v>
      </c>
      <c r="CP19" s="18">
        <f>IF($D19=0,"DNP",SUMIFS(OPPS_GbG[TM DR_PAINT],OPPS_GbG[[TM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0.44444444444444442</v>
      </c>
      <c r="CQ19" s="18">
        <f>IF($D19=0,"DNP",SUMIFS(OPPS_GbG[DR_NP2],OPPS_GbG[[TM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0.66666666666666663</v>
      </c>
      <c r="CR19" s="18">
        <f>IF($D19=0,"DNP",SUMIFS(OPPS_GbG[TM DR_NP2],OPPS_GbG[[TM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CS19" s="18">
        <f>IF($D19=0,"DNP",SUMIFS(OPPS_GbG[DR_3C],OPPS_GbG[[TM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1.5555555555555556</v>
      </c>
      <c r="CT19" s="18">
        <f>IF($D19=0,"DNP",SUMIFS(OPPS_GbG[TM DR_3C],OPPS_GbG[[TM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CU19" s="18">
        <f>IF($D19=0,"DNP",SUMIFS(OPPS_GbG[DR_3L],OPPS_GbG[[TM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9.5555555555555554</v>
      </c>
      <c r="CV19" s="18">
        <f>IF($D19=0,"DNP",SUMIFS(OPPS_GbG[TM DR_3L],OPPS_GbG[[TM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</v>
      </c>
      <c r="CW19" s="18">
        <f>IF($D19=0,"DNP",SUMIFS(OPPS_GbG[DR_FT],OPPS_GbG[[TM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1.7777777777777777</v>
      </c>
      <c r="CX19" s="18">
        <f>IF($D19=0,"DNP",SUMIFS(OPPS_GbG[TM DR_FT],OPPS_GbG[[TM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CY19" s="18">
        <f>IF($D19=0,"DNP",SUMIFS(OPPS_GbG[FTM_T],OPPS_GbG[[TM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CZ19" s="18">
        <f>IF($D19=0,"DNP",SUMIFS(OPPS_GbG[FTA_T],OPPS_GbG[[TM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0.33333333333333331</v>
      </c>
      <c r="DA19" s="18">
        <f>IF($D19=0,"DNP",SUMIFS(OPPS_GbG[FTM_1],OPPS_GbG[[TM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DB19" s="18">
        <f>IF($D19=0,"DNP",SUMIFS(OPPS_GbG[FTA_1],OPPS_GbG[[TM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DC19" s="18">
        <f>IF($D19=0,"DNP",SUMIFS(OPPS_GbG[FTM_2],OPPS_GbG[[TM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8.4444444444444446</v>
      </c>
      <c r="DD19" s="18">
        <f>IF($D19=0,"DNP",SUMIFS(OPPS_GbG[FTA_2],OPPS_GbG[[TM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10.888888888888889</v>
      </c>
      <c r="DE19" s="18">
        <f>IF($D19=0,"DNP",SUMIFS(OPPS_GbG[FT 0/2],OPPS_GbG[[TM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DF19" s="18">
        <f>IF($D19=0,"DNP",SUMIFS(OPPS_GbG[FTM_3],OPPS_GbG[[TM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1.6666666666666667</v>
      </c>
      <c r="DG19" s="18">
        <f>IF($D19=0,"DNP",SUMIFS(OPPS_GbG[FTA_3],OPPS_GbG[[TM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</v>
      </c>
      <c r="DH19" s="18">
        <f>IF($D19=0,"DNP",SUMIFS(OPPS_GbG[FT 0/3],OPPS_GbG[[TM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DI19" s="18">
        <f>IF($D19=0,"DNP",SUMIFS(OPPS_GbG[RIM_M],OPPS_GbG[[TM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8.2222222222222214</v>
      </c>
      <c r="DJ19" s="18">
        <f>IF($D19=0,"DNP",SUMIFS(OPPS_GbG[RIM_A],OPPS_GbG[[TM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10.666666666666666</v>
      </c>
      <c r="DK19" s="18">
        <f>IF($D19=0,"DNP",SUMIFS(OPPS_GbG[PAINT_M],OPPS_GbG[[TM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5.8888888888888893</v>
      </c>
      <c r="DL19" s="18">
        <f>IF($D19=0,"DNP",SUMIFS(OPPS_GbG[PAINT_A],OPPS_GbG[[TM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13</v>
      </c>
      <c r="DM19" s="18">
        <f>IF($D19=0,"DNP",SUMIFS(OPPS_GbG[MID_M],OPPS_GbG[[TM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3.3333333333333335</v>
      </c>
      <c r="DN19" s="18">
        <f>IF($D19=0,"DNP",SUMIFS(OPPS_GbG[MID_A],OPPS_GbG[[TM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7.7777777777777777</v>
      </c>
      <c r="DO19" s="18">
        <f>IF($D19=0,"DNP",SUMIFS(OPPS_GbG[3C_M],OPPS_GbG[[TM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1.4444444444444444</v>
      </c>
      <c r="DP19" s="18">
        <f>IF($D19=0,"DNP",SUMIFS(OPPS_GbG[3C_A],OPPS_GbG[[TM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3.6666666666666665</v>
      </c>
      <c r="DQ19" s="18">
        <f>IF($D19=0,"DNP",SUMIFS(OPPS_GbG[3L_M],OPPS_GbG[[TM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8.3333333333333339</v>
      </c>
      <c r="DR19" s="18">
        <f>IF($D19=0,"DNP",SUMIFS(OPPS_GbG[3L_A],OPPS_GbG[[TM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23.333333333333332</v>
      </c>
      <c r="DS19" s="18">
        <f>IF($D19=0,"DNP",SUMIFS(OPPS_GbG[3H_M],OPPS_GbG[[TM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DT19" s="18">
        <f>IF($D19=0,"DNP",SUMIFS(OPPS_GbG[3H_A],OPPS_GbG[[TM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DU19" s="18">
        <f>IF($D19=0,"DNP",SUMIFS(OPPS_GbG[OPP PTS],OPPS_GbG[[TM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77.777777777777771</v>
      </c>
      <c r="DV19" s="18">
        <f>IF($D19=0,"DNP",SUMIFS(OPPS_GbG[OPP 2PTM],OPPS_GbG[[TM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18.555555555555557</v>
      </c>
      <c r="DW19" s="18">
        <f>IF($D19=0,"DNP",SUMIFS(OPPS_GbG[OPP 2PTA],OPPS_GbG[[TM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34.333333333333336</v>
      </c>
      <c r="DX19" s="16">
        <f t="shared" si="43"/>
        <v>0.54045307443365698</v>
      </c>
      <c r="DY19" s="18">
        <f>IF($D19=0,"DNP",SUMIFS(OPPS_GbG[OPP 3PTM],OPPS_GbG[[TM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9.4444444444444446</v>
      </c>
      <c r="DZ19" s="18">
        <f>IF($D19=0,"DNP",SUMIFS(OPPS_GbG[OPP 3PTA],OPPS_GbG[[TM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26.444444444444443</v>
      </c>
      <c r="EA19" s="16">
        <f t="shared" si="44"/>
        <v>0.35714285714285715</v>
      </c>
      <c r="EB19" s="18">
        <f>IF($D19=0,"DNP",SUMIFS(OPPS_GbG[OPP FGM],OPPS_GbG[[TM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28</v>
      </c>
      <c r="EC19" s="18">
        <f>IF($D19=0,"DNP",SUMIFS(OPPS_GbG[OPP FGA],OPPS_GbG[[TM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60.777777777777779</v>
      </c>
      <c r="ED19" s="16">
        <f t="shared" si="45"/>
        <v>0.46069469835466176</v>
      </c>
      <c r="EE19" s="18">
        <f>IF($D19=0,"DNP",SUMIFS(OPPS_GbG[OPP FTM],OPPS_GbG[[TM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12.333333333333334</v>
      </c>
      <c r="EF19" s="18">
        <f>IF($D19=0,"DNP",SUMIFS(OPPS_GbG[OPP FTA],OPPS_GbG[[TM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16.222222222222221</v>
      </c>
      <c r="EG19" s="16">
        <f t="shared" si="46"/>
        <v>0.76027397260273977</v>
      </c>
      <c r="EH19" s="18">
        <f>IF($D19=0,"DNP",SUMIFS(OPPS_GbG[OPP OR],OPPS_GbG[[TM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10.888888888888889</v>
      </c>
      <c r="EI19" s="18">
        <f>IF($D19=0,"DNP",SUMIFS(OPPS_GbG[OPP DR],OPPS_GbG[[TM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22.444444444444443</v>
      </c>
      <c r="EJ19" s="18">
        <f>IF($D19=0,"DNP",SUMIFS(OPPS_GbG[OPP TR],OPPS_GbG[[TM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33.333333333333336</v>
      </c>
      <c r="EK19" s="18">
        <f>IF($D19=0,"DNP",SUMIFS(OPPS_GbG[OPP AST],OPPS_GbG[[TM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19.555555555555557</v>
      </c>
      <c r="EL19" s="18">
        <f>IF($D19=0,"DNP",SUMIFS(OPPS_GbG[OPP PF],OPPS_GbG[[TM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18.444444444444443</v>
      </c>
      <c r="EM19" s="18">
        <f>IF($D19=0,"DNP",SUMIFS(OPPS_GbG[OPP DF],OPPS_GbG[[TM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19.888888888888889</v>
      </c>
      <c r="EN19" s="18">
        <f>IF($D19=0,"DNP",SUMIFS(OPPS_GbG[OPP ST],OPPS_GbG[[TM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6.666666666666667</v>
      </c>
      <c r="EO19" s="18">
        <f>IF($D19=0,"DNP",SUMIFS(OPPS_GbG[OPP TO],OPPS_GbG[[TM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12.333333333333334</v>
      </c>
      <c r="EP19" s="18">
        <f>IF($D19=0,"DNP",SUMIFS(OPPS_GbG[OPP BLK],OPPS_GbG[[TM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2.4444444444444446</v>
      </c>
      <c r="EQ19" s="18">
        <f>IF($D19=0,"DNP",SUMIFS(OPPS_GbG[OPP BLKA],OPPS_GbG[[TM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2.8888888888888888</v>
      </c>
      <c r="ER19" s="18">
        <f>IF($D19=0,"DNP",SUMIFS(OPPS_GbG[OPP VAL],OPPS_GbG[[TM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89.333333333333329</v>
      </c>
      <c r="ES19" s="18">
        <f>IF($D19=0,"DNP",SUMIFS(OPPS_GbG[OPP + / -],OPPS_GbG[[TM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</v>
      </c>
      <c r="ET19" s="18">
        <f>IF($D19=0,"DNP",SUMIFS(OPPS_GbG[OPP POSS],OPPS_GbG[[TM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68.777777777777771</v>
      </c>
      <c r="EU19" s="18">
        <f>IF($D19=0,"DNP",SUMIFS(OPPS_GbG[OPP SHOOTING CHANCES],OPPS_GbG[[TM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79.814814814814824</v>
      </c>
      <c r="EV19" s="18">
        <f>IF($D19=0,"DNP",SUMIFS(OPPS_GbG[OPP KILLS],OPPS_GbG[[TM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5.2222222222222223</v>
      </c>
      <c r="EW19" s="18">
        <f>IF($D19=0,"DNP",SUMIFS(OPPS_GbG[OPP ASTED_2FG],OPPS_GbG[[TM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10.555555555555555</v>
      </c>
      <c r="EX19" s="18">
        <f>IF($D19=0,"DNP",SUMIFS(OPPS_GbG[OPP ASTED_3FG],OPPS_GbG[[TM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7.5555555555555554</v>
      </c>
      <c r="EY19" s="18">
        <f>IF($D19=0,"DNP",SUMIFS(OPPS_GbG[OPP ASTED_FT],OPPS_GbG[[TM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1.4444444444444444</v>
      </c>
      <c r="EZ19" s="18">
        <f>IF($D19=0,"DNP",SUMIFS(OPPS_GbG[OPP ASTED_FT PTS],OPPS_GbG[[TM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2.2222222222222223</v>
      </c>
      <c r="FA19" s="18">
        <f>IF($D19=0,"DNP",SUMIFS(OPPS_GbG[OPP OR_RIM],OPPS_GbG[[TM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FB19" s="18">
        <f>IF($D19=0,"DNP",SUMIFS(OPPS_GbG[OPP TM OR_RIM],OPPS_GbG[[TM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0.55555555555555558</v>
      </c>
      <c r="FC19" s="18">
        <f>IF($D19=0,"DNP",SUMIFS(OPPS_GbG[OPP OR_PAINT],OPPS_GbG[[TM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2.8888888888888888</v>
      </c>
      <c r="FD19" s="18">
        <f>IF($D19=0,"DNP",SUMIFS(OPPS_GbG[OPP TM OR_PAINT],OPPS_GbG[[TM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0.33333333333333331</v>
      </c>
      <c r="FE19" s="18">
        <f>IF($D19=0,"DNP",SUMIFS(OPPS_GbG[OPP OR_NP2],OPPS_GbG[[TM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FF19" s="18">
        <f>IF($D19=0,"DNP",SUMIFS(OPPS_GbG[OPP TM OR_NP2],OPPS_GbG[[TM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FG19" s="18">
        <f>IF($D19=0,"DNP",SUMIFS(OPPS_GbG[OPP OR_3C],OPPS_GbG[[TM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1.1111111111111112</v>
      </c>
      <c r="FH19" s="18">
        <f>IF($D19=0,"DNP",SUMIFS(OPPS_GbG[OPP TM OR_3C],OPPS_GbG[[TM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FI19" s="18">
        <f>IF($D19=0,"DNP",SUMIFS(OPPS_GbG[OPP OR_3L],OPPS_GbG[[TM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3.8888888888888888</v>
      </c>
      <c r="FJ19" s="18">
        <f>IF($D19=0,"DNP",SUMIFS(OPPS_GbG[OPP TM OR_3L],OPPS_GbG[[TM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0.66666666666666663</v>
      </c>
      <c r="FK19" s="18">
        <f>IF($D19=0,"DNP",SUMIFS(OPPS_GbG[OPP OR_FT],OPPS_GbG[[TM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0.33333333333333331</v>
      </c>
      <c r="FL19" s="18">
        <f>IF($D19=0,"DNP",SUMIFS(OPPS_GbG[OPP TM OR_FT],OPPS_GbG[[TM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FM19" s="18">
        <f>IF($D19=0,"DNP",SUMIFS(OPPS_GbG[OPP DR_RIM],OPPS_GbG[[TM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1.8888888888888888</v>
      </c>
      <c r="FN19" s="18">
        <f>IF($D19=0,"DNP",SUMIFS(OPPS_GbG[OPP TM DR_RIM],OPPS_GbG[[TM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FO19" s="18">
        <f>IF($D19=0,"DNP",SUMIFS(OPPS_GbG[OPP DR_PAINT],OPPS_GbG[[TM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4.5555555555555554</v>
      </c>
      <c r="FP19" s="18">
        <f>IF($D19=0,"DNP",SUMIFS(OPPS_GbG[OPP TM DR_PAINT],OPPS_GbG[[TM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0.44444444444444442</v>
      </c>
      <c r="FQ19" s="18">
        <f>IF($D19=0,"DNP",SUMIFS(OPPS_GbG[OPP DR_NP2],OPPS_GbG[[TM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2.8888888888888888</v>
      </c>
      <c r="FR19" s="18">
        <f>IF($D19=0,"DNP",SUMIFS(OPPS_GbG[OPP TM DR_NP2],OPPS_GbG[[TM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FS19" s="18">
        <f>IF($D19=0,"DNP",SUMIFS(OPPS_GbG[OPP DR_3C],OPPS_GbG[[TM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1.5555555555555556</v>
      </c>
      <c r="FT19" s="18">
        <f>IF($D19=0,"DNP",SUMIFS(OPPS_GbG[OPP TM DR_3C],OPPS_GbG[[TM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FU19" s="18">
        <f>IF($D19=0,"DNP",SUMIFS(OPPS_GbG[OPP DR_3L],OPPS_GbG[[TM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10.555555555555555</v>
      </c>
      <c r="FV19" s="18">
        <f>IF($D19=0,"DNP",SUMIFS(OPPS_GbG[OPP TM DR_3L],OPPS_GbG[[TM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1.3333333333333333</v>
      </c>
      <c r="FW19" s="18">
        <f>IF($D19=0,"DNP",SUMIFS(OPPS_GbG[OPP DR_FT],OPPS_GbG[[TM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</v>
      </c>
      <c r="FX19" s="18">
        <f>IF($D19=0,"DNP",SUMIFS(OPPS_GbG[OPP TM DR_FT],OPPS_GbG[[TM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FY19" s="18">
        <f>IF($D19=0,"DNP",SUMIFS(OPPS_GbG[OPP FTM_T],OPPS_GbG[[TM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  <c r="FZ19" s="18">
        <f>IF($D19=0,"DNP",SUMIFS(OPPS_GbG[OPP FTA_T],OPPS_GbG[[TM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0.44444444444444442</v>
      </c>
      <c r="GA19" s="18">
        <f>IF($D19=0,"DNP",SUMIFS(OPPS_GbG[OPP FTM_1],OPPS_GbG[[TM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1.2222222222222223</v>
      </c>
      <c r="GB19" s="18">
        <f>IF($D19=0,"DNP",SUMIFS(OPPS_GbG[OPP FTA_1],OPPS_GbG[[TM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</v>
      </c>
      <c r="GC19" s="18">
        <f>IF($D19=0,"DNP",SUMIFS(OPPS_GbG[OPP FTM_2],OPPS_GbG[[TM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10.111111111111111</v>
      </c>
      <c r="GD19" s="18">
        <f>IF($D19=0,"DNP",SUMIFS(OPPS_GbG[OPP FTA_2],OPPS_GbG[[TM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12.888888888888889</v>
      </c>
      <c r="GE19" s="18">
        <f>IF($D19=0,"DNP",SUMIFS(OPPS_GbG[OPP FT 0/2],OPPS_GbG[[TM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0.22222222222222221</v>
      </c>
      <c r="GF19" s="18">
        <f>IF($D19=0,"DNP",SUMIFS(OPPS_GbG[OPP FTM_3],OPPS_GbG[[TM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0.77777777777777779</v>
      </c>
      <c r="GG19" s="18">
        <f>IF($D19=0,"DNP",SUMIFS(OPPS_GbG[OPP FTA_3],OPPS_GbG[[TM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0.77777777777777779</v>
      </c>
      <c r="GH19" s="18">
        <f>IF($D19=0,"DNP",SUMIFS(OPPS_GbG[OPP FT 0/3],OPPS_GbG[[TM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GI19" s="18">
        <f>IF($D19=0,"DNP",SUMIFS(OPPS_GbG[OPP RIM_M],OPPS_GbG[[TM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11.555555555555555</v>
      </c>
      <c r="GJ19" s="18">
        <f>IF($D19=0,"DNP",SUMIFS(OPPS_GbG[OPP RIM_A],OPPS_GbG[[TM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14.777777777777779</v>
      </c>
      <c r="GK19" s="18">
        <f>IF($D19=0,"DNP",SUMIFS(OPPS_GbG[OPP PAINT_M],OPPS_GbG[[TM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5.333333333333333</v>
      </c>
      <c r="GL19" s="18">
        <f>IF($D19=0,"DNP",SUMIFS(OPPS_GbG[OPP PAINT_A],OPPS_GbG[[TM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15.666666666666666</v>
      </c>
      <c r="GM19" s="18">
        <f>IF($D19=0,"DNP",SUMIFS(OPPS_GbG[OPP MID_M],OPPS_GbG[[TM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1.6666666666666667</v>
      </c>
      <c r="GN19" s="18">
        <f>IF($D19=0,"DNP",SUMIFS(OPPS_GbG[OPP MID_A],OPPS_GbG[[TM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3.8888888888888888</v>
      </c>
      <c r="GO19" s="18">
        <f>IF($D19=0,"DNP",SUMIFS(OPPS_GbG[OPP 3C_M],OPPS_GbG[[TM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2.2222222222222223</v>
      </c>
      <c r="GP19" s="18">
        <f>IF($D19=0,"DNP",SUMIFS(OPPS_GbG[OPP 3C_A],OPPS_GbG[[TM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4.8888888888888893</v>
      </c>
      <c r="GQ19" s="18">
        <f>IF($D19=0,"DNP",SUMIFS(OPPS_GbG[OPP 3L_M],OPPS_GbG[[TM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7.2222222222222223</v>
      </c>
      <c r="GR19" s="18">
        <f>IF($D19=0,"DNP",SUMIFS(OPPS_GbG[OPP 3L_A],OPPS_GbG[[TM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21.444444444444443</v>
      </c>
      <c r="GS19" s="18">
        <f>IF($D19=0,"DNP",SUMIFS(OPPS_GbG[OPP 3H_M],OPPS_GbG[[TM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</v>
      </c>
      <c r="GT19" s="18">
        <f>IF($D19=0,"DNP",SUMIFS(OPPS_GbG[OPP 3H_A],OPPS_GbG[[TM NAME]:[TM NAME]],$C19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GAMES","&lt;1000",IF($F$3=BASIS_INFO!$T$3,"&lt;"&amp;BASIS_INFO!$B$11,IF($F$3=BASIS_INFO!$T$4,"&lt;"&amp;BASIS_INFO!$B$12,IF($F$3=BASIS_INFO!$T$5,"&lt;"&amp;BASIS_INFO!$B$13,IF($F$3=BASIS_INFO!$T$6,"&lt;"&amp;BASIS_INFO!$B$14))))))/IF($D$3="TOTAL",1,$D19))</f>
        <v>0.1111111111111111</v>
      </c>
    </row>
    <row r="20" spans="2:202" ht="15" customHeight="1" x14ac:dyDescent="0.25">
      <c r="B20" s="12">
        <f>_xlfn.AGGREGATE(3,5,$C$7:C19)</f>
        <v>13</v>
      </c>
      <c r="C20" s="14" t="str">
        <f>BASIS_INFO!F15</f>
        <v>Panathinaikos Athens</v>
      </c>
      <c r="D20" s="20">
        <f>COUNTIFS(OPPS_GbG[[TM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0" s="20">
        <f>COUNTIFS(OPPS_GbG[[TM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5</v>
      </c>
      <c r="F20" s="20">
        <f>COUNTIFS(OPPS_GbG[[TM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4</v>
      </c>
      <c r="G20" s="18">
        <f>IF($D20=0,"DNP",SUMIFS(OPPS_GbG[MIN],OPPS_GbG[[TM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205.55555555555554</v>
      </c>
      <c r="H20" s="18">
        <f>IF($D20=0,"DNP",SUMIFS(OPPS_GbG[PTS],OPPS_GbG[[TM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80.111111111111114</v>
      </c>
      <c r="I20" s="18">
        <f>IF($D20=0,"DNP",SUMIFS(OPPS_GbG[2PTM],OPPS_GbG[[TM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21</v>
      </c>
      <c r="J20" s="18">
        <f>IF($D20=0,"DNP",SUMIFS(OPPS_GbG[2PTA],OPPS_GbG[[TM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39</v>
      </c>
      <c r="K20" s="16">
        <f t="shared" si="38"/>
        <v>0.53846153846153844</v>
      </c>
      <c r="L20" s="18">
        <f>IF($D20=0,"DNP",SUMIFS(OPPS_GbG[3PTM],OPPS_GbG[[TM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9.4444444444444446</v>
      </c>
      <c r="M20" s="18">
        <f>IF($D20=0,"DNP",SUMIFS(OPPS_GbG[3PTA],OPPS_GbG[[TM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26.333333333333332</v>
      </c>
      <c r="N20" s="16">
        <f t="shared" si="39"/>
        <v>0.35864978902953587</v>
      </c>
      <c r="O20" s="18">
        <f>IF($D20=0,"DNP",SUMIFS(OPPS_GbG[FGM],OPPS_GbG[[TM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30.444444444444443</v>
      </c>
      <c r="P20" s="18">
        <f>IF($D20=0,"DNP",SUMIFS(OPPS_GbG[FGA],OPPS_GbG[[TM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65.333333333333329</v>
      </c>
      <c r="Q20" s="16">
        <f t="shared" si="40"/>
        <v>0.46598639455782315</v>
      </c>
      <c r="R20" s="18">
        <f>IF($D20=0,"DNP",SUMIFS(OPPS_GbG[FTM],OPPS_GbG[[TM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9.7777777777777786</v>
      </c>
      <c r="S20" s="18">
        <f>IF($D20=0,"DNP",SUMIFS(OPPS_GbG[FTA],OPPS_GbG[[TM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13</v>
      </c>
      <c r="T20" s="16">
        <f t="shared" si="41"/>
        <v>0.75213675213675224</v>
      </c>
      <c r="U20" s="18">
        <f>IF($D20=0,"DNP",SUMIFS(OPPS_GbG[OR],OPPS_GbG[[TM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11.666666666666666</v>
      </c>
      <c r="V20" s="18">
        <f>IF($D20=0,"DNP",SUMIFS(OPPS_GbG[DR],OPPS_GbG[[TM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23.333333333333332</v>
      </c>
      <c r="W20" s="18">
        <f>IF($D20=0,"DNP",SUMIFS(OPPS_GbG[TR],OPPS_GbG[[TM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35</v>
      </c>
      <c r="X20" s="18">
        <f>IF($D20=0,"DNP",SUMIFS(OPPS_GbG[AST],OPPS_GbG[[TM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16.666666666666668</v>
      </c>
      <c r="Y20" s="18">
        <f>IF($D20=0,"DNP",SUMIFS(OPPS_GbG[TO],OPPS_GbG[[TM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14.444444444444445</v>
      </c>
      <c r="Z20" s="18">
        <f>IF($D20=0,"DNP",SUMIFS(OPPS_GbG[ST],OPPS_GbG[[TM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7.7777777777777777</v>
      </c>
      <c r="AA20" s="18">
        <f>IF($D20=0,"DNP",SUMIFS(OPPS_GbG[BLK],OPPS_GbG[[TM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2.5555555555555554</v>
      </c>
      <c r="AB20" s="18">
        <f>IF($D20=0,"DNP",SUMIFS(OPPS_GbG[BLKA],OPPS_GbG[[TM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2.7777777777777777</v>
      </c>
      <c r="AC20" s="18">
        <f>IF($D20=0,"DNP",SUMIFS(OPPS_GbG[PF],OPPS_GbG[[TM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22.777777777777779</v>
      </c>
      <c r="AD20" s="18">
        <f>IF($D20=0,"DNP",SUMIFS(OPPS_GbG[DF],OPPS_GbG[[TM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17.444444444444443</v>
      </c>
      <c r="AE20" s="18">
        <f>IF($D20=0,"DNP",SUMIFS(OPPS_GbG[VAL],OPPS_GbG[[TM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81.444444444444443</v>
      </c>
      <c r="AF20" s="18">
        <f>IF($D20=0,"DNP",SUMIFS(OPPS_GbG[+ / -],OPPS_GbG[[TM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-1.5555555555555556</v>
      </c>
      <c r="AG20" s="26">
        <f t="shared" si="0"/>
        <v>71.351351351351354</v>
      </c>
      <c r="AH20" s="18">
        <f>IF($D20=0,"DNP",SUMIFS(OPPS_GbG[POSS],OPPS_GbG[[TM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73.333333333333329</v>
      </c>
      <c r="AI20" s="18">
        <f>IF($D20=0,"DNP",SUMIFS(OPPS_GbG[SHOOTING CHANCES],OPPS_GbG[[TM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85.111111111111114</v>
      </c>
      <c r="AJ20" s="19">
        <f t="shared" si="1"/>
        <v>0.94125326370757179</v>
      </c>
      <c r="AK20" s="19">
        <f t="shared" si="2"/>
        <v>0.99458728010825437</v>
      </c>
      <c r="AL20" s="18">
        <f t="shared" si="3"/>
        <v>109.24242424242425</v>
      </c>
      <c r="AM20" s="18">
        <f t="shared" si="4"/>
        <v>112.73006134969326</v>
      </c>
      <c r="AN20" s="18">
        <f t="shared" si="42"/>
        <v>-3.4876371072690091</v>
      </c>
      <c r="AO20" s="27">
        <f t="shared" si="5"/>
        <v>0.53826530612244905</v>
      </c>
      <c r="AP20" s="28">
        <f t="shared" si="6"/>
        <v>0.56682389937106925</v>
      </c>
      <c r="AQ20" s="34">
        <f t="shared" si="7"/>
        <v>0.19451697127937337</v>
      </c>
      <c r="AR20" s="38">
        <f t="shared" si="8"/>
        <v>1.4765100671140938</v>
      </c>
      <c r="AS20" s="27">
        <f t="shared" si="9"/>
        <v>0.19060052219321147</v>
      </c>
      <c r="AT20" s="38">
        <f t="shared" si="10"/>
        <v>0.86301369863013699</v>
      </c>
      <c r="AU20" s="27">
        <f t="shared" si="11"/>
        <v>7.3107049608355096E-2</v>
      </c>
      <c r="AV20" s="38">
        <f t="shared" si="12"/>
        <v>0.5714285714285714</v>
      </c>
      <c r="AW20" s="27">
        <f t="shared" si="13"/>
        <v>4.5691906005221931E-2</v>
      </c>
      <c r="AX20" s="38">
        <f t="shared" si="14"/>
        <v>1.1142857142857143</v>
      </c>
      <c r="AY20" s="27">
        <f t="shared" si="15"/>
        <v>0.25587467362924282</v>
      </c>
      <c r="AZ20" s="38">
        <f t="shared" si="16"/>
        <v>1.0867346938775511</v>
      </c>
      <c r="BA20" s="28">
        <f t="shared" si="17"/>
        <v>6.2663185378590072E-2</v>
      </c>
      <c r="BB20" s="34">
        <f t="shared" si="18"/>
        <v>0.16993464052287582</v>
      </c>
      <c r="BC20" s="27">
        <f t="shared" si="19"/>
        <v>0.47169811320754718</v>
      </c>
      <c r="BD20" s="27">
        <f t="shared" si="20"/>
        <v>0.41798941798941802</v>
      </c>
      <c r="BE20" s="27">
        <f t="shared" si="21"/>
        <v>0.70588235294117652</v>
      </c>
      <c r="BF20" s="27">
        <f t="shared" si="22"/>
        <v>0.25000000000000006</v>
      </c>
      <c r="BG20" s="27">
        <f t="shared" si="23"/>
        <v>0.19607843137254904</v>
      </c>
      <c r="BH20" s="35">
        <f t="shared" si="24"/>
        <v>1.153846153846154</v>
      </c>
      <c r="BI20" s="34">
        <f t="shared" si="25"/>
        <v>0.33227848101265822</v>
      </c>
      <c r="BJ20" s="27">
        <f t="shared" si="26"/>
        <v>0.33714285714285708</v>
      </c>
      <c r="BK20" s="27">
        <f t="shared" si="27"/>
        <v>0.35256410256410253</v>
      </c>
      <c r="BL20" s="27">
        <f t="shared" si="28"/>
        <v>0.2</v>
      </c>
      <c r="BM20" s="27">
        <f t="shared" si="29"/>
        <v>0.70945945945945954</v>
      </c>
      <c r="BN20" s="27">
        <f t="shared" si="30"/>
        <v>0.64189189189189189</v>
      </c>
      <c r="BO20" s="27">
        <f t="shared" si="31"/>
        <v>0.71333333333333326</v>
      </c>
      <c r="BP20" s="27">
        <f t="shared" si="32"/>
        <v>0.89655172413793094</v>
      </c>
      <c r="BQ20" s="28">
        <f t="shared" si="33"/>
        <v>0.51470588235294112</v>
      </c>
      <c r="BR20" s="34">
        <f t="shared" si="34"/>
        <v>0.10736196319018405</v>
      </c>
      <c r="BS20" s="27">
        <f t="shared" si="35"/>
        <v>4.3809523809523805E-2</v>
      </c>
      <c r="BT20" s="39">
        <f>IF($D20=0,"DNP",SUMIFS(OPPS_GbG[KILLS],OPPS_GbG[[TM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3.7777777777777777</v>
      </c>
      <c r="BU20" s="34">
        <f t="shared" si="36"/>
        <v>0.52682926829268284</v>
      </c>
      <c r="BV20" s="28">
        <f t="shared" si="37"/>
        <v>0.39490445859872614</v>
      </c>
      <c r="BW20" s="18">
        <f>IF($D20=0,"DNP",SUMIFS(OPPS_GbG[ASTED_2FG],OPPS_GbG[[TM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8.7777777777777786</v>
      </c>
      <c r="BX20" s="18">
        <f>IF($D20=0,"DNP",SUMIFS(OPPS_GbG[ASTED_3FG],OPPS_GbG[[TM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6.666666666666667</v>
      </c>
      <c r="BY20" s="18">
        <f>IF($D20=0,"DNP",SUMIFS(OPPS_GbG[ASTED_FT],OPPS_GbG[[TM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1.2222222222222223</v>
      </c>
      <c r="BZ20" s="18">
        <f>IF($D20=0,"DNP",SUMIFS(OPPS_GbG[ASTED_FT PTS],OPPS_GbG[[TM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2.1111111111111112</v>
      </c>
      <c r="CA20" s="18">
        <f>IF($D20=0,"DNP",SUMIFS(OPPS_GbG[OR_RIM],OPPS_GbG[[TM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1.6666666666666667</v>
      </c>
      <c r="CB20" s="18">
        <f>IF($D20=0,"DNP",SUMIFS(OPPS_GbG[TM OR_RIM],OPPS_GbG[[TM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CC20" s="18">
        <f>IF($D20=0,"DNP",SUMIFS(OPPS_GbG[OR_PAINT],OPPS_GbG[[TM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2.7777777777777777</v>
      </c>
      <c r="CD20" s="18">
        <f>IF($D20=0,"DNP",SUMIFS(OPPS_GbG[TM OR_PAINT],OPPS_GbG[[TM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CE20" s="18">
        <f>IF($D20=0,"DNP",SUMIFS(OPPS_GbG[OR_NP2],OPPS_GbG[[TM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1.1111111111111112</v>
      </c>
      <c r="CF20" s="18">
        <f>IF($D20=0,"DNP",SUMIFS(OPPS_GbG[TM OR_NP2],OPPS_GbG[[TM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0.1111111111111111</v>
      </c>
      <c r="CG20" s="18">
        <f>IF($D20=0,"DNP",SUMIFS(OPPS_GbG[OR_3C],OPPS_GbG[[TM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1.1111111111111112</v>
      </c>
      <c r="CH20" s="18">
        <f>IF($D20=0,"DNP",SUMIFS(OPPS_GbG[TM OR_3C],OPPS_GbG[[TM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0.22222222222222221</v>
      </c>
      <c r="CI20" s="18">
        <f>IF($D20=0,"DNP",SUMIFS(OPPS_GbG[OR_3L],OPPS_GbG[[TM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4.4444444444444446</v>
      </c>
      <c r="CJ20" s="18">
        <f>IF($D20=0,"DNP",SUMIFS(OPPS_GbG[TM OR_3L],OPPS_GbG[[TM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CK20" s="18">
        <f>IF($D20=0,"DNP",SUMIFS(OPPS_GbG[OR_FT],OPPS_GbG[[TM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CL20" s="18">
        <f>IF($D20=0,"DNP",SUMIFS(OPPS_GbG[TM OR_FT],OPPS_GbG[[TM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CM20" s="18">
        <f>IF($D20=0,"DNP",SUMIFS(OPPS_GbG[DR_RIM],OPPS_GbG[[TM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1.3333333333333333</v>
      </c>
      <c r="CN20" s="18">
        <f>IF($D20=0,"DNP",SUMIFS(OPPS_GbG[TM DR_RIM],OPPS_GbG[[TM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CO20" s="18">
        <f>IF($D20=0,"DNP",SUMIFS(OPPS_GbG[DR_PAINT],OPPS_GbG[[TM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5.7777777777777777</v>
      </c>
      <c r="CP20" s="18">
        <f>IF($D20=0,"DNP",SUMIFS(OPPS_GbG[TM DR_PAINT],OPPS_GbG[[TM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CQ20" s="18">
        <f>IF($D20=0,"DNP",SUMIFS(OPPS_GbG[DR_NP2],OPPS_GbG[[TM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2.5555555555555554</v>
      </c>
      <c r="CR20" s="18">
        <f>IF($D20=0,"DNP",SUMIFS(OPPS_GbG[TM DR_NP2],OPPS_GbG[[TM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0.1111111111111111</v>
      </c>
      <c r="CS20" s="18">
        <f>IF($D20=0,"DNP",SUMIFS(OPPS_GbG[DR_3C],OPPS_GbG[[TM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1.1111111111111112</v>
      </c>
      <c r="CT20" s="18">
        <f>IF($D20=0,"DNP",SUMIFS(OPPS_GbG[TM DR_3C],OPPS_GbG[[TM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CU20" s="18">
        <f>IF($D20=0,"DNP",SUMIFS(OPPS_GbG[DR_3L],OPPS_GbG[[TM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9.7777777777777786</v>
      </c>
      <c r="CV20" s="18">
        <f>IF($D20=0,"DNP",SUMIFS(OPPS_GbG[TM DR_3L],OPPS_GbG[[TM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</v>
      </c>
      <c r="CW20" s="18">
        <f>IF($D20=0,"DNP",SUMIFS(OPPS_GbG[DR_FT],OPPS_GbG[[TM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2.6666666666666665</v>
      </c>
      <c r="CX20" s="18">
        <f>IF($D20=0,"DNP",SUMIFS(OPPS_GbG[TM DR_FT],OPPS_GbG[[TM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0.22222222222222221</v>
      </c>
      <c r="CY20" s="18">
        <f>IF($D20=0,"DNP",SUMIFS(OPPS_GbG[FTM_T],OPPS_GbG[[TM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CZ20" s="18">
        <f>IF($D20=0,"DNP",SUMIFS(OPPS_GbG[FTA_T],OPPS_GbG[[TM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DA20" s="18">
        <f>IF($D20=0,"DNP",SUMIFS(OPPS_GbG[FTM_1],OPPS_GbG[[TM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1.1111111111111112</v>
      </c>
      <c r="DB20" s="18">
        <f>IF($D20=0,"DNP",SUMIFS(OPPS_GbG[FTA_1],OPPS_GbG[[TM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1.5555555555555556</v>
      </c>
      <c r="DC20" s="18">
        <f>IF($D20=0,"DNP",SUMIFS(OPPS_GbG[FTM_2],OPPS_GbG[[TM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7.666666666666667</v>
      </c>
      <c r="DD20" s="18">
        <f>IF($D20=0,"DNP",SUMIFS(OPPS_GbG[FTA_2],OPPS_GbG[[TM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10</v>
      </c>
      <c r="DE20" s="18">
        <f>IF($D20=0,"DNP",SUMIFS(OPPS_GbG[FT 0/2],OPPS_GbG[[TM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DF20" s="18">
        <f>IF($D20=0,"DNP",SUMIFS(OPPS_GbG[FTM_3],OPPS_GbG[[TM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DG20" s="18">
        <f>IF($D20=0,"DNP",SUMIFS(OPPS_GbG[FTA_3],OPPS_GbG[[TM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</v>
      </c>
      <c r="DH20" s="18">
        <f>IF($D20=0,"DNP",SUMIFS(OPPS_GbG[FT 0/3],OPPS_GbG[[TM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DI20" s="18">
        <f>IF($D20=0,"DNP",SUMIFS(OPPS_GbG[RIM_M],OPPS_GbG[[TM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12.222222222222221</v>
      </c>
      <c r="DJ20" s="18">
        <f>IF($D20=0,"DNP",SUMIFS(OPPS_GbG[RIM_A],OPPS_GbG[[TM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16.555555555555557</v>
      </c>
      <c r="DK20" s="18">
        <f>IF($D20=0,"DNP",SUMIFS(OPPS_GbG[PAINT_M],OPPS_GbG[[TM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</v>
      </c>
      <c r="DL20" s="18">
        <f>IF($D20=0,"DNP",SUMIFS(OPPS_GbG[PAINT_A],OPPS_GbG[[TM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16.222222222222221</v>
      </c>
      <c r="DM20" s="18">
        <f>IF($D20=0,"DNP",SUMIFS(OPPS_GbG[MID_M],OPPS_GbG[[TM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1.7777777777777777</v>
      </c>
      <c r="DN20" s="18">
        <f>IF($D20=0,"DNP",SUMIFS(OPPS_GbG[MID_A],OPPS_GbG[[TM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6.2222222222222223</v>
      </c>
      <c r="DO20" s="18">
        <f>IF($D20=0,"DNP",SUMIFS(OPPS_GbG[3C_M],OPPS_GbG[[TM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1.4444444444444444</v>
      </c>
      <c r="DP20" s="18">
        <f>IF($D20=0,"DNP",SUMIFS(OPPS_GbG[3C_A],OPPS_GbG[[TM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3.8888888888888888</v>
      </c>
      <c r="DQ20" s="18">
        <f>IF($D20=0,"DNP",SUMIFS(OPPS_GbG[3L_M],OPPS_GbG[[TM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7.8888888888888893</v>
      </c>
      <c r="DR20" s="18">
        <f>IF($D20=0,"DNP",SUMIFS(OPPS_GbG[3L_A],OPPS_GbG[[TM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21.777777777777779</v>
      </c>
      <c r="DS20" s="18">
        <f>IF($D20=0,"DNP",SUMIFS(OPPS_GbG[3H_M],OPPS_GbG[[TM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DT20" s="18">
        <f>IF($D20=0,"DNP",SUMIFS(OPPS_GbG[3H_A],OPPS_GbG[[TM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DU20" s="18">
        <f>IF($D20=0,"DNP",SUMIFS(OPPS_GbG[OPP PTS],OPPS_GbG[[TM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81.666666666666671</v>
      </c>
      <c r="DV20" s="18">
        <f>IF($D20=0,"DNP",SUMIFS(OPPS_GbG[OPP 2PTM],OPPS_GbG[[TM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19</v>
      </c>
      <c r="DW20" s="18">
        <f>IF($D20=0,"DNP",SUMIFS(OPPS_GbG[OPP 2PTA],OPPS_GbG[[TM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33.888888888888886</v>
      </c>
      <c r="DX20" s="16">
        <f t="shared" si="43"/>
        <v>0.56065573770491806</v>
      </c>
      <c r="DY20" s="18">
        <f>IF($D20=0,"DNP",SUMIFS(OPPS_GbG[OPP 3PTM],OPPS_GbG[[TM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8.8888888888888893</v>
      </c>
      <c r="DZ20" s="18">
        <f>IF($D20=0,"DNP",SUMIFS(OPPS_GbG[OPP 3PTA],OPPS_GbG[[TM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24.444444444444443</v>
      </c>
      <c r="EA20" s="16">
        <f t="shared" si="44"/>
        <v>0.3636363636363637</v>
      </c>
      <c r="EB20" s="18">
        <f>IF($D20=0,"DNP",SUMIFS(OPPS_GbG[OPP FGM],OPPS_GbG[[TM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27.888888888888889</v>
      </c>
      <c r="EC20" s="18">
        <f>IF($D20=0,"DNP",SUMIFS(OPPS_GbG[OPP FGA],OPPS_GbG[[TM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58.333333333333336</v>
      </c>
      <c r="ED20" s="16">
        <f t="shared" si="45"/>
        <v>0.47809523809523807</v>
      </c>
      <c r="EE20" s="18">
        <f>IF($D20=0,"DNP",SUMIFS(OPPS_GbG[OPP FTM],OPPS_GbG[[TM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17</v>
      </c>
      <c r="EF20" s="18">
        <f>IF($D20=0,"DNP",SUMIFS(OPPS_GbG[OPP FTA],OPPS_GbG[[TM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22.555555555555557</v>
      </c>
      <c r="EG20" s="16">
        <f t="shared" si="46"/>
        <v>0.75369458128078815</v>
      </c>
      <c r="EH20" s="18">
        <f>IF($D20=0,"DNP",SUMIFS(OPPS_GbG[OPP OR],OPPS_GbG[[TM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9.5555555555555554</v>
      </c>
      <c r="EI20" s="18">
        <f>IF($D20=0,"DNP",SUMIFS(OPPS_GbG[OPP DR],OPPS_GbG[[TM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23.444444444444443</v>
      </c>
      <c r="EJ20" s="18">
        <f>IF($D20=0,"DNP",SUMIFS(OPPS_GbG[OPP TR],OPPS_GbG[[TM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33</v>
      </c>
      <c r="EK20" s="18">
        <f>IF($D20=0,"DNP",SUMIFS(OPPS_GbG[OPP AST],OPPS_GbG[[TM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16</v>
      </c>
      <c r="EL20" s="18">
        <f>IF($D20=0,"DNP",SUMIFS(OPPS_GbG[OPP PF],OPPS_GbG[[TM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18</v>
      </c>
      <c r="EM20" s="18">
        <f>IF($D20=0,"DNP",SUMIFS(OPPS_GbG[OPP DF],OPPS_GbG[[TM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22.444444444444443</v>
      </c>
      <c r="EN20" s="18">
        <f>IF($D20=0,"DNP",SUMIFS(OPPS_GbG[OPP ST],OPPS_GbG[[TM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7.2222222222222223</v>
      </c>
      <c r="EO20" s="18">
        <f>IF($D20=0,"DNP",SUMIFS(OPPS_GbG[OPP TO],OPPS_GbG[[TM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13.888888888888889</v>
      </c>
      <c r="EP20" s="18">
        <f>IF($D20=0,"DNP",SUMIFS(OPPS_GbG[OPP BLK],OPPS_GbG[[TM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2.7777777777777777</v>
      </c>
      <c r="EQ20" s="18">
        <f>IF($D20=0,"DNP",SUMIFS(OPPS_GbG[OPP BLKA],OPPS_GbG[[TM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2.5555555555555554</v>
      </c>
      <c r="ER20" s="18">
        <f>IF($D20=0,"DNP",SUMIFS(OPPS_GbG[OPP VAL],OPPS_GbG[[TM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92.666666666666671</v>
      </c>
      <c r="ES20" s="18">
        <f>IF($D20=0,"DNP",SUMIFS(OPPS_GbG[OPP + / -],OPPS_GbG[[TM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1.5555555555555556</v>
      </c>
      <c r="ET20" s="18">
        <f>IF($D20=0,"DNP",SUMIFS(OPPS_GbG[OPP POSS],OPPS_GbG[[TM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72.444444444444443</v>
      </c>
      <c r="EU20" s="18">
        <f>IF($D20=0,"DNP",SUMIFS(OPPS_GbG[OPP SHOOTING CHANCES],OPPS_GbG[[TM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82.111111111111114</v>
      </c>
      <c r="EV20" s="18">
        <f>IF($D20=0,"DNP",SUMIFS(OPPS_GbG[OPP KILLS],OPPS_GbG[[TM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4.8888888888888893</v>
      </c>
      <c r="EW20" s="18">
        <f>IF($D20=0,"DNP",SUMIFS(OPPS_GbG[OPP ASTED_2FG],OPPS_GbG[[TM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7.2222222222222223</v>
      </c>
      <c r="EX20" s="18">
        <f>IF($D20=0,"DNP",SUMIFS(OPPS_GbG[OPP ASTED_3FG],OPPS_GbG[[TM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6.666666666666667</v>
      </c>
      <c r="EY20" s="18">
        <f>IF($D20=0,"DNP",SUMIFS(OPPS_GbG[OPP ASTED_FT],OPPS_GbG[[TM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2.1111111111111112</v>
      </c>
      <c r="EZ20" s="18">
        <f>IF($D20=0,"DNP",SUMIFS(OPPS_GbG[OPP ASTED_FT PTS],OPPS_GbG[[TM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3.6666666666666665</v>
      </c>
      <c r="FA20" s="18">
        <f>IF($D20=0,"DNP",SUMIFS(OPPS_GbG[OPP OR_RIM],OPPS_GbG[[TM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1.3333333333333333</v>
      </c>
      <c r="FB20" s="18">
        <f>IF($D20=0,"DNP",SUMIFS(OPPS_GbG[OPP TM OR_RIM],OPPS_GbG[[TM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0.1111111111111111</v>
      </c>
      <c r="FC20" s="18">
        <f>IF($D20=0,"DNP",SUMIFS(OPPS_GbG[OPP OR_PAINT],OPPS_GbG[[TM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3.1111111111111112</v>
      </c>
      <c r="FD20" s="18">
        <f>IF($D20=0,"DNP",SUMIFS(OPPS_GbG[OPP TM OR_PAINT],OPPS_GbG[[TM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0.77777777777777779</v>
      </c>
      <c r="FE20" s="18">
        <f>IF($D20=0,"DNP",SUMIFS(OPPS_GbG[OPP OR_NP2],OPPS_GbG[[TM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FF20" s="18">
        <f>IF($D20=0,"DNP",SUMIFS(OPPS_GbG[OPP TM OR_NP2],OPPS_GbG[[TM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FG20" s="18">
        <f>IF($D20=0,"DNP",SUMIFS(OPPS_GbG[OPP OR_3C],OPPS_GbG[[TM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FH20" s="18">
        <f>IF($D20=0,"DNP",SUMIFS(OPPS_GbG[OPP TM OR_3C],OPPS_GbG[[TM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FI20" s="18">
        <f>IF($D20=0,"DNP",SUMIFS(OPPS_GbG[OPP OR_3L],OPPS_GbG[[TM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3.6666666666666665</v>
      </c>
      <c r="FJ20" s="18">
        <f>IF($D20=0,"DNP",SUMIFS(OPPS_GbG[OPP TM OR_3L],OPPS_GbG[[TM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0.66666666666666663</v>
      </c>
      <c r="FK20" s="18">
        <f>IF($D20=0,"DNP",SUMIFS(OPPS_GbG[OPP OR_FT],OPPS_GbG[[TM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FL20" s="18">
        <f>IF($D20=0,"DNP",SUMIFS(OPPS_GbG[OPP TM OR_FT],OPPS_GbG[[TM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FM20" s="18">
        <f>IF($D20=0,"DNP",SUMIFS(OPPS_GbG[OPP DR_RIM],OPPS_GbG[[TM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2.5555555555555554</v>
      </c>
      <c r="FN20" s="18">
        <f>IF($D20=0,"DNP",SUMIFS(OPPS_GbG[OPP TM DR_RIM],OPPS_GbG[[TM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0.22222222222222221</v>
      </c>
      <c r="FO20" s="18">
        <f>IF($D20=0,"DNP",SUMIFS(OPPS_GbG[OPP DR_PAINT],OPPS_GbG[[TM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6.1111111111111107</v>
      </c>
      <c r="FP20" s="18">
        <f>IF($D20=0,"DNP",SUMIFS(OPPS_GbG[OPP TM DR_PAINT],OPPS_GbG[[TM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0.33333333333333331</v>
      </c>
      <c r="FQ20" s="18">
        <f>IF($D20=0,"DNP",SUMIFS(OPPS_GbG[OPP DR_NP2],OPPS_GbG[[TM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3.1111111111111112</v>
      </c>
      <c r="FR20" s="18">
        <f>IF($D20=0,"DNP",SUMIFS(OPPS_GbG[OPP TM DR_NP2],OPPS_GbG[[TM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FS20" s="18">
        <f>IF($D20=0,"DNP",SUMIFS(OPPS_GbG[OPP DR_3C],OPPS_GbG[[TM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1.3333333333333333</v>
      </c>
      <c r="FT20" s="18">
        <f>IF($D20=0,"DNP",SUMIFS(OPPS_GbG[OPP TM DR_3C],OPPS_GbG[[TM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FU20" s="18">
        <f>IF($D20=0,"DNP",SUMIFS(OPPS_GbG[OPP DR_3L],OPPS_GbG[[TM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8.8888888888888893</v>
      </c>
      <c r="FV20" s="18">
        <f>IF($D20=0,"DNP",SUMIFS(OPPS_GbG[OPP TM DR_3L],OPPS_GbG[[TM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</v>
      </c>
      <c r="FW20" s="18">
        <f>IF($D20=0,"DNP",SUMIFS(OPPS_GbG[OPP DR_FT],OPPS_GbG[[TM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1.3333333333333333</v>
      </c>
      <c r="FX20" s="18">
        <f>IF($D20=0,"DNP",SUMIFS(OPPS_GbG[OPP TM DR_FT],OPPS_GbG[[TM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FY20" s="18">
        <f>IF($D20=0,"DNP",SUMIFS(OPPS_GbG[OPP FTM_T],OPPS_GbG[[TM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FZ20" s="18">
        <f>IF($D20=0,"DNP",SUMIFS(OPPS_GbG[OPP FTA_T],OPPS_GbG[[TM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0.44444444444444442</v>
      </c>
      <c r="GA20" s="18">
        <f>IF($D20=0,"DNP",SUMIFS(OPPS_GbG[OPP FTM_1],OPPS_GbG[[TM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1.5555555555555556</v>
      </c>
      <c r="GB20" s="18">
        <f>IF($D20=0,"DNP",SUMIFS(OPPS_GbG[OPP FTA_1],OPPS_GbG[[TM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2.1111111111111112</v>
      </c>
      <c r="GC20" s="18">
        <f>IF($D20=0,"DNP",SUMIFS(OPPS_GbG[OPP FTM_2],OPPS_GbG[[TM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14.444444444444445</v>
      </c>
      <c r="GD20" s="18">
        <f>IF($D20=0,"DNP",SUMIFS(OPPS_GbG[OPP FTA_2],OPPS_GbG[[TM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19.333333333333332</v>
      </c>
      <c r="GE20" s="18">
        <f>IF($D20=0,"DNP",SUMIFS(OPPS_GbG[OPP FT 0/2],OPPS_GbG[[TM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0.77777777777777779</v>
      </c>
      <c r="GF20" s="18">
        <f>IF($D20=0,"DNP",SUMIFS(OPPS_GbG[OPP FTM_3],OPPS_GbG[[TM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0.55555555555555558</v>
      </c>
      <c r="GG20" s="18">
        <f>IF($D20=0,"DNP",SUMIFS(OPPS_GbG[OPP FTA_3],OPPS_GbG[[TM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0.66666666666666663</v>
      </c>
      <c r="GH20" s="18">
        <f>IF($D20=0,"DNP",SUMIFS(OPPS_GbG[OPP FT 0/3],OPPS_GbG[[TM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GI20" s="18">
        <f>IF($D20=0,"DNP",SUMIFS(OPPS_GbG[OPP RIM_M],OPPS_GbG[[TM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10.222222222222221</v>
      </c>
      <c r="GJ20" s="18">
        <f>IF($D20=0,"DNP",SUMIFS(OPPS_GbG[OPP RIM_A],OPPS_GbG[[TM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13</v>
      </c>
      <c r="GK20" s="18">
        <f>IF($D20=0,"DNP",SUMIFS(OPPS_GbG[OPP PAINT_M],OPPS_GbG[[TM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6.666666666666667</v>
      </c>
      <c r="GL20" s="18">
        <f>IF($D20=0,"DNP",SUMIFS(OPPS_GbG[OPP PAINT_A],OPPS_GbG[[TM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15.555555555555555</v>
      </c>
      <c r="GM20" s="18">
        <f>IF($D20=0,"DNP",SUMIFS(OPPS_GbG[OPP MID_M],OPPS_GbG[[TM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2.1111111111111112</v>
      </c>
      <c r="GN20" s="18">
        <f>IF($D20=0,"DNP",SUMIFS(OPPS_GbG[OPP MID_A],OPPS_GbG[[TM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5.333333333333333</v>
      </c>
      <c r="GO20" s="18">
        <f>IF($D20=0,"DNP",SUMIFS(OPPS_GbG[OPP 3C_M],OPPS_GbG[[TM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1.8888888888888888</v>
      </c>
      <c r="GP20" s="18">
        <f>IF($D20=0,"DNP",SUMIFS(OPPS_GbG[OPP 3C_A],OPPS_GbG[[TM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3.4444444444444446</v>
      </c>
      <c r="GQ20" s="18">
        <f>IF($D20=0,"DNP",SUMIFS(OPPS_GbG[OPP 3L_M],OPPS_GbG[[TM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7</v>
      </c>
      <c r="GR20" s="18">
        <f>IF($D20=0,"DNP",SUMIFS(OPPS_GbG[OPP 3L_A],OPPS_GbG[[TM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20.777777777777779</v>
      </c>
      <c r="GS20" s="18">
        <f>IF($D20=0,"DNP",SUMIFS(OPPS_GbG[OPP 3H_M],OPPS_GbG[[TM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</v>
      </c>
      <c r="GT20" s="18">
        <f>IF($D20=0,"DNP",SUMIFS(OPPS_GbG[OPP 3H_A],OPPS_GbG[[TM NAME]:[TM NAME]],$C20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GAMES","&lt;1000",IF($F$3=BASIS_INFO!$T$3,"&lt;"&amp;BASIS_INFO!$B$11,IF($F$3=BASIS_INFO!$T$4,"&lt;"&amp;BASIS_INFO!$B$12,IF($F$3=BASIS_INFO!$T$5,"&lt;"&amp;BASIS_INFO!$B$13,IF($F$3=BASIS_INFO!$T$6,"&lt;"&amp;BASIS_INFO!$B$14))))))/IF($D$3="TOTAL",1,$D20))</f>
        <v>0.22222222222222221</v>
      </c>
    </row>
    <row r="21" spans="2:202" ht="15" customHeight="1" x14ac:dyDescent="0.25">
      <c r="B21" s="12">
        <f>_xlfn.AGGREGATE(3,5,$C$7:C20)</f>
        <v>14</v>
      </c>
      <c r="C21" s="14" t="str">
        <f>BASIS_INFO!F16</f>
        <v>Partizan Mozzart Bet Belgrade</v>
      </c>
      <c r="D21" s="20">
        <f>COUNTIFS(OPPS_GbG[[TM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1" s="20">
        <f>COUNTIFS(OPPS_GbG[[TM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4</v>
      </c>
      <c r="F21" s="20">
        <f>COUNTIFS(OPPS_GbG[[TM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5</v>
      </c>
      <c r="G21" s="18">
        <f>IF($D21=0,"DNP",SUMIFS(OPPS_GbG[MIN],OPPS_GbG[[TM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202.77777777777777</v>
      </c>
      <c r="H21" s="18">
        <f>IF($D21=0,"DNP",SUMIFS(OPPS_GbG[PTS],OPPS_GbG[[TM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85.555555555555557</v>
      </c>
      <c r="I21" s="18">
        <f>IF($D21=0,"DNP",SUMIFS(OPPS_GbG[2PTM],OPPS_GbG[[TM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18.777777777777779</v>
      </c>
      <c r="J21" s="18">
        <f>IF($D21=0,"DNP",SUMIFS(OPPS_GbG[2PTA],OPPS_GbG[[TM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35</v>
      </c>
      <c r="K21" s="16">
        <f t="shared" si="38"/>
        <v>0.53650793650793649</v>
      </c>
      <c r="L21" s="18">
        <f>IF($D21=0,"DNP",SUMIFS(OPPS_GbG[3PTM],OPPS_GbG[[TM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10</v>
      </c>
      <c r="M21" s="18">
        <f>IF($D21=0,"DNP",SUMIFS(OPPS_GbG[3PTA],OPPS_GbG[[TM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29.555555555555557</v>
      </c>
      <c r="N21" s="16">
        <f t="shared" si="39"/>
        <v>0.33834586466165412</v>
      </c>
      <c r="O21" s="18">
        <f>IF($D21=0,"DNP",SUMIFS(OPPS_GbG[FGM],OPPS_GbG[[TM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28.777777777777779</v>
      </c>
      <c r="P21" s="18">
        <f>IF($D21=0,"DNP",SUMIFS(OPPS_GbG[FGA],OPPS_GbG[[TM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64.555555555555557</v>
      </c>
      <c r="Q21" s="16">
        <f t="shared" si="40"/>
        <v>0.44578313253012047</v>
      </c>
      <c r="R21" s="18">
        <f>IF($D21=0,"DNP",SUMIFS(OPPS_GbG[FTM],OPPS_GbG[[TM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18</v>
      </c>
      <c r="S21" s="18">
        <f>IF($D21=0,"DNP",SUMIFS(OPPS_GbG[FTA],OPPS_GbG[[TM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21.333333333333332</v>
      </c>
      <c r="T21" s="16">
        <f t="shared" si="41"/>
        <v>0.84375</v>
      </c>
      <c r="U21" s="18">
        <f>IF($D21=0,"DNP",SUMIFS(OPPS_GbG[OR],OPPS_GbG[[TM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13.666666666666666</v>
      </c>
      <c r="V21" s="18">
        <f>IF($D21=0,"DNP",SUMIFS(OPPS_GbG[DR],OPPS_GbG[[TM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21.555555555555557</v>
      </c>
      <c r="W21" s="18">
        <f>IF($D21=0,"DNP",SUMIFS(OPPS_GbG[TR],OPPS_GbG[[TM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35.222222222222221</v>
      </c>
      <c r="X21" s="18">
        <f>IF($D21=0,"DNP",SUMIFS(OPPS_GbG[AST],OPPS_GbG[[TM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19.333333333333332</v>
      </c>
      <c r="Y21" s="18">
        <f>IF($D21=0,"DNP",SUMIFS(OPPS_GbG[TO],OPPS_GbG[[TM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12.111111111111111</v>
      </c>
      <c r="Z21" s="18">
        <f>IF($D21=0,"DNP",SUMIFS(OPPS_GbG[ST],OPPS_GbG[[TM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6.666666666666667</v>
      </c>
      <c r="AA21" s="18">
        <f>IF($D21=0,"DNP",SUMIFS(OPPS_GbG[BLK],OPPS_GbG[[TM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1.6666666666666667</v>
      </c>
      <c r="AB21" s="18">
        <f>IF($D21=0,"DNP",SUMIFS(OPPS_GbG[BLKA],OPPS_GbG[[TM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3.3333333333333335</v>
      </c>
      <c r="AC21" s="18">
        <f>IF($D21=0,"DNP",SUMIFS(OPPS_GbG[PF],OPPS_GbG[[TM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20.444444444444443</v>
      </c>
      <c r="AD21" s="18">
        <f>IF($D21=0,"DNP",SUMIFS(OPPS_GbG[DF],OPPS_GbG[[TM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21.222222222222221</v>
      </c>
      <c r="AE21" s="18">
        <f>IF($D21=0,"DNP",SUMIFS(OPPS_GbG[VAL],OPPS_GbG[[TM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94.666666666666671</v>
      </c>
      <c r="AF21" s="18">
        <f>IF($D21=0,"DNP",SUMIFS(OPPS_GbG[+ / -],OPPS_GbG[[TM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-0.66666666666666663</v>
      </c>
      <c r="AG21" s="26">
        <f t="shared" si="0"/>
        <v>70.794520547945211</v>
      </c>
      <c r="AH21" s="18">
        <f>IF($D21=0,"DNP",SUMIFS(OPPS_GbG[POSS],OPPS_GbG[[TM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71.777777777777771</v>
      </c>
      <c r="AI21" s="18">
        <f>IF($D21=0,"DNP",SUMIFS(OPPS_GbG[SHOOTING CHANCES],OPPS_GbG[[TM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86</v>
      </c>
      <c r="AJ21" s="19">
        <f t="shared" si="1"/>
        <v>0.99483204134366932</v>
      </c>
      <c r="AK21" s="19">
        <f t="shared" si="2"/>
        <v>1.0883590462833099</v>
      </c>
      <c r="AL21" s="18">
        <f t="shared" si="3"/>
        <v>119.1950464396285</v>
      </c>
      <c r="AM21" s="18">
        <f t="shared" si="4"/>
        <v>120.49689440993789</v>
      </c>
      <c r="AN21" s="18">
        <f t="shared" si="42"/>
        <v>-1.3018479703093959</v>
      </c>
      <c r="AO21" s="27">
        <f t="shared" si="5"/>
        <v>0.52323580034423411</v>
      </c>
      <c r="AP21" s="28">
        <f t="shared" si="6"/>
        <v>0.57894736842105265</v>
      </c>
      <c r="AQ21" s="34">
        <f t="shared" si="7"/>
        <v>0.13049095607235142</v>
      </c>
      <c r="AR21" s="38">
        <f t="shared" si="8"/>
        <v>1.6831683168316833</v>
      </c>
      <c r="AS21" s="27">
        <f t="shared" si="9"/>
        <v>0.2118863049095607</v>
      </c>
      <c r="AT21" s="38">
        <f t="shared" si="10"/>
        <v>0.76829268292682928</v>
      </c>
      <c r="AU21" s="27">
        <f t="shared" si="11"/>
        <v>6.4599483204134361E-2</v>
      </c>
      <c r="AV21" s="38">
        <f t="shared" si="12"/>
        <v>0.84000000000000008</v>
      </c>
      <c r="AW21" s="27">
        <f t="shared" si="13"/>
        <v>5.6847545219638244E-2</v>
      </c>
      <c r="AX21" s="38">
        <f t="shared" si="14"/>
        <v>1.0909090909090908</v>
      </c>
      <c r="AY21" s="27">
        <f t="shared" si="15"/>
        <v>0.2842377260981912</v>
      </c>
      <c r="AZ21" s="38">
        <f t="shared" si="16"/>
        <v>1.009090909090909</v>
      </c>
      <c r="BA21" s="28">
        <f t="shared" si="17"/>
        <v>0.10852713178294575</v>
      </c>
      <c r="BB21" s="34">
        <f t="shared" si="18"/>
        <v>0.14174252275682706</v>
      </c>
      <c r="BC21" s="27">
        <f t="shared" si="19"/>
        <v>0.51327433628318575</v>
      </c>
      <c r="BD21" s="27">
        <f t="shared" si="20"/>
        <v>0.46153846153846151</v>
      </c>
      <c r="BE21" s="27">
        <f t="shared" si="21"/>
        <v>0.73333333333333328</v>
      </c>
      <c r="BF21" s="27">
        <f t="shared" si="22"/>
        <v>0.375</v>
      </c>
      <c r="BG21" s="27">
        <f t="shared" si="23"/>
        <v>0.22626788036410922</v>
      </c>
      <c r="BH21" s="35">
        <f t="shared" si="24"/>
        <v>1.5963302752293578</v>
      </c>
      <c r="BI21" s="34">
        <f t="shared" si="25"/>
        <v>0.37846153846153846</v>
      </c>
      <c r="BJ21" s="27">
        <f t="shared" si="26"/>
        <v>0.40606060606060612</v>
      </c>
      <c r="BK21" s="27">
        <f t="shared" si="27"/>
        <v>0.38071065989847719</v>
      </c>
      <c r="BL21" s="27">
        <f t="shared" si="28"/>
        <v>0.24999999999999997</v>
      </c>
      <c r="BM21" s="27">
        <f t="shared" si="29"/>
        <v>0.74615384615384617</v>
      </c>
      <c r="BN21" s="27">
        <f t="shared" si="30"/>
        <v>0.70895522388059706</v>
      </c>
      <c r="BO21" s="27">
        <f t="shared" si="31"/>
        <v>0.72222222222222221</v>
      </c>
      <c r="BP21" s="27">
        <f t="shared" si="32"/>
        <v>0.73333333333333328</v>
      </c>
      <c r="BQ21" s="28">
        <f t="shared" si="33"/>
        <v>0.54188034188034184</v>
      </c>
      <c r="BR21" s="34">
        <f t="shared" si="34"/>
        <v>9.3167701863354033E-2</v>
      </c>
      <c r="BS21" s="27">
        <f t="shared" si="35"/>
        <v>2.819548872180451E-2</v>
      </c>
      <c r="BT21" s="39">
        <f>IF($D21=0,"DNP",SUMIFS(OPPS_GbG[KILLS],OPPS_GbG[[TM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4.1111111111111107</v>
      </c>
      <c r="BU21" s="34">
        <f t="shared" si="36"/>
        <v>0.53804347826086962</v>
      </c>
      <c r="BV21" s="28">
        <f t="shared" si="37"/>
        <v>0.53926701570680635</v>
      </c>
      <c r="BW21" s="18">
        <f>IF($D21=0,"DNP",SUMIFS(OPPS_GbG[ASTED_2FG],OPPS_GbG[[TM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8.6666666666666661</v>
      </c>
      <c r="BX21" s="18">
        <f>IF($D21=0,"DNP",SUMIFS(OPPS_GbG[ASTED_3FG],OPPS_GbG[[TM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7.333333333333333</v>
      </c>
      <c r="BY21" s="18">
        <f>IF($D21=0,"DNP",SUMIFS(OPPS_GbG[ASTED_FT],OPPS_GbG[[TM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3.3333333333333335</v>
      </c>
      <c r="BZ21" s="18">
        <f>IF($D21=0,"DNP",SUMIFS(OPPS_GbG[ASTED_FT PTS],OPPS_GbG[[TM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5.7777777777777777</v>
      </c>
      <c r="CA21" s="18">
        <f>IF($D21=0,"DNP",SUMIFS(OPPS_GbG[OR_RIM],OPPS_GbG[[TM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0.77777777777777779</v>
      </c>
      <c r="CB21" s="18">
        <f>IF($D21=0,"DNP",SUMIFS(OPPS_GbG[TM OR_RIM],OPPS_GbG[[TM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CC21" s="18">
        <f>IF($D21=0,"DNP",SUMIFS(OPPS_GbG[OR_PAINT],OPPS_GbG[[TM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4.333333333333333</v>
      </c>
      <c r="CD21" s="18">
        <f>IF($D21=0,"DNP",SUMIFS(OPPS_GbG[TM OR_PAINT],OPPS_GbG[[TM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</v>
      </c>
      <c r="CE21" s="18">
        <f>IF($D21=0,"DNP",SUMIFS(OPPS_GbG[OR_NP2],OPPS_GbG[[TM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0.77777777777777779</v>
      </c>
      <c r="CF21" s="18">
        <f>IF($D21=0,"DNP",SUMIFS(OPPS_GbG[TM OR_NP2],OPPS_GbG[[TM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CG21" s="18">
        <f>IF($D21=0,"DNP",SUMIFS(OPPS_GbG[OR_3C],OPPS_GbG[[TM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</v>
      </c>
      <c r="CH21" s="18">
        <f>IF($D21=0,"DNP",SUMIFS(OPPS_GbG[TM OR_3C],OPPS_GbG[[TM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CI21" s="18">
        <f>IF($D21=0,"DNP",SUMIFS(OPPS_GbG[OR_3L],OPPS_GbG[[TM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6.333333333333333</v>
      </c>
      <c r="CJ21" s="18">
        <f>IF($D21=0,"DNP",SUMIFS(OPPS_GbG[TM OR_3L],OPPS_GbG[[TM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0.77777777777777779</v>
      </c>
      <c r="CK21" s="18">
        <f>IF($D21=0,"DNP",SUMIFS(OPPS_GbG[OR_FT],OPPS_GbG[[TM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CL21" s="18">
        <f>IF($D21=0,"DNP",SUMIFS(OPPS_GbG[TM OR_FT],OPPS_GbG[[TM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M21" s="18">
        <f>IF($D21=0,"DNP",SUMIFS(OPPS_GbG[DR_RIM],OPPS_GbG[[TM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0.66666666666666663</v>
      </c>
      <c r="CN21" s="18">
        <f>IF($D21=0,"DNP",SUMIFS(OPPS_GbG[TM DR_RIM],OPPS_GbG[[TM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CO21" s="18">
        <f>IF($D21=0,"DNP",SUMIFS(OPPS_GbG[DR_PAINT],OPPS_GbG[[TM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5.666666666666667</v>
      </c>
      <c r="CP21" s="18">
        <f>IF($D21=0,"DNP",SUMIFS(OPPS_GbG[TM DR_PAINT],OPPS_GbG[[TM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Q21" s="18">
        <f>IF($D21=0,"DNP",SUMIFS(OPPS_GbG[DR_NP2],OPPS_GbG[[TM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</v>
      </c>
      <c r="CR21" s="18">
        <f>IF($D21=0,"DNP",SUMIFS(OPPS_GbG[TM DR_NP2],OPPS_GbG[[TM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S21" s="18">
        <f>IF($D21=0,"DNP",SUMIFS(OPPS_GbG[DR_3C],OPPS_GbG[[TM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1.1111111111111112</v>
      </c>
      <c r="CT21" s="18">
        <f>IF($D21=0,"DNP",SUMIFS(OPPS_GbG[TM DR_3C],OPPS_GbG[[TM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CU21" s="18">
        <f>IF($D21=0,"DNP",SUMIFS(OPPS_GbG[DR_3L],OPPS_GbG[[TM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8.5555555555555554</v>
      </c>
      <c r="CV21" s="18">
        <f>IF($D21=0,"DNP",SUMIFS(OPPS_GbG[TM DR_3L],OPPS_GbG[[TM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CW21" s="18">
        <f>IF($D21=0,"DNP",SUMIFS(OPPS_GbG[DR_FT],OPPS_GbG[[TM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1.2222222222222223</v>
      </c>
      <c r="CX21" s="18">
        <f>IF($D21=0,"DNP",SUMIFS(OPPS_GbG[TM DR_FT],OPPS_GbG[[TM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CY21" s="18">
        <f>IF($D21=0,"DNP",SUMIFS(OPPS_GbG[FTM_T],OPPS_GbG[[TM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CZ21" s="18">
        <f>IF($D21=0,"DNP",SUMIFS(OPPS_GbG[FTA_T],OPPS_GbG[[TM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DA21" s="18">
        <f>IF($D21=0,"DNP",SUMIFS(OPPS_GbG[FTM_1],OPPS_GbG[[TM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DB21" s="18">
        <f>IF($D21=0,"DNP",SUMIFS(OPPS_GbG[FTA_1],OPPS_GbG[[TM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2.1111111111111112</v>
      </c>
      <c r="DC21" s="18">
        <f>IF($D21=0,"DNP",SUMIFS(OPPS_GbG[FTM_2],OPPS_GbG[[TM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15.111111111111111</v>
      </c>
      <c r="DD21" s="18">
        <f>IF($D21=0,"DNP",SUMIFS(OPPS_GbG[FTA_2],OPPS_GbG[[TM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17.777777777777779</v>
      </c>
      <c r="DE21" s="18">
        <f>IF($D21=0,"DNP",SUMIFS(OPPS_GbG[FT 0/2],OPPS_GbG[[TM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0.44444444444444442</v>
      </c>
      <c r="DF21" s="18">
        <f>IF($D21=0,"DNP",SUMIFS(OPPS_GbG[FTM_3],OPPS_GbG[[TM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0.88888888888888884</v>
      </c>
      <c r="DG21" s="18">
        <f>IF($D21=0,"DNP",SUMIFS(OPPS_GbG[FTA_3],OPPS_GbG[[TM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1.3333333333333333</v>
      </c>
      <c r="DH21" s="18">
        <f>IF($D21=0,"DNP",SUMIFS(OPPS_GbG[FT 0/3],OPPS_GbG[[TM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DI21" s="18">
        <f>IF($D21=0,"DNP",SUMIFS(OPPS_GbG[RIM_M],OPPS_GbG[[TM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9.4444444444444446</v>
      </c>
      <c r="DJ21" s="18">
        <f>IF($D21=0,"DNP",SUMIFS(OPPS_GbG[RIM_A],OPPS_GbG[[TM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11.222222222222221</v>
      </c>
      <c r="DK21" s="18">
        <f>IF($D21=0,"DNP",SUMIFS(OPPS_GbG[PAINT_M],OPPS_GbG[[TM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</v>
      </c>
      <c r="DL21" s="18">
        <f>IF($D21=0,"DNP",SUMIFS(OPPS_GbG[PAINT_A],OPPS_GbG[[TM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18.222222222222221</v>
      </c>
      <c r="DM21" s="18">
        <f>IF($D21=0,"DNP",SUMIFS(OPPS_GbG[MID_M],OPPS_GbG[[TM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2.3333333333333335</v>
      </c>
      <c r="DN21" s="18">
        <f>IF($D21=0,"DNP",SUMIFS(OPPS_GbG[MID_A],OPPS_GbG[[TM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5.5555555555555554</v>
      </c>
      <c r="DO21" s="18">
        <f>IF($D21=0,"DNP",SUMIFS(OPPS_GbG[3C_M],OPPS_GbG[[TM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1.7777777777777777</v>
      </c>
      <c r="DP21" s="18">
        <f>IF($D21=0,"DNP",SUMIFS(OPPS_GbG[3C_A],OPPS_GbG[[TM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4.8888888888888893</v>
      </c>
      <c r="DQ21" s="18">
        <f>IF($D21=0,"DNP",SUMIFS(OPPS_GbG[3L_M],OPPS_GbG[[TM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8.2222222222222214</v>
      </c>
      <c r="DR21" s="18">
        <f>IF($D21=0,"DNP",SUMIFS(OPPS_GbG[3L_A],OPPS_GbG[[TM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24.444444444444443</v>
      </c>
      <c r="DS21" s="18">
        <f>IF($D21=0,"DNP",SUMIFS(OPPS_GbG[3H_M],OPPS_GbG[[TM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DT21" s="18">
        <f>IF($D21=0,"DNP",SUMIFS(OPPS_GbG[3H_A],OPPS_GbG[[TM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DU21" s="18">
        <f>IF($D21=0,"DNP",SUMIFS(OPPS_GbG[OPP PTS],OPPS_GbG[[TM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86.222222222222229</v>
      </c>
      <c r="DV21" s="18">
        <f>IF($D21=0,"DNP",SUMIFS(OPPS_GbG[OPP 2PTM],OPPS_GbG[[TM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23.222222222222221</v>
      </c>
      <c r="DW21" s="18">
        <f>IF($D21=0,"DNP",SUMIFS(OPPS_GbG[OPP 2PTA],OPPS_GbG[[TM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37.555555555555557</v>
      </c>
      <c r="DX21" s="16">
        <f t="shared" si="43"/>
        <v>0.61834319526627213</v>
      </c>
      <c r="DY21" s="18">
        <f>IF($D21=0,"DNP",SUMIFS(OPPS_GbG[OPP 3PTM],OPPS_GbG[[TM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7.5555555555555554</v>
      </c>
      <c r="DZ21" s="18">
        <f>IF($D21=0,"DNP",SUMIFS(OPPS_GbG[OPP 3PTA],OPPS_GbG[[TM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21.555555555555557</v>
      </c>
      <c r="EA21" s="16">
        <f t="shared" si="44"/>
        <v>0.35051546391752575</v>
      </c>
      <c r="EB21" s="18">
        <f>IF($D21=0,"DNP",SUMIFS(OPPS_GbG[OPP FGM],OPPS_GbG[[TM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30.777777777777779</v>
      </c>
      <c r="EC21" s="18">
        <f>IF($D21=0,"DNP",SUMIFS(OPPS_GbG[OPP FGA],OPPS_GbG[[TM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59.111111111111114</v>
      </c>
      <c r="ED21" s="16">
        <f t="shared" si="45"/>
        <v>0.52067669172932329</v>
      </c>
      <c r="EE21" s="18">
        <f>IF($D21=0,"DNP",SUMIFS(OPPS_GbG[OPP FTM],OPPS_GbG[[TM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17.111111111111111</v>
      </c>
      <c r="EF21" s="18">
        <f>IF($D21=0,"DNP",SUMIFS(OPPS_GbG[OPP FTA],OPPS_GbG[[TM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20.333333333333332</v>
      </c>
      <c r="EG21" s="16">
        <f t="shared" si="46"/>
        <v>0.84153005464480879</v>
      </c>
      <c r="EH21" s="18">
        <f>IF($D21=0,"DNP",SUMIFS(OPPS_GbG[OPP OR],OPPS_GbG[[TM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7.333333333333333</v>
      </c>
      <c r="EI21" s="18">
        <f>IF($D21=0,"DNP",SUMIFS(OPPS_GbG[OPP DR],OPPS_GbG[[TM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22.444444444444443</v>
      </c>
      <c r="EJ21" s="18">
        <f>IF($D21=0,"DNP",SUMIFS(OPPS_GbG[OPP TR],OPPS_GbG[[TM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29.777777777777779</v>
      </c>
      <c r="EK21" s="18">
        <f>IF($D21=0,"DNP",SUMIFS(OPPS_GbG[OPP AST],OPPS_GbG[[TM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16.888888888888889</v>
      </c>
      <c r="EL21" s="18">
        <f>IF($D21=0,"DNP",SUMIFS(OPPS_GbG[OPP PF],OPPS_GbG[[TM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21.333333333333332</v>
      </c>
      <c r="EM21" s="18">
        <f>IF($D21=0,"DNP",SUMIFS(OPPS_GbG[OPP DF],OPPS_GbG[[TM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20.333333333333332</v>
      </c>
      <c r="EN21" s="18">
        <f>IF($D21=0,"DNP",SUMIFS(OPPS_GbG[OPP ST],OPPS_GbG[[TM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6.5555555555555554</v>
      </c>
      <c r="EO21" s="18">
        <f>IF($D21=0,"DNP",SUMIFS(OPPS_GbG[OPP TO],OPPS_GbG[[TM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11.777777777777779</v>
      </c>
      <c r="EP21" s="18">
        <f>IF($D21=0,"DNP",SUMIFS(OPPS_GbG[OPP BLK],OPPS_GbG[[TM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3.3333333333333335</v>
      </c>
      <c r="EQ21" s="18">
        <f>IF($D21=0,"DNP",SUMIFS(OPPS_GbG[OPP BLKA],OPPS_GbG[[TM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1.6666666666666667</v>
      </c>
      <c r="ER21" s="18">
        <f>IF($D21=0,"DNP",SUMIFS(OPPS_GbG[OPP VAL],OPPS_GbG[[TM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96.777777777777771</v>
      </c>
      <c r="ES21" s="18">
        <f>IF($D21=0,"DNP",SUMIFS(OPPS_GbG[OPP + / -],OPPS_GbG[[TM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0.66666666666666663</v>
      </c>
      <c r="ET21" s="18">
        <f>IF($D21=0,"DNP",SUMIFS(OPPS_GbG[OPP POSS],OPPS_GbG[[TM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71.555555555555557</v>
      </c>
      <c r="EU21" s="18">
        <f>IF($D21=0,"DNP",SUMIFS(OPPS_GbG[OPP SHOOTING CHANCES],OPPS_GbG[[TM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79.222222222222229</v>
      </c>
      <c r="EV21" s="18">
        <f>IF($D21=0,"DNP",SUMIFS(OPPS_GbG[OPP KILLS],OPPS_GbG[[TM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4.1111111111111107</v>
      </c>
      <c r="EW21" s="18">
        <f>IF($D21=0,"DNP",SUMIFS(OPPS_GbG[OPP ASTED_2FG],OPPS_GbG[[TM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</v>
      </c>
      <c r="EX21" s="18">
        <f>IF($D21=0,"DNP",SUMIFS(OPPS_GbG[OPP ASTED_3FG],OPPS_GbG[[TM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5.8888888888888893</v>
      </c>
      <c r="EY21" s="18">
        <f>IF($D21=0,"DNP",SUMIFS(OPPS_GbG[OPP ASTED_FT],OPPS_GbG[[TM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EZ21" s="18">
        <f>IF($D21=0,"DNP",SUMIFS(OPPS_GbG[OPP ASTED_FT PTS],OPPS_GbG[[TM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4.4444444444444446</v>
      </c>
      <c r="FA21" s="18">
        <f>IF($D21=0,"DNP",SUMIFS(OPPS_GbG[OPP OR_RIM],OPPS_GbG[[TM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0.55555555555555558</v>
      </c>
      <c r="FB21" s="18">
        <f>IF($D21=0,"DNP",SUMIFS(OPPS_GbG[OPP TM OR_RIM],OPPS_GbG[[TM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C21" s="18">
        <f>IF($D21=0,"DNP",SUMIFS(OPPS_GbG[OPP OR_PAINT],OPPS_GbG[[TM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2.5555555555555554</v>
      </c>
      <c r="FD21" s="18">
        <f>IF($D21=0,"DNP",SUMIFS(OPPS_GbG[OPP TM OR_PAINT],OPPS_GbG[[TM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FE21" s="18">
        <f>IF($D21=0,"DNP",SUMIFS(OPPS_GbG[OPP OR_NP2],OPPS_GbG[[TM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0.66666666666666663</v>
      </c>
      <c r="FF21" s="18">
        <f>IF($D21=0,"DNP",SUMIFS(OPPS_GbG[OPP TM OR_NP2],OPPS_GbG[[TM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G21" s="18">
        <f>IF($D21=0,"DNP",SUMIFS(OPPS_GbG[OPP OR_3C],OPPS_GbG[[TM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0.44444444444444442</v>
      </c>
      <c r="FH21" s="18">
        <f>IF($D21=0,"DNP",SUMIFS(OPPS_GbG[OPP TM OR_3C],OPPS_GbG[[TM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I21" s="18">
        <f>IF($D21=0,"DNP",SUMIFS(OPPS_GbG[OPP OR_3L],OPPS_GbG[[TM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2.8888888888888888</v>
      </c>
      <c r="FJ21" s="18">
        <f>IF($D21=0,"DNP",SUMIFS(OPPS_GbG[OPP TM OR_3L],OPPS_GbG[[TM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0.44444444444444442</v>
      </c>
      <c r="FK21" s="18">
        <f>IF($D21=0,"DNP",SUMIFS(OPPS_GbG[OPP OR_FT],OPPS_GbG[[TM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FL21" s="18">
        <f>IF($D21=0,"DNP",SUMIFS(OPPS_GbG[OPP TM OR_FT],OPPS_GbG[[TM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FM21" s="18">
        <f>IF($D21=0,"DNP",SUMIFS(OPPS_GbG[OPP DR_RIM],OPPS_GbG[[TM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</v>
      </c>
      <c r="FN21" s="18">
        <f>IF($D21=0,"DNP",SUMIFS(OPPS_GbG[OPP TM DR_RIM],OPPS_GbG[[TM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O21" s="18">
        <f>IF($D21=0,"DNP",SUMIFS(OPPS_GbG[OPP DR_PAINT],OPPS_GbG[[TM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6.5555555555555554</v>
      </c>
      <c r="FP21" s="18">
        <f>IF($D21=0,"DNP",SUMIFS(OPPS_GbG[OPP TM DR_PAINT],OPPS_GbG[[TM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0.66666666666666663</v>
      </c>
      <c r="FQ21" s="18">
        <f>IF($D21=0,"DNP",SUMIFS(OPPS_GbG[OPP DR_NP2],OPPS_GbG[[TM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2.3333333333333335</v>
      </c>
      <c r="FR21" s="18">
        <f>IF($D21=0,"DNP",SUMIFS(OPPS_GbG[OPP TM DR_NP2],OPPS_GbG[[TM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FS21" s="18">
        <f>IF($D21=0,"DNP",SUMIFS(OPPS_GbG[OPP DR_3C],OPPS_GbG[[TM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FT21" s="18">
        <f>IF($D21=0,"DNP",SUMIFS(OPPS_GbG[OPP TM DR_3C],OPPS_GbG[[TM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0.22222222222222221</v>
      </c>
      <c r="FU21" s="18">
        <f>IF($D21=0,"DNP",SUMIFS(OPPS_GbG[OPP DR_3L],OPPS_GbG[[TM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9.3333333333333339</v>
      </c>
      <c r="FV21" s="18">
        <f>IF($D21=0,"DNP",SUMIFS(OPPS_GbG[OPP TM DR_3L],OPPS_GbG[[TM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FW21" s="18">
        <f>IF($D21=0,"DNP",SUMIFS(OPPS_GbG[OPP DR_FT],OPPS_GbG[[TM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1.2222222222222223</v>
      </c>
      <c r="FX21" s="18">
        <f>IF($D21=0,"DNP",SUMIFS(OPPS_GbG[OPP TM DR_FT],OPPS_GbG[[TM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0.1111111111111111</v>
      </c>
      <c r="FY21" s="18">
        <f>IF($D21=0,"DNP",SUMIFS(OPPS_GbG[OPP FTM_T],OPPS_GbG[[TM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FZ21" s="18">
        <f>IF($D21=0,"DNP",SUMIFS(OPPS_GbG[OPP FTA_T],OPPS_GbG[[TM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GA21" s="18">
        <f>IF($D21=0,"DNP",SUMIFS(OPPS_GbG[OPP FTM_1],OPPS_GbG[[TM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2.1111111111111112</v>
      </c>
      <c r="GB21" s="18">
        <f>IF($D21=0,"DNP",SUMIFS(OPPS_GbG[OPP FTA_1],OPPS_GbG[[TM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2.6666666666666665</v>
      </c>
      <c r="GC21" s="18">
        <f>IF($D21=0,"DNP",SUMIFS(OPPS_GbG[OPP FTM_2],OPPS_GbG[[TM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12.777777777777779</v>
      </c>
      <c r="GD21" s="18">
        <f>IF($D21=0,"DNP",SUMIFS(OPPS_GbG[OPP FTA_2],OPPS_GbG[[TM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15.333333333333334</v>
      </c>
      <c r="GE21" s="18">
        <f>IF($D21=0,"DNP",SUMIFS(OPPS_GbG[OPP FT 0/2],OPPS_GbG[[TM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0.33333333333333331</v>
      </c>
      <c r="GF21" s="18">
        <f>IF($D21=0,"DNP",SUMIFS(OPPS_GbG[OPP FTM_3],OPPS_GbG[[TM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1.8888888888888888</v>
      </c>
      <c r="GG21" s="18">
        <f>IF($D21=0,"DNP",SUMIFS(OPPS_GbG[OPP FTA_3],OPPS_GbG[[TM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2</v>
      </c>
      <c r="GH21" s="18">
        <f>IF($D21=0,"DNP",SUMIFS(OPPS_GbG[OPP FT 0/3],OPPS_GbG[[TM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GI21" s="18">
        <f>IF($D21=0,"DNP",SUMIFS(OPPS_GbG[OPP RIM_M],OPPS_GbG[[TM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9.1111111111111107</v>
      </c>
      <c r="GJ21" s="18">
        <f>IF($D21=0,"DNP",SUMIFS(OPPS_GbG[OPP RIM_A],OPPS_GbG[[TM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10.444444444444445</v>
      </c>
      <c r="GK21" s="18">
        <f>IF($D21=0,"DNP",SUMIFS(OPPS_GbG[OPP PAINT_M],OPPS_GbG[[TM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10</v>
      </c>
      <c r="GL21" s="18">
        <f>IF($D21=0,"DNP",SUMIFS(OPPS_GbG[OPP PAINT_A],OPPS_GbG[[TM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18.333333333333332</v>
      </c>
      <c r="GM21" s="18">
        <f>IF($D21=0,"DNP",SUMIFS(OPPS_GbG[OPP MID_M],OPPS_GbG[[TM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4.1111111111111107</v>
      </c>
      <c r="GN21" s="18">
        <f>IF($D21=0,"DNP",SUMIFS(OPPS_GbG[OPP MID_A],OPPS_GbG[[TM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8.7777777777777786</v>
      </c>
      <c r="GO21" s="18">
        <f>IF($D21=0,"DNP",SUMIFS(OPPS_GbG[OPP 3C_M],OPPS_GbG[[TM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1.4444444444444444</v>
      </c>
      <c r="GP21" s="18">
        <f>IF($D21=0,"DNP",SUMIFS(OPPS_GbG[OPP 3C_A],OPPS_GbG[[TM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3.2222222222222223</v>
      </c>
      <c r="GQ21" s="18">
        <f>IF($D21=0,"DNP",SUMIFS(OPPS_GbG[OPP 3L_M],OPPS_GbG[[TM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6.1111111111111107</v>
      </c>
      <c r="GR21" s="18">
        <f>IF($D21=0,"DNP",SUMIFS(OPPS_GbG[OPP 3L_A],OPPS_GbG[[TM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17.888888888888889</v>
      </c>
      <c r="GS21" s="18">
        <f>IF($D21=0,"DNP",SUMIFS(OPPS_GbG[OPP 3H_M],OPPS_GbG[[TM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</v>
      </c>
      <c r="GT21" s="18">
        <f>IF($D21=0,"DNP",SUMIFS(OPPS_GbG[OPP 3H_A],OPPS_GbG[[TM NAME]:[TM NAME]],$C21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GAMES","&lt;1000",IF($F$3=BASIS_INFO!$T$3,"&lt;"&amp;BASIS_INFO!$B$11,IF($F$3=BASIS_INFO!$T$4,"&lt;"&amp;BASIS_INFO!$B$12,IF($F$3=BASIS_INFO!$T$5,"&lt;"&amp;BASIS_INFO!$B$13,IF($F$3=BASIS_INFO!$T$6,"&lt;"&amp;BASIS_INFO!$B$14))))))/IF($D$3="TOTAL",1,$D21))</f>
        <v>0.44444444444444442</v>
      </c>
    </row>
    <row r="22" spans="2:202" ht="15" customHeight="1" x14ac:dyDescent="0.25">
      <c r="B22" s="12">
        <f>_xlfn.AGGREGATE(3,5,$C$7:C21)</f>
        <v>15</v>
      </c>
      <c r="C22" s="14" t="str">
        <f>BASIS_INFO!F17</f>
        <v>Real Madrid</v>
      </c>
      <c r="D22" s="20">
        <f>COUNTIFS(OPPS_GbG[[TM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8</v>
      </c>
      <c r="E22" s="20">
        <f>COUNTIFS(OPPS_GbG[[TM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8</v>
      </c>
      <c r="F22" s="20">
        <f>COUNTIFS(OPPS_GbG[[TM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22" s="18">
        <f>IF($D22=0,"DNP",SUMIFS(OPPS_GbG[MIN],OPPS_GbG[[TM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200</v>
      </c>
      <c r="H22" s="18">
        <f>IF($D22=0,"DNP",SUMIFS(OPPS_GbG[PTS],OPPS_GbG[[TM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73.875</v>
      </c>
      <c r="I22" s="18">
        <f>IF($D22=0,"DNP",SUMIFS(OPPS_GbG[2PTM],OPPS_GbG[[TM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21.875</v>
      </c>
      <c r="J22" s="18">
        <f>IF($D22=0,"DNP",SUMIFS(OPPS_GbG[2PTA],OPPS_GbG[[TM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44.875</v>
      </c>
      <c r="K22" s="16">
        <f t="shared" si="38"/>
        <v>0.48746518105849584</v>
      </c>
      <c r="L22" s="18">
        <f>IF($D22=0,"DNP",SUMIFS(OPPS_GbG[3PTM],OPPS_GbG[[TM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6.5</v>
      </c>
      <c r="M22" s="18">
        <f>IF($D22=0,"DNP",SUMIFS(OPPS_GbG[3PTA],OPPS_GbG[[TM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22.125</v>
      </c>
      <c r="N22" s="16">
        <f t="shared" si="39"/>
        <v>0.29378531073446329</v>
      </c>
      <c r="O22" s="18">
        <f>IF($D22=0,"DNP",SUMIFS(OPPS_GbG[FGM],OPPS_GbG[[TM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28.375</v>
      </c>
      <c r="P22" s="18">
        <f>IF($D22=0,"DNP",SUMIFS(OPPS_GbG[FGA],OPPS_GbG[[TM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67</v>
      </c>
      <c r="Q22" s="16">
        <f t="shared" si="40"/>
        <v>0.42350746268656714</v>
      </c>
      <c r="R22" s="18">
        <f>IF($D22=0,"DNP",SUMIFS(OPPS_GbG[FTM],OPPS_GbG[[TM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10.625</v>
      </c>
      <c r="S22" s="18">
        <f>IF($D22=0,"DNP",SUMIFS(OPPS_GbG[FTA],OPPS_GbG[[TM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14.125</v>
      </c>
      <c r="T22" s="16">
        <f t="shared" si="41"/>
        <v>0.75221238938053092</v>
      </c>
      <c r="U22" s="18">
        <f>IF($D22=0,"DNP",SUMIFS(OPPS_GbG[OR],OPPS_GbG[[TM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12.375</v>
      </c>
      <c r="V22" s="18">
        <f>IF($D22=0,"DNP",SUMIFS(OPPS_GbG[DR],OPPS_GbG[[TM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22.75</v>
      </c>
      <c r="W22" s="18">
        <f>IF($D22=0,"DNP",SUMIFS(OPPS_GbG[TR],OPPS_GbG[[TM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35.125</v>
      </c>
      <c r="X22" s="18">
        <f>IF($D22=0,"DNP",SUMIFS(OPPS_GbG[AST],OPPS_GbG[[TM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15.125</v>
      </c>
      <c r="Y22" s="18">
        <f>IF($D22=0,"DNP",SUMIFS(OPPS_GbG[TO],OPPS_GbG[[TM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13</v>
      </c>
      <c r="Z22" s="18">
        <f>IF($D22=0,"DNP",SUMIFS(OPPS_GbG[ST],OPPS_GbG[[TM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5.625</v>
      </c>
      <c r="AA22" s="18">
        <f>IF($D22=0,"DNP",SUMIFS(OPPS_GbG[BLK],OPPS_GbG[[TM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1.375</v>
      </c>
      <c r="AB22" s="18">
        <f>IF($D22=0,"DNP",SUMIFS(OPPS_GbG[BLKA],OPPS_GbG[[TM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3.875</v>
      </c>
      <c r="AC22" s="18">
        <f>IF($D22=0,"DNP",SUMIFS(OPPS_GbG[PF],OPPS_GbG[[TM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20.875</v>
      </c>
      <c r="AD22" s="18">
        <f>IF($D22=0,"DNP",SUMIFS(OPPS_GbG[DF],OPPS_GbG[[TM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19.125</v>
      </c>
      <c r="AE22" s="18">
        <f>IF($D22=0,"DNP",SUMIFS(OPPS_GbG[VAL],OPPS_GbG[[TM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70.375</v>
      </c>
      <c r="AF22" s="18">
        <f>IF($D22=0,"DNP",SUMIFS(OPPS_GbG[+ / -],OPPS_GbG[[TM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-13</v>
      </c>
      <c r="AG22" s="26">
        <f t="shared" si="0"/>
        <v>72.625</v>
      </c>
      <c r="AH22" s="18">
        <f>IF($D22=0,"DNP",SUMIFS(OPPS_GbG[POSS],OPPS_GbG[[TM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72.625</v>
      </c>
      <c r="AI22" s="18">
        <f>IF($D22=0,"DNP",SUMIFS(OPPS_GbG[SHOOTING CHANCES],OPPS_GbG[[TM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85.25</v>
      </c>
      <c r="AJ22" s="19">
        <f t="shared" si="1"/>
        <v>0.86656891495601174</v>
      </c>
      <c r="AK22" s="19">
        <f t="shared" si="2"/>
        <v>1.0594512195121952</v>
      </c>
      <c r="AL22" s="18">
        <f t="shared" si="3"/>
        <v>101.72117039586919</v>
      </c>
      <c r="AM22" s="18">
        <f t="shared" si="4"/>
        <v>119.00684931506848</v>
      </c>
      <c r="AN22" s="18">
        <f t="shared" si="42"/>
        <v>-17.285678919199285</v>
      </c>
      <c r="AO22" s="27">
        <f t="shared" si="5"/>
        <v>0.47201492537313433</v>
      </c>
      <c r="AP22" s="28">
        <f t="shared" si="6"/>
        <v>0.51124567474048443</v>
      </c>
      <c r="AQ22" s="34">
        <f t="shared" si="7"/>
        <v>0.14369501466275661</v>
      </c>
      <c r="AR22" s="38">
        <f t="shared" si="8"/>
        <v>1.489795918367347</v>
      </c>
      <c r="AS22" s="27">
        <f t="shared" si="9"/>
        <v>0.29618768328445749</v>
      </c>
      <c r="AT22" s="38">
        <f t="shared" si="10"/>
        <v>0.82178217821782173</v>
      </c>
      <c r="AU22" s="27">
        <f t="shared" si="11"/>
        <v>8.6510263929618775E-2</v>
      </c>
      <c r="AV22" s="38">
        <f t="shared" si="12"/>
        <v>0.64406779661016944</v>
      </c>
      <c r="AW22" s="27">
        <f t="shared" si="13"/>
        <v>1.3196480938416423E-2</v>
      </c>
      <c r="AX22" s="38">
        <f t="shared" si="14"/>
        <v>1.3333333333333333</v>
      </c>
      <c r="AY22" s="27">
        <f t="shared" si="15"/>
        <v>0.24633431085043989</v>
      </c>
      <c r="AZ22" s="38">
        <f t="shared" si="16"/>
        <v>0.8571428571428571</v>
      </c>
      <c r="BA22" s="28">
        <f t="shared" si="17"/>
        <v>6.1583577712609971E-2</v>
      </c>
      <c r="BB22" s="34">
        <f t="shared" si="18"/>
        <v>0.15294117647058825</v>
      </c>
      <c r="BC22" s="27">
        <f t="shared" si="19"/>
        <v>0.45318352059925093</v>
      </c>
      <c r="BD22" s="27">
        <f t="shared" si="20"/>
        <v>0.42857142857142855</v>
      </c>
      <c r="BE22" s="27">
        <f t="shared" si="21"/>
        <v>0.78846153846153844</v>
      </c>
      <c r="BF22" s="27">
        <f t="shared" si="22"/>
        <v>0.125</v>
      </c>
      <c r="BG22" s="27">
        <f t="shared" si="23"/>
        <v>0.17794117647058824</v>
      </c>
      <c r="BH22" s="35">
        <f t="shared" si="24"/>
        <v>1.1634615384615385</v>
      </c>
      <c r="BI22" s="34">
        <f t="shared" si="25"/>
        <v>0.31034482758620691</v>
      </c>
      <c r="BJ22" s="27">
        <f t="shared" si="26"/>
        <v>0.34210526315789475</v>
      </c>
      <c r="BK22" s="27">
        <f t="shared" si="27"/>
        <v>0.30303030303030304</v>
      </c>
      <c r="BL22" s="27">
        <f t="shared" si="28"/>
        <v>0.14285714285714285</v>
      </c>
      <c r="BM22" s="27">
        <f t="shared" si="29"/>
        <v>0.71653543307086609</v>
      </c>
      <c r="BN22" s="27">
        <f t="shared" si="30"/>
        <v>0.59482758620689657</v>
      </c>
      <c r="BO22" s="27">
        <f t="shared" si="31"/>
        <v>0.76551724137931032</v>
      </c>
      <c r="BP22" s="27">
        <f t="shared" si="32"/>
        <v>0.73333333333333328</v>
      </c>
      <c r="BQ22" s="28">
        <f t="shared" si="33"/>
        <v>0.49040139616055844</v>
      </c>
      <c r="BR22" s="34">
        <f t="shared" si="34"/>
        <v>7.7054794520547948E-2</v>
      </c>
      <c r="BS22" s="27">
        <f t="shared" si="35"/>
        <v>2.2540983606557378E-2</v>
      </c>
      <c r="BT22" s="39">
        <f>IF($D22=0,"DNP",SUMIFS(OPPS_GbG[KILLS],OPPS_GbG[[TM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</v>
      </c>
      <c r="BU22" s="34">
        <f t="shared" si="36"/>
        <v>0.49700598802395207</v>
      </c>
      <c r="BV22" s="28">
        <f t="shared" si="37"/>
        <v>0.40522875816993464</v>
      </c>
      <c r="BW22" s="18">
        <f>IF($D22=0,"DNP",SUMIFS(OPPS_GbG[ASTED_2FG],OPPS_GbG[[TM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9.375</v>
      </c>
      <c r="BX22" s="18">
        <f>IF($D22=0,"DNP",SUMIFS(OPPS_GbG[ASTED_3FG],OPPS_GbG[[TM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5.125</v>
      </c>
      <c r="BY22" s="18">
        <f>IF($D22=0,"DNP",SUMIFS(OPPS_GbG[ASTED_FT],OPPS_GbG[[TM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0.625</v>
      </c>
      <c r="BZ22" s="18">
        <f>IF($D22=0,"DNP",SUMIFS(OPPS_GbG[ASTED_FT PTS],OPPS_GbG[[TM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</v>
      </c>
      <c r="CA22" s="18">
        <f>IF($D22=0,"DNP",SUMIFS(OPPS_GbG[OR_RIM],OPPS_GbG[[TM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1.125</v>
      </c>
      <c r="CB22" s="18">
        <f>IF($D22=0,"DNP",SUMIFS(OPPS_GbG[TM OR_RIM],OPPS_GbG[[TM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C22" s="18">
        <f>IF($D22=0,"DNP",SUMIFS(OPPS_GbG[OR_PAINT],OPPS_GbG[[TM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4.75</v>
      </c>
      <c r="CD22" s="18">
        <f>IF($D22=0,"DNP",SUMIFS(OPPS_GbG[TM OR_PAINT],OPPS_GbG[[TM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CE22" s="18">
        <f>IF($D22=0,"DNP",SUMIFS(OPPS_GbG[OR_NP2],OPPS_GbG[[TM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1.5</v>
      </c>
      <c r="CF22" s="18">
        <f>IF($D22=0,"DNP",SUMIFS(OPPS_GbG[TM OR_NP2],OPPS_GbG[[TM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G22" s="18">
        <f>IF($D22=0,"DNP",SUMIFS(OPPS_GbG[OR_3C],OPPS_GbG[[TM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CH22" s="18">
        <f>IF($D22=0,"DNP",SUMIFS(OPPS_GbG[TM OR_3C],OPPS_GbG[[TM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I22" s="18">
        <f>IF($D22=0,"DNP",SUMIFS(OPPS_GbG[OR_3L],OPPS_GbG[[TM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4.375</v>
      </c>
      <c r="CJ22" s="18">
        <f>IF($D22=0,"DNP",SUMIFS(OPPS_GbG[TM OR_3L],OPPS_GbG[[TM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CK22" s="18">
        <f>IF($D22=0,"DNP",SUMIFS(OPPS_GbG[OR_FT],OPPS_GbG[[TM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CL22" s="18">
        <f>IF($D22=0,"DNP",SUMIFS(OPPS_GbG[TM OR_FT],OPPS_GbG[[TM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CM22" s="18">
        <f>IF($D22=0,"DNP",SUMIFS(OPPS_GbG[DR_RIM],OPPS_GbG[[TM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1.25</v>
      </c>
      <c r="CN22" s="18">
        <f>IF($D22=0,"DNP",SUMIFS(OPPS_GbG[TM DR_RIM],OPPS_GbG[[TM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O22" s="18">
        <f>IF($D22=0,"DNP",SUMIFS(OPPS_GbG[DR_PAINT],OPPS_GbG[[TM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6.125</v>
      </c>
      <c r="CP22" s="18">
        <f>IF($D22=0,"DNP",SUMIFS(OPPS_GbG[TM DR_PAINT],OPPS_GbG[[TM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Q22" s="18">
        <f>IF($D22=0,"DNP",SUMIFS(OPPS_GbG[DR_NP2],OPPS_GbG[[TM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</v>
      </c>
      <c r="CR22" s="18">
        <f>IF($D22=0,"DNP",SUMIFS(OPPS_GbG[TM DR_NP2],OPPS_GbG[[TM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CS22" s="18">
        <f>IF($D22=0,"DNP",SUMIFS(OPPS_GbG[DR_3C],OPPS_GbG[[TM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CT22" s="18">
        <f>IF($D22=0,"DNP",SUMIFS(OPPS_GbG[TM DR_3C],OPPS_GbG[[TM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U22" s="18">
        <f>IF($D22=0,"DNP",SUMIFS(OPPS_GbG[DR_3L],OPPS_GbG[[TM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12.25</v>
      </c>
      <c r="CV22" s="18">
        <f>IF($D22=0,"DNP",SUMIFS(OPPS_GbG[TM DR_3L],OPPS_GbG[[TM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CW22" s="18">
        <f>IF($D22=0,"DNP",SUMIFS(OPPS_GbG[DR_FT],OPPS_GbG[[TM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1.25</v>
      </c>
      <c r="CX22" s="18">
        <f>IF($D22=0,"DNP",SUMIFS(OPPS_GbG[TM DR_FT],OPPS_GbG[[TM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CY22" s="18">
        <f>IF($D22=0,"DNP",SUMIFS(OPPS_GbG[FTM_T],OPPS_GbG[[TM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0.625</v>
      </c>
      <c r="CZ22" s="18">
        <f>IF($D22=0,"DNP",SUMIFS(OPPS_GbG[FTA_T],OPPS_GbG[[TM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DA22" s="18">
        <f>IF($D22=0,"DNP",SUMIFS(OPPS_GbG[FTM_1],OPPS_GbG[[TM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1.75</v>
      </c>
      <c r="DB22" s="18">
        <f>IF($D22=0,"DNP",SUMIFS(OPPS_GbG[FTA_1],OPPS_GbG[[TM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2.5</v>
      </c>
      <c r="DC22" s="18">
        <f>IF($D22=0,"DNP",SUMIFS(OPPS_GbG[FTM_2],OPPS_GbG[[TM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7.625</v>
      </c>
      <c r="DD22" s="18">
        <f>IF($D22=0,"DNP",SUMIFS(OPPS_GbG[FTA_2],OPPS_GbG[[TM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9.75</v>
      </c>
      <c r="DE22" s="18">
        <f>IF($D22=0,"DNP",SUMIFS(OPPS_GbG[FT 0/2],OPPS_GbG[[TM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DF22" s="18">
        <f>IF($D22=0,"DNP",SUMIFS(OPPS_GbG[FTM_3],OPPS_GbG[[TM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0.625</v>
      </c>
      <c r="DG22" s="18">
        <f>IF($D22=0,"DNP",SUMIFS(OPPS_GbG[FTA_3],OPPS_GbG[[TM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1.125</v>
      </c>
      <c r="DH22" s="18">
        <f>IF($D22=0,"DNP",SUMIFS(OPPS_GbG[FT 0/3],OPPS_GbG[[TM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DI22" s="18">
        <f>IF($D22=0,"DNP",SUMIFS(OPPS_GbG[RIM_M],OPPS_GbG[[TM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9.125</v>
      </c>
      <c r="DJ22" s="18">
        <f>IF($D22=0,"DNP",SUMIFS(OPPS_GbG[RIM_A],OPPS_GbG[[TM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12.25</v>
      </c>
      <c r="DK22" s="18">
        <f>IF($D22=0,"DNP",SUMIFS(OPPS_GbG[PAINT_M],OPPS_GbG[[TM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10.375</v>
      </c>
      <c r="DL22" s="18">
        <f>IF($D22=0,"DNP",SUMIFS(OPPS_GbG[PAINT_A],OPPS_GbG[[TM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25.25</v>
      </c>
      <c r="DM22" s="18">
        <f>IF($D22=0,"DNP",SUMIFS(OPPS_GbG[MID_M],OPPS_GbG[[TM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2.375</v>
      </c>
      <c r="DN22" s="18">
        <f>IF($D22=0,"DNP",SUMIFS(OPPS_GbG[MID_A],OPPS_GbG[[TM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7.375</v>
      </c>
      <c r="DO22" s="18">
        <f>IF($D22=0,"DNP",SUMIFS(OPPS_GbG[3C_M],OPPS_GbG[[TM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DP22" s="18">
        <f>IF($D22=0,"DNP",SUMIFS(OPPS_GbG[3C_A],OPPS_GbG[[TM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1.125</v>
      </c>
      <c r="DQ22" s="18">
        <f>IF($D22=0,"DNP",SUMIFS(OPPS_GbG[3L_M],OPPS_GbG[[TM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</v>
      </c>
      <c r="DR22" s="18">
        <f>IF($D22=0,"DNP",SUMIFS(OPPS_GbG[3L_A],OPPS_GbG[[TM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21</v>
      </c>
      <c r="DS22" s="18">
        <f>IF($D22=0,"DNP",SUMIFS(OPPS_GbG[3H_M],OPPS_GbG[[TM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DT22" s="18">
        <f>IF($D22=0,"DNP",SUMIFS(OPPS_GbG[3H_A],OPPS_GbG[[TM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DU22" s="18">
        <f>IF($D22=0,"DNP",SUMIFS(OPPS_GbG[OPP PTS],OPPS_GbG[[TM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86.875</v>
      </c>
      <c r="DV22" s="18">
        <f>IF($D22=0,"DNP",SUMIFS(OPPS_GbG[OPP 2PTM],OPPS_GbG[[TM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19.375</v>
      </c>
      <c r="DW22" s="18">
        <f>IF($D22=0,"DNP",SUMIFS(OPPS_GbG[OPP 2PTA],OPPS_GbG[[TM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32.875</v>
      </c>
      <c r="DX22" s="16">
        <f t="shared" si="43"/>
        <v>0.58935361216730042</v>
      </c>
      <c r="DY22" s="18">
        <f>IF($D22=0,"DNP",SUMIFS(OPPS_GbG[OPP 3PTM],OPPS_GbG[[TM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10.5</v>
      </c>
      <c r="DZ22" s="18">
        <f>IF($D22=0,"DNP",SUMIFS(OPPS_GbG[OPP 3PTA],OPPS_GbG[[TM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28.125</v>
      </c>
      <c r="EA22" s="16">
        <f t="shared" si="44"/>
        <v>0.37333333333333335</v>
      </c>
      <c r="EB22" s="18">
        <f>IF($D22=0,"DNP",SUMIFS(OPPS_GbG[OPP FGM],OPPS_GbG[[TM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29.875</v>
      </c>
      <c r="EC22" s="18">
        <f>IF($D22=0,"DNP",SUMIFS(OPPS_GbG[OPP FGA],OPPS_GbG[[TM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61</v>
      </c>
      <c r="ED22" s="16">
        <f t="shared" si="45"/>
        <v>0.48975409836065575</v>
      </c>
      <c r="EE22" s="18">
        <f>IF($D22=0,"DNP",SUMIFS(OPPS_GbG[OPP FTM],OPPS_GbG[[TM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16.625</v>
      </c>
      <c r="EF22" s="18">
        <f>IF($D22=0,"DNP",SUMIFS(OPPS_GbG[OPP FTA],OPPS_GbG[[TM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20.5</v>
      </c>
      <c r="EG22" s="16">
        <f t="shared" si="46"/>
        <v>0.81097560975609762</v>
      </c>
      <c r="EH22" s="18">
        <f>IF($D22=0,"DNP",SUMIFS(OPPS_GbG[OPP OR],OPPS_GbG[[TM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</v>
      </c>
      <c r="EI22" s="18">
        <f>IF($D22=0,"DNP",SUMIFS(OPPS_GbG[OPP DR],OPPS_GbG[[TM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27.5</v>
      </c>
      <c r="EJ22" s="18">
        <f>IF($D22=0,"DNP",SUMIFS(OPPS_GbG[OPP TR],OPPS_GbG[[TM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36.5</v>
      </c>
      <c r="EK22" s="18">
        <f>IF($D22=0,"DNP",SUMIFS(OPPS_GbG[OPP AST],OPPS_GbG[[TM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21.875</v>
      </c>
      <c r="EL22" s="18">
        <f>IF($D22=0,"DNP",SUMIFS(OPPS_GbG[OPP PF],OPPS_GbG[[TM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20</v>
      </c>
      <c r="EM22" s="18">
        <f>IF($D22=0,"DNP",SUMIFS(OPPS_GbG[OPP DF],OPPS_GbG[[TM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20.5</v>
      </c>
      <c r="EN22" s="18">
        <f>IF($D22=0,"DNP",SUMIFS(OPPS_GbG[OPP ST],OPPS_GbG[[TM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5.25</v>
      </c>
      <c r="EO22" s="18">
        <f>IF($D22=0,"DNP",SUMIFS(OPPS_GbG[OPP TO],OPPS_GbG[[TM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12</v>
      </c>
      <c r="EP22" s="18">
        <f>IF($D22=0,"DNP",SUMIFS(OPPS_GbG[OPP BLK],OPPS_GbG[[TM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3.875</v>
      </c>
      <c r="EQ22" s="18">
        <f>IF($D22=0,"DNP",SUMIFS(OPPS_GbG[OPP BLKA],OPPS_GbG[[TM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1.375</v>
      </c>
      <c r="ER22" s="18">
        <f>IF($D22=0,"DNP",SUMIFS(OPPS_GbG[OPP VAL],OPPS_GbG[[TM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106.5</v>
      </c>
      <c r="ES22" s="18">
        <f>IF($D22=0,"DNP",SUMIFS(OPPS_GbG[OPP + / -],OPPS_GbG[[TM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13</v>
      </c>
      <c r="ET22" s="18">
        <f>IF($D22=0,"DNP",SUMIFS(OPPS_GbG[OPP POSS],OPPS_GbG[[TM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73</v>
      </c>
      <c r="EU22" s="18">
        <f>IF($D22=0,"DNP",SUMIFS(OPPS_GbG[OPP SHOOTING CHANCES],OPPS_GbG[[TM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82</v>
      </c>
      <c r="EV22" s="18">
        <f>IF($D22=0,"DNP",SUMIFS(OPPS_GbG[OPP KILLS],OPPS_GbG[[TM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5.875</v>
      </c>
      <c r="EW22" s="18">
        <f>IF($D22=0,"DNP",SUMIFS(OPPS_GbG[OPP ASTED_2FG],OPPS_GbG[[TM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11.125</v>
      </c>
      <c r="EX22" s="18">
        <f>IF($D22=0,"DNP",SUMIFS(OPPS_GbG[OPP ASTED_3FG],OPPS_GbG[[TM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</v>
      </c>
      <c r="EY22" s="18">
        <f>IF($D22=0,"DNP",SUMIFS(OPPS_GbG[OPP ASTED_FT],OPPS_GbG[[TM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2.625</v>
      </c>
      <c r="EZ22" s="18">
        <f>IF($D22=0,"DNP",SUMIFS(OPPS_GbG[OPP ASTED_FT PTS],OPPS_GbG[[TM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4.25</v>
      </c>
      <c r="FA22" s="18">
        <f>IF($D22=0,"DNP",SUMIFS(OPPS_GbG[OPP OR_RIM],OPPS_GbG[[TM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FB22" s="18">
        <f>IF($D22=0,"DNP",SUMIFS(OPPS_GbG[OPP TM OR_RIM],OPPS_GbG[[TM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FC22" s="18">
        <f>IF($D22=0,"DNP",SUMIFS(OPPS_GbG[OPP OR_PAINT],OPPS_GbG[[TM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3.25</v>
      </c>
      <c r="FD22" s="18">
        <f>IF($D22=0,"DNP",SUMIFS(OPPS_GbG[OPP TM OR_PAINT],OPPS_GbG[[TM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FE22" s="18">
        <f>IF($D22=0,"DNP",SUMIFS(OPPS_GbG[OPP OR_NP2],OPPS_GbG[[TM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FF22" s="18">
        <f>IF($D22=0,"DNP",SUMIFS(OPPS_GbG[OPP TM OR_NP2],OPPS_GbG[[TM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G22" s="18">
        <f>IF($D22=0,"DNP",SUMIFS(OPPS_GbG[OPP OR_3C],OPPS_GbG[[TM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FH22" s="18">
        <f>IF($D22=0,"DNP",SUMIFS(OPPS_GbG[OPP TM OR_3C],OPPS_GbG[[TM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I22" s="18">
        <f>IF($D22=0,"DNP",SUMIFS(OPPS_GbG[OPP OR_3L],OPPS_GbG[[TM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3.5</v>
      </c>
      <c r="FJ22" s="18">
        <f>IF($D22=0,"DNP",SUMIFS(OPPS_GbG[OPP TM OR_3L],OPPS_GbG[[TM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0.375</v>
      </c>
      <c r="FK22" s="18">
        <f>IF($D22=0,"DNP",SUMIFS(OPPS_GbG[OPP OR_FT],OPPS_GbG[[TM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FL22" s="18">
        <f>IF($D22=0,"DNP",SUMIFS(OPPS_GbG[OPP TM OR_FT],OPPS_GbG[[TM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FM22" s="18">
        <f>IF($D22=0,"DNP",SUMIFS(OPPS_GbG[OPP DR_RIM],OPPS_GbG[[TM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1.75</v>
      </c>
      <c r="FN22" s="18">
        <f>IF($D22=0,"DNP",SUMIFS(OPPS_GbG[OPP TM DR_RIM],OPPS_GbG[[TM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FO22" s="18">
        <f>IF($D22=0,"DNP",SUMIFS(OPPS_GbG[OPP DR_PAINT],OPPS_GbG[[TM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10.125</v>
      </c>
      <c r="FP22" s="18">
        <f>IF($D22=0,"DNP",SUMIFS(OPPS_GbG[OPP TM DR_PAINT],OPPS_GbG[[TM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FQ22" s="18">
        <f>IF($D22=0,"DNP",SUMIFS(OPPS_GbG[OPP DR_NP2],OPPS_GbG[[TM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3.375</v>
      </c>
      <c r="FR22" s="18">
        <f>IF($D22=0,"DNP",SUMIFS(OPPS_GbG[OPP TM DR_NP2],OPPS_GbG[[TM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FS22" s="18">
        <f>IF($D22=0,"DNP",SUMIFS(OPPS_GbG[OPP DR_3C],OPPS_GbG[[TM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0.375</v>
      </c>
      <c r="FT22" s="18">
        <f>IF($D22=0,"DNP",SUMIFS(OPPS_GbG[OPP TM DR_3C],OPPS_GbG[[TM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FU22" s="18">
        <f>IF($D22=0,"DNP",SUMIFS(OPPS_GbG[OPP DR_3L],OPPS_GbG[[TM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10.375</v>
      </c>
      <c r="FV22" s="18">
        <f>IF($D22=0,"DNP",SUMIFS(OPPS_GbG[OPP TM DR_3L],OPPS_GbG[[TM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FW22" s="18">
        <f>IF($D22=0,"DNP",SUMIFS(OPPS_GbG[OPP DR_FT],OPPS_GbG[[TM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1.25</v>
      </c>
      <c r="FX22" s="18">
        <f>IF($D22=0,"DNP",SUMIFS(OPPS_GbG[OPP TM DR_FT],OPPS_GbG[[TM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0.25</v>
      </c>
      <c r="FY22" s="18">
        <f>IF($D22=0,"DNP",SUMIFS(OPPS_GbG[OPP FTM_T],OPPS_GbG[[TM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FZ22" s="18">
        <f>IF($D22=0,"DNP",SUMIFS(OPPS_GbG[OPP FTA_T],OPPS_GbG[[TM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GA22" s="18">
        <f>IF($D22=0,"DNP",SUMIFS(OPPS_GbG[OPP FTM_1],OPPS_GbG[[TM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GB22" s="18">
        <f>IF($D22=0,"DNP",SUMIFS(OPPS_GbG[OPP FTA_1],OPPS_GbG[[TM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1.375</v>
      </c>
      <c r="GC22" s="18">
        <f>IF($D22=0,"DNP",SUMIFS(OPPS_GbG[OPP FTM_2],OPPS_GbG[[TM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14.75</v>
      </c>
      <c r="GD22" s="18">
        <f>IF($D22=0,"DNP",SUMIFS(OPPS_GbG[OPP FTA_2],OPPS_GbG[[TM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17.5</v>
      </c>
      <c r="GE22" s="18">
        <f>IF($D22=0,"DNP",SUMIFS(OPPS_GbG[OPP FT 0/2],OPPS_GbG[[TM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0.125</v>
      </c>
      <c r="GF22" s="18">
        <f>IF($D22=0,"DNP",SUMIFS(OPPS_GbG[OPP FTM_3],OPPS_GbG[[TM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0.5</v>
      </c>
      <c r="GG22" s="18">
        <f>IF($D22=0,"DNP",SUMIFS(OPPS_GbG[OPP FTA_3],OPPS_GbG[[TM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0.75</v>
      </c>
      <c r="GH22" s="18">
        <f>IF($D22=0,"DNP",SUMIFS(OPPS_GbG[OPP FT 0/3],OPPS_GbG[[TM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GI22" s="18">
        <f>IF($D22=0,"DNP",SUMIFS(OPPS_GbG[OPP RIM_M],OPPS_GbG[[TM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9.125</v>
      </c>
      <c r="GJ22" s="18">
        <f>IF($D22=0,"DNP",SUMIFS(OPPS_GbG[OPP RIM_A],OPPS_GbG[[TM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11.125</v>
      </c>
      <c r="GK22" s="18">
        <f>IF($D22=0,"DNP",SUMIFS(OPPS_GbG[OPP PAINT_M],OPPS_GbG[[TM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8.875</v>
      </c>
      <c r="GL22" s="18">
        <f>IF($D22=0,"DNP",SUMIFS(OPPS_GbG[OPP PAINT_A],OPPS_GbG[[TM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18.375</v>
      </c>
      <c r="GM22" s="18">
        <f>IF($D22=0,"DNP",SUMIFS(OPPS_GbG[OPP MID_M],OPPS_GbG[[TM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1.375</v>
      </c>
      <c r="GN22" s="18">
        <f>IF($D22=0,"DNP",SUMIFS(OPPS_GbG[OPP MID_A],OPPS_GbG[[TM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3.375</v>
      </c>
      <c r="GO22" s="18">
        <f>IF($D22=0,"DNP",SUMIFS(OPPS_GbG[OPP 3C_M],OPPS_GbG[[TM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1.75</v>
      </c>
      <c r="GP22" s="18">
        <f>IF($D22=0,"DNP",SUMIFS(OPPS_GbG[OPP 3C_A],OPPS_GbG[[TM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2.75</v>
      </c>
      <c r="GQ22" s="18">
        <f>IF($D22=0,"DNP",SUMIFS(OPPS_GbG[OPP 3L_M],OPPS_GbG[[TM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8.75</v>
      </c>
      <c r="GR22" s="18">
        <f>IF($D22=0,"DNP",SUMIFS(OPPS_GbG[OPP 3L_A],OPPS_GbG[[TM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25</v>
      </c>
      <c r="GS22" s="18">
        <f>IF($D22=0,"DNP",SUMIFS(OPPS_GbG[OPP 3H_M],OPPS_GbG[[TM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</v>
      </c>
      <c r="GT22" s="18">
        <f>IF($D22=0,"DNP",SUMIFS(OPPS_GbG[OPP 3H_A],OPPS_GbG[[TM NAME]:[TM NAME]],$C22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GAMES","&lt;1000",IF($F$3=BASIS_INFO!$T$3,"&lt;"&amp;BASIS_INFO!$B$11,IF($F$3=BASIS_INFO!$T$4,"&lt;"&amp;BASIS_INFO!$B$12,IF($F$3=BASIS_INFO!$T$5,"&lt;"&amp;BASIS_INFO!$B$13,IF($F$3=BASIS_INFO!$T$6,"&lt;"&amp;BASIS_INFO!$B$14))))))/IF($D$3="TOTAL",1,$D22))</f>
        <v>0.375</v>
      </c>
    </row>
    <row r="23" spans="2:202" ht="15" customHeight="1" x14ac:dyDescent="0.25">
      <c r="B23" s="12">
        <f>_xlfn.AGGREGATE(3,5,$C$7:C22)</f>
        <v>16</v>
      </c>
      <c r="C23" s="14" t="str">
        <f>BASIS_INFO!F18</f>
        <v>Valencia Basket</v>
      </c>
      <c r="D23" s="20">
        <f>COUNTIFS(OPPS_GbG[[TM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3" s="20">
        <f>COUNTIFS(OPPS_GbG[[TM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5</v>
      </c>
      <c r="F23" s="20">
        <f>COUNTIFS(OPPS_GbG[[TM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4</v>
      </c>
      <c r="G23" s="18">
        <f>IF($D23=0,"DNP",SUMIFS(OPPS_GbG[MIN],OPPS_GbG[[TM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200</v>
      </c>
      <c r="H23" s="18">
        <f>IF($D23=0,"DNP",SUMIFS(OPPS_GbG[PTS],OPPS_GbG[[TM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73.111111111111114</v>
      </c>
      <c r="I23" s="18">
        <f>IF($D23=0,"DNP",SUMIFS(OPPS_GbG[2PTM],OPPS_GbG[[TM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17.555555555555557</v>
      </c>
      <c r="J23" s="18">
        <f>IF($D23=0,"DNP",SUMIFS(OPPS_GbG[2PTA],OPPS_GbG[[TM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31.777777777777779</v>
      </c>
      <c r="K23" s="16">
        <f t="shared" si="38"/>
        <v>0.5524475524475525</v>
      </c>
      <c r="L23" s="18">
        <f>IF($D23=0,"DNP",SUMIFS(OPPS_GbG[3PTM],OPPS_GbG[[TM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8.3333333333333339</v>
      </c>
      <c r="M23" s="18">
        <f>IF($D23=0,"DNP",SUMIFS(OPPS_GbG[3PTA],OPPS_GbG[[TM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28.111111111111111</v>
      </c>
      <c r="N23" s="16">
        <f t="shared" si="39"/>
        <v>0.29644268774703558</v>
      </c>
      <c r="O23" s="18">
        <f>IF($D23=0,"DNP",SUMIFS(OPPS_GbG[FGM],OPPS_GbG[[TM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25.888888888888889</v>
      </c>
      <c r="P23" s="18">
        <f>IF($D23=0,"DNP",SUMIFS(OPPS_GbG[FGA],OPPS_GbG[[TM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59.888888888888886</v>
      </c>
      <c r="Q23" s="16">
        <f t="shared" si="40"/>
        <v>0.43228200371057518</v>
      </c>
      <c r="R23" s="18">
        <f>IF($D23=0,"DNP",SUMIFS(OPPS_GbG[FTM],OPPS_GbG[[TM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13</v>
      </c>
      <c r="S23" s="18">
        <f>IF($D23=0,"DNP",SUMIFS(OPPS_GbG[FTA],OPPS_GbG[[TM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17.111111111111111</v>
      </c>
      <c r="T23" s="16">
        <f t="shared" si="41"/>
        <v>0.75974025974025972</v>
      </c>
      <c r="U23" s="18">
        <f>IF($D23=0,"DNP",SUMIFS(OPPS_GbG[OR],OPPS_GbG[[TM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10</v>
      </c>
      <c r="V23" s="18">
        <f>IF($D23=0,"DNP",SUMIFS(OPPS_GbG[DR],OPPS_GbG[[TM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22.888888888888889</v>
      </c>
      <c r="W23" s="18">
        <f>IF($D23=0,"DNP",SUMIFS(OPPS_GbG[TR],OPPS_GbG[[TM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32.888888888888886</v>
      </c>
      <c r="X23" s="18">
        <f>IF($D23=0,"DNP",SUMIFS(OPPS_GbG[AST],OPPS_GbG[[TM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16</v>
      </c>
      <c r="Y23" s="18">
        <f>IF($D23=0,"DNP",SUMIFS(OPPS_GbG[TO],OPPS_GbG[[TM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12.888888888888889</v>
      </c>
      <c r="Z23" s="18">
        <f>IF($D23=0,"DNP",SUMIFS(OPPS_GbG[ST],OPPS_GbG[[TM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7.1111111111111107</v>
      </c>
      <c r="AA23" s="18">
        <f>IF($D23=0,"DNP",SUMIFS(OPPS_GbG[BLK],OPPS_GbG[[TM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3.6666666666666665</v>
      </c>
      <c r="AB23" s="18">
        <f>IF($D23=0,"DNP",SUMIFS(OPPS_GbG[BLKA],OPPS_GbG[[TM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</v>
      </c>
      <c r="AC23" s="18">
        <f>IF($D23=0,"DNP",SUMIFS(OPPS_GbG[PF],OPPS_GbG[[TM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18.666666666666668</v>
      </c>
      <c r="AD23" s="18">
        <f>IF($D23=0,"DNP",SUMIFS(OPPS_GbG[DF],OPPS_GbG[[TM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20.555555555555557</v>
      </c>
      <c r="AE23" s="18">
        <f>IF($D23=0,"DNP",SUMIFS(OPPS_GbG[VAL],OPPS_GbG[[TM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81.666666666666671</v>
      </c>
      <c r="AF23" s="18">
        <f>IF($D23=0,"DNP",SUMIFS(OPPS_GbG[+ / -],OPPS_GbG[[TM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AG23" s="26">
        <f t="shared" si="0"/>
        <v>70</v>
      </c>
      <c r="AH23" s="18">
        <f>IF($D23=0,"DNP",SUMIFS(OPPS_GbG[POSS],OPPS_GbG[[TM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70</v>
      </c>
      <c r="AI23" s="18">
        <f>IF($D23=0,"DNP",SUMIFS(OPPS_GbG[SHOOTING CHANCES],OPPS_GbG[[TM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80</v>
      </c>
      <c r="AJ23" s="19">
        <f t="shared" si="1"/>
        <v>0.91388888888888897</v>
      </c>
      <c r="AK23" s="19">
        <f t="shared" si="2"/>
        <v>0.89986282578875165</v>
      </c>
      <c r="AL23" s="18">
        <f t="shared" si="3"/>
        <v>104.44444444444446</v>
      </c>
      <c r="AM23" s="18">
        <f t="shared" si="4"/>
        <v>104.12698412698411</v>
      </c>
      <c r="AN23" s="18">
        <f t="shared" si="42"/>
        <v>0.31746031746034475</v>
      </c>
      <c r="AO23" s="27">
        <f t="shared" si="5"/>
        <v>0.50185528756957332</v>
      </c>
      <c r="AP23" s="28">
        <f t="shared" si="6"/>
        <v>0.54470198675496695</v>
      </c>
      <c r="AQ23" s="34">
        <f t="shared" si="7"/>
        <v>0.16111111111111112</v>
      </c>
      <c r="AR23" s="38">
        <f t="shared" si="8"/>
        <v>1.396551724137931</v>
      </c>
      <c r="AS23" s="27">
        <f t="shared" si="9"/>
        <v>0.18055555555555555</v>
      </c>
      <c r="AT23" s="38">
        <f t="shared" si="10"/>
        <v>0.9538461538461539</v>
      </c>
      <c r="AU23" s="27">
        <f t="shared" si="11"/>
        <v>5.5555555555555559E-2</v>
      </c>
      <c r="AV23" s="38">
        <f t="shared" si="12"/>
        <v>0.75</v>
      </c>
      <c r="AW23" s="27">
        <f t="shared" si="13"/>
        <v>4.1666666666666671E-2</v>
      </c>
      <c r="AX23" s="38">
        <f t="shared" si="14"/>
        <v>1.2999999999999998</v>
      </c>
      <c r="AY23" s="27">
        <f t="shared" si="15"/>
        <v>0.30138888888888887</v>
      </c>
      <c r="AZ23" s="38">
        <f t="shared" si="16"/>
        <v>0.85714285714285721</v>
      </c>
      <c r="BA23" s="28">
        <f t="shared" si="17"/>
        <v>9.0277777777777776E-2</v>
      </c>
      <c r="BB23" s="34">
        <f t="shared" si="18"/>
        <v>0.16111111111111112</v>
      </c>
      <c r="BC23" s="27">
        <f t="shared" si="19"/>
        <v>0.4864864864864864</v>
      </c>
      <c r="BD23" s="27">
        <f t="shared" si="20"/>
        <v>0.51265822784810122</v>
      </c>
      <c r="BE23" s="27">
        <f t="shared" si="21"/>
        <v>0.70666666666666667</v>
      </c>
      <c r="BF23" s="27">
        <f t="shared" si="22"/>
        <v>0.15873015873015875</v>
      </c>
      <c r="BG23" s="27">
        <f t="shared" si="23"/>
        <v>0.2</v>
      </c>
      <c r="BH23" s="35">
        <f t="shared" si="24"/>
        <v>1.2413793103448276</v>
      </c>
      <c r="BI23" s="34">
        <f t="shared" si="25"/>
        <v>0.28846153846153844</v>
      </c>
      <c r="BJ23" s="27">
        <f t="shared" si="26"/>
        <v>0.28676470588235292</v>
      </c>
      <c r="BK23" s="27">
        <f t="shared" si="27"/>
        <v>0.32804232804232802</v>
      </c>
      <c r="BL23" s="27">
        <f t="shared" si="28"/>
        <v>0.4285714285714286</v>
      </c>
      <c r="BM23" s="27">
        <f t="shared" si="29"/>
        <v>0.67763157894736836</v>
      </c>
      <c r="BN23" s="27">
        <f t="shared" si="30"/>
        <v>0.65700483091787432</v>
      </c>
      <c r="BO23" s="27">
        <f t="shared" si="31"/>
        <v>0.6271186440677966</v>
      </c>
      <c r="BP23" s="27">
        <f t="shared" si="32"/>
        <v>0.74999999999999989</v>
      </c>
      <c r="BQ23" s="28">
        <f t="shared" si="33"/>
        <v>0.48051948051948046</v>
      </c>
      <c r="BR23" s="34">
        <f t="shared" si="34"/>
        <v>0.10158730158730159</v>
      </c>
      <c r="BS23" s="27">
        <f t="shared" si="35"/>
        <v>6.0885608856088562E-2</v>
      </c>
      <c r="BT23" s="39">
        <f>IF($D23=0,"DNP",SUMIFS(OPPS_GbG[KILLS],OPPS_GbG[[TM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</v>
      </c>
      <c r="BU23" s="34">
        <f t="shared" si="36"/>
        <v>0.44047619047619052</v>
      </c>
      <c r="BV23" s="28">
        <f t="shared" si="37"/>
        <v>0.43783783783783792</v>
      </c>
      <c r="BW23" s="18">
        <f>IF($D23=0,"DNP",SUMIFS(OPPS_GbG[ASTED_2FG],OPPS_GbG[[TM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9</v>
      </c>
      <c r="BX23" s="18">
        <f>IF($D23=0,"DNP",SUMIFS(OPPS_GbG[ASTED_3FG],OPPS_GbG[[TM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5.8888888888888893</v>
      </c>
      <c r="BY23" s="18">
        <f>IF($D23=0,"DNP",SUMIFS(OPPS_GbG[ASTED_FT],OPPS_GbG[[TM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1.1111111111111112</v>
      </c>
      <c r="BZ23" s="18">
        <f>IF($D23=0,"DNP",SUMIFS(OPPS_GbG[ASTED_FT PTS],OPPS_GbG[[TM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1.7777777777777777</v>
      </c>
      <c r="CA23" s="18">
        <f>IF($D23=0,"DNP",SUMIFS(OPPS_GbG[OR_RIM],OPPS_GbG[[TM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1.3333333333333333</v>
      </c>
      <c r="CB23" s="18">
        <f>IF($D23=0,"DNP",SUMIFS(OPPS_GbG[TM OR_RIM],OPPS_GbG[[TM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CC23" s="18">
        <f>IF($D23=0,"DNP",SUMIFS(OPPS_GbG[OR_PAINT],OPPS_GbG[[TM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1.8888888888888888</v>
      </c>
      <c r="CD23" s="18">
        <f>IF($D23=0,"DNP",SUMIFS(OPPS_GbG[TM OR_PAINT],OPPS_GbG[[TM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CE23" s="18">
        <f>IF($D23=0,"DNP",SUMIFS(OPPS_GbG[OR_NP2],OPPS_GbG[[TM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CF23" s="18">
        <f>IF($D23=0,"DNP",SUMIFS(OPPS_GbG[TM OR_NP2],OPPS_GbG[[TM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CG23" s="18">
        <f>IF($D23=0,"DNP",SUMIFS(OPPS_GbG[OR_3C],OPPS_GbG[[TM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CH23" s="18">
        <f>IF($D23=0,"DNP",SUMIFS(OPPS_GbG[TM OR_3C],OPPS_GbG[[TM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CI23" s="18">
        <f>IF($D23=0,"DNP",SUMIFS(OPPS_GbG[OR_3L],OPPS_GbG[[TM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5.333333333333333</v>
      </c>
      <c r="CJ23" s="18">
        <f>IF($D23=0,"DNP",SUMIFS(OPPS_GbG[TM OR_3L],OPPS_GbG[[TM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1.3333333333333333</v>
      </c>
      <c r="CK23" s="18">
        <f>IF($D23=0,"DNP",SUMIFS(OPPS_GbG[OR_FT],OPPS_GbG[[TM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0.66666666666666663</v>
      </c>
      <c r="CL23" s="18">
        <f>IF($D23=0,"DNP",SUMIFS(OPPS_GbG[TM OR_FT],OPPS_GbG[[TM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0.33333333333333331</v>
      </c>
      <c r="CM23" s="18">
        <f>IF($D23=0,"DNP",SUMIFS(OPPS_GbG[DR_RIM],OPPS_GbG[[TM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2.2222222222222223</v>
      </c>
      <c r="CN23" s="18">
        <f>IF($D23=0,"DNP",SUMIFS(OPPS_GbG[TM DR_RIM],OPPS_GbG[[TM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CO23" s="18">
        <f>IF($D23=0,"DNP",SUMIFS(OPPS_GbG[DR_PAINT],OPPS_GbG[[TM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7.666666666666667</v>
      </c>
      <c r="CP23" s="18">
        <f>IF($D23=0,"DNP",SUMIFS(OPPS_GbG[TM DR_PAINT],OPPS_GbG[[TM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CQ23" s="18">
        <f>IF($D23=0,"DNP",SUMIFS(OPPS_GbG[DR_NP2],OPPS_GbG[[TM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4.2222222222222223</v>
      </c>
      <c r="CR23" s="18">
        <f>IF($D23=0,"DNP",SUMIFS(OPPS_GbG[TM DR_NP2],OPPS_GbG[[TM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CS23" s="18">
        <f>IF($D23=0,"DNP",SUMIFS(OPPS_GbG[DR_3C],OPPS_GbG[[TM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1.3333333333333333</v>
      </c>
      <c r="CT23" s="18">
        <f>IF($D23=0,"DNP",SUMIFS(OPPS_GbG[TM DR_3C],OPPS_GbG[[TM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CU23" s="18">
        <f>IF($D23=0,"DNP",SUMIFS(OPPS_GbG[DR_3L],OPPS_GbG[[TM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6.1111111111111107</v>
      </c>
      <c r="CV23" s="18">
        <f>IF($D23=0,"DNP",SUMIFS(OPPS_GbG[TM DR_3L],OPPS_GbG[[TM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CW23" s="18">
        <f>IF($D23=0,"DNP",SUMIFS(OPPS_GbG[DR_FT],OPPS_GbG[[TM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1.1111111111111112</v>
      </c>
      <c r="CX23" s="18">
        <f>IF($D23=0,"DNP",SUMIFS(OPPS_GbG[TM DR_FT],OPPS_GbG[[TM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CY23" s="18">
        <f>IF($D23=0,"DNP",SUMIFS(OPPS_GbG[FTM_T],OPPS_GbG[[TM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0.33333333333333331</v>
      </c>
      <c r="CZ23" s="18">
        <f>IF($D23=0,"DNP",SUMIFS(OPPS_GbG[FTA_T],OPPS_GbG[[TM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DA23" s="18">
        <f>IF($D23=0,"DNP",SUMIFS(OPPS_GbG[FTM_1],OPPS_GbG[[TM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0.77777777777777779</v>
      </c>
      <c r="DB23" s="18">
        <f>IF($D23=0,"DNP",SUMIFS(OPPS_GbG[FTA_1],OPPS_GbG[[TM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1.7777777777777777</v>
      </c>
      <c r="DC23" s="18">
        <f>IF($D23=0,"DNP",SUMIFS(OPPS_GbG[FTM_2],OPPS_GbG[[TM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11.333333333333334</v>
      </c>
      <c r="DD23" s="18">
        <f>IF($D23=0,"DNP",SUMIFS(OPPS_GbG[FTA_2],OPPS_GbG[[TM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13.777777777777779</v>
      </c>
      <c r="DE23" s="18">
        <f>IF($D23=0,"DNP",SUMIFS(OPPS_GbG[FT 0/2],OPPS_GbG[[TM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DF23" s="18">
        <f>IF($D23=0,"DNP",SUMIFS(OPPS_GbG[FTM_3],OPPS_GbG[[TM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DG23" s="18">
        <f>IF($D23=0,"DNP",SUMIFS(OPPS_GbG[FTA_3],OPPS_GbG[[TM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</v>
      </c>
      <c r="DH23" s="18">
        <f>IF($D23=0,"DNP",SUMIFS(OPPS_GbG[FT 0/3],OPPS_GbG[[TM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DI23" s="18">
        <f>IF($D23=0,"DNP",SUMIFS(OPPS_GbG[RIM_M],OPPS_GbG[[TM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9</v>
      </c>
      <c r="DJ23" s="18">
        <f>IF($D23=0,"DNP",SUMIFS(OPPS_GbG[RIM_A],OPPS_GbG[[TM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12.888888888888889</v>
      </c>
      <c r="DK23" s="18">
        <f>IF($D23=0,"DNP",SUMIFS(OPPS_GbG[PAINT_M],OPPS_GbG[[TM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6.8888888888888893</v>
      </c>
      <c r="DL23" s="18">
        <f>IF($D23=0,"DNP",SUMIFS(OPPS_GbG[PAINT_A],OPPS_GbG[[TM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14.444444444444445</v>
      </c>
      <c r="DM23" s="18">
        <f>IF($D23=0,"DNP",SUMIFS(OPPS_GbG[MID_M],OPPS_GbG[[TM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1.6666666666666667</v>
      </c>
      <c r="DN23" s="18">
        <f>IF($D23=0,"DNP",SUMIFS(OPPS_GbG[MID_A],OPPS_GbG[[TM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4.4444444444444446</v>
      </c>
      <c r="DO23" s="18">
        <f>IF($D23=0,"DNP",SUMIFS(OPPS_GbG[3C_M],OPPS_GbG[[TM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1.4444444444444444</v>
      </c>
      <c r="DP23" s="18">
        <f>IF($D23=0,"DNP",SUMIFS(OPPS_GbG[3C_A],OPPS_GbG[[TM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3.3333333333333335</v>
      </c>
      <c r="DQ23" s="18">
        <f>IF($D23=0,"DNP",SUMIFS(OPPS_GbG[3L_M],OPPS_GbG[[TM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6.8888888888888893</v>
      </c>
      <c r="DR23" s="18">
        <f>IF($D23=0,"DNP",SUMIFS(OPPS_GbG[3L_A],OPPS_GbG[[TM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24.111111111111111</v>
      </c>
      <c r="DS23" s="18">
        <f>IF($D23=0,"DNP",SUMIFS(OPPS_GbG[3H_M],OPPS_GbG[[TM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DT23" s="18">
        <f>IF($D23=0,"DNP",SUMIFS(OPPS_GbG[3H_A],OPPS_GbG[[TM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DU23" s="18">
        <f>IF($D23=0,"DNP",SUMIFS(OPPS_GbG[OPP PTS],OPPS_GbG[[TM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72.888888888888886</v>
      </c>
      <c r="DV23" s="18">
        <f>IF($D23=0,"DNP",SUMIFS(OPPS_GbG[OPP 2PTM],OPPS_GbG[[TM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20.111111111111111</v>
      </c>
      <c r="DW23" s="18">
        <f>IF($D23=0,"DNP",SUMIFS(OPPS_GbG[OPP 2PTA],OPPS_GbG[[TM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41.222222222222221</v>
      </c>
      <c r="DX23" s="16">
        <f t="shared" si="43"/>
        <v>0.48787061994609165</v>
      </c>
      <c r="DY23" s="18">
        <f>IF($D23=0,"DNP",SUMIFS(OPPS_GbG[OPP 3PTM],OPPS_GbG[[TM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6.8888888888888893</v>
      </c>
      <c r="DZ23" s="18">
        <f>IF($D23=0,"DNP",SUMIFS(OPPS_GbG[OPP 3PTA],OPPS_GbG[[TM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19</v>
      </c>
      <c r="EA23" s="16">
        <f t="shared" si="44"/>
        <v>0.36257309941520471</v>
      </c>
      <c r="EB23" s="18">
        <f>IF($D23=0,"DNP",SUMIFS(OPPS_GbG[OPP FGM],OPPS_GbG[[TM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27</v>
      </c>
      <c r="EC23" s="18">
        <f>IF($D23=0,"DNP",SUMIFS(OPPS_GbG[OPP FGA],OPPS_GbG[[TM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60.222222222222221</v>
      </c>
      <c r="ED23" s="16">
        <f t="shared" si="45"/>
        <v>0.44833948339483398</v>
      </c>
      <c r="EE23" s="18">
        <f>IF($D23=0,"DNP",SUMIFS(OPPS_GbG[OPP FTM],OPPS_GbG[[TM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12</v>
      </c>
      <c r="EF23" s="18">
        <f>IF($D23=0,"DNP",SUMIFS(OPPS_GbG[OPP FTA],OPPS_GbG[[TM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15.888888888888889</v>
      </c>
      <c r="EG23" s="16">
        <f t="shared" si="46"/>
        <v>0.75524475524475521</v>
      </c>
      <c r="EH23" s="18">
        <f>IF($D23=0,"DNP",SUMIFS(OPPS_GbG[OPP OR],OPPS_GbG[[TM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10.888888888888889</v>
      </c>
      <c r="EI23" s="18">
        <f>IF($D23=0,"DNP",SUMIFS(OPPS_GbG[OPP DR],OPPS_GbG[[TM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24.666666666666668</v>
      </c>
      <c r="EJ23" s="18">
        <f>IF($D23=0,"DNP",SUMIFS(OPPS_GbG[OPP TR],OPPS_GbG[[TM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35.555555555555557</v>
      </c>
      <c r="EK23" s="18">
        <f>IF($D23=0,"DNP",SUMIFS(OPPS_GbG[OPP AST],OPPS_GbG[[TM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15.444444444444445</v>
      </c>
      <c r="EL23" s="18">
        <f>IF($D23=0,"DNP",SUMIFS(OPPS_GbG[OPP PF],OPPS_GbG[[TM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21.111111111111111</v>
      </c>
      <c r="EM23" s="18">
        <f>IF($D23=0,"DNP",SUMIFS(OPPS_GbG[OPP DF],OPPS_GbG[[TM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18.444444444444443</v>
      </c>
      <c r="EN23" s="18">
        <f>IF($D23=0,"DNP",SUMIFS(OPPS_GbG[OPP ST],OPPS_GbG[[TM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5.5555555555555554</v>
      </c>
      <c r="EO23" s="18">
        <f>IF($D23=0,"DNP",SUMIFS(OPPS_GbG[OPP TO],OPPS_GbG[[TM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14.222222222222221</v>
      </c>
      <c r="EP23" s="18">
        <f>IF($D23=0,"DNP",SUMIFS(OPPS_GbG[OPP BLK],OPPS_GbG[[TM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</v>
      </c>
      <c r="EQ23" s="18">
        <f>IF($D23=0,"DNP",SUMIFS(OPPS_GbG[OPP BLKA],OPPS_GbG[[TM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3.6666666666666665</v>
      </c>
      <c r="ER23" s="18">
        <f>IF($D23=0,"DNP",SUMIFS(OPPS_GbG[OPP VAL],OPPS_GbG[[TM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73.777777777777771</v>
      </c>
      <c r="ES23" s="18">
        <f>IF($D23=0,"DNP",SUMIFS(OPPS_GbG[OPP + / -],OPPS_GbG[[TM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-0.22222222222222221</v>
      </c>
      <c r="ET23" s="18">
        <f>IF($D23=0,"DNP",SUMIFS(OPPS_GbG[OPP POSS],OPPS_GbG[[TM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70</v>
      </c>
      <c r="EU23" s="18">
        <f>IF($D23=0,"DNP",SUMIFS(OPPS_GbG[OPP SHOOTING CHANCES],OPPS_GbG[[TM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81</v>
      </c>
      <c r="EV23" s="18">
        <f>IF($D23=0,"DNP",SUMIFS(OPPS_GbG[OPP KILLS],OPPS_GbG[[TM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5.1111111111111107</v>
      </c>
      <c r="EW23" s="18">
        <f>IF($D23=0,"DNP",SUMIFS(OPPS_GbG[OPP ASTED_2FG],OPPS_GbG[[TM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</v>
      </c>
      <c r="EX23" s="18">
        <f>IF($D23=0,"DNP",SUMIFS(OPPS_GbG[OPP ASTED_3FG],OPPS_GbG[[TM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5.2222222222222223</v>
      </c>
      <c r="EY23" s="18">
        <f>IF($D23=0,"DNP",SUMIFS(OPPS_GbG[OPP ASTED_FT],OPPS_GbG[[TM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2.2222222222222223</v>
      </c>
      <c r="EZ23" s="18">
        <f>IF($D23=0,"DNP",SUMIFS(OPPS_GbG[OPP ASTED_FT PTS],OPPS_GbG[[TM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4.5555555555555554</v>
      </c>
      <c r="FA23" s="18">
        <f>IF($D23=0,"DNP",SUMIFS(OPPS_GbG[OPP OR_RIM],OPPS_GbG[[TM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1.7777777777777777</v>
      </c>
      <c r="FB23" s="18">
        <f>IF($D23=0,"DNP",SUMIFS(OPPS_GbG[OPP TM OR_RIM],OPPS_GbG[[TM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0.66666666666666663</v>
      </c>
      <c r="FC23" s="18">
        <f>IF($D23=0,"DNP",SUMIFS(OPPS_GbG[OPP OR_PAINT],OPPS_GbG[[TM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3.7777777777777777</v>
      </c>
      <c r="FD23" s="18">
        <f>IF($D23=0,"DNP",SUMIFS(OPPS_GbG[OPP TM OR_PAINT],OPPS_GbG[[TM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0.77777777777777779</v>
      </c>
      <c r="FE23" s="18">
        <f>IF($D23=0,"DNP",SUMIFS(OPPS_GbG[OPP OR_NP2],OPPS_GbG[[TM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0.88888888888888884</v>
      </c>
      <c r="FF23" s="18">
        <f>IF($D23=0,"DNP",SUMIFS(OPPS_GbG[OPP TM OR_NP2],OPPS_GbG[[TM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FG23" s="18">
        <f>IF($D23=0,"DNP",SUMIFS(OPPS_GbG[OPP OR_3C],OPPS_GbG[[TM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0.55555555555555558</v>
      </c>
      <c r="FH23" s="18">
        <f>IF($D23=0,"DNP",SUMIFS(OPPS_GbG[OPP TM OR_3C],OPPS_GbG[[TM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FI23" s="18">
        <f>IF($D23=0,"DNP",SUMIFS(OPPS_GbG[OPP OR_3L],OPPS_GbG[[TM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3.5555555555555554</v>
      </c>
      <c r="FJ23" s="18">
        <f>IF($D23=0,"DNP",SUMIFS(OPPS_GbG[OPP TM OR_3L],OPPS_GbG[[TM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0.66666666666666663</v>
      </c>
      <c r="FK23" s="18">
        <f>IF($D23=0,"DNP",SUMIFS(OPPS_GbG[OPP OR_FT],OPPS_GbG[[TM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FL23" s="18">
        <f>IF($D23=0,"DNP",SUMIFS(OPPS_GbG[OPP TM OR_FT],OPPS_GbG[[TM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FM23" s="18">
        <f>IF($D23=0,"DNP",SUMIFS(OPPS_GbG[OPP DR_RIM],OPPS_GbG[[TM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2.4444444444444446</v>
      </c>
      <c r="FN23" s="18">
        <f>IF($D23=0,"DNP",SUMIFS(OPPS_GbG[OPP TM DR_RIM],OPPS_GbG[[TM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0.22222222222222221</v>
      </c>
      <c r="FO23" s="18">
        <f>IF($D23=0,"DNP",SUMIFS(OPPS_GbG[OPP DR_PAINT],OPPS_GbG[[TM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5.333333333333333</v>
      </c>
      <c r="FP23" s="18">
        <f>IF($D23=0,"DNP",SUMIFS(OPPS_GbG[OPP TM DR_PAINT],OPPS_GbG[[TM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FQ23" s="18">
        <f>IF($D23=0,"DNP",SUMIFS(OPPS_GbG[OPP DR_NP2],OPPS_GbG[[TM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2.3333333333333335</v>
      </c>
      <c r="FR23" s="18">
        <f>IF($D23=0,"DNP",SUMIFS(OPPS_GbG[OPP TM DR_NP2],OPPS_GbG[[TM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0.33333333333333331</v>
      </c>
      <c r="FS23" s="18">
        <f>IF($D23=0,"DNP",SUMIFS(OPPS_GbG[OPP DR_3C],OPPS_GbG[[TM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1.6666666666666667</v>
      </c>
      <c r="FT23" s="18">
        <f>IF($D23=0,"DNP",SUMIFS(OPPS_GbG[OPP TM DR_3C],OPPS_GbG[[TM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FU23" s="18">
        <f>IF($D23=0,"DNP",SUMIFS(OPPS_GbG[OPP DR_3L],OPPS_GbG[[TM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11.444444444444445</v>
      </c>
      <c r="FV23" s="18">
        <f>IF($D23=0,"DNP",SUMIFS(OPPS_GbG[OPP TM DR_3L],OPPS_GbG[[TM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0.88888888888888884</v>
      </c>
      <c r="FW23" s="18">
        <f>IF($D23=0,"DNP",SUMIFS(OPPS_GbG[OPP DR_FT],OPPS_GbG[[TM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1.3333333333333333</v>
      </c>
      <c r="FX23" s="18">
        <f>IF($D23=0,"DNP",SUMIFS(OPPS_GbG[OPP TM DR_FT],OPPS_GbG[[TM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FY23" s="18">
        <f>IF($D23=0,"DNP",SUMIFS(OPPS_GbG[OPP FTM_T],OPPS_GbG[[TM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FZ23" s="18">
        <f>IF($D23=0,"DNP",SUMIFS(OPPS_GbG[OPP FTA_T],OPPS_GbG[[TM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0.44444444444444442</v>
      </c>
      <c r="GA23" s="18">
        <f>IF($D23=0,"DNP",SUMIFS(OPPS_GbG[OPP FTM_1],OPPS_GbG[[TM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</v>
      </c>
      <c r="GB23" s="18">
        <f>IF($D23=0,"DNP",SUMIFS(OPPS_GbG[OPP FTA_1],OPPS_GbG[[TM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1.6666666666666667</v>
      </c>
      <c r="GC23" s="18">
        <f>IF($D23=0,"DNP",SUMIFS(OPPS_GbG[OPP FTM_2],OPPS_GbG[[TM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8.6666666666666661</v>
      </c>
      <c r="GD23" s="18">
        <f>IF($D23=0,"DNP",SUMIFS(OPPS_GbG[OPP FTA_2],OPPS_GbG[[TM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11.777777777777779</v>
      </c>
      <c r="GE23" s="18">
        <f>IF($D23=0,"DNP",SUMIFS(OPPS_GbG[OPP FT 0/2],OPPS_GbG[[TM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  <c r="GF23" s="18">
        <f>IF($D23=0,"DNP",SUMIFS(OPPS_GbG[OPP FTM_3],OPPS_GbG[[TM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1.8888888888888888</v>
      </c>
      <c r="GG23" s="18">
        <f>IF($D23=0,"DNP",SUMIFS(OPPS_GbG[OPP FTA_3],OPPS_GbG[[TM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</v>
      </c>
      <c r="GH23" s="18">
        <f>IF($D23=0,"DNP",SUMIFS(OPPS_GbG[OPP FT 0/3],OPPS_GbG[[TM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GI23" s="18">
        <f>IF($D23=0,"DNP",SUMIFS(OPPS_GbG[OPP RIM_M],OPPS_GbG[[TM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11.111111111111111</v>
      </c>
      <c r="GJ23" s="18">
        <f>IF($D23=0,"DNP",SUMIFS(OPPS_GbG[OPP RIM_A],OPPS_GbG[[TM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15.333333333333334</v>
      </c>
      <c r="GK23" s="18">
        <f>IF($D23=0,"DNP",SUMIFS(OPPS_GbG[OPP PAINT_M],OPPS_GbG[[TM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6.4444444444444446</v>
      </c>
      <c r="GL23" s="18">
        <f>IF($D23=0,"DNP",SUMIFS(OPPS_GbG[OPP PAINT_A],OPPS_GbG[[TM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18</v>
      </c>
      <c r="GM23" s="18">
        <f>IF($D23=0,"DNP",SUMIFS(OPPS_GbG[OPP MID_M],OPPS_GbG[[TM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2.5555555555555554</v>
      </c>
      <c r="GN23" s="18">
        <f>IF($D23=0,"DNP",SUMIFS(OPPS_GbG[OPP MID_A],OPPS_GbG[[TM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7.8888888888888893</v>
      </c>
      <c r="GO23" s="18">
        <f>IF($D23=0,"DNP",SUMIFS(OPPS_GbG[OPP 3C_M],OPPS_GbG[[TM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1.1111111111111112</v>
      </c>
      <c r="GP23" s="18">
        <f>IF($D23=0,"DNP",SUMIFS(OPPS_GbG[OPP 3C_A],OPPS_GbG[[TM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3</v>
      </c>
      <c r="GQ23" s="18">
        <f>IF($D23=0,"DNP",SUMIFS(OPPS_GbG[OPP 3L_M],OPPS_GbG[[TM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5.7777777777777777</v>
      </c>
      <c r="GR23" s="18">
        <f>IF($D23=0,"DNP",SUMIFS(OPPS_GbG[OPP 3L_A],OPPS_GbG[[TM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15.888888888888889</v>
      </c>
      <c r="GS23" s="18">
        <f>IF($D23=0,"DNP",SUMIFS(OPPS_GbG[OPP 3H_M],OPPS_GbG[[TM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</v>
      </c>
      <c r="GT23" s="18">
        <f>IF($D23=0,"DNP",SUMIFS(OPPS_GbG[OPP 3H_A],OPPS_GbG[[TM NAME]:[TM NAME]],$C23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GAMES","&lt;1000",IF($F$3=BASIS_INFO!$T$3,"&lt;"&amp;BASIS_INFO!$B$11,IF($F$3=BASIS_INFO!$T$4,"&lt;"&amp;BASIS_INFO!$B$12,IF($F$3=BASIS_INFO!$T$5,"&lt;"&amp;BASIS_INFO!$B$13,IF($F$3=BASIS_INFO!$T$6,"&lt;"&amp;BASIS_INFO!$B$14))))))/IF($D$3="TOTAL",1,$D23))</f>
        <v>0.1111111111111111</v>
      </c>
    </row>
    <row r="24" spans="2:202" ht="15" customHeight="1" x14ac:dyDescent="0.25">
      <c r="B24" s="12">
        <f>_xlfn.AGGREGATE(3,5,$C$7:C23)</f>
        <v>17</v>
      </c>
      <c r="C24" s="14" t="str">
        <f>BASIS_INFO!F19</f>
        <v>Virtus Segafredo Bologna</v>
      </c>
      <c r="D24" s="20">
        <f>COUNTIFS(OPPS_GbG[[TM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4" s="20">
        <f>COUNTIFS(OPPS_GbG[[TM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6</v>
      </c>
      <c r="F24" s="20">
        <f>COUNTIFS(OPPS_GbG[[TM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3</v>
      </c>
      <c r="G24" s="18">
        <f>IF($D24=0,"DNP",SUMIFS(OPPS_GbG[MIN],OPPS_GbG[[TM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200</v>
      </c>
      <c r="H24" s="18">
        <f>IF($D24=0,"DNP",SUMIFS(OPPS_GbG[PTS],OPPS_GbG[[TM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81.111111111111114</v>
      </c>
      <c r="I24" s="18">
        <f>IF($D24=0,"DNP",SUMIFS(OPPS_GbG[2PTM],OPPS_GbG[[TM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19.555555555555557</v>
      </c>
      <c r="J24" s="18">
        <f>IF($D24=0,"DNP",SUMIFS(OPPS_GbG[2PTA],OPPS_GbG[[TM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37.222222222222221</v>
      </c>
      <c r="K24" s="16">
        <f t="shared" ref="K24:K25" si="47">IF($D24=0,"DNP",IF(J24=0,"-",I24/J24))</f>
        <v>0.5253731343283583</v>
      </c>
      <c r="L24" s="18">
        <f>IF($D24=0,"DNP",SUMIFS(OPPS_GbG[3PTM],OPPS_GbG[[TM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8.6666666666666661</v>
      </c>
      <c r="M24" s="18">
        <f>IF($D24=0,"DNP",SUMIFS(OPPS_GbG[3PTA],OPPS_GbG[[TM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22.555555555555557</v>
      </c>
      <c r="N24" s="16">
        <f t="shared" ref="N24:N25" si="48">IF($D24=0,"DNP",IF(M24=0,"-",L24/M24))</f>
        <v>0.38423645320197036</v>
      </c>
      <c r="O24" s="18">
        <f>IF($D24=0,"DNP",SUMIFS(OPPS_GbG[FGM],OPPS_GbG[[TM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28.222222222222221</v>
      </c>
      <c r="P24" s="18">
        <f>IF($D24=0,"DNP",SUMIFS(OPPS_GbG[FGA],OPPS_GbG[[TM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59.777777777777779</v>
      </c>
      <c r="Q24" s="16">
        <f t="shared" ref="Q24:Q25" si="49">IF($D24=0,"DNP",IF(P24=0,"-",O24/P24))</f>
        <v>0.47211895910780666</v>
      </c>
      <c r="R24" s="18">
        <f>IF($D24=0,"DNP",SUMIFS(OPPS_GbG[FTM],OPPS_GbG[[TM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16</v>
      </c>
      <c r="S24" s="18">
        <f>IF($D24=0,"DNP",SUMIFS(OPPS_GbG[FTA],OPPS_GbG[[TM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21.333333333333332</v>
      </c>
      <c r="T24" s="16">
        <f t="shared" ref="T24:T25" si="50">IF($D24=0,"DNP",IF(S24=0,"-",R24/S24))</f>
        <v>0.75</v>
      </c>
      <c r="U24" s="18">
        <f>IF($D24=0,"DNP",SUMIFS(OPPS_GbG[OR],OPPS_GbG[[TM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</v>
      </c>
      <c r="V24" s="18">
        <f>IF($D24=0,"DNP",SUMIFS(OPPS_GbG[DR],OPPS_GbG[[TM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22.444444444444443</v>
      </c>
      <c r="W24" s="18">
        <f>IF($D24=0,"DNP",SUMIFS(OPPS_GbG[TR],OPPS_GbG[[TM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32.444444444444443</v>
      </c>
      <c r="X24" s="18">
        <f>IF($D24=0,"DNP",SUMIFS(OPPS_GbG[AST],OPPS_GbG[[TM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15.888888888888889</v>
      </c>
      <c r="Y24" s="18">
        <f>IF($D24=0,"DNP",SUMIFS(OPPS_GbG[TO],OPPS_GbG[[TM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12.222222222222221</v>
      </c>
      <c r="Z24" s="18">
        <f>IF($D24=0,"DNP",SUMIFS(OPPS_GbG[ST],OPPS_GbG[[TM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6.2222222222222223</v>
      </c>
      <c r="AA24" s="18">
        <f>IF($D24=0,"DNP",SUMIFS(OPPS_GbG[BLK],OPPS_GbG[[TM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AB24" s="18">
        <f>IF($D24=0,"DNP",SUMIFS(OPPS_GbG[BLKA],OPPS_GbG[[TM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2.7777777777777777</v>
      </c>
      <c r="AC24" s="18">
        <f>IF($D24=0,"DNP",SUMIFS(OPPS_GbG[PF],OPPS_GbG[[TM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18.666666666666668</v>
      </c>
      <c r="AD24" s="18">
        <f>IF($D24=0,"DNP",SUMIFS(OPPS_GbG[DF],OPPS_GbG[[TM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21.666666666666668</v>
      </c>
      <c r="AE24" s="18">
        <f>IF($D24=0,"DNP",SUMIFS(OPPS_GbG[VAL],OPPS_GbG[[TM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88.444444444444443</v>
      </c>
      <c r="AF24" s="18">
        <f>IF($D24=0,"DNP",SUMIFS(OPPS_GbG[+ / -],OPPS_GbG[[TM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-2.2222222222222223</v>
      </c>
      <c r="AG24" s="26">
        <f t="shared" si="0"/>
        <v>71.111111111111114</v>
      </c>
      <c r="AH24" s="18">
        <f>IF($D24=0,"DNP",SUMIFS(OPPS_GbG[POSS],OPPS_GbG[[TM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71.111111111111114</v>
      </c>
      <c r="AI24" s="18">
        <f>IF($D24=0,"DNP",SUMIFS(OPPS_GbG[SHOOTING CHANCES],OPPS_GbG[[TM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81.333333333333329</v>
      </c>
      <c r="AJ24" s="19">
        <f t="shared" si="1"/>
        <v>0.99726775956284164</v>
      </c>
      <c r="AK24" s="19">
        <f t="shared" si="2"/>
        <v>1.0302197802197801</v>
      </c>
      <c r="AL24" s="18">
        <f t="shared" si="3"/>
        <v>114.0625</v>
      </c>
      <c r="AM24" s="18">
        <f t="shared" si="4"/>
        <v>116.82242990654206</v>
      </c>
      <c r="AN24" s="18">
        <f t="shared" ref="AN24:AN25" si="51">IF($D24=0,"DNP",AL24-AM24)</f>
        <v>-2.7599299065420553</v>
      </c>
      <c r="AO24" s="27">
        <f t="shared" si="5"/>
        <v>0.54460966542750933</v>
      </c>
      <c r="AP24" s="28">
        <f t="shared" si="6"/>
        <v>0.58681672025723475</v>
      </c>
      <c r="AQ24" s="34">
        <f t="shared" si="7"/>
        <v>0.11612021857923498</v>
      </c>
      <c r="AR24" s="38">
        <f t="shared" si="8"/>
        <v>1.4352941176470588</v>
      </c>
      <c r="AS24" s="27">
        <f t="shared" si="9"/>
        <v>0.26366120218579236</v>
      </c>
      <c r="AT24" s="38">
        <f t="shared" si="10"/>
        <v>0.98445595854922285</v>
      </c>
      <c r="AU24" s="27">
        <f t="shared" si="11"/>
        <v>7.7868852459016397E-2</v>
      </c>
      <c r="AV24" s="38">
        <f t="shared" si="12"/>
        <v>0.70175438596491235</v>
      </c>
      <c r="AW24" s="27">
        <f t="shared" si="13"/>
        <v>1.7759562841530057E-2</v>
      </c>
      <c r="AX24" s="38">
        <f t="shared" si="14"/>
        <v>2.0769230769230771</v>
      </c>
      <c r="AY24" s="27">
        <f t="shared" si="15"/>
        <v>0.25956284153005466</v>
      </c>
      <c r="AZ24" s="38">
        <f t="shared" si="16"/>
        <v>1.0894736842105264</v>
      </c>
      <c r="BA24" s="28">
        <f t="shared" si="17"/>
        <v>0.11475409836065573</v>
      </c>
      <c r="BB24" s="34">
        <f t="shared" si="18"/>
        <v>0.15068493150684931</v>
      </c>
      <c r="BC24" s="27">
        <f t="shared" si="19"/>
        <v>0.4333333333333334</v>
      </c>
      <c r="BD24" s="27">
        <f t="shared" si="20"/>
        <v>0.40340909090909088</v>
      </c>
      <c r="BE24" s="27">
        <f t="shared" si="21"/>
        <v>0.76923076923076927</v>
      </c>
      <c r="BF24" s="27">
        <f t="shared" si="22"/>
        <v>0.15789473684210528</v>
      </c>
      <c r="BG24" s="27">
        <f t="shared" si="23"/>
        <v>0.19589041095890411</v>
      </c>
      <c r="BH24" s="35">
        <f t="shared" si="24"/>
        <v>1.3</v>
      </c>
      <c r="BI24" s="34">
        <f t="shared" si="25"/>
        <v>0.30405405405405406</v>
      </c>
      <c r="BJ24" s="27">
        <f t="shared" si="26"/>
        <v>0.33918128654970769</v>
      </c>
      <c r="BK24" s="27">
        <f t="shared" si="27"/>
        <v>0.29104477611940294</v>
      </c>
      <c r="BL24" s="27">
        <f t="shared" si="28"/>
        <v>0.30434782608695643</v>
      </c>
      <c r="BM24" s="27">
        <f t="shared" si="29"/>
        <v>0.70138888888888884</v>
      </c>
      <c r="BN24" s="27">
        <f t="shared" si="30"/>
        <v>0.69655172413793109</v>
      </c>
      <c r="BO24" s="27">
        <f t="shared" si="31"/>
        <v>0.67586206896551726</v>
      </c>
      <c r="BP24" s="27">
        <f t="shared" si="32"/>
        <v>0.75</v>
      </c>
      <c r="BQ24" s="28">
        <f t="shared" si="33"/>
        <v>0.5</v>
      </c>
      <c r="BR24" s="34">
        <f t="shared" si="34"/>
        <v>8.7227414330218078E-2</v>
      </c>
      <c r="BS24" s="27">
        <f t="shared" si="35"/>
        <v>2.6929982046678638E-2</v>
      </c>
      <c r="BT24" s="39">
        <f>IF($D24=0,"DNP",SUMIFS(OPPS_GbG[KILLS],OPPS_GbG[[TM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4.333333333333333</v>
      </c>
      <c r="BU24" s="34">
        <f t="shared" si="36"/>
        <v>0.44642857142857145</v>
      </c>
      <c r="BV24" s="28">
        <f t="shared" si="37"/>
        <v>0.5282051282051281</v>
      </c>
      <c r="BW24" s="18">
        <f>IF($D24=0,"DNP",SUMIFS(OPPS_GbG[ASTED_2FG],OPPS_GbG[[TM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7.8888888888888893</v>
      </c>
      <c r="BX24" s="18">
        <f>IF($D24=0,"DNP",SUMIFS(OPPS_GbG[ASTED_3FG],OPPS_GbG[[TM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6.666666666666667</v>
      </c>
      <c r="BY24" s="18">
        <f>IF($D24=0,"DNP",SUMIFS(OPPS_GbG[ASTED_FT],OPPS_GbG[[TM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1.3333333333333333</v>
      </c>
      <c r="BZ24" s="18">
        <f>IF($D24=0,"DNP",SUMIFS(OPPS_GbG[ASTED_FT PTS],OPPS_GbG[[TM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2.2222222222222223</v>
      </c>
      <c r="CA24" s="18">
        <f>IF($D24=0,"DNP",SUMIFS(OPPS_GbG[OR_RIM],OPPS_GbG[[TM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1.3333333333333333</v>
      </c>
      <c r="CB24" s="18">
        <f>IF($D24=0,"DNP",SUMIFS(OPPS_GbG[TM OR_RIM],OPPS_GbG[[TM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CC24" s="18">
        <f>IF($D24=0,"DNP",SUMIFS(OPPS_GbG[OR_PAINT],OPPS_GbG[[TM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3.4444444444444446</v>
      </c>
      <c r="CD24" s="18">
        <f>IF($D24=0,"DNP",SUMIFS(OPPS_GbG[TM OR_PAINT],OPPS_GbG[[TM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CE24" s="18">
        <f>IF($D24=0,"DNP",SUMIFS(OPPS_GbG[OR_NP2],OPPS_GbG[[TM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0.88888888888888884</v>
      </c>
      <c r="CF24" s="18">
        <f>IF($D24=0,"DNP",SUMIFS(OPPS_GbG[TM OR_NP2],OPPS_GbG[[TM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CG24" s="18">
        <f>IF($D24=0,"DNP",SUMIFS(OPPS_GbG[OR_3C],OPPS_GbG[[TM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CH24" s="18">
        <f>IF($D24=0,"DNP",SUMIFS(OPPS_GbG[TM OR_3C],OPPS_GbG[[TM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CI24" s="18">
        <f>IF($D24=0,"DNP",SUMIFS(OPPS_GbG[OR_3L],OPPS_GbG[[TM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3.6666666666666665</v>
      </c>
      <c r="CJ24" s="18">
        <f>IF($D24=0,"DNP",SUMIFS(OPPS_GbG[TM OR_3L],OPPS_GbG[[TM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CK24" s="18">
        <f>IF($D24=0,"DNP",SUMIFS(OPPS_GbG[OR_FT],OPPS_GbG[[TM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CL24" s="18">
        <f>IF($D24=0,"DNP",SUMIFS(OPPS_GbG[TM OR_FT],OPPS_GbG[[TM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CM24" s="18">
        <f>IF($D24=0,"DNP",SUMIFS(OPPS_GbG[DR_RIM],OPPS_GbG[[TM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0.88888888888888884</v>
      </c>
      <c r="CN24" s="18">
        <f>IF($D24=0,"DNP",SUMIFS(OPPS_GbG[TM DR_RIM],OPPS_GbG[[TM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CO24" s="18">
        <f>IF($D24=0,"DNP",SUMIFS(OPPS_GbG[DR_PAINT],OPPS_GbG[[TM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6.4444444444444446</v>
      </c>
      <c r="CP24" s="18">
        <f>IF($D24=0,"DNP",SUMIFS(OPPS_GbG[TM DR_PAINT],OPPS_GbG[[TM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CQ24" s="18">
        <f>IF($D24=0,"DNP",SUMIFS(OPPS_GbG[DR_NP2],OPPS_GbG[[TM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3.1111111111111112</v>
      </c>
      <c r="CR24" s="18">
        <f>IF($D24=0,"DNP",SUMIFS(OPPS_GbG[TM DR_NP2],OPPS_GbG[[TM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CS24" s="18">
        <f>IF($D24=0,"DNP",SUMIFS(OPPS_GbG[DR_3C],OPPS_GbG[[TM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CT24" s="18">
        <f>IF($D24=0,"DNP",SUMIFS(OPPS_GbG[TM DR_3C],OPPS_GbG[[TM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CU24" s="18">
        <f>IF($D24=0,"DNP",SUMIFS(OPPS_GbG[DR_3L],OPPS_GbG[[TM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9.5555555555555554</v>
      </c>
      <c r="CV24" s="18">
        <f>IF($D24=0,"DNP",SUMIFS(OPPS_GbG[TM DR_3L],OPPS_GbG[[TM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CW24" s="18">
        <f>IF($D24=0,"DNP",SUMIFS(OPPS_GbG[DR_FT],OPPS_GbG[[TM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CX24" s="18">
        <f>IF($D24=0,"DNP",SUMIFS(OPPS_GbG[TM DR_FT],OPPS_GbG[[TM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CY24" s="18">
        <f>IF($D24=0,"DNP",SUMIFS(OPPS_GbG[FTM_T],OPPS_GbG[[TM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CZ24" s="18">
        <f>IF($D24=0,"DNP",SUMIFS(OPPS_GbG[FTA_T],OPPS_GbG[[TM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DA24" s="18">
        <f>IF($D24=0,"DNP",SUMIFS(OPPS_GbG[FTM_1],OPPS_GbG[[TM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1.7777777777777777</v>
      </c>
      <c r="DB24" s="18">
        <f>IF($D24=0,"DNP",SUMIFS(OPPS_GbG[FTA_1],OPPS_GbG[[TM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2.1111111111111112</v>
      </c>
      <c r="DC24" s="18">
        <f>IF($D24=0,"DNP",SUMIFS(OPPS_GbG[FTM_2],OPPS_GbG[[TM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13.333333333333334</v>
      </c>
      <c r="DD24" s="18">
        <f>IF($D24=0,"DNP",SUMIFS(OPPS_GbG[FTA_2],OPPS_GbG[[TM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18.222222222222221</v>
      </c>
      <c r="DE24" s="18">
        <f>IF($D24=0,"DNP",SUMIFS(OPPS_GbG[FT 0/2],OPPS_GbG[[TM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0.88888888888888884</v>
      </c>
      <c r="DF24" s="18">
        <f>IF($D24=0,"DNP",SUMIFS(OPPS_GbG[FTM_3],OPPS_GbG[[TM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0.55555555555555558</v>
      </c>
      <c r="DG24" s="18">
        <f>IF($D24=0,"DNP",SUMIFS(OPPS_GbG[FTA_3],OPPS_GbG[[TM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0.66666666666666663</v>
      </c>
      <c r="DH24" s="18">
        <f>IF($D24=0,"DNP",SUMIFS(OPPS_GbG[FT 0/3],OPPS_GbG[[TM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DI24" s="18">
        <f>IF($D24=0,"DNP",SUMIFS(OPPS_GbG[RIM_M],OPPS_GbG[[TM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6.7777777777777777</v>
      </c>
      <c r="DJ24" s="18">
        <f>IF($D24=0,"DNP",SUMIFS(OPPS_GbG[RIM_A],OPPS_GbG[[TM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9.4444444444444446</v>
      </c>
      <c r="DK24" s="18">
        <f>IF($D24=0,"DNP",SUMIFS(OPPS_GbG[PAINT_M],OPPS_GbG[[TM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10.555555555555555</v>
      </c>
      <c r="DL24" s="18">
        <f>IF($D24=0,"DNP",SUMIFS(OPPS_GbG[PAINT_A],OPPS_GbG[[TM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21.444444444444443</v>
      </c>
      <c r="DM24" s="18">
        <f>IF($D24=0,"DNP",SUMIFS(OPPS_GbG[MID_M],OPPS_GbG[[TM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2.2222222222222223</v>
      </c>
      <c r="DN24" s="18">
        <f>IF($D24=0,"DNP",SUMIFS(OPPS_GbG[MID_A],OPPS_GbG[[TM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6.333333333333333</v>
      </c>
      <c r="DO24" s="18">
        <f>IF($D24=0,"DNP",SUMIFS(OPPS_GbG[3C_M],OPPS_GbG[[TM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</v>
      </c>
      <c r="DP24" s="18">
        <f>IF($D24=0,"DNP",SUMIFS(OPPS_GbG[3C_A],OPPS_GbG[[TM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1.4444444444444444</v>
      </c>
      <c r="DQ24" s="18">
        <f>IF($D24=0,"DNP",SUMIFS(OPPS_GbG[3L_M],OPPS_GbG[[TM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7.666666666666667</v>
      </c>
      <c r="DR24" s="18">
        <f>IF($D24=0,"DNP",SUMIFS(OPPS_GbG[3L_A],OPPS_GbG[[TM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21.111111111111111</v>
      </c>
      <c r="DS24" s="18">
        <f>IF($D24=0,"DNP",SUMIFS(OPPS_GbG[3H_M],OPPS_GbG[[TM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DT24" s="18">
        <f>IF($D24=0,"DNP",SUMIFS(OPPS_GbG[3H_A],OPPS_GbG[[TM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DU24" s="18">
        <f>IF($D24=0,"DNP",SUMIFS(OPPS_GbG[OPP PTS],OPPS_GbG[[TM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83.333333333333329</v>
      </c>
      <c r="DV24" s="18">
        <f>IF($D24=0,"DNP",SUMIFS(OPPS_GbG[OPP 2PTM],OPPS_GbG[[TM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20.888888888888889</v>
      </c>
      <c r="DW24" s="18">
        <f>IF($D24=0,"DNP",SUMIFS(OPPS_GbG[OPP 2PTA],OPPS_GbG[[TM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36</v>
      </c>
      <c r="DX24" s="16">
        <f t="shared" ref="DX24:DX25" si="52">IF($D24=0,"DNP",IF(DW24=0,"-",DV24/DW24))</f>
        <v>0.58024691358024694</v>
      </c>
      <c r="DY24" s="18">
        <f>IF($D24=0,"DNP",SUMIFS(OPPS_GbG[OPP 3PTM],OPPS_GbG[[TM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9.8888888888888893</v>
      </c>
      <c r="DZ24" s="18">
        <f>IF($D24=0,"DNP",SUMIFS(OPPS_GbG[OPP 3PTA],OPPS_GbG[[TM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25.888888888888889</v>
      </c>
      <c r="EA24" s="16">
        <f t="shared" ref="EA24:EA25" si="53">IF($D24=0,"DNP",IF(DZ24=0,"-",DY24/DZ24))</f>
        <v>0.38197424892703863</v>
      </c>
      <c r="EB24" s="18">
        <f>IF($D24=0,"DNP",SUMIFS(OPPS_GbG[OPP FGM],OPPS_GbG[[TM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30.777777777777779</v>
      </c>
      <c r="EC24" s="18">
        <f>IF($D24=0,"DNP",SUMIFS(OPPS_GbG[OPP FGA],OPPS_GbG[[TM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61.888888888888886</v>
      </c>
      <c r="ED24" s="16">
        <f t="shared" ref="ED24:ED25" si="54">IF($D24=0,"DNP",IF(EC24=0,"-",EB24/EC24))</f>
        <v>0.49730700179533216</v>
      </c>
      <c r="EE24" s="18">
        <f>IF($D24=0,"DNP",SUMIFS(OPPS_GbG[OPP FTM],OPPS_GbG[[TM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11.888888888888889</v>
      </c>
      <c r="EF24" s="18">
        <f>IF($D24=0,"DNP",SUMIFS(OPPS_GbG[OPP FTA],OPPS_GbG[[TM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15.666666666666666</v>
      </c>
      <c r="EG24" s="16">
        <f t="shared" ref="EG24:EG25" si="55">IF($D24=0,"DNP",IF(EF24=0,"-",EE24/EF24))</f>
        <v>0.75886524822695045</v>
      </c>
      <c r="EH24" s="18">
        <f>IF($D24=0,"DNP",SUMIFS(OPPS_GbG[OPP OR],OPPS_GbG[[TM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9.5555555555555554</v>
      </c>
      <c r="EI24" s="18">
        <f>IF($D24=0,"DNP",SUMIFS(OPPS_GbG[OPP DR],OPPS_GbG[[TM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22.888888888888889</v>
      </c>
      <c r="EJ24" s="18">
        <f>IF($D24=0,"DNP",SUMIFS(OPPS_GbG[OPP TR],OPPS_GbG[[TM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32.444444444444443</v>
      </c>
      <c r="EK24" s="18">
        <f>IF($D24=0,"DNP",SUMIFS(OPPS_GbG[OPP AST],OPPS_GbG[[TM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19.777777777777779</v>
      </c>
      <c r="EL24" s="18">
        <f>IF($D24=0,"DNP",SUMIFS(OPPS_GbG[OPP PF],OPPS_GbG[[TM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22</v>
      </c>
      <c r="EM24" s="18">
        <f>IF($D24=0,"DNP",SUMIFS(OPPS_GbG[OPP DF],OPPS_GbG[[TM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18.555555555555557</v>
      </c>
      <c r="EN24" s="18">
        <f>IF($D24=0,"DNP",SUMIFS(OPPS_GbG[OPP ST],OPPS_GbG[[TM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6.1111111111111107</v>
      </c>
      <c r="EO24" s="18">
        <f>IF($D24=0,"DNP",SUMIFS(OPPS_GbG[OPP TO],OPPS_GbG[[TM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12.888888888888889</v>
      </c>
      <c r="EP24" s="18">
        <f>IF($D24=0,"DNP",SUMIFS(OPPS_GbG[OPP BLK],OPPS_GbG[[TM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2.7777777777777777</v>
      </c>
      <c r="EQ24" s="18">
        <f>IF($D24=0,"DNP",SUMIFS(OPPS_GbG[OPP BLKA],OPPS_GbG[[TM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ER24" s="18">
        <f>IF($D24=0,"DNP",SUMIFS(OPPS_GbG[OPP VAL],OPPS_GbG[[TM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91.555555555555557</v>
      </c>
      <c r="ES24" s="18">
        <f>IF($D24=0,"DNP",SUMIFS(OPPS_GbG[OPP + / -],OPPS_GbG[[TM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2.2222222222222223</v>
      </c>
      <c r="ET24" s="18">
        <f>IF($D24=0,"DNP",SUMIFS(OPPS_GbG[OPP POSS],OPPS_GbG[[TM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71.333333333333329</v>
      </c>
      <c r="EU24" s="18">
        <f>IF($D24=0,"DNP",SUMIFS(OPPS_GbG[OPP SHOOTING CHANCES],OPPS_GbG[[TM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80.888888888888886</v>
      </c>
      <c r="EV24" s="18">
        <f>IF($D24=0,"DNP",SUMIFS(OPPS_GbG[OPP KILLS],OPPS_GbG[[TM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4.333333333333333</v>
      </c>
      <c r="EW24" s="18">
        <f>IF($D24=0,"DNP",SUMIFS(OPPS_GbG[OPP ASTED_2FG],OPPS_GbG[[TM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10.222222222222221</v>
      </c>
      <c r="EX24" s="18">
        <f>IF($D24=0,"DNP",SUMIFS(OPPS_GbG[OPP ASTED_3FG],OPPS_GbG[[TM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8.1111111111111107</v>
      </c>
      <c r="EY24" s="18">
        <f>IF($D24=0,"DNP",SUMIFS(OPPS_GbG[OPP ASTED_FT],OPPS_GbG[[TM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1.4444444444444444</v>
      </c>
      <c r="EZ24" s="18">
        <f>IF($D24=0,"DNP",SUMIFS(OPPS_GbG[OPP ASTED_FT PTS],OPPS_GbG[[TM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2.3333333333333335</v>
      </c>
      <c r="FA24" s="18">
        <f>IF($D24=0,"DNP",SUMIFS(OPPS_GbG[OPP OR_RIM],OPPS_GbG[[TM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FB24" s="18">
        <f>IF($D24=0,"DNP",SUMIFS(OPPS_GbG[OPP TM OR_RIM],OPPS_GbG[[TM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FC24" s="18">
        <f>IF($D24=0,"DNP",SUMIFS(OPPS_GbG[OPP OR_PAINT],OPPS_GbG[[TM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2.6666666666666665</v>
      </c>
      <c r="FD24" s="18">
        <f>IF($D24=0,"DNP",SUMIFS(OPPS_GbG[OPP TM OR_PAINT],OPPS_GbG[[TM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FE24" s="18">
        <f>IF($D24=0,"DNP",SUMIFS(OPPS_GbG[OPP OR_NP2],OPPS_GbG[[TM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1.1111111111111112</v>
      </c>
      <c r="FF24" s="18">
        <f>IF($D24=0,"DNP",SUMIFS(OPPS_GbG[OPP TM OR_NP2],OPPS_GbG[[TM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FG24" s="18">
        <f>IF($D24=0,"DNP",SUMIFS(OPPS_GbG[OPP OR_3C],OPPS_GbG[[TM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FH24" s="18">
        <f>IF($D24=0,"DNP",SUMIFS(OPPS_GbG[OPP TM OR_3C],OPPS_GbG[[TM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FI24" s="18">
        <f>IF($D24=0,"DNP",SUMIFS(OPPS_GbG[OPP OR_3L],OPPS_GbG[[TM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4.8888888888888893</v>
      </c>
      <c r="FJ24" s="18">
        <f>IF($D24=0,"DNP",SUMIFS(OPPS_GbG[OPP TM OR_3L],OPPS_GbG[[TM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FK24" s="18">
        <f>IF($D24=0,"DNP",SUMIFS(OPPS_GbG[OPP OR_FT],OPPS_GbG[[TM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FL24" s="18">
        <f>IF($D24=0,"DNP",SUMIFS(OPPS_GbG[OPP TM OR_FT],OPPS_GbG[[TM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FM24" s="18">
        <f>IF($D24=0,"DNP",SUMIFS(OPPS_GbG[OPP DR_RIM],OPPS_GbG[[TM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1.2222222222222223</v>
      </c>
      <c r="FN24" s="18">
        <f>IF($D24=0,"DNP",SUMIFS(OPPS_GbG[OPP TM DR_RIM],OPPS_GbG[[TM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FO24" s="18">
        <f>IF($D24=0,"DNP",SUMIFS(OPPS_GbG[OPP DR_PAINT],OPPS_GbG[[TM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7.333333333333333</v>
      </c>
      <c r="FP24" s="18">
        <f>IF($D24=0,"DNP",SUMIFS(OPPS_GbG[OPP TM DR_PAINT],OPPS_GbG[[TM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0.55555555555555558</v>
      </c>
      <c r="FQ24" s="18">
        <f>IF($D24=0,"DNP",SUMIFS(OPPS_GbG[OPP DR_NP2],OPPS_GbG[[TM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3</v>
      </c>
      <c r="FR24" s="18">
        <f>IF($D24=0,"DNP",SUMIFS(OPPS_GbG[OPP TM DR_NP2],OPPS_GbG[[TM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0.33333333333333331</v>
      </c>
      <c r="FS24" s="18">
        <f>IF($D24=0,"DNP",SUMIFS(OPPS_GbG[OPP DR_3C],OPPS_GbG[[TM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FT24" s="18">
        <f>IF($D24=0,"DNP",SUMIFS(OPPS_GbG[OPP TM DR_3C],OPPS_GbG[[TM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FU24" s="18">
        <f>IF($D24=0,"DNP",SUMIFS(OPPS_GbG[OPP DR_3L],OPPS_GbG[[TM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9.2222222222222214</v>
      </c>
      <c r="FV24" s="18">
        <f>IF($D24=0,"DNP",SUMIFS(OPPS_GbG[OPP TM DR_3L],OPPS_GbG[[TM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0.88888888888888884</v>
      </c>
      <c r="FW24" s="18">
        <f>IF($D24=0,"DNP",SUMIFS(OPPS_GbG[OPP DR_FT],OPPS_GbG[[TM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FX24" s="18">
        <f>IF($D24=0,"DNP",SUMIFS(OPPS_GbG[OPP TM DR_FT],OPPS_GbG[[TM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0.1111111111111111</v>
      </c>
      <c r="FY24" s="18">
        <f>IF($D24=0,"DNP",SUMIFS(OPPS_GbG[OPP FTM_T],OPPS_GbG[[TM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FZ24" s="18">
        <f>IF($D24=0,"DNP",SUMIFS(OPPS_GbG[OPP FTA_T],OPPS_GbG[[TM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0.44444444444444442</v>
      </c>
      <c r="GA24" s="18">
        <f>IF($D24=0,"DNP",SUMIFS(OPPS_GbG[OPP FTM_1],OPPS_GbG[[TM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1.4444444444444444</v>
      </c>
      <c r="GB24" s="18">
        <f>IF($D24=0,"DNP",SUMIFS(OPPS_GbG[OPP FTA_1],OPPS_GbG[[TM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2.2222222222222223</v>
      </c>
      <c r="GC24" s="18">
        <f>IF($D24=0,"DNP",SUMIFS(OPPS_GbG[OPP FTM_2],OPPS_GbG[[TM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8.3333333333333339</v>
      </c>
      <c r="GD24" s="18">
        <f>IF($D24=0,"DNP",SUMIFS(OPPS_GbG[OPP FTA_2],OPPS_GbG[[TM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10.888888888888889</v>
      </c>
      <c r="GE24" s="18">
        <f>IF($D24=0,"DNP",SUMIFS(OPPS_GbG[OPP FT 0/2],OPPS_GbG[[TM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GF24" s="18">
        <f>IF($D24=0,"DNP",SUMIFS(OPPS_GbG[OPP FTM_3],OPPS_GbG[[TM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1.6666666666666667</v>
      </c>
      <c r="GG24" s="18">
        <f>IF($D24=0,"DNP",SUMIFS(OPPS_GbG[OPP FTA_3],OPPS_GbG[[TM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</v>
      </c>
      <c r="GH24" s="18">
        <f>IF($D24=0,"DNP",SUMIFS(OPPS_GbG[OPP FT 0/3],OPPS_GbG[[TM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GI24" s="18">
        <f>IF($D24=0,"DNP",SUMIFS(OPPS_GbG[OPP RIM_M],OPPS_GbG[[TM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8.1111111111111107</v>
      </c>
      <c r="GJ24" s="18">
        <f>IF($D24=0,"DNP",SUMIFS(OPPS_GbG[OPP RIM_A],OPPS_GbG[[TM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9.4444444444444446</v>
      </c>
      <c r="GK24" s="18">
        <f>IF($D24=0,"DNP",SUMIFS(OPPS_GbG[OPP PAINT_M],OPPS_GbG[[TM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10.333333333333334</v>
      </c>
      <c r="GL24" s="18">
        <f>IF($D24=0,"DNP",SUMIFS(OPPS_GbG[OPP PAINT_A],OPPS_GbG[[TM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19.666666666666668</v>
      </c>
      <c r="GM24" s="18">
        <f>IF($D24=0,"DNP",SUMIFS(OPPS_GbG[OPP MID_M],OPPS_GbG[[TM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2.4444444444444446</v>
      </c>
      <c r="GN24" s="18">
        <f>IF($D24=0,"DNP",SUMIFS(OPPS_GbG[OPP MID_A],OPPS_GbG[[TM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6.8888888888888893</v>
      </c>
      <c r="GO24" s="18">
        <f>IF($D24=0,"DNP",SUMIFS(OPPS_GbG[OPP 3C_M],OPPS_GbG[[TM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  <c r="GP24" s="18">
        <f>IF($D24=0,"DNP",SUMIFS(OPPS_GbG[OPP 3C_A],OPPS_GbG[[TM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1</v>
      </c>
      <c r="GQ24" s="18">
        <f>IF($D24=0,"DNP",SUMIFS(OPPS_GbG[OPP 3L_M],OPPS_GbG[[TM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9.6666666666666661</v>
      </c>
      <c r="GR24" s="18">
        <f>IF($D24=0,"DNP",SUMIFS(OPPS_GbG[OPP 3L_A],OPPS_GbG[[TM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24.666666666666668</v>
      </c>
      <c r="GS24" s="18">
        <f>IF($D24=0,"DNP",SUMIFS(OPPS_GbG[OPP 3H_M],OPPS_GbG[[TM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</v>
      </c>
      <c r="GT24" s="18">
        <f>IF($D24=0,"DNP",SUMIFS(OPPS_GbG[OPP 3H_A],OPPS_GbG[[TM NAME]:[TM NAME]],$C24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GAMES","&lt;1000",IF($F$3=BASIS_INFO!$T$3,"&lt;"&amp;BASIS_INFO!$B$11,IF($F$3=BASIS_INFO!$T$4,"&lt;"&amp;BASIS_INFO!$B$12,IF($F$3=BASIS_INFO!$T$5,"&lt;"&amp;BASIS_INFO!$B$13,IF($F$3=BASIS_INFO!$T$6,"&lt;"&amp;BASIS_INFO!$B$14))))))/IF($D$3="TOTAL",1,$D24))</f>
        <v>0.22222222222222221</v>
      </c>
    </row>
    <row r="25" spans="2:202" ht="15" customHeight="1" x14ac:dyDescent="0.25">
      <c r="B25" s="12">
        <f>_xlfn.AGGREGATE(3,5,$C$7:C24)</f>
        <v>18</v>
      </c>
      <c r="C25" s="14" t="str">
        <f>BASIS_INFO!F20</f>
        <v>Zalgiris Kaunas</v>
      </c>
      <c r="D25" s="20">
        <f>COUNTIFS(OPPS_GbG[[TM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9</v>
      </c>
      <c r="E25" s="20">
        <f>COUNTIFS(OPPS_GbG[[TM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4</v>
      </c>
      <c r="F25" s="20">
        <f>COUNTIFS(OPPS_GbG[[TM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5</v>
      </c>
      <c r="G25" s="18">
        <f>IF($D25=0,"DNP",SUMIFS(OPPS_GbG[MIN],OPPS_GbG[[TM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202.77777777777777</v>
      </c>
      <c r="H25" s="18">
        <f>IF($D25=0,"DNP",SUMIFS(OPPS_GbG[PTS],OPPS_GbG[[TM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82</v>
      </c>
      <c r="I25" s="18">
        <f>IF($D25=0,"DNP",SUMIFS(OPPS_GbG[2PTM],OPPS_GbG[[TM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21.444444444444443</v>
      </c>
      <c r="J25" s="18">
        <f>IF($D25=0,"DNP",SUMIFS(OPPS_GbG[2PTA],OPPS_GbG[[TM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39.111111111111114</v>
      </c>
      <c r="K25" s="16">
        <f t="shared" si="47"/>
        <v>0.54829545454545447</v>
      </c>
      <c r="L25" s="18">
        <f>IF($D25=0,"DNP",SUMIFS(OPPS_GbG[3PTM],OPPS_GbG[[TM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8.5555555555555554</v>
      </c>
      <c r="M25" s="18">
        <f>IF($D25=0,"DNP",SUMIFS(OPPS_GbG[3PTA],OPPS_GbG[[TM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23.222222222222221</v>
      </c>
      <c r="N25" s="16">
        <f t="shared" si="48"/>
        <v>0.36842105263157893</v>
      </c>
      <c r="O25" s="18">
        <f>IF($D25=0,"DNP",SUMIFS(OPPS_GbG[FGM],OPPS_GbG[[TM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30</v>
      </c>
      <c r="P25" s="18">
        <f>IF($D25=0,"DNP",SUMIFS(OPPS_GbG[FGA],OPPS_GbG[[TM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62.333333333333336</v>
      </c>
      <c r="Q25" s="16">
        <f t="shared" si="49"/>
        <v>0.48128342245989303</v>
      </c>
      <c r="R25" s="18">
        <f>IF($D25=0,"DNP",SUMIFS(OPPS_GbG[FTM],OPPS_GbG[[TM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13.444444444444445</v>
      </c>
      <c r="S25" s="18">
        <f>IF($D25=0,"DNP",SUMIFS(OPPS_GbG[FTA],OPPS_GbG[[TM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17.666666666666668</v>
      </c>
      <c r="T25" s="16">
        <f t="shared" si="50"/>
        <v>0.76100628930817604</v>
      </c>
      <c r="U25" s="18">
        <f>IF($D25=0,"DNP",SUMIFS(OPPS_GbG[OR],OPPS_GbG[[TM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</v>
      </c>
      <c r="V25" s="18">
        <f>IF($D25=0,"DNP",SUMIFS(OPPS_GbG[DR],OPPS_GbG[[TM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23.333333333333332</v>
      </c>
      <c r="W25" s="18">
        <f>IF($D25=0,"DNP",SUMIFS(OPPS_GbG[TR],OPPS_GbG[[TM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33.333333333333336</v>
      </c>
      <c r="X25" s="18">
        <f>IF($D25=0,"DNP",SUMIFS(OPPS_GbG[AST],OPPS_GbG[[TM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17.777777777777779</v>
      </c>
      <c r="Y25" s="18">
        <f>IF($D25=0,"DNP",SUMIFS(OPPS_GbG[TO],OPPS_GbG[[TM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11.222222222222221</v>
      </c>
      <c r="Z25" s="18">
        <f>IF($D25=0,"DNP",SUMIFS(OPPS_GbG[ST],OPPS_GbG[[TM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6.1111111111111107</v>
      </c>
      <c r="AA25" s="18">
        <f>IF($D25=0,"DNP",SUMIFS(OPPS_GbG[BLK],OPPS_GbG[[TM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AB25" s="18">
        <f>IF($D25=0,"DNP",SUMIFS(OPPS_GbG[BLKA],OPPS_GbG[[TM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2.1111111111111112</v>
      </c>
      <c r="AC25" s="18">
        <f>IF($D25=0,"DNP",SUMIFS(OPPS_GbG[PF],OPPS_GbG[[TM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17.777777777777779</v>
      </c>
      <c r="AD25" s="18">
        <f>IF($D25=0,"DNP",SUMIFS(OPPS_GbG[DF],OPPS_GbG[[TM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20.555555555555557</v>
      </c>
      <c r="AE25" s="18">
        <f>IF($D25=0,"DNP",SUMIFS(OPPS_GbG[VAL],OPPS_GbG[[TM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95</v>
      </c>
      <c r="AF25" s="18">
        <f>IF($D25=0,"DNP",SUMIFS(OPPS_GbG[+ / -],OPPS_GbG[[TM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AG25" s="26">
        <f t="shared" si="0"/>
        <v>70.027397260273972</v>
      </c>
      <c r="AH25" s="18">
        <f>IF($D25=0,"DNP",SUMIFS(OPPS_GbG[POSS],OPPS_GbG[[TM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71</v>
      </c>
      <c r="AI25" s="18">
        <f>IF($D25=0,"DNP",SUMIFS(OPPS_GbG[SHOOTING CHANCES],OPPS_GbG[[TM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81.111111111111114</v>
      </c>
      <c r="AJ25" s="19">
        <f t="shared" si="1"/>
        <v>1.010958904109589</v>
      </c>
      <c r="AK25" s="19">
        <f t="shared" si="2"/>
        <v>1.0125523012552302</v>
      </c>
      <c r="AL25" s="18">
        <f t="shared" si="3"/>
        <v>115.49295774647888</v>
      </c>
      <c r="AM25" s="18">
        <f t="shared" si="4"/>
        <v>113.97174254317113</v>
      </c>
      <c r="AN25" s="18">
        <f t="shared" si="51"/>
        <v>1.5212152033077473</v>
      </c>
      <c r="AO25" s="27">
        <f t="shared" si="5"/>
        <v>0.54991087344028511</v>
      </c>
      <c r="AP25" s="28">
        <f t="shared" si="6"/>
        <v>0.58664546899841019</v>
      </c>
      <c r="AQ25" s="34">
        <f t="shared" si="7"/>
        <v>0.16027397260273971</v>
      </c>
      <c r="AR25" s="38">
        <f t="shared" si="8"/>
        <v>1.6239316239316239</v>
      </c>
      <c r="AS25" s="27">
        <f t="shared" si="9"/>
        <v>0.21369863013698628</v>
      </c>
      <c r="AT25" s="38">
        <f t="shared" si="10"/>
        <v>0.85897435897435903</v>
      </c>
      <c r="AU25" s="27">
        <f t="shared" si="11"/>
        <v>0.10821917808219178</v>
      </c>
      <c r="AV25" s="38">
        <f t="shared" si="12"/>
        <v>0.78481012658227844</v>
      </c>
      <c r="AW25" s="27">
        <f t="shared" si="13"/>
        <v>3.972602739726027E-2</v>
      </c>
      <c r="AX25" s="38">
        <f t="shared" si="14"/>
        <v>1.0344827586206897</v>
      </c>
      <c r="AY25" s="27">
        <f t="shared" si="15"/>
        <v>0.24520547945205479</v>
      </c>
      <c r="AZ25" s="38">
        <f t="shared" si="16"/>
        <v>1.1229050279329611</v>
      </c>
      <c r="BA25" s="28">
        <f t="shared" si="17"/>
        <v>9.3150684931506841E-2</v>
      </c>
      <c r="BB25" s="34">
        <f t="shared" si="18"/>
        <v>0.13854595336076816</v>
      </c>
      <c r="BC25" s="27">
        <f t="shared" si="19"/>
        <v>0.47761194029850751</v>
      </c>
      <c r="BD25" s="27">
        <f t="shared" si="20"/>
        <v>0.45595854922279799</v>
      </c>
      <c r="BE25" s="27">
        <f t="shared" si="21"/>
        <v>0.75324675324675328</v>
      </c>
      <c r="BF25" s="27">
        <f t="shared" si="22"/>
        <v>0.2153846153846154</v>
      </c>
      <c r="BG25" s="27">
        <f t="shared" si="23"/>
        <v>0.21947873799725653</v>
      </c>
      <c r="BH25" s="35">
        <f t="shared" si="24"/>
        <v>1.5841584158415842</v>
      </c>
      <c r="BI25" s="34">
        <f t="shared" si="25"/>
        <v>0.29801324503311255</v>
      </c>
      <c r="BJ25" s="27">
        <f t="shared" si="26"/>
        <v>0.33333333333333337</v>
      </c>
      <c r="BK25" s="27">
        <f t="shared" si="27"/>
        <v>0.36170212765957449</v>
      </c>
      <c r="BL25" s="27">
        <f t="shared" si="28"/>
        <v>0.19047619047619049</v>
      </c>
      <c r="BM25" s="27">
        <f t="shared" si="29"/>
        <v>0.72664359861591687</v>
      </c>
      <c r="BN25" s="27">
        <f t="shared" si="30"/>
        <v>0.72619047619047628</v>
      </c>
      <c r="BO25" s="27">
        <f t="shared" si="31"/>
        <v>0.71641791044776115</v>
      </c>
      <c r="BP25" s="27">
        <f t="shared" si="32"/>
        <v>0.54545454545454541</v>
      </c>
      <c r="BQ25" s="28">
        <f t="shared" si="33"/>
        <v>0.50761421319796951</v>
      </c>
      <c r="BR25" s="34">
        <f t="shared" si="34"/>
        <v>8.6342229199372053E-2</v>
      </c>
      <c r="BS25" s="27">
        <f t="shared" si="35"/>
        <v>4.6762589928057555E-2</v>
      </c>
      <c r="BT25" s="39">
        <f>IF($D25=0,"DNP",SUMIFS(OPPS_GbG[KILLS],OPPS_GbG[[TM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4.5555555555555554</v>
      </c>
      <c r="BU25" s="34">
        <f t="shared" si="36"/>
        <v>0.41874999999999996</v>
      </c>
      <c r="BV25" s="28">
        <f t="shared" si="37"/>
        <v>0.45405405405405402</v>
      </c>
      <c r="BW25" s="18">
        <f>IF($D25=0,"DNP",SUMIFS(OPPS_GbG[ASTED_2FG],OPPS_GbG[[TM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9.7777777777777786</v>
      </c>
      <c r="BX25" s="18">
        <f>IF($D25=0,"DNP",SUMIFS(OPPS_GbG[ASTED_3FG],OPPS_GbG[[TM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6.4444444444444446</v>
      </c>
      <c r="BY25" s="18">
        <f>IF($D25=0,"DNP",SUMIFS(OPPS_GbG[ASTED_FT],OPPS_GbG[[TM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1.5555555555555556</v>
      </c>
      <c r="BZ25" s="18">
        <f>IF($D25=0,"DNP",SUMIFS(OPPS_GbG[ASTED_FT PTS],OPPS_GbG[[TM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2.5555555555555554</v>
      </c>
      <c r="CA25" s="18">
        <f>IF($D25=0,"DNP",SUMIFS(OPPS_GbG[OR_RIM],OPPS_GbG[[TM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1.1111111111111112</v>
      </c>
      <c r="CB25" s="18">
        <f>IF($D25=0,"DNP",SUMIFS(OPPS_GbG[TM OR_RIM],OPPS_GbG[[TM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0.55555555555555558</v>
      </c>
      <c r="CC25" s="18">
        <f>IF($D25=0,"DNP",SUMIFS(OPPS_GbG[OR_PAINT],OPPS_GbG[[TM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CD25" s="18">
        <f>IF($D25=0,"DNP",SUMIFS(OPPS_GbG[TM OR_PAINT],OPPS_GbG[[TM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CE25" s="18">
        <f>IF($D25=0,"DNP",SUMIFS(OPPS_GbG[OR_NP2],OPPS_GbG[[TM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</v>
      </c>
      <c r="CF25" s="18">
        <f>IF($D25=0,"DNP",SUMIFS(OPPS_GbG[TM OR_NP2],OPPS_GbG[[TM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CG25" s="18">
        <f>IF($D25=0,"DNP",SUMIFS(OPPS_GbG[OR_3C],OPPS_GbG[[TM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0.77777777777777779</v>
      </c>
      <c r="CH25" s="18">
        <f>IF($D25=0,"DNP",SUMIFS(OPPS_GbG[TM OR_3C],OPPS_GbG[[TM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CI25" s="18">
        <f>IF($D25=0,"DNP",SUMIFS(OPPS_GbG[OR_3L],OPPS_GbG[[TM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3.8888888888888888</v>
      </c>
      <c r="CJ25" s="18">
        <f>IF($D25=0,"DNP",SUMIFS(OPPS_GbG[TM OR_3L],OPPS_GbG[[TM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0.77777777777777779</v>
      </c>
      <c r="CK25" s="18">
        <f>IF($D25=0,"DNP",SUMIFS(OPPS_GbG[OR_FT],OPPS_GbG[[TM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CL25" s="18">
        <f>IF($D25=0,"DNP",SUMIFS(OPPS_GbG[TM OR_FT],OPPS_GbG[[TM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CM25" s="18">
        <f>IF($D25=0,"DNP",SUMIFS(OPPS_GbG[DR_RIM],OPPS_GbG[[TM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CN25" s="18">
        <f>IF($D25=0,"DNP",SUMIFS(OPPS_GbG[TM DR_RIM],OPPS_GbG[[TM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CO25" s="18">
        <f>IF($D25=0,"DNP",SUMIFS(OPPS_GbG[DR_PAINT],OPPS_GbG[[TM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8.3333333333333339</v>
      </c>
      <c r="CP25" s="18">
        <f>IF($D25=0,"DNP",SUMIFS(OPPS_GbG[TM DR_PAINT],OPPS_GbG[[TM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CQ25" s="18">
        <f>IF($D25=0,"DNP",SUMIFS(OPPS_GbG[DR_NP2],OPPS_GbG[[TM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</v>
      </c>
      <c r="CR25" s="18">
        <f>IF($D25=0,"DNP",SUMIFS(OPPS_GbG[TM DR_NP2],OPPS_GbG[[TM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CS25" s="18">
        <f>IF($D25=0,"DNP",SUMIFS(OPPS_GbG[DR_3C],OPPS_GbG[[TM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0.77777777777777779</v>
      </c>
      <c r="CT25" s="18">
        <f>IF($D25=0,"DNP",SUMIFS(OPPS_GbG[TM DR_3C],OPPS_GbG[[TM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CU25" s="18">
        <f>IF($D25=0,"DNP",SUMIFS(OPPS_GbG[DR_3L],OPPS_GbG[[TM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9.1111111111111107</v>
      </c>
      <c r="CV25" s="18">
        <f>IF($D25=0,"DNP",SUMIFS(OPPS_GbG[TM DR_3L],OPPS_GbG[[TM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0.77777777777777779</v>
      </c>
      <c r="CW25" s="18">
        <f>IF($D25=0,"DNP",SUMIFS(OPPS_GbG[DR_FT],OPPS_GbG[[TM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CX25" s="18">
        <f>IF($D25=0,"DNP",SUMIFS(OPPS_GbG[TM DR_FT],OPPS_GbG[[TM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CY25" s="18">
        <f>IF($D25=0,"DNP",SUMIFS(OPPS_GbG[FTM_T],OPPS_GbG[[TM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CZ25" s="18">
        <f>IF($D25=0,"DNP",SUMIFS(OPPS_GbG[FTA_T],OPPS_GbG[[TM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DA25" s="18">
        <f>IF($D25=0,"DNP",SUMIFS(OPPS_GbG[FTM_1],OPPS_GbG[[TM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1.2222222222222223</v>
      </c>
      <c r="DB25" s="18">
        <f>IF($D25=0,"DNP",SUMIFS(OPPS_GbG[FTA_1],OPPS_GbG[[TM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1.7777777777777777</v>
      </c>
      <c r="DC25" s="18">
        <f>IF($D25=0,"DNP",SUMIFS(OPPS_GbG[FTM_2],OPPS_GbG[[TM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10.666666666666666</v>
      </c>
      <c r="DD25" s="18">
        <f>IF($D25=0,"DNP",SUMIFS(OPPS_GbG[FTA_2],OPPS_GbG[[TM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14.222222222222221</v>
      </c>
      <c r="DE25" s="18">
        <f>IF($D25=0,"DNP",SUMIFS(OPPS_GbG[FT 0/2],OPPS_GbG[[TM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DF25" s="18">
        <f>IF($D25=0,"DNP",SUMIFS(OPPS_GbG[FTM_3],OPPS_GbG[[TM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DG25" s="18">
        <f>IF($D25=0,"DNP",SUMIFS(OPPS_GbG[FTA_3],OPPS_GbG[[TM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DH25" s="18">
        <f>IF($D25=0,"DNP",SUMIFS(OPPS_GbG[FT 0/3],OPPS_GbG[[TM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DI25" s="18">
        <f>IF($D25=0,"DNP",SUMIFS(OPPS_GbG[RIM_M],OPPS_GbG[[TM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10.555555555555555</v>
      </c>
      <c r="DJ25" s="18">
        <f>IF($D25=0,"DNP",SUMIFS(OPPS_GbG[RIM_A],OPPS_GbG[[TM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13</v>
      </c>
      <c r="DK25" s="18">
        <f>IF($D25=0,"DNP",SUMIFS(OPPS_GbG[PAINT_M],OPPS_GbG[[TM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7.4444444444444446</v>
      </c>
      <c r="DL25" s="18">
        <f>IF($D25=0,"DNP",SUMIFS(OPPS_GbG[PAINT_A],OPPS_GbG[[TM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17.333333333333332</v>
      </c>
      <c r="DM25" s="18">
        <f>IF($D25=0,"DNP",SUMIFS(OPPS_GbG[MID_M],OPPS_GbG[[TM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3.4444444444444446</v>
      </c>
      <c r="DN25" s="18">
        <f>IF($D25=0,"DNP",SUMIFS(OPPS_GbG[MID_A],OPPS_GbG[[TM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8.7777777777777786</v>
      </c>
      <c r="DO25" s="18">
        <f>IF($D25=0,"DNP",SUMIFS(OPPS_GbG[3C_M],OPPS_GbG[[TM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1.1111111111111112</v>
      </c>
      <c r="DP25" s="18">
        <f>IF($D25=0,"DNP",SUMIFS(OPPS_GbG[3C_A],OPPS_GbG[[TM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3.2222222222222223</v>
      </c>
      <c r="DQ25" s="18">
        <f>IF($D25=0,"DNP",SUMIFS(OPPS_GbG[3L_M],OPPS_GbG[[TM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7.4444444444444446</v>
      </c>
      <c r="DR25" s="18">
        <f>IF($D25=0,"DNP",SUMIFS(OPPS_GbG[3L_A],OPPS_GbG[[TM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19.888888888888889</v>
      </c>
      <c r="DS25" s="18">
        <f>IF($D25=0,"DNP",SUMIFS(OPPS_GbG[3H_M],OPPS_GbG[[TM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DT25" s="18">
        <f>IF($D25=0,"DNP",SUMIFS(OPPS_GbG[3H_A],OPPS_GbG[[TM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DU25" s="18">
        <f>IF($D25=0,"DNP",SUMIFS(OPPS_GbG[OPP PTS],OPPS_GbG[[TM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80.666666666666671</v>
      </c>
      <c r="DV25" s="18">
        <f>IF($D25=0,"DNP",SUMIFS(OPPS_GbG[OPP 2PTM],OPPS_GbG[[TM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19.222222222222221</v>
      </c>
      <c r="DW25" s="18">
        <f>IF($D25=0,"DNP",SUMIFS(OPPS_GbG[OPP 2PTA],OPPS_GbG[[TM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36.888888888888886</v>
      </c>
      <c r="DX25" s="16">
        <f t="shared" si="52"/>
        <v>0.52108433734939763</v>
      </c>
      <c r="DY25" s="18">
        <f>IF($D25=0,"DNP",SUMIFS(OPPS_GbG[OPP 3PTM],OPPS_GbG[[TM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10.555555555555555</v>
      </c>
      <c r="DZ25" s="18">
        <f>IF($D25=0,"DNP",SUMIFS(OPPS_GbG[OPP 3PTA],OPPS_GbG[[TM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24.888888888888889</v>
      </c>
      <c r="EA25" s="16">
        <f t="shared" si="53"/>
        <v>0.42410714285714285</v>
      </c>
      <c r="EB25" s="18">
        <f>IF($D25=0,"DNP",SUMIFS(OPPS_GbG[OPP FGM],OPPS_GbG[[TM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29.777777777777779</v>
      </c>
      <c r="EC25" s="18">
        <f>IF($D25=0,"DNP",SUMIFS(OPPS_GbG[OPP FGA],OPPS_GbG[[TM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61.777777777777779</v>
      </c>
      <c r="ED25" s="16">
        <f t="shared" si="54"/>
        <v>0.48201438848920863</v>
      </c>
      <c r="EE25" s="18">
        <f>IF($D25=0,"DNP",SUMIFS(OPPS_GbG[OPP FTM],OPPS_GbG[[TM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10.555555555555555</v>
      </c>
      <c r="EF25" s="18">
        <f>IF($D25=0,"DNP",SUMIFS(OPPS_GbG[OPP FTA],OPPS_GbG[[TM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13.555555555555555</v>
      </c>
      <c r="EG25" s="16">
        <f t="shared" si="55"/>
        <v>0.77868852459016391</v>
      </c>
      <c r="EH25" s="18">
        <f>IF($D25=0,"DNP",SUMIFS(OPPS_GbG[OPP OR],OPPS_GbG[[TM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8.7777777777777786</v>
      </c>
      <c r="EI25" s="18">
        <f>IF($D25=0,"DNP",SUMIFS(OPPS_GbG[OPP DR],OPPS_GbG[[TM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23.555555555555557</v>
      </c>
      <c r="EJ25" s="18">
        <f>IF($D25=0,"DNP",SUMIFS(OPPS_GbG[OPP TR],OPPS_GbG[[TM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32.333333333333336</v>
      </c>
      <c r="EK25" s="18">
        <f>IF($D25=0,"DNP",SUMIFS(OPPS_GbG[OPP AST],OPPS_GbG[[TM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15.666666666666666</v>
      </c>
      <c r="EL25" s="18">
        <f>IF($D25=0,"DNP",SUMIFS(OPPS_GbG[OPP PF],OPPS_GbG[[TM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20.777777777777779</v>
      </c>
      <c r="EM25" s="18">
        <f>IF($D25=0,"DNP",SUMIFS(OPPS_GbG[OPP DF],OPPS_GbG[[TM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17.666666666666668</v>
      </c>
      <c r="EN25" s="18">
        <f>IF($D25=0,"DNP",SUMIFS(OPPS_GbG[OPP ST],OPPS_GbG[[TM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5</v>
      </c>
      <c r="EO25" s="18">
        <f>IF($D25=0,"DNP",SUMIFS(OPPS_GbG[OPP TO],OPPS_GbG[[TM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12.333333333333334</v>
      </c>
      <c r="EP25" s="18">
        <f>IF($D25=0,"DNP",SUMIFS(OPPS_GbG[OPP BLK],OPPS_GbG[[TM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2.1111111111111112</v>
      </c>
      <c r="EQ25" s="18">
        <f>IF($D25=0,"DNP",SUMIFS(OPPS_GbG[OPP BLKA],OPPS_GbG[[TM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ER25" s="18">
        <f>IF($D25=0,"DNP",SUMIFS(OPPS_GbG[OPP VAL],OPPS_GbG[[TM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82.444444444444443</v>
      </c>
      <c r="ES25" s="18">
        <f>IF($D25=0,"DNP",SUMIFS(OPPS_GbG[OPP + / -],OPPS_GbG[[TM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-1.3333333333333333</v>
      </c>
      <c r="ET25" s="18">
        <f>IF($D25=0,"DNP",SUMIFS(OPPS_GbG[OPP POSS],OPPS_GbG[[TM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70.777777777777771</v>
      </c>
      <c r="EU25" s="18">
        <f>IF($D25=0,"DNP",SUMIFS(OPPS_GbG[OPP SHOOTING CHANCES],OPPS_GbG[[TM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79.666666666666671</v>
      </c>
      <c r="EV25" s="18">
        <f>IF($D25=0,"DNP",SUMIFS(OPPS_GbG[OPP KILLS],OPPS_GbG[[TM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4.2222222222222223</v>
      </c>
      <c r="EW25" s="18">
        <f>IF($D25=0,"DNP",SUMIFS(OPPS_GbG[OPP ASTED_2FG],OPPS_GbG[[TM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</v>
      </c>
      <c r="EX25" s="18">
        <f>IF($D25=0,"DNP",SUMIFS(OPPS_GbG[OPP ASTED_3FG],OPPS_GbG[[TM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7.333333333333333</v>
      </c>
      <c r="EY25" s="18">
        <f>IF($D25=0,"DNP",SUMIFS(OPPS_GbG[OPP ASTED_FT],OPPS_GbG[[TM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EZ25" s="18">
        <f>IF($D25=0,"DNP",SUMIFS(OPPS_GbG[OPP ASTED_FT PTS],OPPS_GbG[[TM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FA25" s="18">
        <f>IF($D25=0,"DNP",SUMIFS(OPPS_GbG[OPP OR_RIM],OPPS_GbG[[TM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0.88888888888888884</v>
      </c>
      <c r="FB25" s="18">
        <f>IF($D25=0,"DNP",SUMIFS(OPPS_GbG[OPP TM OR_RIM],OPPS_GbG[[TM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FC25" s="18">
        <f>IF($D25=0,"DNP",SUMIFS(OPPS_GbG[OPP OR_PAINT],OPPS_GbG[[TM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2.8888888888888888</v>
      </c>
      <c r="FD25" s="18">
        <f>IF($D25=0,"DNP",SUMIFS(OPPS_GbG[OPP TM OR_PAINT],OPPS_GbG[[TM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FE25" s="18">
        <f>IF($D25=0,"DNP",SUMIFS(OPPS_GbG[OPP OR_NP2],OPPS_GbG[[TM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0.88888888888888884</v>
      </c>
      <c r="FF25" s="18">
        <f>IF($D25=0,"DNP",SUMIFS(OPPS_GbG[OPP TM OR_NP2],OPPS_GbG[[TM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FG25" s="18">
        <f>IF($D25=0,"DNP",SUMIFS(OPPS_GbG[OPP OR_3C],OPPS_GbG[[TM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FH25" s="18">
        <f>IF($D25=0,"DNP",SUMIFS(OPPS_GbG[OPP TM OR_3C],OPPS_GbG[[TM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FI25" s="18">
        <f>IF($D25=0,"DNP",SUMIFS(OPPS_GbG[OPP OR_3L],OPPS_GbG[[TM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3.2222222222222223</v>
      </c>
      <c r="FJ25" s="18">
        <f>IF($D25=0,"DNP",SUMIFS(OPPS_GbG[OPP TM OR_3L],OPPS_GbG[[TM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FK25" s="18">
        <f>IF($D25=0,"DNP",SUMIFS(OPPS_GbG[OPP OR_FT],OPPS_GbG[[TM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0.44444444444444442</v>
      </c>
      <c r="FL25" s="18">
        <f>IF($D25=0,"DNP",SUMIFS(OPPS_GbG[OPP TM OR_FT],OPPS_GbG[[TM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FM25" s="18">
        <f>IF($D25=0,"DNP",SUMIFS(OPPS_GbG[OPP DR_RIM],OPPS_GbG[[TM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FN25" s="18">
        <f>IF($D25=0,"DNP",SUMIFS(OPPS_GbG[OPP TM DR_RIM],OPPS_GbG[[TM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FO25" s="18">
        <f>IF($D25=0,"DNP",SUMIFS(OPPS_GbG[OPP DR_PAINT],OPPS_GbG[[TM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7</v>
      </c>
      <c r="FP25" s="18">
        <f>IF($D25=0,"DNP",SUMIFS(OPPS_GbG[OPP TM DR_PAINT],OPPS_GbG[[TM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FQ25" s="18">
        <f>IF($D25=0,"DNP",SUMIFS(OPPS_GbG[OPP DR_NP2],OPPS_GbG[[TM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3.7777777777777777</v>
      </c>
      <c r="FR25" s="18">
        <f>IF($D25=0,"DNP",SUMIFS(OPPS_GbG[OPP TM DR_NP2],OPPS_GbG[[TM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0.1111111111111111</v>
      </c>
      <c r="FS25" s="18">
        <f>IF($D25=0,"DNP",SUMIFS(OPPS_GbG[OPP DR_3C],OPPS_GbG[[TM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1.3333333333333333</v>
      </c>
      <c r="FT25" s="18">
        <f>IF($D25=0,"DNP",SUMIFS(OPPS_GbG[OPP TM DR_3C],OPPS_GbG[[TM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FU25" s="18">
        <f>IF($D25=0,"DNP",SUMIFS(OPPS_GbG[OPP DR_3L],OPPS_GbG[[TM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</v>
      </c>
      <c r="FV25" s="18">
        <f>IF($D25=0,"DNP",SUMIFS(OPPS_GbG[OPP TM DR_3L],OPPS_GbG[[TM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FW25" s="18">
        <f>IF($D25=0,"DNP",SUMIFS(OPPS_GbG[OPP DR_FT],OPPS_GbG[[TM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1.8888888888888888</v>
      </c>
      <c r="FX25" s="18">
        <f>IF($D25=0,"DNP",SUMIFS(OPPS_GbG[OPP TM DR_FT],OPPS_GbG[[TM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FY25" s="18">
        <f>IF($D25=0,"DNP",SUMIFS(OPPS_GbG[OPP FTM_T],OPPS_GbG[[TM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FZ25" s="18">
        <f>IF($D25=0,"DNP",SUMIFS(OPPS_GbG[OPP FTA_T],OPPS_GbG[[TM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  <c r="GA25" s="18">
        <f>IF($D25=0,"DNP",SUMIFS(OPPS_GbG[OPP FTM_1],OPPS_GbG[[TM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1.6666666666666667</v>
      </c>
      <c r="GB25" s="18">
        <f>IF($D25=0,"DNP",SUMIFS(OPPS_GbG[OPP FTA_1],OPPS_GbG[[TM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1.8888888888888888</v>
      </c>
      <c r="GC25" s="18">
        <f>IF($D25=0,"DNP",SUMIFS(OPPS_GbG[OPP FTM_2],OPPS_GbG[[TM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</v>
      </c>
      <c r="GD25" s="18">
        <f>IF($D25=0,"DNP",SUMIFS(OPPS_GbG[OPP FTA_2],OPPS_GbG[[TM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10.444444444444445</v>
      </c>
      <c r="GE25" s="18">
        <f>IF($D25=0,"DNP",SUMIFS(OPPS_GbG[OPP FT 0/2],OPPS_GbG[[TM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0.33333333333333331</v>
      </c>
      <c r="GF25" s="18">
        <f>IF($D25=0,"DNP",SUMIFS(OPPS_GbG[OPP FTM_3],OPPS_GbG[[TM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0.66666666666666663</v>
      </c>
      <c r="GG25" s="18">
        <f>IF($D25=0,"DNP",SUMIFS(OPPS_GbG[OPP FTA_3],OPPS_GbG[[TM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</v>
      </c>
      <c r="GH25" s="18">
        <f>IF($D25=0,"DNP",SUMIFS(OPPS_GbG[OPP FT 0/3],OPPS_GbG[[TM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GI25" s="18">
        <f>IF($D25=0,"DNP",SUMIFS(OPPS_GbG[OPP RIM_M],OPPS_GbG[[TM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8.3333333333333339</v>
      </c>
      <c r="GJ25" s="18">
        <f>IF($D25=0,"DNP",SUMIFS(OPPS_GbG[OPP RIM_A],OPPS_GbG[[TM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10.888888888888889</v>
      </c>
      <c r="GK25" s="18">
        <f>IF($D25=0,"DNP",SUMIFS(OPPS_GbG[OPP PAINT_M],OPPS_GbG[[TM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9.2222222222222214</v>
      </c>
      <c r="GL25" s="18">
        <f>IF($D25=0,"DNP",SUMIFS(OPPS_GbG[OPP PAINT_A],OPPS_GbG[[TM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20.444444444444443</v>
      </c>
      <c r="GM25" s="18">
        <f>IF($D25=0,"DNP",SUMIFS(OPPS_GbG[OPP MID_M],OPPS_GbG[[TM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1.6666666666666667</v>
      </c>
      <c r="GN25" s="18">
        <f>IF($D25=0,"DNP",SUMIFS(OPPS_GbG[OPP MID_A],OPPS_GbG[[TM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5.5555555555555554</v>
      </c>
      <c r="GO25" s="18">
        <f>IF($D25=0,"DNP",SUMIFS(OPPS_GbG[OPP 3C_M],OPPS_GbG[[TM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1.1111111111111112</v>
      </c>
      <c r="GP25" s="18">
        <f>IF($D25=0,"DNP",SUMIFS(OPPS_GbG[OPP 3C_A],OPPS_GbG[[TM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2.2222222222222223</v>
      </c>
      <c r="GQ25" s="18">
        <f>IF($D25=0,"DNP",SUMIFS(OPPS_GbG[OPP 3L_M],OPPS_GbG[[TM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9.4444444444444446</v>
      </c>
      <c r="GR25" s="18">
        <f>IF($D25=0,"DNP",SUMIFS(OPPS_GbG[OPP 3L_A],OPPS_GbG[[TM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22.444444444444443</v>
      </c>
      <c r="GS25" s="18">
        <f>IF($D25=0,"DNP",SUMIFS(OPPS_GbG[OPP 3H_M],OPPS_GbG[[TM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</v>
      </c>
      <c r="GT25" s="18">
        <f>IF($D25=0,"DNP",SUMIFS(OPPS_GbG[OPP 3H_A],OPPS_GbG[[TM NAME]:[TM NAME]],$C25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GAMES","&lt;1000",IF($F$3=BASIS_INFO!$T$3,"&lt;"&amp;BASIS_INFO!$B$11,IF($F$3=BASIS_INFO!$T$4,"&lt;"&amp;BASIS_INFO!$B$12,IF($F$3=BASIS_INFO!$T$5,"&lt;"&amp;BASIS_INFO!$B$13,IF($F$3=BASIS_INFO!$T$6,"&lt;"&amp;BASIS_INFO!$B$14))))))/IF($D$3="TOTAL",1,$D25))</f>
        <v>0.22222222222222221</v>
      </c>
    </row>
    <row r="26" spans="2:202" ht="15" hidden="1" customHeight="1" x14ac:dyDescent="0.25">
      <c r="B26" s="12">
        <f>_xlfn.AGGREGATE(3,5,$C$7:C25)</f>
        <v>19</v>
      </c>
      <c r="C26" s="14" t="str">
        <f>BASIS_INFO!F21</f>
        <v/>
      </c>
      <c r="D26" s="20">
        <f>COUNTIFS(OPPS_GbG[[TM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26" s="20">
        <f>COUNTIFS(OPPS_GbG[[TM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26" s="20">
        <f>COUNTIFS(OPPS_GbG[[TM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26" s="18" t="str">
        <f>IF($D26=0,"DNP",SUMIFS(OPPS_GbG[MIN],OPPS_GbG[[TM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H26" s="18" t="str">
        <f>IF($D26=0,"DNP",SUMIFS(OPPS_GbG[PTS],OPPS_GbG[[TM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I26" s="18" t="str">
        <f>IF($D26=0,"DNP",SUMIFS(OPPS_GbG[2PTM],OPPS_GbG[[TM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J26" s="18" t="str">
        <f>IF($D26=0,"DNP",SUMIFS(OPPS_GbG[2PTA],OPPS_GbG[[TM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K26" s="16" t="str">
        <f t="shared" ref="K26:K39" si="56">IF($D26=0,"DNP",IF(J26=0,"-",I26/J26))</f>
        <v>DNP</v>
      </c>
      <c r="L26" s="18" t="str">
        <f>IF($D26=0,"DNP",SUMIFS(OPPS_GbG[3PTM],OPPS_GbG[[TM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M26" s="18" t="str">
        <f>IF($D26=0,"DNP",SUMIFS(OPPS_GbG[3PTA],OPPS_GbG[[TM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N26" s="16" t="str">
        <f t="shared" ref="N26:N39" si="57">IF($D26=0,"DNP",IF(M26=0,"-",L26/M26))</f>
        <v>DNP</v>
      </c>
      <c r="O26" s="18" t="str">
        <f>IF($D26=0,"DNP",SUMIFS(OPPS_GbG[FGM],OPPS_GbG[[TM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P26" s="18" t="str">
        <f>IF($D26=0,"DNP",SUMIFS(OPPS_GbG[FGA],OPPS_GbG[[TM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Q26" s="16" t="str">
        <f t="shared" ref="Q26:Q39" si="58">IF($D26=0,"DNP",IF(P26=0,"-",O26/P26))</f>
        <v>DNP</v>
      </c>
      <c r="R26" s="18" t="str">
        <f>IF($D26=0,"DNP",SUMIFS(OPPS_GbG[FTM],OPPS_GbG[[TM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S26" s="18" t="str">
        <f>IF($D26=0,"DNP",SUMIFS(OPPS_GbG[FTA],OPPS_GbG[[TM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T26" s="16" t="str">
        <f t="shared" ref="T26:T39" si="59">IF($D26=0,"DNP",IF(S26=0,"-",R26/S26))</f>
        <v>DNP</v>
      </c>
      <c r="U26" s="18" t="str">
        <f>IF($D26=0,"DNP",SUMIFS(OPPS_GbG[OR],OPPS_GbG[[TM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V26" s="18" t="str">
        <f>IF($D26=0,"DNP",SUMIFS(OPPS_GbG[DR],OPPS_GbG[[TM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W26" s="18" t="str">
        <f>IF($D26=0,"DNP",SUMIFS(OPPS_GbG[TR],OPPS_GbG[[TM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X26" s="18" t="str">
        <f>IF($D26=0,"DNP",SUMIFS(OPPS_GbG[AST],OPPS_GbG[[TM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Y26" s="18" t="str">
        <f>IF($D26=0,"DNP",SUMIFS(OPPS_GbG[TO],OPPS_GbG[[TM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Z26" s="18" t="str">
        <f>IF($D26=0,"DNP",SUMIFS(OPPS_GbG[ST],OPPS_GbG[[TM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A26" s="18" t="str">
        <f>IF($D26=0,"DNP",SUMIFS(OPPS_GbG[BLK],OPPS_GbG[[TM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B26" s="18" t="str">
        <f>IF($D26=0,"DNP",SUMIFS(OPPS_GbG[BLKA],OPPS_GbG[[TM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C26" s="18" t="str">
        <f>IF($D26=0,"DNP",SUMIFS(OPPS_GbG[PF],OPPS_GbG[[TM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D26" s="18" t="str">
        <f>IF($D26=0,"DNP",SUMIFS(OPPS_GbG[DF],OPPS_GbG[[TM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E26" s="18" t="str">
        <f>IF($D26=0,"DNP",SUMIFS(OPPS_GbG[VAL],OPPS_GbG[[TM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F26" s="18" t="str">
        <f>IF($D26=0,"DNP",SUMIFS(OPPS_GbG[+ / -],OPPS_GbG[[TM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G26" s="26" t="str">
        <f t="shared" si="0"/>
        <v>DNP</v>
      </c>
      <c r="AH26" s="18" t="str">
        <f>IF($D26=0,"DNP",SUMIFS(OPPS_GbG[POSS],OPPS_GbG[[TM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I26" s="18" t="str">
        <f>IF($D26=0,"DNP",SUMIFS(OPPS_GbG[SHOOTING CHANCES],OPPS_GbG[[TM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AJ26" s="19" t="str">
        <f t="shared" si="1"/>
        <v>DNP</v>
      </c>
      <c r="AK26" s="19" t="str">
        <f t="shared" si="2"/>
        <v>DNP</v>
      </c>
      <c r="AL26" s="18" t="str">
        <f t="shared" si="3"/>
        <v>DNP</v>
      </c>
      <c r="AM26" s="18" t="str">
        <f t="shared" si="4"/>
        <v>DNP</v>
      </c>
      <c r="AN26" s="18" t="str">
        <f t="shared" ref="AN26:AN39" si="60">IF($D26=0,"DNP",AL26-AM26)</f>
        <v>DNP</v>
      </c>
      <c r="AO26" s="27" t="str">
        <f t="shared" si="5"/>
        <v>DNP</v>
      </c>
      <c r="AP26" s="28" t="str">
        <f t="shared" si="6"/>
        <v>DNP</v>
      </c>
      <c r="AQ26" s="34" t="str">
        <f t="shared" si="7"/>
        <v>DNP</v>
      </c>
      <c r="AR26" s="19" t="str">
        <f t="shared" si="8"/>
        <v>DNP</v>
      </c>
      <c r="AS26" s="16" t="str">
        <f t="shared" si="9"/>
        <v>DNP</v>
      </c>
      <c r="AT26" s="18" t="str">
        <f t="shared" si="10"/>
        <v>DNP</v>
      </c>
      <c r="AU26" s="16" t="str">
        <f t="shared" si="11"/>
        <v>DNP</v>
      </c>
      <c r="AV26" s="18" t="str">
        <f t="shared" si="12"/>
        <v>DNP</v>
      </c>
      <c r="AW26" s="16" t="str">
        <f t="shared" si="13"/>
        <v>DNP</v>
      </c>
      <c r="AX26" s="19" t="str">
        <f t="shared" si="14"/>
        <v>DNP</v>
      </c>
      <c r="AY26" s="27" t="str">
        <f t="shared" si="15"/>
        <v>DNP</v>
      </c>
      <c r="AZ26" s="38" t="str">
        <f t="shared" si="16"/>
        <v>DNP</v>
      </c>
      <c r="BA26" s="28" t="str">
        <f t="shared" si="17"/>
        <v>DNP</v>
      </c>
      <c r="BB26" s="34" t="str">
        <f t="shared" si="18"/>
        <v>DNP</v>
      </c>
      <c r="BC26" s="27" t="str">
        <f t="shared" si="19"/>
        <v>DNP</v>
      </c>
      <c r="BD26" s="27" t="str">
        <f t="shared" si="20"/>
        <v>DNP</v>
      </c>
      <c r="BE26" s="27" t="str">
        <f t="shared" si="21"/>
        <v>DNP</v>
      </c>
      <c r="BF26" s="27" t="str">
        <f t="shared" si="22"/>
        <v>DNP</v>
      </c>
      <c r="BG26" s="27" t="str">
        <f t="shared" si="23"/>
        <v>DNP</v>
      </c>
      <c r="BH26" s="35" t="str">
        <f t="shared" si="24"/>
        <v>DNP</v>
      </c>
      <c r="BI26" s="34" t="str">
        <f t="shared" si="25"/>
        <v>DNP</v>
      </c>
      <c r="BJ26" s="27" t="str">
        <f t="shared" si="26"/>
        <v>DNP</v>
      </c>
      <c r="BK26" s="27" t="str">
        <f t="shared" si="27"/>
        <v>DNP</v>
      </c>
      <c r="BL26" s="27" t="str">
        <f t="shared" si="28"/>
        <v>DNP</v>
      </c>
      <c r="BM26" s="27" t="str">
        <f t="shared" si="29"/>
        <v>DNP</v>
      </c>
      <c r="BN26" s="27" t="str">
        <f t="shared" si="30"/>
        <v>DNP</v>
      </c>
      <c r="BO26" s="27" t="str">
        <f t="shared" si="31"/>
        <v>DNP</v>
      </c>
      <c r="BP26" s="27" t="str">
        <f t="shared" si="32"/>
        <v>DNP</v>
      </c>
      <c r="BQ26" s="28" t="str">
        <f t="shared" si="33"/>
        <v>DNP</v>
      </c>
      <c r="BR26" s="34" t="str">
        <f t="shared" si="34"/>
        <v>DNP</v>
      </c>
      <c r="BS26" s="27" t="str">
        <f t="shared" si="35"/>
        <v>DNP</v>
      </c>
      <c r="BT26" s="40" t="str">
        <f>IF($D26=0,"DNP",SUMIFS(OPPS_GbG[KILLS],OPPS_GbG[[TM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BU26" s="34" t="str">
        <f t="shared" si="36"/>
        <v>DNP</v>
      </c>
      <c r="BV26" s="28" t="str">
        <f t="shared" si="37"/>
        <v>DNP</v>
      </c>
      <c r="BW26" s="18" t="str">
        <f>IF($D26=0,"DNP",SUMIFS(OPPS_GbG[ASTED_2FG],OPPS_GbG[[TM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BX26" s="18" t="str">
        <f>IF($D26=0,"DNP",SUMIFS(OPPS_GbG[ASTED_3FG],OPPS_GbG[[TM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BY26" s="18" t="str">
        <f>IF($D26=0,"DNP",SUMIFS(OPPS_GbG[ASTED_FT],OPPS_GbG[[TM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BZ26" s="18" t="str">
        <f>IF($D26=0,"DNP",SUMIFS(OPPS_GbG[ASTED_FT PTS],OPPS_GbG[[TM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A26" s="18" t="str">
        <f>IF($D26=0,"DNP",SUMIFS(OPPS_GbG[OR_RIM],OPPS_GbG[[TM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B26" s="18" t="str">
        <f>IF($D26=0,"DNP",SUMIFS(OPPS_GbG[TM OR_RIM],OPPS_GbG[[TM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C26" s="18" t="str">
        <f>IF($D26=0,"DNP",SUMIFS(OPPS_GbG[OR_PAINT],OPPS_GbG[[TM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D26" s="18" t="str">
        <f>IF($D26=0,"DNP",SUMIFS(OPPS_GbG[TM OR_PAINT],OPPS_GbG[[TM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E26" s="18" t="str">
        <f>IF($D26=0,"DNP",SUMIFS(OPPS_GbG[OR_NP2],OPPS_GbG[[TM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F26" s="18" t="str">
        <f>IF($D26=0,"DNP",SUMIFS(OPPS_GbG[TM OR_NP2],OPPS_GbG[[TM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G26" s="18" t="str">
        <f>IF($D26=0,"DNP",SUMIFS(OPPS_GbG[OR_3C],OPPS_GbG[[TM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H26" s="18" t="str">
        <f>IF($D26=0,"DNP",SUMIFS(OPPS_GbG[TM OR_3C],OPPS_GbG[[TM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I26" s="18" t="str">
        <f>IF($D26=0,"DNP",SUMIFS(OPPS_GbG[OR_3L],OPPS_GbG[[TM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J26" s="18" t="str">
        <f>IF($D26=0,"DNP",SUMIFS(OPPS_GbG[TM OR_3L],OPPS_GbG[[TM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K26" s="18" t="str">
        <f>IF($D26=0,"DNP",SUMIFS(OPPS_GbG[OR_FT],OPPS_GbG[[TM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L26" s="18" t="str">
        <f>IF($D26=0,"DNP",SUMIFS(OPPS_GbG[TM OR_FT],OPPS_GbG[[TM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M26" s="18" t="str">
        <f>IF($D26=0,"DNP",SUMIFS(OPPS_GbG[DR_RIM],OPPS_GbG[[TM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N26" s="18" t="str">
        <f>IF($D26=0,"DNP",SUMIFS(OPPS_GbG[TM DR_RIM],OPPS_GbG[[TM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O26" s="18" t="str">
        <f>IF($D26=0,"DNP",SUMIFS(OPPS_GbG[DR_PAINT],OPPS_GbG[[TM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P26" s="18" t="str">
        <f>IF($D26=0,"DNP",SUMIFS(OPPS_GbG[TM DR_PAINT],OPPS_GbG[[TM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Q26" s="18" t="str">
        <f>IF($D26=0,"DNP",SUMIFS(OPPS_GbG[DR_NP2],OPPS_GbG[[TM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R26" s="18" t="str">
        <f>IF($D26=0,"DNP",SUMIFS(OPPS_GbG[TM DR_NP2],OPPS_GbG[[TM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S26" s="18" t="str">
        <f>IF($D26=0,"DNP",SUMIFS(OPPS_GbG[DR_3C],OPPS_GbG[[TM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T26" s="18" t="str">
        <f>IF($D26=0,"DNP",SUMIFS(OPPS_GbG[TM DR_3C],OPPS_GbG[[TM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U26" s="18" t="str">
        <f>IF($D26=0,"DNP",SUMIFS(OPPS_GbG[DR_3L],OPPS_GbG[[TM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V26" s="18" t="str">
        <f>IF($D26=0,"DNP",SUMIFS(OPPS_GbG[TM DR_3L],OPPS_GbG[[TM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W26" s="18" t="str">
        <f>IF($D26=0,"DNP",SUMIFS(OPPS_GbG[DR_FT],OPPS_GbG[[TM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X26" s="18" t="str">
        <f>IF($D26=0,"DNP",SUMIFS(OPPS_GbG[TM DR_FT],OPPS_GbG[[TM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Y26" s="18" t="str">
        <f>IF($D26=0,"DNP",SUMIFS(OPPS_GbG[FTM_T],OPPS_GbG[[TM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CZ26" s="18" t="str">
        <f>IF($D26=0,"DNP",SUMIFS(OPPS_GbG[FTA_T],OPPS_GbG[[TM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A26" s="18" t="str">
        <f>IF($D26=0,"DNP",SUMIFS(OPPS_GbG[FTM_1],OPPS_GbG[[TM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B26" s="18" t="str">
        <f>IF($D26=0,"DNP",SUMIFS(OPPS_GbG[FTA_1],OPPS_GbG[[TM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C26" s="18" t="str">
        <f>IF($D26=0,"DNP",SUMIFS(OPPS_GbG[FTM_2],OPPS_GbG[[TM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D26" s="18" t="str">
        <f>IF($D26=0,"DNP",SUMIFS(OPPS_GbG[FTA_2],OPPS_GbG[[TM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E26" s="18" t="str">
        <f>IF($D26=0,"DNP",SUMIFS(OPPS_GbG[FT 0/2],OPPS_GbG[[TM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F26" s="18" t="str">
        <f>IF($D26=0,"DNP",SUMIFS(OPPS_GbG[FTM_3],OPPS_GbG[[TM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G26" s="18" t="str">
        <f>IF($D26=0,"DNP",SUMIFS(OPPS_GbG[FTA_3],OPPS_GbG[[TM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H26" s="18" t="str">
        <f>IF($D26=0,"DNP",SUMIFS(OPPS_GbG[FT 0/3],OPPS_GbG[[TM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I26" s="18" t="str">
        <f>IF($D26=0,"DNP",SUMIFS(OPPS_GbG[RIM_M],OPPS_GbG[[TM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J26" s="18" t="str">
        <f>IF($D26=0,"DNP",SUMIFS(OPPS_GbG[RIM_A],OPPS_GbG[[TM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K26" s="18" t="str">
        <f>IF($D26=0,"DNP",SUMIFS(OPPS_GbG[PAINT_M],OPPS_GbG[[TM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L26" s="18" t="str">
        <f>IF($D26=0,"DNP",SUMIFS(OPPS_GbG[PAINT_A],OPPS_GbG[[TM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M26" s="18" t="str">
        <f>IF($D26=0,"DNP",SUMIFS(OPPS_GbG[MID_M],OPPS_GbG[[TM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N26" s="18" t="str">
        <f>IF($D26=0,"DNP",SUMIFS(OPPS_GbG[MID_A],OPPS_GbG[[TM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O26" s="18" t="str">
        <f>IF($D26=0,"DNP",SUMIFS(OPPS_GbG[3C_M],OPPS_GbG[[TM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P26" s="18" t="str">
        <f>IF($D26=0,"DNP",SUMIFS(OPPS_GbG[3C_A],OPPS_GbG[[TM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Q26" s="18" t="str">
        <f>IF($D26=0,"DNP",SUMIFS(OPPS_GbG[3L_M],OPPS_GbG[[TM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R26" s="18" t="str">
        <f>IF($D26=0,"DNP",SUMIFS(OPPS_GbG[3L_A],OPPS_GbG[[TM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S26" s="18" t="str">
        <f>IF($D26=0,"DNP",SUMIFS(OPPS_GbG[3H_M],OPPS_GbG[[TM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T26" s="18" t="str">
        <f>IF($D26=0,"DNP",SUMIFS(OPPS_GbG[3H_A],OPPS_GbG[[TM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U26" s="18" t="str">
        <f>IF($D26=0,"DNP",SUMIFS(OPPS_GbG[OPP PTS],OPPS_GbG[[TM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V26" s="18" t="str">
        <f>IF($D26=0,"DNP",SUMIFS(OPPS_GbG[OPP 2PTM],OPPS_GbG[[TM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W26" s="18" t="str">
        <f>IF($D26=0,"DNP",SUMIFS(OPPS_GbG[OPP 2PTA],OPPS_GbG[[TM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X26" s="16" t="str">
        <f t="shared" ref="DX26:DX39" si="61">IF($D26=0,"DNP",IF(DW26=0,"-",DV26/DW26))</f>
        <v>DNP</v>
      </c>
      <c r="DY26" s="18" t="str">
        <f>IF($D26=0,"DNP",SUMIFS(OPPS_GbG[OPP 3PTM],OPPS_GbG[[TM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DZ26" s="18" t="str">
        <f>IF($D26=0,"DNP",SUMIFS(OPPS_GbG[OPP 3PTA],OPPS_GbG[[TM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A26" s="16" t="str">
        <f t="shared" ref="EA26:EA39" si="62">IF($D26=0,"DNP",IF(DZ26=0,"-",DY26/DZ26))</f>
        <v>DNP</v>
      </c>
      <c r="EB26" s="18" t="str">
        <f>IF($D26=0,"DNP",SUMIFS(OPPS_GbG[OPP FGM],OPPS_GbG[[TM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C26" s="18" t="str">
        <f>IF($D26=0,"DNP",SUMIFS(OPPS_GbG[OPP FGA],OPPS_GbG[[TM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D26" s="16" t="str">
        <f t="shared" ref="ED26:ED39" si="63">IF($D26=0,"DNP",IF(EC26=0,"-",EB26/EC26))</f>
        <v>DNP</v>
      </c>
      <c r="EE26" s="18" t="str">
        <f>IF($D26=0,"DNP",SUMIFS(OPPS_GbG[OPP FTM],OPPS_GbG[[TM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F26" s="18" t="str">
        <f>IF($D26=0,"DNP",SUMIFS(OPPS_GbG[OPP FTA],OPPS_GbG[[TM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G26" s="16" t="str">
        <f t="shared" ref="EG26:EG39" si="64">IF($D26=0,"DNP",IF(EF26=0,"-",EE26/EF26))</f>
        <v>DNP</v>
      </c>
      <c r="EH26" s="18" t="str">
        <f>IF($D26=0,"DNP",SUMIFS(OPPS_GbG[OPP OR],OPPS_GbG[[TM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I26" s="18" t="str">
        <f>IF($D26=0,"DNP",SUMIFS(OPPS_GbG[OPP DR],OPPS_GbG[[TM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J26" s="18" t="str">
        <f>IF($D26=0,"DNP",SUMIFS(OPPS_GbG[OPP TR],OPPS_GbG[[TM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K26" s="18" t="str">
        <f>IF($D26=0,"DNP",SUMIFS(OPPS_GbG[OPP AST],OPPS_GbG[[TM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L26" s="18" t="str">
        <f>IF($D26=0,"DNP",SUMIFS(OPPS_GbG[OPP PF],OPPS_GbG[[TM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M26" s="18" t="str">
        <f>IF($D26=0,"DNP",SUMIFS(OPPS_GbG[OPP DF],OPPS_GbG[[TM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N26" s="18" t="str">
        <f>IF($D26=0,"DNP",SUMIFS(OPPS_GbG[OPP ST],OPPS_GbG[[TM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O26" s="18" t="str">
        <f>IF($D26=0,"DNP",SUMIFS(OPPS_GbG[OPP TO],OPPS_GbG[[TM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P26" s="18" t="str">
        <f>IF($D26=0,"DNP",SUMIFS(OPPS_GbG[OPP BLK],OPPS_GbG[[TM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Q26" s="18" t="str">
        <f>IF($D26=0,"DNP",SUMIFS(OPPS_GbG[OPP BLKA],OPPS_GbG[[TM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R26" s="18" t="str">
        <f>IF($D26=0,"DNP",SUMIFS(OPPS_GbG[OPP VAL],OPPS_GbG[[TM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S26" s="18" t="str">
        <f>IF($D26=0,"DNP",SUMIFS(OPPS_GbG[OPP + / -],OPPS_GbG[[TM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T26" s="18" t="str">
        <f>IF($D26=0,"DNP",SUMIFS(OPPS_GbG[OPP POSS],OPPS_GbG[[TM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U26" s="18" t="str">
        <f>IF($D26=0,"DNP",SUMIFS(OPPS_GbG[OPP SHOOTING CHANCES],OPPS_GbG[[TM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V26" s="18" t="str">
        <f>IF($D26=0,"DNP",SUMIFS(OPPS_GbG[OPP KILLS],OPPS_GbG[[TM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W26" s="18" t="str">
        <f>IF($D26=0,"DNP",SUMIFS(OPPS_GbG[OPP ASTED_2FG],OPPS_GbG[[TM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X26" s="18" t="str">
        <f>IF($D26=0,"DNP",SUMIFS(OPPS_GbG[OPP ASTED_3FG],OPPS_GbG[[TM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Y26" s="18" t="str">
        <f>IF($D26=0,"DNP",SUMIFS(OPPS_GbG[OPP ASTED_FT],OPPS_GbG[[TM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EZ26" s="18" t="str">
        <f>IF($D26=0,"DNP",SUMIFS(OPPS_GbG[OPP ASTED_FT PTS],OPPS_GbG[[TM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A26" s="18" t="str">
        <f>IF($D26=0,"DNP",SUMIFS(OPPS_GbG[OPP OR_RIM],OPPS_GbG[[TM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B26" s="18" t="str">
        <f>IF($D26=0,"DNP",SUMIFS(OPPS_GbG[OPP TM OR_RIM],OPPS_GbG[[TM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C26" s="18" t="str">
        <f>IF($D26=0,"DNP",SUMIFS(OPPS_GbG[OPP OR_PAINT],OPPS_GbG[[TM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D26" s="18" t="str">
        <f>IF($D26=0,"DNP",SUMIFS(OPPS_GbG[OPP TM OR_PAINT],OPPS_GbG[[TM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E26" s="18" t="str">
        <f>IF($D26=0,"DNP",SUMIFS(OPPS_GbG[OPP OR_NP2],OPPS_GbG[[TM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F26" s="18" t="str">
        <f>IF($D26=0,"DNP",SUMIFS(OPPS_GbG[OPP TM OR_NP2],OPPS_GbG[[TM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G26" s="18" t="str">
        <f>IF($D26=0,"DNP",SUMIFS(OPPS_GbG[OPP OR_3C],OPPS_GbG[[TM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H26" s="18" t="str">
        <f>IF($D26=0,"DNP",SUMIFS(OPPS_GbG[OPP TM OR_3C],OPPS_GbG[[TM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I26" s="18" t="str">
        <f>IF($D26=0,"DNP",SUMIFS(OPPS_GbG[OPP OR_3L],OPPS_GbG[[TM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J26" s="18" t="str">
        <f>IF($D26=0,"DNP",SUMIFS(OPPS_GbG[OPP TM OR_3L],OPPS_GbG[[TM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K26" s="18" t="str">
        <f>IF($D26=0,"DNP",SUMIFS(OPPS_GbG[OPP OR_FT],OPPS_GbG[[TM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L26" s="18" t="str">
        <f>IF($D26=0,"DNP",SUMIFS(OPPS_GbG[OPP TM OR_FT],OPPS_GbG[[TM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M26" s="18" t="str">
        <f>IF($D26=0,"DNP",SUMIFS(OPPS_GbG[OPP DR_RIM],OPPS_GbG[[TM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N26" s="18" t="str">
        <f>IF($D26=0,"DNP",SUMIFS(OPPS_GbG[OPP TM DR_RIM],OPPS_GbG[[TM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O26" s="18" t="str">
        <f>IF($D26=0,"DNP",SUMIFS(OPPS_GbG[OPP DR_PAINT],OPPS_GbG[[TM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P26" s="18" t="str">
        <f>IF($D26=0,"DNP",SUMIFS(OPPS_GbG[OPP TM DR_PAINT],OPPS_GbG[[TM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Q26" s="18" t="str">
        <f>IF($D26=0,"DNP",SUMIFS(OPPS_GbG[OPP DR_NP2],OPPS_GbG[[TM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R26" s="18" t="str">
        <f>IF($D26=0,"DNP",SUMIFS(OPPS_GbG[OPP TM DR_NP2],OPPS_GbG[[TM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S26" s="18" t="str">
        <f>IF($D26=0,"DNP",SUMIFS(OPPS_GbG[OPP DR_3C],OPPS_GbG[[TM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T26" s="18" t="str">
        <f>IF($D26=0,"DNP",SUMIFS(OPPS_GbG[OPP TM DR_3C],OPPS_GbG[[TM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U26" s="18" t="str">
        <f>IF($D26=0,"DNP",SUMIFS(OPPS_GbG[OPP DR_3L],OPPS_GbG[[TM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V26" s="18" t="str">
        <f>IF($D26=0,"DNP",SUMIFS(OPPS_GbG[OPP TM DR_3L],OPPS_GbG[[TM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W26" s="18" t="str">
        <f>IF($D26=0,"DNP",SUMIFS(OPPS_GbG[OPP DR_FT],OPPS_GbG[[TM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X26" s="18" t="str">
        <f>IF($D26=0,"DNP",SUMIFS(OPPS_GbG[OPP TM DR_FT],OPPS_GbG[[TM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Y26" s="18" t="str">
        <f>IF($D26=0,"DNP",SUMIFS(OPPS_GbG[OPP FTM_T],OPPS_GbG[[TM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FZ26" s="18" t="str">
        <f>IF($D26=0,"DNP",SUMIFS(OPPS_GbG[OPP FTA_T],OPPS_GbG[[TM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A26" s="18" t="str">
        <f>IF($D26=0,"DNP",SUMIFS(OPPS_GbG[OPP FTM_1],OPPS_GbG[[TM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B26" s="18" t="str">
        <f>IF($D26=0,"DNP",SUMIFS(OPPS_GbG[OPP FTA_1],OPPS_GbG[[TM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C26" s="18" t="str">
        <f>IF($D26=0,"DNP",SUMIFS(OPPS_GbG[OPP FTM_2],OPPS_GbG[[TM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D26" s="18" t="str">
        <f>IF($D26=0,"DNP",SUMIFS(OPPS_GbG[OPP FTA_2],OPPS_GbG[[TM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E26" s="18" t="str">
        <f>IF($D26=0,"DNP",SUMIFS(OPPS_GbG[OPP FT 0/2],OPPS_GbG[[TM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F26" s="18" t="str">
        <f>IF($D26=0,"DNP",SUMIFS(OPPS_GbG[OPP FTM_3],OPPS_GbG[[TM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G26" s="18" t="str">
        <f>IF($D26=0,"DNP",SUMIFS(OPPS_GbG[OPP FTA_3],OPPS_GbG[[TM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H26" s="18" t="str">
        <f>IF($D26=0,"DNP",SUMIFS(OPPS_GbG[OPP FT 0/3],OPPS_GbG[[TM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I26" s="18" t="str">
        <f>IF($D26=0,"DNP",SUMIFS(OPPS_GbG[OPP RIM_M],OPPS_GbG[[TM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J26" s="18" t="str">
        <f>IF($D26=0,"DNP",SUMIFS(OPPS_GbG[OPP RIM_A],OPPS_GbG[[TM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K26" s="18" t="str">
        <f>IF($D26=0,"DNP",SUMIFS(OPPS_GbG[OPP PAINT_M],OPPS_GbG[[TM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L26" s="18" t="str">
        <f>IF($D26=0,"DNP",SUMIFS(OPPS_GbG[OPP PAINT_A],OPPS_GbG[[TM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M26" s="18" t="str">
        <f>IF($D26=0,"DNP",SUMIFS(OPPS_GbG[OPP MID_M],OPPS_GbG[[TM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N26" s="18" t="str">
        <f>IF($D26=0,"DNP",SUMIFS(OPPS_GbG[OPP MID_A],OPPS_GbG[[TM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O26" s="18" t="str">
        <f>IF($D26=0,"DNP",SUMIFS(OPPS_GbG[OPP 3C_M],OPPS_GbG[[TM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P26" s="18" t="str">
        <f>IF($D26=0,"DNP",SUMIFS(OPPS_GbG[OPP 3C_A],OPPS_GbG[[TM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Q26" s="18" t="str">
        <f>IF($D26=0,"DNP",SUMIFS(OPPS_GbG[OPP 3L_M],OPPS_GbG[[TM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R26" s="18" t="str">
        <f>IF($D26=0,"DNP",SUMIFS(OPPS_GbG[OPP 3L_A],OPPS_GbG[[TM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S26" s="18" t="str">
        <f>IF($D26=0,"DNP",SUMIFS(OPPS_GbG[OPP 3H_M],OPPS_GbG[[TM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  <c r="GT26" s="18" t="str">
        <f>IF($D26=0,"DNP",SUMIFS(OPPS_GbG[OPP 3H_A],OPPS_GbG[[TM NAME]:[TM NAME]],$C26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GAMES","&lt;1000",IF($F$3=BASIS_INFO!$T$3,"&lt;"&amp;BASIS_INFO!$B$11,IF($F$3=BASIS_INFO!$T$4,"&lt;"&amp;BASIS_INFO!$B$12,IF($F$3=BASIS_INFO!$T$5,"&lt;"&amp;BASIS_INFO!$B$13,IF($F$3=BASIS_INFO!$T$6,"&lt;"&amp;BASIS_INFO!$B$14))))))/IF($D$3="TOTAL",1,$D26))</f>
        <v>DNP</v>
      </c>
    </row>
    <row r="27" spans="2:202" ht="15" hidden="1" customHeight="1" x14ac:dyDescent="0.25">
      <c r="B27" s="12">
        <f>_xlfn.AGGREGATE(3,5,$C$7:C26)</f>
        <v>19</v>
      </c>
      <c r="C27" s="14" t="str">
        <f>BASIS_INFO!F22</f>
        <v/>
      </c>
      <c r="D27" s="20">
        <f>COUNTIFS(OPPS_GbG[[TM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27" s="20">
        <f>COUNTIFS(OPPS_GbG[[TM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27" s="20">
        <f>COUNTIFS(OPPS_GbG[[TM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27" s="18" t="str">
        <f>IF($D27=0,"DNP",SUMIFS(OPPS_GbG[MIN],OPPS_GbG[[TM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H27" s="18" t="str">
        <f>IF($D27=0,"DNP",SUMIFS(OPPS_GbG[PTS],OPPS_GbG[[TM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I27" s="18" t="str">
        <f>IF($D27=0,"DNP",SUMIFS(OPPS_GbG[2PTM],OPPS_GbG[[TM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J27" s="18" t="str">
        <f>IF($D27=0,"DNP",SUMIFS(OPPS_GbG[2PTA],OPPS_GbG[[TM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K27" s="16" t="str">
        <f t="shared" si="56"/>
        <v>DNP</v>
      </c>
      <c r="L27" s="18" t="str">
        <f>IF($D27=0,"DNP",SUMIFS(OPPS_GbG[3PTM],OPPS_GbG[[TM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M27" s="18" t="str">
        <f>IF($D27=0,"DNP",SUMIFS(OPPS_GbG[3PTA],OPPS_GbG[[TM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N27" s="16" t="str">
        <f t="shared" si="57"/>
        <v>DNP</v>
      </c>
      <c r="O27" s="18" t="str">
        <f>IF($D27=0,"DNP",SUMIFS(OPPS_GbG[FGM],OPPS_GbG[[TM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P27" s="18" t="str">
        <f>IF($D27=0,"DNP",SUMIFS(OPPS_GbG[FGA],OPPS_GbG[[TM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Q27" s="16" t="str">
        <f t="shared" si="58"/>
        <v>DNP</v>
      </c>
      <c r="R27" s="18" t="str">
        <f>IF($D27=0,"DNP",SUMIFS(OPPS_GbG[FTM],OPPS_GbG[[TM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S27" s="18" t="str">
        <f>IF($D27=0,"DNP",SUMIFS(OPPS_GbG[FTA],OPPS_GbG[[TM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T27" s="16" t="str">
        <f t="shared" si="59"/>
        <v>DNP</v>
      </c>
      <c r="U27" s="18" t="str">
        <f>IF($D27=0,"DNP",SUMIFS(OPPS_GbG[OR],OPPS_GbG[[TM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V27" s="18" t="str">
        <f>IF($D27=0,"DNP",SUMIFS(OPPS_GbG[DR],OPPS_GbG[[TM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W27" s="18" t="str">
        <f>IF($D27=0,"DNP",SUMIFS(OPPS_GbG[TR],OPPS_GbG[[TM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X27" s="18" t="str">
        <f>IF($D27=0,"DNP",SUMIFS(OPPS_GbG[AST],OPPS_GbG[[TM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Y27" s="18" t="str">
        <f>IF($D27=0,"DNP",SUMIFS(OPPS_GbG[TO],OPPS_GbG[[TM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Z27" s="18" t="str">
        <f>IF($D27=0,"DNP",SUMIFS(OPPS_GbG[ST],OPPS_GbG[[TM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A27" s="18" t="str">
        <f>IF($D27=0,"DNP",SUMIFS(OPPS_GbG[BLK],OPPS_GbG[[TM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B27" s="18" t="str">
        <f>IF($D27=0,"DNP",SUMIFS(OPPS_GbG[BLKA],OPPS_GbG[[TM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C27" s="18" t="str">
        <f>IF($D27=0,"DNP",SUMIFS(OPPS_GbG[PF],OPPS_GbG[[TM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D27" s="18" t="str">
        <f>IF($D27=0,"DNP",SUMIFS(OPPS_GbG[DF],OPPS_GbG[[TM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E27" s="18" t="str">
        <f>IF($D27=0,"DNP",SUMIFS(OPPS_GbG[VAL],OPPS_GbG[[TM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F27" s="18" t="str">
        <f>IF($D27=0,"DNP",SUMIFS(OPPS_GbG[+ / -],OPPS_GbG[[TM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G27" s="26" t="str">
        <f t="shared" si="0"/>
        <v>DNP</v>
      </c>
      <c r="AH27" s="18" t="str">
        <f>IF($D27=0,"DNP",SUMIFS(OPPS_GbG[POSS],OPPS_GbG[[TM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I27" s="18" t="str">
        <f>IF($D27=0,"DNP",SUMIFS(OPPS_GbG[SHOOTING CHANCES],OPPS_GbG[[TM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AJ27" s="19" t="str">
        <f t="shared" si="1"/>
        <v>DNP</v>
      </c>
      <c r="AK27" s="19" t="str">
        <f t="shared" si="2"/>
        <v>DNP</v>
      </c>
      <c r="AL27" s="18" t="str">
        <f t="shared" si="3"/>
        <v>DNP</v>
      </c>
      <c r="AM27" s="18" t="str">
        <f t="shared" si="4"/>
        <v>DNP</v>
      </c>
      <c r="AN27" s="18" t="str">
        <f t="shared" si="60"/>
        <v>DNP</v>
      </c>
      <c r="AO27" s="27" t="str">
        <f t="shared" si="5"/>
        <v>DNP</v>
      </c>
      <c r="AP27" s="28" t="str">
        <f t="shared" si="6"/>
        <v>DNP</v>
      </c>
      <c r="AQ27" s="34" t="str">
        <f t="shared" si="7"/>
        <v>DNP</v>
      </c>
      <c r="AR27" s="19" t="str">
        <f t="shared" si="8"/>
        <v>DNP</v>
      </c>
      <c r="AS27" s="16" t="str">
        <f t="shared" si="9"/>
        <v>DNP</v>
      </c>
      <c r="AT27" s="18" t="str">
        <f t="shared" si="10"/>
        <v>DNP</v>
      </c>
      <c r="AU27" s="16" t="str">
        <f t="shared" si="11"/>
        <v>DNP</v>
      </c>
      <c r="AV27" s="18" t="str">
        <f t="shared" si="12"/>
        <v>DNP</v>
      </c>
      <c r="AW27" s="16" t="str">
        <f t="shared" si="13"/>
        <v>DNP</v>
      </c>
      <c r="AX27" s="19" t="str">
        <f t="shared" si="14"/>
        <v>DNP</v>
      </c>
      <c r="AY27" s="27" t="str">
        <f t="shared" si="15"/>
        <v>DNP</v>
      </c>
      <c r="AZ27" s="38" t="str">
        <f t="shared" si="16"/>
        <v>DNP</v>
      </c>
      <c r="BA27" s="28" t="str">
        <f t="shared" si="17"/>
        <v>DNP</v>
      </c>
      <c r="BB27" s="34" t="str">
        <f t="shared" si="18"/>
        <v>DNP</v>
      </c>
      <c r="BC27" s="27" t="str">
        <f t="shared" si="19"/>
        <v>DNP</v>
      </c>
      <c r="BD27" s="27" t="str">
        <f t="shared" si="20"/>
        <v>DNP</v>
      </c>
      <c r="BE27" s="27" t="str">
        <f t="shared" si="21"/>
        <v>DNP</v>
      </c>
      <c r="BF27" s="27" t="str">
        <f t="shared" si="22"/>
        <v>DNP</v>
      </c>
      <c r="BG27" s="27" t="str">
        <f t="shared" si="23"/>
        <v>DNP</v>
      </c>
      <c r="BH27" s="35" t="str">
        <f t="shared" si="24"/>
        <v>DNP</v>
      </c>
      <c r="BI27" s="34" t="str">
        <f t="shared" si="25"/>
        <v>DNP</v>
      </c>
      <c r="BJ27" s="27" t="str">
        <f t="shared" si="26"/>
        <v>DNP</v>
      </c>
      <c r="BK27" s="27" t="str">
        <f t="shared" si="27"/>
        <v>DNP</v>
      </c>
      <c r="BL27" s="27" t="str">
        <f t="shared" si="28"/>
        <v>DNP</v>
      </c>
      <c r="BM27" s="27" t="str">
        <f t="shared" si="29"/>
        <v>DNP</v>
      </c>
      <c r="BN27" s="27" t="str">
        <f t="shared" si="30"/>
        <v>DNP</v>
      </c>
      <c r="BO27" s="27" t="str">
        <f t="shared" si="31"/>
        <v>DNP</v>
      </c>
      <c r="BP27" s="27" t="str">
        <f t="shared" si="32"/>
        <v>DNP</v>
      </c>
      <c r="BQ27" s="28" t="str">
        <f t="shared" si="33"/>
        <v>DNP</v>
      </c>
      <c r="BR27" s="34" t="str">
        <f t="shared" si="34"/>
        <v>DNP</v>
      </c>
      <c r="BS27" s="27" t="str">
        <f t="shared" si="35"/>
        <v>DNP</v>
      </c>
      <c r="BT27" s="40" t="str">
        <f>IF($D27=0,"DNP",SUMIFS(OPPS_GbG[KILLS],OPPS_GbG[[TM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BU27" s="34" t="str">
        <f t="shared" si="36"/>
        <v>DNP</v>
      </c>
      <c r="BV27" s="28" t="str">
        <f t="shared" si="37"/>
        <v>DNP</v>
      </c>
      <c r="BW27" s="18" t="str">
        <f>IF($D27=0,"DNP",SUMIFS(OPPS_GbG[ASTED_2FG],OPPS_GbG[[TM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BX27" s="18" t="str">
        <f>IF($D27=0,"DNP",SUMIFS(OPPS_GbG[ASTED_3FG],OPPS_GbG[[TM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BY27" s="18" t="str">
        <f>IF($D27=0,"DNP",SUMIFS(OPPS_GbG[ASTED_FT],OPPS_GbG[[TM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BZ27" s="18" t="str">
        <f>IF($D27=0,"DNP",SUMIFS(OPPS_GbG[ASTED_FT PTS],OPPS_GbG[[TM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A27" s="18" t="str">
        <f>IF($D27=0,"DNP",SUMIFS(OPPS_GbG[OR_RIM],OPPS_GbG[[TM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B27" s="18" t="str">
        <f>IF($D27=0,"DNP",SUMIFS(OPPS_GbG[TM OR_RIM],OPPS_GbG[[TM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C27" s="18" t="str">
        <f>IF($D27=0,"DNP",SUMIFS(OPPS_GbG[OR_PAINT],OPPS_GbG[[TM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D27" s="18" t="str">
        <f>IF($D27=0,"DNP",SUMIFS(OPPS_GbG[TM OR_PAINT],OPPS_GbG[[TM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E27" s="18" t="str">
        <f>IF($D27=0,"DNP",SUMIFS(OPPS_GbG[OR_NP2],OPPS_GbG[[TM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F27" s="18" t="str">
        <f>IF($D27=0,"DNP",SUMIFS(OPPS_GbG[TM OR_NP2],OPPS_GbG[[TM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G27" s="18" t="str">
        <f>IF($D27=0,"DNP",SUMIFS(OPPS_GbG[OR_3C],OPPS_GbG[[TM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H27" s="18" t="str">
        <f>IF($D27=0,"DNP",SUMIFS(OPPS_GbG[TM OR_3C],OPPS_GbG[[TM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I27" s="18" t="str">
        <f>IF($D27=0,"DNP",SUMIFS(OPPS_GbG[OR_3L],OPPS_GbG[[TM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J27" s="18" t="str">
        <f>IF($D27=0,"DNP",SUMIFS(OPPS_GbG[TM OR_3L],OPPS_GbG[[TM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K27" s="18" t="str">
        <f>IF($D27=0,"DNP",SUMIFS(OPPS_GbG[OR_FT],OPPS_GbG[[TM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L27" s="18" t="str">
        <f>IF($D27=0,"DNP",SUMIFS(OPPS_GbG[TM OR_FT],OPPS_GbG[[TM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M27" s="18" t="str">
        <f>IF($D27=0,"DNP",SUMIFS(OPPS_GbG[DR_RIM],OPPS_GbG[[TM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N27" s="18" t="str">
        <f>IF($D27=0,"DNP",SUMIFS(OPPS_GbG[TM DR_RIM],OPPS_GbG[[TM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O27" s="18" t="str">
        <f>IF($D27=0,"DNP",SUMIFS(OPPS_GbG[DR_PAINT],OPPS_GbG[[TM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P27" s="18" t="str">
        <f>IF($D27=0,"DNP",SUMIFS(OPPS_GbG[TM DR_PAINT],OPPS_GbG[[TM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Q27" s="18" t="str">
        <f>IF($D27=0,"DNP",SUMIFS(OPPS_GbG[DR_NP2],OPPS_GbG[[TM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R27" s="18" t="str">
        <f>IF($D27=0,"DNP",SUMIFS(OPPS_GbG[TM DR_NP2],OPPS_GbG[[TM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S27" s="18" t="str">
        <f>IF($D27=0,"DNP",SUMIFS(OPPS_GbG[DR_3C],OPPS_GbG[[TM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T27" s="18" t="str">
        <f>IF($D27=0,"DNP",SUMIFS(OPPS_GbG[TM DR_3C],OPPS_GbG[[TM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U27" s="18" t="str">
        <f>IF($D27=0,"DNP",SUMIFS(OPPS_GbG[DR_3L],OPPS_GbG[[TM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V27" s="18" t="str">
        <f>IF($D27=0,"DNP",SUMIFS(OPPS_GbG[TM DR_3L],OPPS_GbG[[TM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W27" s="18" t="str">
        <f>IF($D27=0,"DNP",SUMIFS(OPPS_GbG[DR_FT],OPPS_GbG[[TM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X27" s="18" t="str">
        <f>IF($D27=0,"DNP",SUMIFS(OPPS_GbG[TM DR_FT],OPPS_GbG[[TM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Y27" s="18" t="str">
        <f>IF($D27=0,"DNP",SUMIFS(OPPS_GbG[FTM_T],OPPS_GbG[[TM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CZ27" s="18" t="str">
        <f>IF($D27=0,"DNP",SUMIFS(OPPS_GbG[FTA_T],OPPS_GbG[[TM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A27" s="18" t="str">
        <f>IF($D27=0,"DNP",SUMIFS(OPPS_GbG[FTM_1],OPPS_GbG[[TM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B27" s="18" t="str">
        <f>IF($D27=0,"DNP",SUMIFS(OPPS_GbG[FTA_1],OPPS_GbG[[TM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C27" s="18" t="str">
        <f>IF($D27=0,"DNP",SUMIFS(OPPS_GbG[FTM_2],OPPS_GbG[[TM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D27" s="18" t="str">
        <f>IF($D27=0,"DNP",SUMIFS(OPPS_GbG[FTA_2],OPPS_GbG[[TM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E27" s="18" t="str">
        <f>IF($D27=0,"DNP",SUMIFS(OPPS_GbG[FT 0/2],OPPS_GbG[[TM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F27" s="18" t="str">
        <f>IF($D27=0,"DNP",SUMIFS(OPPS_GbG[FTM_3],OPPS_GbG[[TM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G27" s="18" t="str">
        <f>IF($D27=0,"DNP",SUMIFS(OPPS_GbG[FTA_3],OPPS_GbG[[TM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H27" s="18" t="str">
        <f>IF($D27=0,"DNP",SUMIFS(OPPS_GbG[FT 0/3],OPPS_GbG[[TM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I27" s="18" t="str">
        <f>IF($D27=0,"DNP",SUMIFS(OPPS_GbG[RIM_M],OPPS_GbG[[TM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J27" s="18" t="str">
        <f>IF($D27=0,"DNP",SUMIFS(OPPS_GbG[RIM_A],OPPS_GbG[[TM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K27" s="18" t="str">
        <f>IF($D27=0,"DNP",SUMIFS(OPPS_GbG[PAINT_M],OPPS_GbG[[TM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L27" s="18" t="str">
        <f>IF($D27=0,"DNP",SUMIFS(OPPS_GbG[PAINT_A],OPPS_GbG[[TM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M27" s="18" t="str">
        <f>IF($D27=0,"DNP",SUMIFS(OPPS_GbG[MID_M],OPPS_GbG[[TM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N27" s="18" t="str">
        <f>IF($D27=0,"DNP",SUMIFS(OPPS_GbG[MID_A],OPPS_GbG[[TM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O27" s="18" t="str">
        <f>IF($D27=0,"DNP",SUMIFS(OPPS_GbG[3C_M],OPPS_GbG[[TM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P27" s="18" t="str">
        <f>IF($D27=0,"DNP",SUMIFS(OPPS_GbG[3C_A],OPPS_GbG[[TM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Q27" s="18" t="str">
        <f>IF($D27=0,"DNP",SUMIFS(OPPS_GbG[3L_M],OPPS_GbG[[TM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R27" s="18" t="str">
        <f>IF($D27=0,"DNP",SUMIFS(OPPS_GbG[3L_A],OPPS_GbG[[TM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S27" s="18" t="str">
        <f>IF($D27=0,"DNP",SUMIFS(OPPS_GbG[3H_M],OPPS_GbG[[TM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T27" s="18" t="str">
        <f>IF($D27=0,"DNP",SUMIFS(OPPS_GbG[3H_A],OPPS_GbG[[TM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U27" s="18" t="str">
        <f>IF($D27=0,"DNP",SUMIFS(OPPS_GbG[OPP PTS],OPPS_GbG[[TM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V27" s="18" t="str">
        <f>IF($D27=0,"DNP",SUMIFS(OPPS_GbG[OPP 2PTM],OPPS_GbG[[TM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W27" s="18" t="str">
        <f>IF($D27=0,"DNP",SUMIFS(OPPS_GbG[OPP 2PTA],OPPS_GbG[[TM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X27" s="16" t="str">
        <f t="shared" si="61"/>
        <v>DNP</v>
      </c>
      <c r="DY27" s="18" t="str">
        <f>IF($D27=0,"DNP",SUMIFS(OPPS_GbG[OPP 3PTM],OPPS_GbG[[TM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DZ27" s="18" t="str">
        <f>IF($D27=0,"DNP",SUMIFS(OPPS_GbG[OPP 3PTA],OPPS_GbG[[TM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A27" s="16" t="str">
        <f t="shared" si="62"/>
        <v>DNP</v>
      </c>
      <c r="EB27" s="18" t="str">
        <f>IF($D27=0,"DNP",SUMIFS(OPPS_GbG[OPP FGM],OPPS_GbG[[TM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C27" s="18" t="str">
        <f>IF($D27=0,"DNP",SUMIFS(OPPS_GbG[OPP FGA],OPPS_GbG[[TM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D27" s="16" t="str">
        <f t="shared" si="63"/>
        <v>DNP</v>
      </c>
      <c r="EE27" s="18" t="str">
        <f>IF($D27=0,"DNP",SUMIFS(OPPS_GbG[OPP FTM],OPPS_GbG[[TM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F27" s="18" t="str">
        <f>IF($D27=0,"DNP",SUMIFS(OPPS_GbG[OPP FTA],OPPS_GbG[[TM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G27" s="16" t="str">
        <f t="shared" si="64"/>
        <v>DNP</v>
      </c>
      <c r="EH27" s="18" t="str">
        <f>IF($D27=0,"DNP",SUMIFS(OPPS_GbG[OPP OR],OPPS_GbG[[TM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I27" s="18" t="str">
        <f>IF($D27=0,"DNP",SUMIFS(OPPS_GbG[OPP DR],OPPS_GbG[[TM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J27" s="18" t="str">
        <f>IF($D27=0,"DNP",SUMIFS(OPPS_GbG[OPP TR],OPPS_GbG[[TM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K27" s="18" t="str">
        <f>IF($D27=0,"DNP",SUMIFS(OPPS_GbG[OPP AST],OPPS_GbG[[TM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L27" s="18" t="str">
        <f>IF($D27=0,"DNP",SUMIFS(OPPS_GbG[OPP PF],OPPS_GbG[[TM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M27" s="18" t="str">
        <f>IF($D27=0,"DNP",SUMIFS(OPPS_GbG[OPP DF],OPPS_GbG[[TM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N27" s="18" t="str">
        <f>IF($D27=0,"DNP",SUMIFS(OPPS_GbG[OPP ST],OPPS_GbG[[TM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O27" s="18" t="str">
        <f>IF($D27=0,"DNP",SUMIFS(OPPS_GbG[OPP TO],OPPS_GbG[[TM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P27" s="18" t="str">
        <f>IF($D27=0,"DNP",SUMIFS(OPPS_GbG[OPP BLK],OPPS_GbG[[TM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Q27" s="18" t="str">
        <f>IF($D27=0,"DNP",SUMIFS(OPPS_GbG[OPP BLKA],OPPS_GbG[[TM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R27" s="18" t="str">
        <f>IF($D27=0,"DNP",SUMIFS(OPPS_GbG[OPP VAL],OPPS_GbG[[TM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S27" s="18" t="str">
        <f>IF($D27=0,"DNP",SUMIFS(OPPS_GbG[OPP + / -],OPPS_GbG[[TM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T27" s="18" t="str">
        <f>IF($D27=0,"DNP",SUMIFS(OPPS_GbG[OPP POSS],OPPS_GbG[[TM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U27" s="18" t="str">
        <f>IF($D27=0,"DNP",SUMIFS(OPPS_GbG[OPP SHOOTING CHANCES],OPPS_GbG[[TM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V27" s="18" t="str">
        <f>IF($D27=0,"DNP",SUMIFS(OPPS_GbG[OPP KILLS],OPPS_GbG[[TM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W27" s="18" t="str">
        <f>IF($D27=0,"DNP",SUMIFS(OPPS_GbG[OPP ASTED_2FG],OPPS_GbG[[TM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X27" s="18" t="str">
        <f>IF($D27=0,"DNP",SUMIFS(OPPS_GbG[OPP ASTED_3FG],OPPS_GbG[[TM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Y27" s="18" t="str">
        <f>IF($D27=0,"DNP",SUMIFS(OPPS_GbG[OPP ASTED_FT],OPPS_GbG[[TM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EZ27" s="18" t="str">
        <f>IF($D27=0,"DNP",SUMIFS(OPPS_GbG[OPP ASTED_FT PTS],OPPS_GbG[[TM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A27" s="18" t="str">
        <f>IF($D27=0,"DNP",SUMIFS(OPPS_GbG[OPP OR_RIM],OPPS_GbG[[TM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B27" s="18" t="str">
        <f>IF($D27=0,"DNP",SUMIFS(OPPS_GbG[OPP TM OR_RIM],OPPS_GbG[[TM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C27" s="18" t="str">
        <f>IF($D27=0,"DNP",SUMIFS(OPPS_GbG[OPP OR_PAINT],OPPS_GbG[[TM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D27" s="18" t="str">
        <f>IF($D27=0,"DNP",SUMIFS(OPPS_GbG[OPP TM OR_PAINT],OPPS_GbG[[TM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E27" s="18" t="str">
        <f>IF($D27=0,"DNP",SUMIFS(OPPS_GbG[OPP OR_NP2],OPPS_GbG[[TM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F27" s="18" t="str">
        <f>IF($D27=0,"DNP",SUMIFS(OPPS_GbG[OPP TM OR_NP2],OPPS_GbG[[TM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G27" s="18" t="str">
        <f>IF($D27=0,"DNP",SUMIFS(OPPS_GbG[OPP OR_3C],OPPS_GbG[[TM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H27" s="18" t="str">
        <f>IF($D27=0,"DNP",SUMIFS(OPPS_GbG[OPP TM OR_3C],OPPS_GbG[[TM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I27" s="18" t="str">
        <f>IF($D27=0,"DNP",SUMIFS(OPPS_GbG[OPP OR_3L],OPPS_GbG[[TM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J27" s="18" t="str">
        <f>IF($D27=0,"DNP",SUMIFS(OPPS_GbG[OPP TM OR_3L],OPPS_GbG[[TM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K27" s="18" t="str">
        <f>IF($D27=0,"DNP",SUMIFS(OPPS_GbG[OPP OR_FT],OPPS_GbG[[TM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L27" s="18" t="str">
        <f>IF($D27=0,"DNP",SUMIFS(OPPS_GbG[OPP TM OR_FT],OPPS_GbG[[TM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M27" s="18" t="str">
        <f>IF($D27=0,"DNP",SUMIFS(OPPS_GbG[OPP DR_RIM],OPPS_GbG[[TM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N27" s="18" t="str">
        <f>IF($D27=0,"DNP",SUMIFS(OPPS_GbG[OPP TM DR_RIM],OPPS_GbG[[TM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O27" s="18" t="str">
        <f>IF($D27=0,"DNP",SUMIFS(OPPS_GbG[OPP DR_PAINT],OPPS_GbG[[TM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P27" s="18" t="str">
        <f>IF($D27=0,"DNP",SUMIFS(OPPS_GbG[OPP TM DR_PAINT],OPPS_GbG[[TM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Q27" s="18" t="str">
        <f>IF($D27=0,"DNP",SUMIFS(OPPS_GbG[OPP DR_NP2],OPPS_GbG[[TM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R27" s="18" t="str">
        <f>IF($D27=0,"DNP",SUMIFS(OPPS_GbG[OPP TM DR_NP2],OPPS_GbG[[TM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S27" s="18" t="str">
        <f>IF($D27=0,"DNP",SUMIFS(OPPS_GbG[OPP DR_3C],OPPS_GbG[[TM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T27" s="18" t="str">
        <f>IF($D27=0,"DNP",SUMIFS(OPPS_GbG[OPP TM DR_3C],OPPS_GbG[[TM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U27" s="18" t="str">
        <f>IF($D27=0,"DNP",SUMIFS(OPPS_GbG[OPP DR_3L],OPPS_GbG[[TM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V27" s="18" t="str">
        <f>IF($D27=0,"DNP",SUMIFS(OPPS_GbG[OPP TM DR_3L],OPPS_GbG[[TM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W27" s="18" t="str">
        <f>IF($D27=0,"DNP",SUMIFS(OPPS_GbG[OPP DR_FT],OPPS_GbG[[TM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X27" s="18" t="str">
        <f>IF($D27=0,"DNP",SUMIFS(OPPS_GbG[OPP TM DR_FT],OPPS_GbG[[TM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Y27" s="18" t="str">
        <f>IF($D27=0,"DNP",SUMIFS(OPPS_GbG[OPP FTM_T],OPPS_GbG[[TM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FZ27" s="18" t="str">
        <f>IF($D27=0,"DNP",SUMIFS(OPPS_GbG[OPP FTA_T],OPPS_GbG[[TM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A27" s="18" t="str">
        <f>IF($D27=0,"DNP",SUMIFS(OPPS_GbG[OPP FTM_1],OPPS_GbG[[TM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B27" s="18" t="str">
        <f>IF($D27=0,"DNP",SUMIFS(OPPS_GbG[OPP FTA_1],OPPS_GbG[[TM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C27" s="18" t="str">
        <f>IF($D27=0,"DNP",SUMIFS(OPPS_GbG[OPP FTM_2],OPPS_GbG[[TM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D27" s="18" t="str">
        <f>IF($D27=0,"DNP",SUMIFS(OPPS_GbG[OPP FTA_2],OPPS_GbG[[TM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E27" s="18" t="str">
        <f>IF($D27=0,"DNP",SUMIFS(OPPS_GbG[OPP FT 0/2],OPPS_GbG[[TM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F27" s="18" t="str">
        <f>IF($D27=0,"DNP",SUMIFS(OPPS_GbG[OPP FTM_3],OPPS_GbG[[TM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G27" s="18" t="str">
        <f>IF($D27=0,"DNP",SUMIFS(OPPS_GbG[OPP FTA_3],OPPS_GbG[[TM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H27" s="18" t="str">
        <f>IF($D27=0,"DNP",SUMIFS(OPPS_GbG[OPP FT 0/3],OPPS_GbG[[TM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I27" s="18" t="str">
        <f>IF($D27=0,"DNP",SUMIFS(OPPS_GbG[OPP RIM_M],OPPS_GbG[[TM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J27" s="18" t="str">
        <f>IF($D27=0,"DNP",SUMIFS(OPPS_GbG[OPP RIM_A],OPPS_GbG[[TM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K27" s="18" t="str">
        <f>IF($D27=0,"DNP",SUMIFS(OPPS_GbG[OPP PAINT_M],OPPS_GbG[[TM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L27" s="18" t="str">
        <f>IF($D27=0,"DNP",SUMIFS(OPPS_GbG[OPP PAINT_A],OPPS_GbG[[TM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M27" s="18" t="str">
        <f>IF($D27=0,"DNP",SUMIFS(OPPS_GbG[OPP MID_M],OPPS_GbG[[TM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N27" s="18" t="str">
        <f>IF($D27=0,"DNP",SUMIFS(OPPS_GbG[OPP MID_A],OPPS_GbG[[TM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O27" s="18" t="str">
        <f>IF($D27=0,"DNP",SUMIFS(OPPS_GbG[OPP 3C_M],OPPS_GbG[[TM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P27" s="18" t="str">
        <f>IF($D27=0,"DNP",SUMIFS(OPPS_GbG[OPP 3C_A],OPPS_GbG[[TM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Q27" s="18" t="str">
        <f>IF($D27=0,"DNP",SUMIFS(OPPS_GbG[OPP 3L_M],OPPS_GbG[[TM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R27" s="18" t="str">
        <f>IF($D27=0,"DNP",SUMIFS(OPPS_GbG[OPP 3L_A],OPPS_GbG[[TM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S27" s="18" t="str">
        <f>IF($D27=0,"DNP",SUMIFS(OPPS_GbG[OPP 3H_M],OPPS_GbG[[TM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  <c r="GT27" s="18" t="str">
        <f>IF($D27=0,"DNP",SUMIFS(OPPS_GbG[OPP 3H_A],OPPS_GbG[[TM NAME]:[TM NAME]],$C27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GAMES","&lt;1000",IF($F$3=BASIS_INFO!$T$3,"&lt;"&amp;BASIS_INFO!$B$11,IF($F$3=BASIS_INFO!$T$4,"&lt;"&amp;BASIS_INFO!$B$12,IF($F$3=BASIS_INFO!$T$5,"&lt;"&amp;BASIS_INFO!$B$13,IF($F$3=BASIS_INFO!$T$6,"&lt;"&amp;BASIS_INFO!$B$14))))))/IF($D$3="TOTAL",1,$D27))</f>
        <v>DNP</v>
      </c>
    </row>
    <row r="28" spans="2:202" ht="15" hidden="1" customHeight="1" x14ac:dyDescent="0.25">
      <c r="B28" s="12">
        <f>_xlfn.AGGREGATE(3,5,$C$7:C27)</f>
        <v>19</v>
      </c>
      <c r="C28" s="14" t="str">
        <f>BASIS_INFO!F23</f>
        <v/>
      </c>
      <c r="D28" s="20">
        <f>COUNTIFS(OPPS_GbG[[TM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28" s="20">
        <f>COUNTIFS(OPPS_GbG[[TM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28" s="20">
        <f>COUNTIFS(OPPS_GbG[[TM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28" s="18" t="str">
        <f>IF($D28=0,"DNP",SUMIFS(OPPS_GbG[MIN],OPPS_GbG[[TM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H28" s="18" t="str">
        <f>IF($D28=0,"DNP",SUMIFS(OPPS_GbG[PTS],OPPS_GbG[[TM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I28" s="18" t="str">
        <f>IF($D28=0,"DNP",SUMIFS(OPPS_GbG[2PTM],OPPS_GbG[[TM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J28" s="18" t="str">
        <f>IF($D28=0,"DNP",SUMIFS(OPPS_GbG[2PTA],OPPS_GbG[[TM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K28" s="16" t="str">
        <f t="shared" si="56"/>
        <v>DNP</v>
      </c>
      <c r="L28" s="18" t="str">
        <f>IF($D28=0,"DNP",SUMIFS(OPPS_GbG[3PTM],OPPS_GbG[[TM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M28" s="18" t="str">
        <f>IF($D28=0,"DNP",SUMIFS(OPPS_GbG[3PTA],OPPS_GbG[[TM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N28" s="16" t="str">
        <f t="shared" si="57"/>
        <v>DNP</v>
      </c>
      <c r="O28" s="18" t="str">
        <f>IF($D28=0,"DNP",SUMIFS(OPPS_GbG[FGM],OPPS_GbG[[TM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P28" s="18" t="str">
        <f>IF($D28=0,"DNP",SUMIFS(OPPS_GbG[FGA],OPPS_GbG[[TM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Q28" s="16" t="str">
        <f t="shared" si="58"/>
        <v>DNP</v>
      </c>
      <c r="R28" s="18" t="str">
        <f>IF($D28=0,"DNP",SUMIFS(OPPS_GbG[FTM],OPPS_GbG[[TM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S28" s="18" t="str">
        <f>IF($D28=0,"DNP",SUMIFS(OPPS_GbG[FTA],OPPS_GbG[[TM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T28" s="16" t="str">
        <f t="shared" si="59"/>
        <v>DNP</v>
      </c>
      <c r="U28" s="18" t="str">
        <f>IF($D28=0,"DNP",SUMIFS(OPPS_GbG[OR],OPPS_GbG[[TM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V28" s="18" t="str">
        <f>IF($D28=0,"DNP",SUMIFS(OPPS_GbG[DR],OPPS_GbG[[TM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W28" s="18" t="str">
        <f>IF($D28=0,"DNP",SUMIFS(OPPS_GbG[TR],OPPS_GbG[[TM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X28" s="18" t="str">
        <f>IF($D28=0,"DNP",SUMIFS(OPPS_GbG[AST],OPPS_GbG[[TM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Y28" s="18" t="str">
        <f>IF($D28=0,"DNP",SUMIFS(OPPS_GbG[TO],OPPS_GbG[[TM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Z28" s="18" t="str">
        <f>IF($D28=0,"DNP",SUMIFS(OPPS_GbG[ST],OPPS_GbG[[TM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A28" s="18" t="str">
        <f>IF($D28=0,"DNP",SUMIFS(OPPS_GbG[BLK],OPPS_GbG[[TM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B28" s="18" t="str">
        <f>IF($D28=0,"DNP",SUMIFS(OPPS_GbG[BLKA],OPPS_GbG[[TM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C28" s="18" t="str">
        <f>IF($D28=0,"DNP",SUMIFS(OPPS_GbG[PF],OPPS_GbG[[TM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D28" s="18" t="str">
        <f>IF($D28=0,"DNP",SUMIFS(OPPS_GbG[DF],OPPS_GbG[[TM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E28" s="18" t="str">
        <f>IF($D28=0,"DNP",SUMIFS(OPPS_GbG[VAL],OPPS_GbG[[TM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F28" s="18" t="str">
        <f>IF($D28=0,"DNP",SUMIFS(OPPS_GbG[+ / -],OPPS_GbG[[TM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G28" s="26" t="str">
        <f t="shared" si="0"/>
        <v>DNP</v>
      </c>
      <c r="AH28" s="18" t="str">
        <f>IF($D28=0,"DNP",SUMIFS(OPPS_GbG[POSS],OPPS_GbG[[TM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I28" s="18" t="str">
        <f>IF($D28=0,"DNP",SUMIFS(OPPS_GbG[SHOOTING CHANCES],OPPS_GbG[[TM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AJ28" s="19" t="str">
        <f t="shared" si="1"/>
        <v>DNP</v>
      </c>
      <c r="AK28" s="19" t="str">
        <f t="shared" si="2"/>
        <v>DNP</v>
      </c>
      <c r="AL28" s="18" t="str">
        <f t="shared" si="3"/>
        <v>DNP</v>
      </c>
      <c r="AM28" s="18" t="str">
        <f t="shared" si="4"/>
        <v>DNP</v>
      </c>
      <c r="AN28" s="18" t="str">
        <f t="shared" si="60"/>
        <v>DNP</v>
      </c>
      <c r="AO28" s="27" t="str">
        <f t="shared" si="5"/>
        <v>DNP</v>
      </c>
      <c r="AP28" s="28" t="str">
        <f t="shared" si="6"/>
        <v>DNP</v>
      </c>
      <c r="AQ28" s="34" t="str">
        <f t="shared" si="7"/>
        <v>DNP</v>
      </c>
      <c r="AR28" s="19" t="str">
        <f t="shared" si="8"/>
        <v>DNP</v>
      </c>
      <c r="AS28" s="16" t="str">
        <f t="shared" si="9"/>
        <v>DNP</v>
      </c>
      <c r="AT28" s="18" t="str">
        <f t="shared" si="10"/>
        <v>DNP</v>
      </c>
      <c r="AU28" s="16" t="str">
        <f t="shared" si="11"/>
        <v>DNP</v>
      </c>
      <c r="AV28" s="18" t="str">
        <f t="shared" si="12"/>
        <v>DNP</v>
      </c>
      <c r="AW28" s="16" t="str">
        <f t="shared" si="13"/>
        <v>DNP</v>
      </c>
      <c r="AX28" s="19" t="str">
        <f t="shared" si="14"/>
        <v>DNP</v>
      </c>
      <c r="AY28" s="27" t="str">
        <f t="shared" si="15"/>
        <v>DNP</v>
      </c>
      <c r="AZ28" s="38" t="str">
        <f t="shared" si="16"/>
        <v>DNP</v>
      </c>
      <c r="BA28" s="28" t="str">
        <f t="shared" si="17"/>
        <v>DNP</v>
      </c>
      <c r="BB28" s="34" t="str">
        <f t="shared" si="18"/>
        <v>DNP</v>
      </c>
      <c r="BC28" s="27" t="str">
        <f t="shared" si="19"/>
        <v>DNP</v>
      </c>
      <c r="BD28" s="27" t="str">
        <f t="shared" si="20"/>
        <v>DNP</v>
      </c>
      <c r="BE28" s="27" t="str">
        <f t="shared" si="21"/>
        <v>DNP</v>
      </c>
      <c r="BF28" s="27" t="str">
        <f t="shared" si="22"/>
        <v>DNP</v>
      </c>
      <c r="BG28" s="27" t="str">
        <f t="shared" si="23"/>
        <v>DNP</v>
      </c>
      <c r="BH28" s="35" t="str">
        <f t="shared" si="24"/>
        <v>DNP</v>
      </c>
      <c r="BI28" s="34" t="str">
        <f t="shared" si="25"/>
        <v>DNP</v>
      </c>
      <c r="BJ28" s="27" t="str">
        <f t="shared" si="26"/>
        <v>DNP</v>
      </c>
      <c r="BK28" s="27" t="str">
        <f t="shared" si="27"/>
        <v>DNP</v>
      </c>
      <c r="BL28" s="27" t="str">
        <f t="shared" si="28"/>
        <v>DNP</v>
      </c>
      <c r="BM28" s="27" t="str">
        <f t="shared" si="29"/>
        <v>DNP</v>
      </c>
      <c r="BN28" s="27" t="str">
        <f t="shared" si="30"/>
        <v>DNP</v>
      </c>
      <c r="BO28" s="27" t="str">
        <f t="shared" si="31"/>
        <v>DNP</v>
      </c>
      <c r="BP28" s="27" t="str">
        <f t="shared" si="32"/>
        <v>DNP</v>
      </c>
      <c r="BQ28" s="28" t="str">
        <f t="shared" si="33"/>
        <v>DNP</v>
      </c>
      <c r="BR28" s="34" t="str">
        <f t="shared" si="34"/>
        <v>DNP</v>
      </c>
      <c r="BS28" s="27" t="str">
        <f t="shared" si="35"/>
        <v>DNP</v>
      </c>
      <c r="BT28" s="40" t="str">
        <f>IF($D28=0,"DNP",SUMIFS(OPPS_GbG[KILLS],OPPS_GbG[[TM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BU28" s="34" t="str">
        <f t="shared" si="36"/>
        <v>DNP</v>
      </c>
      <c r="BV28" s="28" t="str">
        <f t="shared" si="37"/>
        <v>DNP</v>
      </c>
      <c r="BW28" s="18" t="str">
        <f>IF($D28=0,"DNP",SUMIFS(OPPS_GbG[ASTED_2FG],OPPS_GbG[[TM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BX28" s="18" t="str">
        <f>IF($D28=0,"DNP",SUMIFS(OPPS_GbG[ASTED_3FG],OPPS_GbG[[TM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BY28" s="18" t="str">
        <f>IF($D28=0,"DNP",SUMIFS(OPPS_GbG[ASTED_FT],OPPS_GbG[[TM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BZ28" s="18" t="str">
        <f>IF($D28=0,"DNP",SUMIFS(OPPS_GbG[ASTED_FT PTS],OPPS_GbG[[TM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A28" s="18" t="str">
        <f>IF($D28=0,"DNP",SUMIFS(OPPS_GbG[OR_RIM],OPPS_GbG[[TM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B28" s="18" t="str">
        <f>IF($D28=0,"DNP",SUMIFS(OPPS_GbG[TM OR_RIM],OPPS_GbG[[TM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C28" s="18" t="str">
        <f>IF($D28=0,"DNP",SUMIFS(OPPS_GbG[OR_PAINT],OPPS_GbG[[TM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D28" s="18" t="str">
        <f>IF($D28=0,"DNP",SUMIFS(OPPS_GbG[TM OR_PAINT],OPPS_GbG[[TM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E28" s="18" t="str">
        <f>IF($D28=0,"DNP",SUMIFS(OPPS_GbG[OR_NP2],OPPS_GbG[[TM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F28" s="18" t="str">
        <f>IF($D28=0,"DNP",SUMIFS(OPPS_GbG[TM OR_NP2],OPPS_GbG[[TM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G28" s="18" t="str">
        <f>IF($D28=0,"DNP",SUMIFS(OPPS_GbG[OR_3C],OPPS_GbG[[TM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H28" s="18" t="str">
        <f>IF($D28=0,"DNP",SUMIFS(OPPS_GbG[TM OR_3C],OPPS_GbG[[TM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I28" s="18" t="str">
        <f>IF($D28=0,"DNP",SUMIFS(OPPS_GbG[OR_3L],OPPS_GbG[[TM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J28" s="18" t="str">
        <f>IF($D28=0,"DNP",SUMIFS(OPPS_GbG[TM OR_3L],OPPS_GbG[[TM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K28" s="18" t="str">
        <f>IF($D28=0,"DNP",SUMIFS(OPPS_GbG[OR_FT],OPPS_GbG[[TM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L28" s="18" t="str">
        <f>IF($D28=0,"DNP",SUMIFS(OPPS_GbG[TM OR_FT],OPPS_GbG[[TM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M28" s="18" t="str">
        <f>IF($D28=0,"DNP",SUMIFS(OPPS_GbG[DR_RIM],OPPS_GbG[[TM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N28" s="18" t="str">
        <f>IF($D28=0,"DNP",SUMIFS(OPPS_GbG[TM DR_RIM],OPPS_GbG[[TM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O28" s="18" t="str">
        <f>IF($D28=0,"DNP",SUMIFS(OPPS_GbG[DR_PAINT],OPPS_GbG[[TM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P28" s="18" t="str">
        <f>IF($D28=0,"DNP",SUMIFS(OPPS_GbG[TM DR_PAINT],OPPS_GbG[[TM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Q28" s="18" t="str">
        <f>IF($D28=0,"DNP",SUMIFS(OPPS_GbG[DR_NP2],OPPS_GbG[[TM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R28" s="18" t="str">
        <f>IF($D28=0,"DNP",SUMIFS(OPPS_GbG[TM DR_NP2],OPPS_GbG[[TM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S28" s="18" t="str">
        <f>IF($D28=0,"DNP",SUMIFS(OPPS_GbG[DR_3C],OPPS_GbG[[TM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T28" s="18" t="str">
        <f>IF($D28=0,"DNP",SUMIFS(OPPS_GbG[TM DR_3C],OPPS_GbG[[TM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U28" s="18" t="str">
        <f>IF($D28=0,"DNP",SUMIFS(OPPS_GbG[DR_3L],OPPS_GbG[[TM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V28" s="18" t="str">
        <f>IF($D28=0,"DNP",SUMIFS(OPPS_GbG[TM DR_3L],OPPS_GbG[[TM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W28" s="18" t="str">
        <f>IF($D28=0,"DNP",SUMIFS(OPPS_GbG[DR_FT],OPPS_GbG[[TM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X28" s="18" t="str">
        <f>IF($D28=0,"DNP",SUMIFS(OPPS_GbG[TM DR_FT],OPPS_GbG[[TM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Y28" s="18" t="str">
        <f>IF($D28=0,"DNP",SUMIFS(OPPS_GbG[FTM_T],OPPS_GbG[[TM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CZ28" s="18" t="str">
        <f>IF($D28=0,"DNP",SUMIFS(OPPS_GbG[FTA_T],OPPS_GbG[[TM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A28" s="18" t="str">
        <f>IF($D28=0,"DNP",SUMIFS(OPPS_GbG[FTM_1],OPPS_GbG[[TM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B28" s="18" t="str">
        <f>IF($D28=0,"DNP",SUMIFS(OPPS_GbG[FTA_1],OPPS_GbG[[TM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C28" s="18" t="str">
        <f>IF($D28=0,"DNP",SUMIFS(OPPS_GbG[FTM_2],OPPS_GbG[[TM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D28" s="18" t="str">
        <f>IF($D28=0,"DNP",SUMIFS(OPPS_GbG[FTA_2],OPPS_GbG[[TM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E28" s="18" t="str">
        <f>IF($D28=0,"DNP",SUMIFS(OPPS_GbG[FT 0/2],OPPS_GbG[[TM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F28" s="18" t="str">
        <f>IF($D28=0,"DNP",SUMIFS(OPPS_GbG[FTM_3],OPPS_GbG[[TM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G28" s="18" t="str">
        <f>IF($D28=0,"DNP",SUMIFS(OPPS_GbG[FTA_3],OPPS_GbG[[TM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H28" s="18" t="str">
        <f>IF($D28=0,"DNP",SUMIFS(OPPS_GbG[FT 0/3],OPPS_GbG[[TM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I28" s="18" t="str">
        <f>IF($D28=0,"DNP",SUMIFS(OPPS_GbG[RIM_M],OPPS_GbG[[TM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J28" s="18" t="str">
        <f>IF($D28=0,"DNP",SUMIFS(OPPS_GbG[RIM_A],OPPS_GbG[[TM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K28" s="18" t="str">
        <f>IF($D28=0,"DNP",SUMIFS(OPPS_GbG[PAINT_M],OPPS_GbG[[TM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L28" s="18" t="str">
        <f>IF($D28=0,"DNP",SUMIFS(OPPS_GbG[PAINT_A],OPPS_GbG[[TM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M28" s="18" t="str">
        <f>IF($D28=0,"DNP",SUMIFS(OPPS_GbG[MID_M],OPPS_GbG[[TM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N28" s="18" t="str">
        <f>IF($D28=0,"DNP",SUMIFS(OPPS_GbG[MID_A],OPPS_GbG[[TM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O28" s="18" t="str">
        <f>IF($D28=0,"DNP",SUMIFS(OPPS_GbG[3C_M],OPPS_GbG[[TM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P28" s="18" t="str">
        <f>IF($D28=0,"DNP",SUMIFS(OPPS_GbG[3C_A],OPPS_GbG[[TM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Q28" s="18" t="str">
        <f>IF($D28=0,"DNP",SUMIFS(OPPS_GbG[3L_M],OPPS_GbG[[TM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R28" s="18" t="str">
        <f>IF($D28=0,"DNP",SUMIFS(OPPS_GbG[3L_A],OPPS_GbG[[TM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S28" s="18" t="str">
        <f>IF($D28=0,"DNP",SUMIFS(OPPS_GbG[3H_M],OPPS_GbG[[TM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T28" s="18" t="str">
        <f>IF($D28=0,"DNP",SUMIFS(OPPS_GbG[3H_A],OPPS_GbG[[TM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U28" s="18" t="str">
        <f>IF($D28=0,"DNP",SUMIFS(OPPS_GbG[OPP PTS],OPPS_GbG[[TM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V28" s="18" t="str">
        <f>IF($D28=0,"DNP",SUMIFS(OPPS_GbG[OPP 2PTM],OPPS_GbG[[TM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W28" s="18" t="str">
        <f>IF($D28=0,"DNP",SUMIFS(OPPS_GbG[OPP 2PTA],OPPS_GbG[[TM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X28" s="16" t="str">
        <f t="shared" si="61"/>
        <v>DNP</v>
      </c>
      <c r="DY28" s="18" t="str">
        <f>IF($D28=0,"DNP",SUMIFS(OPPS_GbG[OPP 3PTM],OPPS_GbG[[TM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DZ28" s="18" t="str">
        <f>IF($D28=0,"DNP",SUMIFS(OPPS_GbG[OPP 3PTA],OPPS_GbG[[TM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A28" s="16" t="str">
        <f t="shared" si="62"/>
        <v>DNP</v>
      </c>
      <c r="EB28" s="18" t="str">
        <f>IF($D28=0,"DNP",SUMIFS(OPPS_GbG[OPP FGM],OPPS_GbG[[TM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C28" s="18" t="str">
        <f>IF($D28=0,"DNP",SUMIFS(OPPS_GbG[OPP FGA],OPPS_GbG[[TM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D28" s="16" t="str">
        <f t="shared" si="63"/>
        <v>DNP</v>
      </c>
      <c r="EE28" s="18" t="str">
        <f>IF($D28=0,"DNP",SUMIFS(OPPS_GbG[OPP FTM],OPPS_GbG[[TM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F28" s="18" t="str">
        <f>IF($D28=0,"DNP",SUMIFS(OPPS_GbG[OPP FTA],OPPS_GbG[[TM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G28" s="16" t="str">
        <f t="shared" si="64"/>
        <v>DNP</v>
      </c>
      <c r="EH28" s="18" t="str">
        <f>IF($D28=0,"DNP",SUMIFS(OPPS_GbG[OPP OR],OPPS_GbG[[TM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I28" s="18" t="str">
        <f>IF($D28=0,"DNP",SUMIFS(OPPS_GbG[OPP DR],OPPS_GbG[[TM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J28" s="18" t="str">
        <f>IF($D28=0,"DNP",SUMIFS(OPPS_GbG[OPP TR],OPPS_GbG[[TM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K28" s="18" t="str">
        <f>IF($D28=0,"DNP",SUMIFS(OPPS_GbG[OPP AST],OPPS_GbG[[TM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L28" s="18" t="str">
        <f>IF($D28=0,"DNP",SUMIFS(OPPS_GbG[OPP PF],OPPS_GbG[[TM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M28" s="18" t="str">
        <f>IF($D28=0,"DNP",SUMIFS(OPPS_GbG[OPP DF],OPPS_GbG[[TM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N28" s="18" t="str">
        <f>IF($D28=0,"DNP",SUMIFS(OPPS_GbG[OPP ST],OPPS_GbG[[TM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O28" s="18" t="str">
        <f>IF($D28=0,"DNP",SUMIFS(OPPS_GbG[OPP TO],OPPS_GbG[[TM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P28" s="18" t="str">
        <f>IF($D28=0,"DNP",SUMIFS(OPPS_GbG[OPP BLK],OPPS_GbG[[TM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Q28" s="18" t="str">
        <f>IF($D28=0,"DNP",SUMIFS(OPPS_GbG[OPP BLKA],OPPS_GbG[[TM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R28" s="18" t="str">
        <f>IF($D28=0,"DNP",SUMIFS(OPPS_GbG[OPP VAL],OPPS_GbG[[TM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S28" s="18" t="str">
        <f>IF($D28=0,"DNP",SUMIFS(OPPS_GbG[OPP + / -],OPPS_GbG[[TM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T28" s="18" t="str">
        <f>IF($D28=0,"DNP",SUMIFS(OPPS_GbG[OPP POSS],OPPS_GbG[[TM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U28" s="18" t="str">
        <f>IF($D28=0,"DNP",SUMIFS(OPPS_GbG[OPP SHOOTING CHANCES],OPPS_GbG[[TM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V28" s="18" t="str">
        <f>IF($D28=0,"DNP",SUMIFS(OPPS_GbG[OPP KILLS],OPPS_GbG[[TM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W28" s="18" t="str">
        <f>IF($D28=0,"DNP",SUMIFS(OPPS_GbG[OPP ASTED_2FG],OPPS_GbG[[TM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X28" s="18" t="str">
        <f>IF($D28=0,"DNP",SUMIFS(OPPS_GbG[OPP ASTED_3FG],OPPS_GbG[[TM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Y28" s="18" t="str">
        <f>IF($D28=0,"DNP",SUMIFS(OPPS_GbG[OPP ASTED_FT],OPPS_GbG[[TM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EZ28" s="18" t="str">
        <f>IF($D28=0,"DNP",SUMIFS(OPPS_GbG[OPP ASTED_FT PTS],OPPS_GbG[[TM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A28" s="18" t="str">
        <f>IF($D28=0,"DNP",SUMIFS(OPPS_GbG[OPP OR_RIM],OPPS_GbG[[TM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B28" s="18" t="str">
        <f>IF($D28=0,"DNP",SUMIFS(OPPS_GbG[OPP TM OR_RIM],OPPS_GbG[[TM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C28" s="18" t="str">
        <f>IF($D28=0,"DNP",SUMIFS(OPPS_GbG[OPP OR_PAINT],OPPS_GbG[[TM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D28" s="18" t="str">
        <f>IF($D28=0,"DNP",SUMIFS(OPPS_GbG[OPP TM OR_PAINT],OPPS_GbG[[TM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E28" s="18" t="str">
        <f>IF($D28=0,"DNP",SUMIFS(OPPS_GbG[OPP OR_NP2],OPPS_GbG[[TM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F28" s="18" t="str">
        <f>IF($D28=0,"DNP",SUMIFS(OPPS_GbG[OPP TM OR_NP2],OPPS_GbG[[TM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G28" s="18" t="str">
        <f>IF($D28=0,"DNP",SUMIFS(OPPS_GbG[OPP OR_3C],OPPS_GbG[[TM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H28" s="18" t="str">
        <f>IF($D28=0,"DNP",SUMIFS(OPPS_GbG[OPP TM OR_3C],OPPS_GbG[[TM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I28" s="18" t="str">
        <f>IF($D28=0,"DNP",SUMIFS(OPPS_GbG[OPP OR_3L],OPPS_GbG[[TM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J28" s="18" t="str">
        <f>IF($D28=0,"DNP",SUMIFS(OPPS_GbG[OPP TM OR_3L],OPPS_GbG[[TM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K28" s="18" t="str">
        <f>IF($D28=0,"DNP",SUMIFS(OPPS_GbG[OPP OR_FT],OPPS_GbG[[TM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L28" s="18" t="str">
        <f>IF($D28=0,"DNP",SUMIFS(OPPS_GbG[OPP TM OR_FT],OPPS_GbG[[TM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M28" s="18" t="str">
        <f>IF($D28=0,"DNP",SUMIFS(OPPS_GbG[OPP DR_RIM],OPPS_GbG[[TM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N28" s="18" t="str">
        <f>IF($D28=0,"DNP",SUMIFS(OPPS_GbG[OPP TM DR_RIM],OPPS_GbG[[TM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O28" s="18" t="str">
        <f>IF($D28=0,"DNP",SUMIFS(OPPS_GbG[OPP DR_PAINT],OPPS_GbG[[TM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P28" s="18" t="str">
        <f>IF($D28=0,"DNP",SUMIFS(OPPS_GbG[OPP TM DR_PAINT],OPPS_GbG[[TM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Q28" s="18" t="str">
        <f>IF($D28=0,"DNP",SUMIFS(OPPS_GbG[OPP DR_NP2],OPPS_GbG[[TM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R28" s="18" t="str">
        <f>IF($D28=0,"DNP",SUMIFS(OPPS_GbG[OPP TM DR_NP2],OPPS_GbG[[TM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S28" s="18" t="str">
        <f>IF($D28=0,"DNP",SUMIFS(OPPS_GbG[OPP DR_3C],OPPS_GbG[[TM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T28" s="18" t="str">
        <f>IF($D28=0,"DNP",SUMIFS(OPPS_GbG[OPP TM DR_3C],OPPS_GbG[[TM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U28" s="18" t="str">
        <f>IF($D28=0,"DNP",SUMIFS(OPPS_GbG[OPP DR_3L],OPPS_GbG[[TM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V28" s="18" t="str">
        <f>IF($D28=0,"DNP",SUMIFS(OPPS_GbG[OPP TM DR_3L],OPPS_GbG[[TM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W28" s="18" t="str">
        <f>IF($D28=0,"DNP",SUMIFS(OPPS_GbG[OPP DR_FT],OPPS_GbG[[TM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X28" s="18" t="str">
        <f>IF($D28=0,"DNP",SUMIFS(OPPS_GbG[OPP TM DR_FT],OPPS_GbG[[TM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Y28" s="18" t="str">
        <f>IF($D28=0,"DNP",SUMIFS(OPPS_GbG[OPP FTM_T],OPPS_GbG[[TM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FZ28" s="18" t="str">
        <f>IF($D28=0,"DNP",SUMIFS(OPPS_GbG[OPP FTA_T],OPPS_GbG[[TM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A28" s="18" t="str">
        <f>IF($D28=0,"DNP",SUMIFS(OPPS_GbG[OPP FTM_1],OPPS_GbG[[TM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B28" s="18" t="str">
        <f>IF($D28=0,"DNP",SUMIFS(OPPS_GbG[OPP FTA_1],OPPS_GbG[[TM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C28" s="18" t="str">
        <f>IF($D28=0,"DNP",SUMIFS(OPPS_GbG[OPP FTM_2],OPPS_GbG[[TM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D28" s="18" t="str">
        <f>IF($D28=0,"DNP",SUMIFS(OPPS_GbG[OPP FTA_2],OPPS_GbG[[TM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E28" s="18" t="str">
        <f>IF($D28=0,"DNP",SUMIFS(OPPS_GbG[OPP FT 0/2],OPPS_GbG[[TM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F28" s="18" t="str">
        <f>IF($D28=0,"DNP",SUMIFS(OPPS_GbG[OPP FTM_3],OPPS_GbG[[TM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G28" s="18" t="str">
        <f>IF($D28=0,"DNP",SUMIFS(OPPS_GbG[OPP FTA_3],OPPS_GbG[[TM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H28" s="18" t="str">
        <f>IF($D28=0,"DNP",SUMIFS(OPPS_GbG[OPP FT 0/3],OPPS_GbG[[TM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I28" s="18" t="str">
        <f>IF($D28=0,"DNP",SUMIFS(OPPS_GbG[OPP RIM_M],OPPS_GbG[[TM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J28" s="18" t="str">
        <f>IF($D28=0,"DNP",SUMIFS(OPPS_GbG[OPP RIM_A],OPPS_GbG[[TM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K28" s="18" t="str">
        <f>IF($D28=0,"DNP",SUMIFS(OPPS_GbG[OPP PAINT_M],OPPS_GbG[[TM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L28" s="18" t="str">
        <f>IF($D28=0,"DNP",SUMIFS(OPPS_GbG[OPP PAINT_A],OPPS_GbG[[TM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M28" s="18" t="str">
        <f>IF($D28=0,"DNP",SUMIFS(OPPS_GbG[OPP MID_M],OPPS_GbG[[TM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N28" s="18" t="str">
        <f>IF($D28=0,"DNP",SUMIFS(OPPS_GbG[OPP MID_A],OPPS_GbG[[TM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O28" s="18" t="str">
        <f>IF($D28=0,"DNP",SUMIFS(OPPS_GbG[OPP 3C_M],OPPS_GbG[[TM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P28" s="18" t="str">
        <f>IF($D28=0,"DNP",SUMIFS(OPPS_GbG[OPP 3C_A],OPPS_GbG[[TM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Q28" s="18" t="str">
        <f>IF($D28=0,"DNP",SUMIFS(OPPS_GbG[OPP 3L_M],OPPS_GbG[[TM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R28" s="18" t="str">
        <f>IF($D28=0,"DNP",SUMIFS(OPPS_GbG[OPP 3L_A],OPPS_GbG[[TM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S28" s="18" t="str">
        <f>IF($D28=0,"DNP",SUMIFS(OPPS_GbG[OPP 3H_M],OPPS_GbG[[TM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  <c r="GT28" s="18" t="str">
        <f>IF($D28=0,"DNP",SUMIFS(OPPS_GbG[OPP 3H_A],OPPS_GbG[[TM NAME]:[TM NAME]],$C28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GAMES","&lt;1000",IF($F$3=BASIS_INFO!$T$3,"&lt;"&amp;BASIS_INFO!$B$11,IF($F$3=BASIS_INFO!$T$4,"&lt;"&amp;BASIS_INFO!$B$12,IF($F$3=BASIS_INFO!$T$5,"&lt;"&amp;BASIS_INFO!$B$13,IF($F$3=BASIS_INFO!$T$6,"&lt;"&amp;BASIS_INFO!$B$14))))))/IF($D$3="TOTAL",1,$D28))</f>
        <v>DNP</v>
      </c>
    </row>
    <row r="29" spans="2:202" ht="15" hidden="1" customHeight="1" x14ac:dyDescent="0.25">
      <c r="B29" s="12">
        <f>_xlfn.AGGREGATE(3,5,$C$7:C28)</f>
        <v>19</v>
      </c>
      <c r="C29" s="14" t="str">
        <f>BASIS_INFO!F24</f>
        <v/>
      </c>
      <c r="D29" s="20">
        <f>COUNTIFS(OPPS_GbG[[TM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29" s="20">
        <f>COUNTIFS(OPPS_GbG[[TM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29" s="20">
        <f>COUNTIFS(OPPS_GbG[[TM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29" s="18" t="str">
        <f>IF($D29=0,"DNP",SUMIFS(OPPS_GbG[MIN],OPPS_GbG[[TM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H29" s="18" t="str">
        <f>IF($D29=0,"DNP",SUMIFS(OPPS_GbG[PTS],OPPS_GbG[[TM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I29" s="18" t="str">
        <f>IF($D29=0,"DNP",SUMIFS(OPPS_GbG[2PTM],OPPS_GbG[[TM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J29" s="18" t="str">
        <f>IF($D29=0,"DNP",SUMIFS(OPPS_GbG[2PTA],OPPS_GbG[[TM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K29" s="16" t="str">
        <f t="shared" si="56"/>
        <v>DNP</v>
      </c>
      <c r="L29" s="18" t="str">
        <f>IF($D29=0,"DNP",SUMIFS(OPPS_GbG[3PTM],OPPS_GbG[[TM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M29" s="18" t="str">
        <f>IF($D29=0,"DNP",SUMIFS(OPPS_GbG[3PTA],OPPS_GbG[[TM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N29" s="16" t="str">
        <f t="shared" si="57"/>
        <v>DNP</v>
      </c>
      <c r="O29" s="18" t="str">
        <f>IF($D29=0,"DNP",SUMIFS(OPPS_GbG[FGM],OPPS_GbG[[TM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P29" s="18" t="str">
        <f>IF($D29=0,"DNP",SUMIFS(OPPS_GbG[FGA],OPPS_GbG[[TM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Q29" s="16" t="str">
        <f t="shared" si="58"/>
        <v>DNP</v>
      </c>
      <c r="R29" s="18" t="str">
        <f>IF($D29=0,"DNP",SUMIFS(OPPS_GbG[FTM],OPPS_GbG[[TM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S29" s="18" t="str">
        <f>IF($D29=0,"DNP",SUMIFS(OPPS_GbG[FTA],OPPS_GbG[[TM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T29" s="16" t="str">
        <f t="shared" si="59"/>
        <v>DNP</v>
      </c>
      <c r="U29" s="18" t="str">
        <f>IF($D29=0,"DNP",SUMIFS(OPPS_GbG[OR],OPPS_GbG[[TM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V29" s="18" t="str">
        <f>IF($D29=0,"DNP",SUMIFS(OPPS_GbG[DR],OPPS_GbG[[TM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W29" s="18" t="str">
        <f>IF($D29=0,"DNP",SUMIFS(OPPS_GbG[TR],OPPS_GbG[[TM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X29" s="18" t="str">
        <f>IF($D29=0,"DNP",SUMIFS(OPPS_GbG[AST],OPPS_GbG[[TM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Y29" s="18" t="str">
        <f>IF($D29=0,"DNP",SUMIFS(OPPS_GbG[TO],OPPS_GbG[[TM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Z29" s="18" t="str">
        <f>IF($D29=0,"DNP",SUMIFS(OPPS_GbG[ST],OPPS_GbG[[TM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A29" s="18" t="str">
        <f>IF($D29=0,"DNP",SUMIFS(OPPS_GbG[BLK],OPPS_GbG[[TM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B29" s="18" t="str">
        <f>IF($D29=0,"DNP",SUMIFS(OPPS_GbG[BLKA],OPPS_GbG[[TM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C29" s="18" t="str">
        <f>IF($D29=0,"DNP",SUMIFS(OPPS_GbG[PF],OPPS_GbG[[TM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D29" s="18" t="str">
        <f>IF($D29=0,"DNP",SUMIFS(OPPS_GbG[DF],OPPS_GbG[[TM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E29" s="18" t="str">
        <f>IF($D29=0,"DNP",SUMIFS(OPPS_GbG[VAL],OPPS_GbG[[TM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F29" s="18" t="str">
        <f>IF($D29=0,"DNP",SUMIFS(OPPS_GbG[+ / -],OPPS_GbG[[TM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G29" s="26" t="str">
        <f t="shared" si="0"/>
        <v>DNP</v>
      </c>
      <c r="AH29" s="18" t="str">
        <f>IF($D29=0,"DNP",SUMIFS(OPPS_GbG[POSS],OPPS_GbG[[TM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I29" s="18" t="str">
        <f>IF($D29=0,"DNP",SUMIFS(OPPS_GbG[SHOOTING CHANCES],OPPS_GbG[[TM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AJ29" s="19" t="str">
        <f t="shared" si="1"/>
        <v>DNP</v>
      </c>
      <c r="AK29" s="19" t="str">
        <f t="shared" si="2"/>
        <v>DNP</v>
      </c>
      <c r="AL29" s="18" t="str">
        <f t="shared" si="3"/>
        <v>DNP</v>
      </c>
      <c r="AM29" s="18" t="str">
        <f t="shared" si="4"/>
        <v>DNP</v>
      </c>
      <c r="AN29" s="18" t="str">
        <f t="shared" si="60"/>
        <v>DNP</v>
      </c>
      <c r="AO29" s="27" t="str">
        <f t="shared" si="5"/>
        <v>DNP</v>
      </c>
      <c r="AP29" s="28" t="str">
        <f t="shared" si="6"/>
        <v>DNP</v>
      </c>
      <c r="AQ29" s="34" t="str">
        <f t="shared" si="7"/>
        <v>DNP</v>
      </c>
      <c r="AR29" s="19" t="str">
        <f t="shared" si="8"/>
        <v>DNP</v>
      </c>
      <c r="AS29" s="16" t="str">
        <f t="shared" si="9"/>
        <v>DNP</v>
      </c>
      <c r="AT29" s="18" t="str">
        <f t="shared" si="10"/>
        <v>DNP</v>
      </c>
      <c r="AU29" s="16" t="str">
        <f t="shared" si="11"/>
        <v>DNP</v>
      </c>
      <c r="AV29" s="18" t="str">
        <f t="shared" si="12"/>
        <v>DNP</v>
      </c>
      <c r="AW29" s="16" t="str">
        <f t="shared" si="13"/>
        <v>DNP</v>
      </c>
      <c r="AX29" s="19" t="str">
        <f t="shared" si="14"/>
        <v>DNP</v>
      </c>
      <c r="AY29" s="27" t="str">
        <f t="shared" si="15"/>
        <v>DNP</v>
      </c>
      <c r="AZ29" s="38" t="str">
        <f t="shared" si="16"/>
        <v>DNP</v>
      </c>
      <c r="BA29" s="28" t="str">
        <f t="shared" si="17"/>
        <v>DNP</v>
      </c>
      <c r="BB29" s="34" t="str">
        <f t="shared" si="18"/>
        <v>DNP</v>
      </c>
      <c r="BC29" s="27" t="str">
        <f t="shared" si="19"/>
        <v>DNP</v>
      </c>
      <c r="BD29" s="27" t="str">
        <f t="shared" si="20"/>
        <v>DNP</v>
      </c>
      <c r="BE29" s="27" t="str">
        <f t="shared" si="21"/>
        <v>DNP</v>
      </c>
      <c r="BF29" s="27" t="str">
        <f t="shared" si="22"/>
        <v>DNP</v>
      </c>
      <c r="BG29" s="27" t="str">
        <f t="shared" si="23"/>
        <v>DNP</v>
      </c>
      <c r="BH29" s="35" t="str">
        <f t="shared" si="24"/>
        <v>DNP</v>
      </c>
      <c r="BI29" s="34" t="str">
        <f t="shared" si="25"/>
        <v>DNP</v>
      </c>
      <c r="BJ29" s="27" t="str">
        <f t="shared" si="26"/>
        <v>DNP</v>
      </c>
      <c r="BK29" s="27" t="str">
        <f t="shared" si="27"/>
        <v>DNP</v>
      </c>
      <c r="BL29" s="27" t="str">
        <f t="shared" si="28"/>
        <v>DNP</v>
      </c>
      <c r="BM29" s="27" t="str">
        <f t="shared" si="29"/>
        <v>DNP</v>
      </c>
      <c r="BN29" s="27" t="str">
        <f t="shared" si="30"/>
        <v>DNP</v>
      </c>
      <c r="BO29" s="27" t="str">
        <f t="shared" si="31"/>
        <v>DNP</v>
      </c>
      <c r="BP29" s="27" t="str">
        <f t="shared" si="32"/>
        <v>DNP</v>
      </c>
      <c r="BQ29" s="28" t="str">
        <f t="shared" si="33"/>
        <v>DNP</v>
      </c>
      <c r="BR29" s="34" t="str">
        <f t="shared" si="34"/>
        <v>DNP</v>
      </c>
      <c r="BS29" s="27" t="str">
        <f t="shared" si="35"/>
        <v>DNP</v>
      </c>
      <c r="BT29" s="40" t="str">
        <f>IF($D29=0,"DNP",SUMIFS(OPPS_GbG[KILLS],OPPS_GbG[[TM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BU29" s="34" t="str">
        <f t="shared" si="36"/>
        <v>DNP</v>
      </c>
      <c r="BV29" s="28" t="str">
        <f t="shared" si="37"/>
        <v>DNP</v>
      </c>
      <c r="BW29" s="18" t="str">
        <f>IF($D29=0,"DNP",SUMIFS(OPPS_GbG[ASTED_2FG],OPPS_GbG[[TM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BX29" s="18" t="str">
        <f>IF($D29=0,"DNP",SUMIFS(OPPS_GbG[ASTED_3FG],OPPS_GbG[[TM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BY29" s="18" t="str">
        <f>IF($D29=0,"DNP",SUMIFS(OPPS_GbG[ASTED_FT],OPPS_GbG[[TM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BZ29" s="18" t="str">
        <f>IF($D29=0,"DNP",SUMIFS(OPPS_GbG[ASTED_FT PTS],OPPS_GbG[[TM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A29" s="18" t="str">
        <f>IF($D29=0,"DNP",SUMIFS(OPPS_GbG[OR_RIM],OPPS_GbG[[TM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B29" s="18" t="str">
        <f>IF($D29=0,"DNP",SUMIFS(OPPS_GbG[TM OR_RIM],OPPS_GbG[[TM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C29" s="18" t="str">
        <f>IF($D29=0,"DNP",SUMIFS(OPPS_GbG[OR_PAINT],OPPS_GbG[[TM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D29" s="18" t="str">
        <f>IF($D29=0,"DNP",SUMIFS(OPPS_GbG[TM OR_PAINT],OPPS_GbG[[TM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E29" s="18" t="str">
        <f>IF($D29=0,"DNP",SUMIFS(OPPS_GbG[OR_NP2],OPPS_GbG[[TM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F29" s="18" t="str">
        <f>IF($D29=0,"DNP",SUMIFS(OPPS_GbG[TM OR_NP2],OPPS_GbG[[TM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G29" s="18" t="str">
        <f>IF($D29=0,"DNP",SUMIFS(OPPS_GbG[OR_3C],OPPS_GbG[[TM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H29" s="18" t="str">
        <f>IF($D29=0,"DNP",SUMIFS(OPPS_GbG[TM OR_3C],OPPS_GbG[[TM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I29" s="18" t="str">
        <f>IF($D29=0,"DNP",SUMIFS(OPPS_GbG[OR_3L],OPPS_GbG[[TM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J29" s="18" t="str">
        <f>IF($D29=0,"DNP",SUMIFS(OPPS_GbG[TM OR_3L],OPPS_GbG[[TM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K29" s="18" t="str">
        <f>IF($D29=0,"DNP",SUMIFS(OPPS_GbG[OR_FT],OPPS_GbG[[TM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L29" s="18" t="str">
        <f>IF($D29=0,"DNP",SUMIFS(OPPS_GbG[TM OR_FT],OPPS_GbG[[TM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M29" s="18" t="str">
        <f>IF($D29=0,"DNP",SUMIFS(OPPS_GbG[DR_RIM],OPPS_GbG[[TM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N29" s="18" t="str">
        <f>IF($D29=0,"DNP",SUMIFS(OPPS_GbG[TM DR_RIM],OPPS_GbG[[TM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O29" s="18" t="str">
        <f>IF($D29=0,"DNP",SUMIFS(OPPS_GbG[DR_PAINT],OPPS_GbG[[TM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P29" s="18" t="str">
        <f>IF($D29=0,"DNP",SUMIFS(OPPS_GbG[TM DR_PAINT],OPPS_GbG[[TM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Q29" s="18" t="str">
        <f>IF($D29=0,"DNP",SUMIFS(OPPS_GbG[DR_NP2],OPPS_GbG[[TM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R29" s="18" t="str">
        <f>IF($D29=0,"DNP",SUMIFS(OPPS_GbG[TM DR_NP2],OPPS_GbG[[TM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S29" s="18" t="str">
        <f>IF($D29=0,"DNP",SUMIFS(OPPS_GbG[DR_3C],OPPS_GbG[[TM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T29" s="18" t="str">
        <f>IF($D29=0,"DNP",SUMIFS(OPPS_GbG[TM DR_3C],OPPS_GbG[[TM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U29" s="18" t="str">
        <f>IF($D29=0,"DNP",SUMIFS(OPPS_GbG[DR_3L],OPPS_GbG[[TM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V29" s="18" t="str">
        <f>IF($D29=0,"DNP",SUMIFS(OPPS_GbG[TM DR_3L],OPPS_GbG[[TM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W29" s="18" t="str">
        <f>IF($D29=0,"DNP",SUMIFS(OPPS_GbG[DR_FT],OPPS_GbG[[TM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X29" s="18" t="str">
        <f>IF($D29=0,"DNP",SUMIFS(OPPS_GbG[TM DR_FT],OPPS_GbG[[TM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Y29" s="18" t="str">
        <f>IF($D29=0,"DNP",SUMIFS(OPPS_GbG[FTM_T],OPPS_GbG[[TM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CZ29" s="18" t="str">
        <f>IF($D29=0,"DNP",SUMIFS(OPPS_GbG[FTA_T],OPPS_GbG[[TM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A29" s="18" t="str">
        <f>IF($D29=0,"DNP",SUMIFS(OPPS_GbG[FTM_1],OPPS_GbG[[TM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B29" s="18" t="str">
        <f>IF($D29=0,"DNP",SUMIFS(OPPS_GbG[FTA_1],OPPS_GbG[[TM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C29" s="18" t="str">
        <f>IF($D29=0,"DNP",SUMIFS(OPPS_GbG[FTM_2],OPPS_GbG[[TM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D29" s="18" t="str">
        <f>IF($D29=0,"DNP",SUMIFS(OPPS_GbG[FTA_2],OPPS_GbG[[TM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E29" s="18" t="str">
        <f>IF($D29=0,"DNP",SUMIFS(OPPS_GbG[FT 0/2],OPPS_GbG[[TM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F29" s="18" t="str">
        <f>IF($D29=0,"DNP",SUMIFS(OPPS_GbG[FTM_3],OPPS_GbG[[TM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G29" s="18" t="str">
        <f>IF($D29=0,"DNP",SUMIFS(OPPS_GbG[FTA_3],OPPS_GbG[[TM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H29" s="18" t="str">
        <f>IF($D29=0,"DNP",SUMIFS(OPPS_GbG[FT 0/3],OPPS_GbG[[TM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I29" s="18" t="str">
        <f>IF($D29=0,"DNP",SUMIFS(OPPS_GbG[RIM_M],OPPS_GbG[[TM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J29" s="18" t="str">
        <f>IF($D29=0,"DNP",SUMIFS(OPPS_GbG[RIM_A],OPPS_GbG[[TM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K29" s="18" t="str">
        <f>IF($D29=0,"DNP",SUMIFS(OPPS_GbG[PAINT_M],OPPS_GbG[[TM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L29" s="18" t="str">
        <f>IF($D29=0,"DNP",SUMIFS(OPPS_GbG[PAINT_A],OPPS_GbG[[TM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M29" s="18" t="str">
        <f>IF($D29=0,"DNP",SUMIFS(OPPS_GbG[MID_M],OPPS_GbG[[TM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N29" s="18" t="str">
        <f>IF($D29=0,"DNP",SUMIFS(OPPS_GbG[MID_A],OPPS_GbG[[TM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O29" s="18" t="str">
        <f>IF($D29=0,"DNP",SUMIFS(OPPS_GbG[3C_M],OPPS_GbG[[TM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P29" s="18" t="str">
        <f>IF($D29=0,"DNP",SUMIFS(OPPS_GbG[3C_A],OPPS_GbG[[TM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Q29" s="18" t="str">
        <f>IF($D29=0,"DNP",SUMIFS(OPPS_GbG[3L_M],OPPS_GbG[[TM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R29" s="18" t="str">
        <f>IF($D29=0,"DNP",SUMIFS(OPPS_GbG[3L_A],OPPS_GbG[[TM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S29" s="18" t="str">
        <f>IF($D29=0,"DNP",SUMIFS(OPPS_GbG[3H_M],OPPS_GbG[[TM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T29" s="18" t="str">
        <f>IF($D29=0,"DNP",SUMIFS(OPPS_GbG[3H_A],OPPS_GbG[[TM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U29" s="18" t="str">
        <f>IF($D29=0,"DNP",SUMIFS(OPPS_GbG[OPP PTS],OPPS_GbG[[TM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V29" s="18" t="str">
        <f>IF($D29=0,"DNP",SUMIFS(OPPS_GbG[OPP 2PTM],OPPS_GbG[[TM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W29" s="18" t="str">
        <f>IF($D29=0,"DNP",SUMIFS(OPPS_GbG[OPP 2PTA],OPPS_GbG[[TM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X29" s="16" t="str">
        <f t="shared" si="61"/>
        <v>DNP</v>
      </c>
      <c r="DY29" s="18" t="str">
        <f>IF($D29=0,"DNP",SUMIFS(OPPS_GbG[OPP 3PTM],OPPS_GbG[[TM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DZ29" s="18" t="str">
        <f>IF($D29=0,"DNP",SUMIFS(OPPS_GbG[OPP 3PTA],OPPS_GbG[[TM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A29" s="16" t="str">
        <f t="shared" si="62"/>
        <v>DNP</v>
      </c>
      <c r="EB29" s="18" t="str">
        <f>IF($D29=0,"DNP",SUMIFS(OPPS_GbG[OPP FGM],OPPS_GbG[[TM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C29" s="18" t="str">
        <f>IF($D29=0,"DNP",SUMIFS(OPPS_GbG[OPP FGA],OPPS_GbG[[TM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D29" s="16" t="str">
        <f t="shared" si="63"/>
        <v>DNP</v>
      </c>
      <c r="EE29" s="18" t="str">
        <f>IF($D29=0,"DNP",SUMIFS(OPPS_GbG[OPP FTM],OPPS_GbG[[TM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F29" s="18" t="str">
        <f>IF($D29=0,"DNP",SUMIFS(OPPS_GbG[OPP FTA],OPPS_GbG[[TM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G29" s="16" t="str">
        <f t="shared" si="64"/>
        <v>DNP</v>
      </c>
      <c r="EH29" s="18" t="str">
        <f>IF($D29=0,"DNP",SUMIFS(OPPS_GbG[OPP OR],OPPS_GbG[[TM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I29" s="18" t="str">
        <f>IF($D29=0,"DNP",SUMIFS(OPPS_GbG[OPP DR],OPPS_GbG[[TM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J29" s="18" t="str">
        <f>IF($D29=0,"DNP",SUMIFS(OPPS_GbG[OPP TR],OPPS_GbG[[TM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K29" s="18" t="str">
        <f>IF($D29=0,"DNP",SUMIFS(OPPS_GbG[OPP AST],OPPS_GbG[[TM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L29" s="18" t="str">
        <f>IF($D29=0,"DNP",SUMIFS(OPPS_GbG[OPP PF],OPPS_GbG[[TM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M29" s="18" t="str">
        <f>IF($D29=0,"DNP",SUMIFS(OPPS_GbG[OPP DF],OPPS_GbG[[TM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N29" s="18" t="str">
        <f>IF($D29=0,"DNP",SUMIFS(OPPS_GbG[OPP ST],OPPS_GbG[[TM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O29" s="18" t="str">
        <f>IF($D29=0,"DNP",SUMIFS(OPPS_GbG[OPP TO],OPPS_GbG[[TM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P29" s="18" t="str">
        <f>IF($D29=0,"DNP",SUMIFS(OPPS_GbG[OPP BLK],OPPS_GbG[[TM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Q29" s="18" t="str">
        <f>IF($D29=0,"DNP",SUMIFS(OPPS_GbG[OPP BLKA],OPPS_GbG[[TM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R29" s="18" t="str">
        <f>IF($D29=0,"DNP",SUMIFS(OPPS_GbG[OPP VAL],OPPS_GbG[[TM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S29" s="18" t="str">
        <f>IF($D29=0,"DNP",SUMIFS(OPPS_GbG[OPP + / -],OPPS_GbG[[TM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T29" s="18" t="str">
        <f>IF($D29=0,"DNP",SUMIFS(OPPS_GbG[OPP POSS],OPPS_GbG[[TM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U29" s="18" t="str">
        <f>IF($D29=0,"DNP",SUMIFS(OPPS_GbG[OPP SHOOTING CHANCES],OPPS_GbG[[TM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V29" s="18" t="str">
        <f>IF($D29=0,"DNP",SUMIFS(OPPS_GbG[OPP KILLS],OPPS_GbG[[TM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W29" s="18" t="str">
        <f>IF($D29=0,"DNP",SUMIFS(OPPS_GbG[OPP ASTED_2FG],OPPS_GbG[[TM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X29" s="18" t="str">
        <f>IF($D29=0,"DNP",SUMIFS(OPPS_GbG[OPP ASTED_3FG],OPPS_GbG[[TM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Y29" s="18" t="str">
        <f>IF($D29=0,"DNP",SUMIFS(OPPS_GbG[OPP ASTED_FT],OPPS_GbG[[TM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EZ29" s="18" t="str">
        <f>IF($D29=0,"DNP",SUMIFS(OPPS_GbG[OPP ASTED_FT PTS],OPPS_GbG[[TM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A29" s="18" t="str">
        <f>IF($D29=0,"DNP",SUMIFS(OPPS_GbG[OPP OR_RIM],OPPS_GbG[[TM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B29" s="18" t="str">
        <f>IF($D29=0,"DNP",SUMIFS(OPPS_GbG[OPP TM OR_RIM],OPPS_GbG[[TM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C29" s="18" t="str">
        <f>IF($D29=0,"DNP",SUMIFS(OPPS_GbG[OPP OR_PAINT],OPPS_GbG[[TM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D29" s="18" t="str">
        <f>IF($D29=0,"DNP",SUMIFS(OPPS_GbG[OPP TM OR_PAINT],OPPS_GbG[[TM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E29" s="18" t="str">
        <f>IF($D29=0,"DNP",SUMIFS(OPPS_GbG[OPP OR_NP2],OPPS_GbG[[TM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F29" s="18" t="str">
        <f>IF($D29=0,"DNP",SUMIFS(OPPS_GbG[OPP TM OR_NP2],OPPS_GbG[[TM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G29" s="18" t="str">
        <f>IF($D29=0,"DNP",SUMIFS(OPPS_GbG[OPP OR_3C],OPPS_GbG[[TM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H29" s="18" t="str">
        <f>IF($D29=0,"DNP",SUMIFS(OPPS_GbG[OPP TM OR_3C],OPPS_GbG[[TM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I29" s="18" t="str">
        <f>IF($D29=0,"DNP",SUMIFS(OPPS_GbG[OPP OR_3L],OPPS_GbG[[TM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J29" s="18" t="str">
        <f>IF($D29=0,"DNP",SUMIFS(OPPS_GbG[OPP TM OR_3L],OPPS_GbG[[TM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K29" s="18" t="str">
        <f>IF($D29=0,"DNP",SUMIFS(OPPS_GbG[OPP OR_FT],OPPS_GbG[[TM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L29" s="18" t="str">
        <f>IF($D29=0,"DNP",SUMIFS(OPPS_GbG[OPP TM OR_FT],OPPS_GbG[[TM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M29" s="18" t="str">
        <f>IF($D29=0,"DNP",SUMIFS(OPPS_GbG[OPP DR_RIM],OPPS_GbG[[TM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N29" s="18" t="str">
        <f>IF($D29=0,"DNP",SUMIFS(OPPS_GbG[OPP TM DR_RIM],OPPS_GbG[[TM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O29" s="18" t="str">
        <f>IF($D29=0,"DNP",SUMIFS(OPPS_GbG[OPP DR_PAINT],OPPS_GbG[[TM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P29" s="18" t="str">
        <f>IF($D29=0,"DNP",SUMIFS(OPPS_GbG[OPP TM DR_PAINT],OPPS_GbG[[TM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Q29" s="18" t="str">
        <f>IF($D29=0,"DNP",SUMIFS(OPPS_GbG[OPP DR_NP2],OPPS_GbG[[TM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R29" s="18" t="str">
        <f>IF($D29=0,"DNP",SUMIFS(OPPS_GbG[OPP TM DR_NP2],OPPS_GbG[[TM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S29" s="18" t="str">
        <f>IF($D29=0,"DNP",SUMIFS(OPPS_GbG[OPP DR_3C],OPPS_GbG[[TM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T29" s="18" t="str">
        <f>IF($D29=0,"DNP",SUMIFS(OPPS_GbG[OPP TM DR_3C],OPPS_GbG[[TM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U29" s="18" t="str">
        <f>IF($D29=0,"DNP",SUMIFS(OPPS_GbG[OPP DR_3L],OPPS_GbG[[TM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V29" s="18" t="str">
        <f>IF($D29=0,"DNP",SUMIFS(OPPS_GbG[OPP TM DR_3L],OPPS_GbG[[TM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W29" s="18" t="str">
        <f>IF($D29=0,"DNP",SUMIFS(OPPS_GbG[OPP DR_FT],OPPS_GbG[[TM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X29" s="18" t="str">
        <f>IF($D29=0,"DNP",SUMIFS(OPPS_GbG[OPP TM DR_FT],OPPS_GbG[[TM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Y29" s="18" t="str">
        <f>IF($D29=0,"DNP",SUMIFS(OPPS_GbG[OPP FTM_T],OPPS_GbG[[TM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FZ29" s="18" t="str">
        <f>IF($D29=0,"DNP",SUMIFS(OPPS_GbG[OPP FTA_T],OPPS_GbG[[TM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A29" s="18" t="str">
        <f>IF($D29=0,"DNP",SUMIFS(OPPS_GbG[OPP FTM_1],OPPS_GbG[[TM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B29" s="18" t="str">
        <f>IF($D29=0,"DNP",SUMIFS(OPPS_GbG[OPP FTA_1],OPPS_GbG[[TM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C29" s="18" t="str">
        <f>IF($D29=0,"DNP",SUMIFS(OPPS_GbG[OPP FTM_2],OPPS_GbG[[TM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D29" s="18" t="str">
        <f>IF($D29=0,"DNP",SUMIFS(OPPS_GbG[OPP FTA_2],OPPS_GbG[[TM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E29" s="18" t="str">
        <f>IF($D29=0,"DNP",SUMIFS(OPPS_GbG[OPP FT 0/2],OPPS_GbG[[TM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F29" s="18" t="str">
        <f>IF($D29=0,"DNP",SUMIFS(OPPS_GbG[OPP FTM_3],OPPS_GbG[[TM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G29" s="18" t="str">
        <f>IF($D29=0,"DNP",SUMIFS(OPPS_GbG[OPP FTA_3],OPPS_GbG[[TM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H29" s="18" t="str">
        <f>IF($D29=0,"DNP",SUMIFS(OPPS_GbG[OPP FT 0/3],OPPS_GbG[[TM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I29" s="18" t="str">
        <f>IF($D29=0,"DNP",SUMIFS(OPPS_GbG[OPP RIM_M],OPPS_GbG[[TM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J29" s="18" t="str">
        <f>IF($D29=0,"DNP",SUMIFS(OPPS_GbG[OPP RIM_A],OPPS_GbG[[TM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K29" s="18" t="str">
        <f>IF($D29=0,"DNP",SUMIFS(OPPS_GbG[OPP PAINT_M],OPPS_GbG[[TM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L29" s="18" t="str">
        <f>IF($D29=0,"DNP",SUMIFS(OPPS_GbG[OPP PAINT_A],OPPS_GbG[[TM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M29" s="18" t="str">
        <f>IF($D29=0,"DNP",SUMIFS(OPPS_GbG[OPP MID_M],OPPS_GbG[[TM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N29" s="18" t="str">
        <f>IF($D29=0,"DNP",SUMIFS(OPPS_GbG[OPP MID_A],OPPS_GbG[[TM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O29" s="18" t="str">
        <f>IF($D29=0,"DNP",SUMIFS(OPPS_GbG[OPP 3C_M],OPPS_GbG[[TM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P29" s="18" t="str">
        <f>IF($D29=0,"DNP",SUMIFS(OPPS_GbG[OPP 3C_A],OPPS_GbG[[TM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Q29" s="18" t="str">
        <f>IF($D29=0,"DNP",SUMIFS(OPPS_GbG[OPP 3L_M],OPPS_GbG[[TM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R29" s="18" t="str">
        <f>IF($D29=0,"DNP",SUMIFS(OPPS_GbG[OPP 3L_A],OPPS_GbG[[TM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S29" s="18" t="str">
        <f>IF($D29=0,"DNP",SUMIFS(OPPS_GbG[OPP 3H_M],OPPS_GbG[[TM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  <c r="GT29" s="18" t="str">
        <f>IF($D29=0,"DNP",SUMIFS(OPPS_GbG[OPP 3H_A],OPPS_GbG[[TM NAME]:[TM NAME]],$C29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GAMES","&lt;1000",IF($F$3=BASIS_INFO!$T$3,"&lt;"&amp;BASIS_INFO!$B$11,IF($F$3=BASIS_INFO!$T$4,"&lt;"&amp;BASIS_INFO!$B$12,IF($F$3=BASIS_INFO!$T$5,"&lt;"&amp;BASIS_INFO!$B$13,IF($F$3=BASIS_INFO!$T$6,"&lt;"&amp;BASIS_INFO!$B$14))))))/IF($D$3="TOTAL",1,$D29))</f>
        <v>DNP</v>
      </c>
    </row>
    <row r="30" spans="2:202" ht="15" hidden="1" customHeight="1" x14ac:dyDescent="0.25">
      <c r="B30" s="12">
        <f>_xlfn.AGGREGATE(3,5,$C$7:C29)</f>
        <v>19</v>
      </c>
      <c r="C30" s="14" t="str">
        <f>BASIS_INFO!F25</f>
        <v/>
      </c>
      <c r="D30" s="20">
        <f>COUNTIFS(OPPS_GbG[[TM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0" s="20">
        <f>COUNTIFS(OPPS_GbG[[TM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0" s="20">
        <f>COUNTIFS(OPPS_GbG[[TM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0" s="18" t="str">
        <f>IF($D30=0,"DNP",SUMIFS(OPPS_GbG[MIN],OPPS_GbG[[TM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H30" s="18" t="str">
        <f>IF($D30=0,"DNP",SUMIFS(OPPS_GbG[PTS],OPPS_GbG[[TM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I30" s="18" t="str">
        <f>IF($D30=0,"DNP",SUMIFS(OPPS_GbG[2PTM],OPPS_GbG[[TM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J30" s="18" t="str">
        <f>IF($D30=0,"DNP",SUMIFS(OPPS_GbG[2PTA],OPPS_GbG[[TM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K30" s="16" t="str">
        <f t="shared" si="56"/>
        <v>DNP</v>
      </c>
      <c r="L30" s="18" t="str">
        <f>IF($D30=0,"DNP",SUMIFS(OPPS_GbG[3PTM],OPPS_GbG[[TM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M30" s="18" t="str">
        <f>IF($D30=0,"DNP",SUMIFS(OPPS_GbG[3PTA],OPPS_GbG[[TM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N30" s="16" t="str">
        <f t="shared" si="57"/>
        <v>DNP</v>
      </c>
      <c r="O30" s="18" t="str">
        <f>IF($D30=0,"DNP",SUMIFS(OPPS_GbG[FGM],OPPS_GbG[[TM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P30" s="18" t="str">
        <f>IF($D30=0,"DNP",SUMIFS(OPPS_GbG[FGA],OPPS_GbG[[TM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Q30" s="16" t="str">
        <f t="shared" si="58"/>
        <v>DNP</v>
      </c>
      <c r="R30" s="18" t="str">
        <f>IF($D30=0,"DNP",SUMIFS(OPPS_GbG[FTM],OPPS_GbG[[TM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S30" s="18" t="str">
        <f>IF($D30=0,"DNP",SUMIFS(OPPS_GbG[FTA],OPPS_GbG[[TM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T30" s="16" t="str">
        <f t="shared" si="59"/>
        <v>DNP</v>
      </c>
      <c r="U30" s="18" t="str">
        <f>IF($D30=0,"DNP",SUMIFS(OPPS_GbG[OR],OPPS_GbG[[TM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V30" s="18" t="str">
        <f>IF($D30=0,"DNP",SUMIFS(OPPS_GbG[DR],OPPS_GbG[[TM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W30" s="18" t="str">
        <f>IF($D30=0,"DNP",SUMIFS(OPPS_GbG[TR],OPPS_GbG[[TM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X30" s="18" t="str">
        <f>IF($D30=0,"DNP",SUMIFS(OPPS_GbG[AST],OPPS_GbG[[TM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Y30" s="18" t="str">
        <f>IF($D30=0,"DNP",SUMIFS(OPPS_GbG[TO],OPPS_GbG[[TM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Z30" s="18" t="str">
        <f>IF($D30=0,"DNP",SUMIFS(OPPS_GbG[ST],OPPS_GbG[[TM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A30" s="18" t="str">
        <f>IF($D30=0,"DNP",SUMIFS(OPPS_GbG[BLK],OPPS_GbG[[TM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B30" s="18" t="str">
        <f>IF($D30=0,"DNP",SUMIFS(OPPS_GbG[BLKA],OPPS_GbG[[TM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C30" s="18" t="str">
        <f>IF($D30=0,"DNP",SUMIFS(OPPS_GbG[PF],OPPS_GbG[[TM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D30" s="18" t="str">
        <f>IF($D30=0,"DNP",SUMIFS(OPPS_GbG[DF],OPPS_GbG[[TM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E30" s="18" t="str">
        <f>IF($D30=0,"DNP",SUMIFS(OPPS_GbG[VAL],OPPS_GbG[[TM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F30" s="18" t="str">
        <f>IF($D30=0,"DNP",SUMIFS(OPPS_GbG[+ / -],OPPS_GbG[[TM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G30" s="26" t="str">
        <f t="shared" si="0"/>
        <v>DNP</v>
      </c>
      <c r="AH30" s="18" t="str">
        <f>IF($D30=0,"DNP",SUMIFS(OPPS_GbG[POSS],OPPS_GbG[[TM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I30" s="18" t="str">
        <f>IF($D30=0,"DNP",SUMIFS(OPPS_GbG[SHOOTING CHANCES],OPPS_GbG[[TM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AJ30" s="19" t="str">
        <f t="shared" si="1"/>
        <v>DNP</v>
      </c>
      <c r="AK30" s="19" t="str">
        <f t="shared" si="2"/>
        <v>DNP</v>
      </c>
      <c r="AL30" s="18" t="str">
        <f t="shared" si="3"/>
        <v>DNP</v>
      </c>
      <c r="AM30" s="18" t="str">
        <f t="shared" si="4"/>
        <v>DNP</v>
      </c>
      <c r="AN30" s="18" t="str">
        <f t="shared" si="60"/>
        <v>DNP</v>
      </c>
      <c r="AO30" s="27" t="str">
        <f t="shared" si="5"/>
        <v>DNP</v>
      </c>
      <c r="AP30" s="28" t="str">
        <f t="shared" si="6"/>
        <v>DNP</v>
      </c>
      <c r="AQ30" s="34" t="str">
        <f t="shared" si="7"/>
        <v>DNP</v>
      </c>
      <c r="AR30" s="19" t="str">
        <f t="shared" si="8"/>
        <v>DNP</v>
      </c>
      <c r="AS30" s="16" t="str">
        <f t="shared" si="9"/>
        <v>DNP</v>
      </c>
      <c r="AT30" s="18" t="str">
        <f t="shared" si="10"/>
        <v>DNP</v>
      </c>
      <c r="AU30" s="16" t="str">
        <f t="shared" si="11"/>
        <v>DNP</v>
      </c>
      <c r="AV30" s="18" t="str">
        <f t="shared" si="12"/>
        <v>DNP</v>
      </c>
      <c r="AW30" s="16" t="str">
        <f t="shared" si="13"/>
        <v>DNP</v>
      </c>
      <c r="AX30" s="19" t="str">
        <f t="shared" si="14"/>
        <v>DNP</v>
      </c>
      <c r="AY30" s="27" t="str">
        <f t="shared" si="15"/>
        <v>DNP</v>
      </c>
      <c r="AZ30" s="38" t="str">
        <f t="shared" si="16"/>
        <v>DNP</v>
      </c>
      <c r="BA30" s="28" t="str">
        <f t="shared" si="17"/>
        <v>DNP</v>
      </c>
      <c r="BB30" s="34" t="str">
        <f t="shared" si="18"/>
        <v>DNP</v>
      </c>
      <c r="BC30" s="27" t="str">
        <f t="shared" si="19"/>
        <v>DNP</v>
      </c>
      <c r="BD30" s="27" t="str">
        <f t="shared" si="20"/>
        <v>DNP</v>
      </c>
      <c r="BE30" s="27" t="str">
        <f t="shared" si="21"/>
        <v>DNP</v>
      </c>
      <c r="BF30" s="27" t="str">
        <f t="shared" si="22"/>
        <v>DNP</v>
      </c>
      <c r="BG30" s="27" t="str">
        <f t="shared" si="23"/>
        <v>DNP</v>
      </c>
      <c r="BH30" s="35" t="str">
        <f t="shared" si="24"/>
        <v>DNP</v>
      </c>
      <c r="BI30" s="34" t="str">
        <f t="shared" si="25"/>
        <v>DNP</v>
      </c>
      <c r="BJ30" s="27" t="str">
        <f t="shared" si="26"/>
        <v>DNP</v>
      </c>
      <c r="BK30" s="27" t="str">
        <f t="shared" si="27"/>
        <v>DNP</v>
      </c>
      <c r="BL30" s="27" t="str">
        <f t="shared" si="28"/>
        <v>DNP</v>
      </c>
      <c r="BM30" s="27" t="str">
        <f t="shared" si="29"/>
        <v>DNP</v>
      </c>
      <c r="BN30" s="27" t="str">
        <f t="shared" si="30"/>
        <v>DNP</v>
      </c>
      <c r="BO30" s="27" t="str">
        <f t="shared" si="31"/>
        <v>DNP</v>
      </c>
      <c r="BP30" s="27" t="str">
        <f t="shared" si="32"/>
        <v>DNP</v>
      </c>
      <c r="BQ30" s="28" t="str">
        <f t="shared" si="33"/>
        <v>DNP</v>
      </c>
      <c r="BR30" s="34" t="str">
        <f t="shared" si="34"/>
        <v>DNP</v>
      </c>
      <c r="BS30" s="27" t="str">
        <f t="shared" si="35"/>
        <v>DNP</v>
      </c>
      <c r="BT30" s="40" t="str">
        <f>IF($D30=0,"DNP",SUMIFS(OPPS_GbG[KILLS],OPPS_GbG[[TM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BU30" s="34" t="str">
        <f t="shared" si="36"/>
        <v>DNP</v>
      </c>
      <c r="BV30" s="28" t="str">
        <f t="shared" si="37"/>
        <v>DNP</v>
      </c>
      <c r="BW30" s="18" t="str">
        <f>IF($D30=0,"DNP",SUMIFS(OPPS_GbG[ASTED_2FG],OPPS_GbG[[TM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BX30" s="18" t="str">
        <f>IF($D30=0,"DNP",SUMIFS(OPPS_GbG[ASTED_3FG],OPPS_GbG[[TM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BY30" s="18" t="str">
        <f>IF($D30=0,"DNP",SUMIFS(OPPS_GbG[ASTED_FT],OPPS_GbG[[TM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BZ30" s="18" t="str">
        <f>IF($D30=0,"DNP",SUMIFS(OPPS_GbG[ASTED_FT PTS],OPPS_GbG[[TM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A30" s="18" t="str">
        <f>IF($D30=0,"DNP",SUMIFS(OPPS_GbG[OR_RIM],OPPS_GbG[[TM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B30" s="18" t="str">
        <f>IF($D30=0,"DNP",SUMIFS(OPPS_GbG[TM OR_RIM],OPPS_GbG[[TM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C30" s="18" t="str">
        <f>IF($D30=0,"DNP",SUMIFS(OPPS_GbG[OR_PAINT],OPPS_GbG[[TM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D30" s="18" t="str">
        <f>IF($D30=0,"DNP",SUMIFS(OPPS_GbG[TM OR_PAINT],OPPS_GbG[[TM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E30" s="18" t="str">
        <f>IF($D30=0,"DNP",SUMIFS(OPPS_GbG[OR_NP2],OPPS_GbG[[TM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F30" s="18" t="str">
        <f>IF($D30=0,"DNP",SUMIFS(OPPS_GbG[TM OR_NP2],OPPS_GbG[[TM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G30" s="18" t="str">
        <f>IF($D30=0,"DNP",SUMIFS(OPPS_GbG[OR_3C],OPPS_GbG[[TM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H30" s="18" t="str">
        <f>IF($D30=0,"DNP",SUMIFS(OPPS_GbG[TM OR_3C],OPPS_GbG[[TM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I30" s="18" t="str">
        <f>IF($D30=0,"DNP",SUMIFS(OPPS_GbG[OR_3L],OPPS_GbG[[TM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J30" s="18" t="str">
        <f>IF($D30=0,"DNP",SUMIFS(OPPS_GbG[TM OR_3L],OPPS_GbG[[TM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K30" s="18" t="str">
        <f>IF($D30=0,"DNP",SUMIFS(OPPS_GbG[OR_FT],OPPS_GbG[[TM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L30" s="18" t="str">
        <f>IF($D30=0,"DNP",SUMIFS(OPPS_GbG[TM OR_FT],OPPS_GbG[[TM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M30" s="18" t="str">
        <f>IF($D30=0,"DNP",SUMIFS(OPPS_GbG[DR_RIM],OPPS_GbG[[TM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N30" s="18" t="str">
        <f>IF($D30=0,"DNP",SUMIFS(OPPS_GbG[TM DR_RIM],OPPS_GbG[[TM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O30" s="18" t="str">
        <f>IF($D30=0,"DNP",SUMIFS(OPPS_GbG[DR_PAINT],OPPS_GbG[[TM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P30" s="18" t="str">
        <f>IF($D30=0,"DNP",SUMIFS(OPPS_GbG[TM DR_PAINT],OPPS_GbG[[TM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Q30" s="18" t="str">
        <f>IF($D30=0,"DNP",SUMIFS(OPPS_GbG[DR_NP2],OPPS_GbG[[TM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R30" s="18" t="str">
        <f>IF($D30=0,"DNP",SUMIFS(OPPS_GbG[TM DR_NP2],OPPS_GbG[[TM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S30" s="18" t="str">
        <f>IF($D30=0,"DNP",SUMIFS(OPPS_GbG[DR_3C],OPPS_GbG[[TM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T30" s="18" t="str">
        <f>IF($D30=0,"DNP",SUMIFS(OPPS_GbG[TM DR_3C],OPPS_GbG[[TM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U30" s="18" t="str">
        <f>IF($D30=0,"DNP",SUMIFS(OPPS_GbG[DR_3L],OPPS_GbG[[TM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V30" s="18" t="str">
        <f>IF($D30=0,"DNP",SUMIFS(OPPS_GbG[TM DR_3L],OPPS_GbG[[TM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W30" s="18" t="str">
        <f>IF($D30=0,"DNP",SUMIFS(OPPS_GbG[DR_FT],OPPS_GbG[[TM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X30" s="18" t="str">
        <f>IF($D30=0,"DNP",SUMIFS(OPPS_GbG[TM DR_FT],OPPS_GbG[[TM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Y30" s="18" t="str">
        <f>IF($D30=0,"DNP",SUMIFS(OPPS_GbG[FTM_T],OPPS_GbG[[TM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CZ30" s="18" t="str">
        <f>IF($D30=0,"DNP",SUMIFS(OPPS_GbG[FTA_T],OPPS_GbG[[TM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A30" s="18" t="str">
        <f>IF($D30=0,"DNP",SUMIFS(OPPS_GbG[FTM_1],OPPS_GbG[[TM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B30" s="18" t="str">
        <f>IF($D30=0,"DNP",SUMIFS(OPPS_GbG[FTA_1],OPPS_GbG[[TM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C30" s="18" t="str">
        <f>IF($D30=0,"DNP",SUMIFS(OPPS_GbG[FTM_2],OPPS_GbG[[TM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D30" s="18" t="str">
        <f>IF($D30=0,"DNP",SUMIFS(OPPS_GbG[FTA_2],OPPS_GbG[[TM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E30" s="18" t="str">
        <f>IF($D30=0,"DNP",SUMIFS(OPPS_GbG[FT 0/2],OPPS_GbG[[TM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F30" s="18" t="str">
        <f>IF($D30=0,"DNP",SUMIFS(OPPS_GbG[FTM_3],OPPS_GbG[[TM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G30" s="18" t="str">
        <f>IF($D30=0,"DNP",SUMIFS(OPPS_GbG[FTA_3],OPPS_GbG[[TM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H30" s="18" t="str">
        <f>IF($D30=0,"DNP",SUMIFS(OPPS_GbG[FT 0/3],OPPS_GbG[[TM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I30" s="18" t="str">
        <f>IF($D30=0,"DNP",SUMIFS(OPPS_GbG[RIM_M],OPPS_GbG[[TM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J30" s="18" t="str">
        <f>IF($D30=0,"DNP",SUMIFS(OPPS_GbG[RIM_A],OPPS_GbG[[TM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K30" s="18" t="str">
        <f>IF($D30=0,"DNP",SUMIFS(OPPS_GbG[PAINT_M],OPPS_GbG[[TM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L30" s="18" t="str">
        <f>IF($D30=0,"DNP",SUMIFS(OPPS_GbG[PAINT_A],OPPS_GbG[[TM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M30" s="18" t="str">
        <f>IF($D30=0,"DNP",SUMIFS(OPPS_GbG[MID_M],OPPS_GbG[[TM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N30" s="18" t="str">
        <f>IF($D30=0,"DNP",SUMIFS(OPPS_GbG[MID_A],OPPS_GbG[[TM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O30" s="18" t="str">
        <f>IF($D30=0,"DNP",SUMIFS(OPPS_GbG[3C_M],OPPS_GbG[[TM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P30" s="18" t="str">
        <f>IF($D30=0,"DNP",SUMIFS(OPPS_GbG[3C_A],OPPS_GbG[[TM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Q30" s="18" t="str">
        <f>IF($D30=0,"DNP",SUMIFS(OPPS_GbG[3L_M],OPPS_GbG[[TM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R30" s="18" t="str">
        <f>IF($D30=0,"DNP",SUMIFS(OPPS_GbG[3L_A],OPPS_GbG[[TM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S30" s="18" t="str">
        <f>IF($D30=0,"DNP",SUMIFS(OPPS_GbG[3H_M],OPPS_GbG[[TM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T30" s="18" t="str">
        <f>IF($D30=0,"DNP",SUMIFS(OPPS_GbG[3H_A],OPPS_GbG[[TM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U30" s="18" t="str">
        <f>IF($D30=0,"DNP",SUMIFS(OPPS_GbG[OPP PTS],OPPS_GbG[[TM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V30" s="18" t="str">
        <f>IF($D30=0,"DNP",SUMIFS(OPPS_GbG[OPP 2PTM],OPPS_GbG[[TM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W30" s="18" t="str">
        <f>IF($D30=0,"DNP",SUMIFS(OPPS_GbG[OPP 2PTA],OPPS_GbG[[TM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X30" s="16" t="str">
        <f t="shared" si="61"/>
        <v>DNP</v>
      </c>
      <c r="DY30" s="18" t="str">
        <f>IF($D30=0,"DNP",SUMIFS(OPPS_GbG[OPP 3PTM],OPPS_GbG[[TM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DZ30" s="18" t="str">
        <f>IF($D30=0,"DNP",SUMIFS(OPPS_GbG[OPP 3PTA],OPPS_GbG[[TM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A30" s="16" t="str">
        <f t="shared" si="62"/>
        <v>DNP</v>
      </c>
      <c r="EB30" s="18" t="str">
        <f>IF($D30=0,"DNP",SUMIFS(OPPS_GbG[OPP FGM],OPPS_GbG[[TM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C30" s="18" t="str">
        <f>IF($D30=0,"DNP",SUMIFS(OPPS_GbG[OPP FGA],OPPS_GbG[[TM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D30" s="16" t="str">
        <f t="shared" si="63"/>
        <v>DNP</v>
      </c>
      <c r="EE30" s="18" t="str">
        <f>IF($D30=0,"DNP",SUMIFS(OPPS_GbG[OPP FTM],OPPS_GbG[[TM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F30" s="18" t="str">
        <f>IF($D30=0,"DNP",SUMIFS(OPPS_GbG[OPP FTA],OPPS_GbG[[TM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G30" s="16" t="str">
        <f t="shared" si="64"/>
        <v>DNP</v>
      </c>
      <c r="EH30" s="18" t="str">
        <f>IF($D30=0,"DNP",SUMIFS(OPPS_GbG[OPP OR],OPPS_GbG[[TM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I30" s="18" t="str">
        <f>IF($D30=0,"DNP",SUMIFS(OPPS_GbG[OPP DR],OPPS_GbG[[TM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J30" s="18" t="str">
        <f>IF($D30=0,"DNP",SUMIFS(OPPS_GbG[OPP TR],OPPS_GbG[[TM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K30" s="18" t="str">
        <f>IF($D30=0,"DNP",SUMIFS(OPPS_GbG[OPP AST],OPPS_GbG[[TM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L30" s="18" t="str">
        <f>IF($D30=0,"DNP",SUMIFS(OPPS_GbG[OPP PF],OPPS_GbG[[TM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M30" s="18" t="str">
        <f>IF($D30=0,"DNP",SUMIFS(OPPS_GbG[OPP DF],OPPS_GbG[[TM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N30" s="18" t="str">
        <f>IF($D30=0,"DNP",SUMIFS(OPPS_GbG[OPP ST],OPPS_GbG[[TM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O30" s="18" t="str">
        <f>IF($D30=0,"DNP",SUMIFS(OPPS_GbG[OPP TO],OPPS_GbG[[TM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P30" s="18" t="str">
        <f>IF($D30=0,"DNP",SUMIFS(OPPS_GbG[OPP BLK],OPPS_GbG[[TM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Q30" s="18" t="str">
        <f>IF($D30=0,"DNP",SUMIFS(OPPS_GbG[OPP BLKA],OPPS_GbG[[TM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R30" s="18" t="str">
        <f>IF($D30=0,"DNP",SUMIFS(OPPS_GbG[OPP VAL],OPPS_GbG[[TM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S30" s="18" t="str">
        <f>IF($D30=0,"DNP",SUMIFS(OPPS_GbG[OPP + / -],OPPS_GbG[[TM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T30" s="18" t="str">
        <f>IF($D30=0,"DNP",SUMIFS(OPPS_GbG[OPP POSS],OPPS_GbG[[TM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U30" s="18" t="str">
        <f>IF($D30=0,"DNP",SUMIFS(OPPS_GbG[OPP SHOOTING CHANCES],OPPS_GbG[[TM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V30" s="18" t="str">
        <f>IF($D30=0,"DNP",SUMIFS(OPPS_GbG[OPP KILLS],OPPS_GbG[[TM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W30" s="18" t="str">
        <f>IF($D30=0,"DNP",SUMIFS(OPPS_GbG[OPP ASTED_2FG],OPPS_GbG[[TM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X30" s="18" t="str">
        <f>IF($D30=0,"DNP",SUMIFS(OPPS_GbG[OPP ASTED_3FG],OPPS_GbG[[TM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Y30" s="18" t="str">
        <f>IF($D30=0,"DNP",SUMIFS(OPPS_GbG[OPP ASTED_FT],OPPS_GbG[[TM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EZ30" s="18" t="str">
        <f>IF($D30=0,"DNP",SUMIFS(OPPS_GbG[OPP ASTED_FT PTS],OPPS_GbG[[TM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A30" s="18" t="str">
        <f>IF($D30=0,"DNP",SUMIFS(OPPS_GbG[OPP OR_RIM],OPPS_GbG[[TM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B30" s="18" t="str">
        <f>IF($D30=0,"DNP",SUMIFS(OPPS_GbG[OPP TM OR_RIM],OPPS_GbG[[TM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C30" s="18" t="str">
        <f>IF($D30=0,"DNP",SUMIFS(OPPS_GbG[OPP OR_PAINT],OPPS_GbG[[TM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D30" s="18" t="str">
        <f>IF($D30=0,"DNP",SUMIFS(OPPS_GbG[OPP TM OR_PAINT],OPPS_GbG[[TM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E30" s="18" t="str">
        <f>IF($D30=0,"DNP",SUMIFS(OPPS_GbG[OPP OR_NP2],OPPS_GbG[[TM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F30" s="18" t="str">
        <f>IF($D30=0,"DNP",SUMIFS(OPPS_GbG[OPP TM OR_NP2],OPPS_GbG[[TM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G30" s="18" t="str">
        <f>IF($D30=0,"DNP",SUMIFS(OPPS_GbG[OPP OR_3C],OPPS_GbG[[TM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H30" s="18" t="str">
        <f>IF($D30=0,"DNP",SUMIFS(OPPS_GbG[OPP TM OR_3C],OPPS_GbG[[TM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I30" s="18" t="str">
        <f>IF($D30=0,"DNP",SUMIFS(OPPS_GbG[OPP OR_3L],OPPS_GbG[[TM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J30" s="18" t="str">
        <f>IF($D30=0,"DNP",SUMIFS(OPPS_GbG[OPP TM OR_3L],OPPS_GbG[[TM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K30" s="18" t="str">
        <f>IF($D30=0,"DNP",SUMIFS(OPPS_GbG[OPP OR_FT],OPPS_GbG[[TM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L30" s="18" t="str">
        <f>IF($D30=0,"DNP",SUMIFS(OPPS_GbG[OPP TM OR_FT],OPPS_GbG[[TM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M30" s="18" t="str">
        <f>IF($D30=0,"DNP",SUMIFS(OPPS_GbG[OPP DR_RIM],OPPS_GbG[[TM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N30" s="18" t="str">
        <f>IF($D30=0,"DNP",SUMIFS(OPPS_GbG[OPP TM DR_RIM],OPPS_GbG[[TM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O30" s="18" t="str">
        <f>IF($D30=0,"DNP",SUMIFS(OPPS_GbG[OPP DR_PAINT],OPPS_GbG[[TM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P30" s="18" t="str">
        <f>IF($D30=0,"DNP",SUMIFS(OPPS_GbG[OPP TM DR_PAINT],OPPS_GbG[[TM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Q30" s="18" t="str">
        <f>IF($D30=0,"DNP",SUMIFS(OPPS_GbG[OPP DR_NP2],OPPS_GbG[[TM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R30" s="18" t="str">
        <f>IF($D30=0,"DNP",SUMIFS(OPPS_GbG[OPP TM DR_NP2],OPPS_GbG[[TM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S30" s="18" t="str">
        <f>IF($D30=0,"DNP",SUMIFS(OPPS_GbG[OPP DR_3C],OPPS_GbG[[TM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T30" s="18" t="str">
        <f>IF($D30=0,"DNP",SUMIFS(OPPS_GbG[OPP TM DR_3C],OPPS_GbG[[TM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U30" s="18" t="str">
        <f>IF($D30=0,"DNP",SUMIFS(OPPS_GbG[OPP DR_3L],OPPS_GbG[[TM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V30" s="18" t="str">
        <f>IF($D30=0,"DNP",SUMIFS(OPPS_GbG[OPP TM DR_3L],OPPS_GbG[[TM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W30" s="18" t="str">
        <f>IF($D30=0,"DNP",SUMIFS(OPPS_GbG[OPP DR_FT],OPPS_GbG[[TM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X30" s="18" t="str">
        <f>IF($D30=0,"DNP",SUMIFS(OPPS_GbG[OPP TM DR_FT],OPPS_GbG[[TM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Y30" s="18" t="str">
        <f>IF($D30=0,"DNP",SUMIFS(OPPS_GbG[OPP FTM_T],OPPS_GbG[[TM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FZ30" s="18" t="str">
        <f>IF($D30=0,"DNP",SUMIFS(OPPS_GbG[OPP FTA_T],OPPS_GbG[[TM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A30" s="18" t="str">
        <f>IF($D30=0,"DNP",SUMIFS(OPPS_GbG[OPP FTM_1],OPPS_GbG[[TM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B30" s="18" t="str">
        <f>IF($D30=0,"DNP",SUMIFS(OPPS_GbG[OPP FTA_1],OPPS_GbG[[TM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C30" s="18" t="str">
        <f>IF($D30=0,"DNP",SUMIFS(OPPS_GbG[OPP FTM_2],OPPS_GbG[[TM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D30" s="18" t="str">
        <f>IF($D30=0,"DNP",SUMIFS(OPPS_GbG[OPP FTA_2],OPPS_GbG[[TM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E30" s="18" t="str">
        <f>IF($D30=0,"DNP",SUMIFS(OPPS_GbG[OPP FT 0/2],OPPS_GbG[[TM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F30" s="18" t="str">
        <f>IF($D30=0,"DNP",SUMIFS(OPPS_GbG[OPP FTM_3],OPPS_GbG[[TM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G30" s="18" t="str">
        <f>IF($D30=0,"DNP",SUMIFS(OPPS_GbG[OPP FTA_3],OPPS_GbG[[TM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H30" s="18" t="str">
        <f>IF($D30=0,"DNP",SUMIFS(OPPS_GbG[OPP FT 0/3],OPPS_GbG[[TM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I30" s="18" t="str">
        <f>IF($D30=0,"DNP",SUMIFS(OPPS_GbG[OPP RIM_M],OPPS_GbG[[TM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J30" s="18" t="str">
        <f>IF($D30=0,"DNP",SUMIFS(OPPS_GbG[OPP RIM_A],OPPS_GbG[[TM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K30" s="18" t="str">
        <f>IF($D30=0,"DNP",SUMIFS(OPPS_GbG[OPP PAINT_M],OPPS_GbG[[TM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L30" s="18" t="str">
        <f>IF($D30=0,"DNP",SUMIFS(OPPS_GbG[OPP PAINT_A],OPPS_GbG[[TM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M30" s="18" t="str">
        <f>IF($D30=0,"DNP",SUMIFS(OPPS_GbG[OPP MID_M],OPPS_GbG[[TM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N30" s="18" t="str">
        <f>IF($D30=0,"DNP",SUMIFS(OPPS_GbG[OPP MID_A],OPPS_GbG[[TM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O30" s="18" t="str">
        <f>IF($D30=0,"DNP",SUMIFS(OPPS_GbG[OPP 3C_M],OPPS_GbG[[TM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P30" s="18" t="str">
        <f>IF($D30=0,"DNP",SUMIFS(OPPS_GbG[OPP 3C_A],OPPS_GbG[[TM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Q30" s="18" t="str">
        <f>IF($D30=0,"DNP",SUMIFS(OPPS_GbG[OPP 3L_M],OPPS_GbG[[TM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R30" s="18" t="str">
        <f>IF($D30=0,"DNP",SUMIFS(OPPS_GbG[OPP 3L_A],OPPS_GbG[[TM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S30" s="18" t="str">
        <f>IF($D30=0,"DNP",SUMIFS(OPPS_GbG[OPP 3H_M],OPPS_GbG[[TM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  <c r="GT30" s="18" t="str">
        <f>IF($D30=0,"DNP",SUMIFS(OPPS_GbG[OPP 3H_A],OPPS_GbG[[TM NAME]:[TM NAME]],$C30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GAMES","&lt;1000",IF($F$3=BASIS_INFO!$T$3,"&lt;"&amp;BASIS_INFO!$B$11,IF($F$3=BASIS_INFO!$T$4,"&lt;"&amp;BASIS_INFO!$B$12,IF($F$3=BASIS_INFO!$T$5,"&lt;"&amp;BASIS_INFO!$B$13,IF($F$3=BASIS_INFO!$T$6,"&lt;"&amp;BASIS_INFO!$B$14))))))/IF($D$3="TOTAL",1,$D30))</f>
        <v>DNP</v>
      </c>
    </row>
    <row r="31" spans="2:202" ht="15" hidden="1" customHeight="1" x14ac:dyDescent="0.25">
      <c r="B31" s="12">
        <f>_xlfn.AGGREGATE(3,5,$C$7:C30)</f>
        <v>19</v>
      </c>
      <c r="C31" s="14" t="str">
        <f>BASIS_INFO!F26</f>
        <v/>
      </c>
      <c r="D31" s="20">
        <f>COUNTIFS(OPPS_GbG[[TM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1" s="20">
        <f>COUNTIFS(OPPS_GbG[[TM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1" s="20">
        <f>COUNTIFS(OPPS_GbG[[TM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1" s="18" t="str">
        <f>IF($D31=0,"DNP",SUMIFS(OPPS_GbG[MIN],OPPS_GbG[[TM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H31" s="18" t="str">
        <f>IF($D31=0,"DNP",SUMIFS(OPPS_GbG[PTS],OPPS_GbG[[TM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I31" s="18" t="str">
        <f>IF($D31=0,"DNP",SUMIFS(OPPS_GbG[2PTM],OPPS_GbG[[TM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J31" s="18" t="str">
        <f>IF($D31=0,"DNP",SUMIFS(OPPS_GbG[2PTA],OPPS_GbG[[TM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K31" s="16" t="str">
        <f t="shared" si="56"/>
        <v>DNP</v>
      </c>
      <c r="L31" s="18" t="str">
        <f>IF($D31=0,"DNP",SUMIFS(OPPS_GbG[3PTM],OPPS_GbG[[TM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M31" s="18" t="str">
        <f>IF($D31=0,"DNP",SUMIFS(OPPS_GbG[3PTA],OPPS_GbG[[TM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N31" s="16" t="str">
        <f t="shared" si="57"/>
        <v>DNP</v>
      </c>
      <c r="O31" s="18" t="str">
        <f>IF($D31=0,"DNP",SUMIFS(OPPS_GbG[FGM],OPPS_GbG[[TM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P31" s="18" t="str">
        <f>IF($D31=0,"DNP",SUMIFS(OPPS_GbG[FGA],OPPS_GbG[[TM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Q31" s="16" t="str">
        <f t="shared" si="58"/>
        <v>DNP</v>
      </c>
      <c r="R31" s="18" t="str">
        <f>IF($D31=0,"DNP",SUMIFS(OPPS_GbG[FTM],OPPS_GbG[[TM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S31" s="18" t="str">
        <f>IF($D31=0,"DNP",SUMIFS(OPPS_GbG[FTA],OPPS_GbG[[TM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T31" s="16" t="str">
        <f t="shared" si="59"/>
        <v>DNP</v>
      </c>
      <c r="U31" s="18" t="str">
        <f>IF($D31=0,"DNP",SUMIFS(OPPS_GbG[OR],OPPS_GbG[[TM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V31" s="18" t="str">
        <f>IF($D31=0,"DNP",SUMIFS(OPPS_GbG[DR],OPPS_GbG[[TM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W31" s="18" t="str">
        <f>IF($D31=0,"DNP",SUMIFS(OPPS_GbG[TR],OPPS_GbG[[TM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X31" s="18" t="str">
        <f>IF($D31=0,"DNP",SUMIFS(OPPS_GbG[AST],OPPS_GbG[[TM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Y31" s="18" t="str">
        <f>IF($D31=0,"DNP",SUMIFS(OPPS_GbG[TO],OPPS_GbG[[TM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Z31" s="18" t="str">
        <f>IF($D31=0,"DNP",SUMIFS(OPPS_GbG[ST],OPPS_GbG[[TM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A31" s="18" t="str">
        <f>IF($D31=0,"DNP",SUMIFS(OPPS_GbG[BLK],OPPS_GbG[[TM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B31" s="18" t="str">
        <f>IF($D31=0,"DNP",SUMIFS(OPPS_GbG[BLKA],OPPS_GbG[[TM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C31" s="18" t="str">
        <f>IF($D31=0,"DNP",SUMIFS(OPPS_GbG[PF],OPPS_GbG[[TM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D31" s="18" t="str">
        <f>IF($D31=0,"DNP",SUMIFS(OPPS_GbG[DF],OPPS_GbG[[TM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E31" s="18" t="str">
        <f>IF($D31=0,"DNP",SUMIFS(OPPS_GbG[VAL],OPPS_GbG[[TM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F31" s="18" t="str">
        <f>IF($D31=0,"DNP",SUMIFS(OPPS_GbG[+ / -],OPPS_GbG[[TM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G31" s="26" t="str">
        <f t="shared" si="0"/>
        <v>DNP</v>
      </c>
      <c r="AH31" s="18" t="str">
        <f>IF($D31=0,"DNP",SUMIFS(OPPS_GbG[POSS],OPPS_GbG[[TM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I31" s="18" t="str">
        <f>IF($D31=0,"DNP",SUMIFS(OPPS_GbG[SHOOTING CHANCES],OPPS_GbG[[TM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AJ31" s="19" t="str">
        <f t="shared" si="1"/>
        <v>DNP</v>
      </c>
      <c r="AK31" s="19" t="str">
        <f t="shared" si="2"/>
        <v>DNP</v>
      </c>
      <c r="AL31" s="18" t="str">
        <f t="shared" si="3"/>
        <v>DNP</v>
      </c>
      <c r="AM31" s="18" t="str">
        <f t="shared" si="4"/>
        <v>DNP</v>
      </c>
      <c r="AN31" s="18" t="str">
        <f t="shared" si="60"/>
        <v>DNP</v>
      </c>
      <c r="AO31" s="27" t="str">
        <f t="shared" si="5"/>
        <v>DNP</v>
      </c>
      <c r="AP31" s="28" t="str">
        <f t="shared" si="6"/>
        <v>DNP</v>
      </c>
      <c r="AQ31" s="34" t="str">
        <f t="shared" si="7"/>
        <v>DNP</v>
      </c>
      <c r="AR31" s="19" t="str">
        <f t="shared" si="8"/>
        <v>DNP</v>
      </c>
      <c r="AS31" s="16" t="str">
        <f t="shared" si="9"/>
        <v>DNP</v>
      </c>
      <c r="AT31" s="18" t="str">
        <f t="shared" si="10"/>
        <v>DNP</v>
      </c>
      <c r="AU31" s="16" t="str">
        <f t="shared" si="11"/>
        <v>DNP</v>
      </c>
      <c r="AV31" s="18" t="str">
        <f t="shared" si="12"/>
        <v>DNP</v>
      </c>
      <c r="AW31" s="16" t="str">
        <f t="shared" si="13"/>
        <v>DNP</v>
      </c>
      <c r="AX31" s="19" t="str">
        <f t="shared" si="14"/>
        <v>DNP</v>
      </c>
      <c r="AY31" s="27" t="str">
        <f t="shared" si="15"/>
        <v>DNP</v>
      </c>
      <c r="AZ31" s="38" t="str">
        <f t="shared" si="16"/>
        <v>DNP</v>
      </c>
      <c r="BA31" s="28" t="str">
        <f t="shared" si="17"/>
        <v>DNP</v>
      </c>
      <c r="BB31" s="34" t="str">
        <f t="shared" si="18"/>
        <v>DNP</v>
      </c>
      <c r="BC31" s="27" t="str">
        <f t="shared" si="19"/>
        <v>DNP</v>
      </c>
      <c r="BD31" s="27" t="str">
        <f t="shared" si="20"/>
        <v>DNP</v>
      </c>
      <c r="BE31" s="27" t="str">
        <f t="shared" si="21"/>
        <v>DNP</v>
      </c>
      <c r="BF31" s="27" t="str">
        <f t="shared" si="22"/>
        <v>DNP</v>
      </c>
      <c r="BG31" s="27" t="str">
        <f t="shared" si="23"/>
        <v>DNP</v>
      </c>
      <c r="BH31" s="35" t="str">
        <f t="shared" si="24"/>
        <v>DNP</v>
      </c>
      <c r="BI31" s="34" t="str">
        <f t="shared" si="25"/>
        <v>DNP</v>
      </c>
      <c r="BJ31" s="27" t="str">
        <f t="shared" si="26"/>
        <v>DNP</v>
      </c>
      <c r="BK31" s="27" t="str">
        <f t="shared" si="27"/>
        <v>DNP</v>
      </c>
      <c r="BL31" s="27" t="str">
        <f t="shared" si="28"/>
        <v>DNP</v>
      </c>
      <c r="BM31" s="27" t="str">
        <f t="shared" si="29"/>
        <v>DNP</v>
      </c>
      <c r="BN31" s="27" t="str">
        <f t="shared" si="30"/>
        <v>DNP</v>
      </c>
      <c r="BO31" s="27" t="str">
        <f t="shared" si="31"/>
        <v>DNP</v>
      </c>
      <c r="BP31" s="27" t="str">
        <f t="shared" si="32"/>
        <v>DNP</v>
      </c>
      <c r="BQ31" s="28" t="str">
        <f t="shared" si="33"/>
        <v>DNP</v>
      </c>
      <c r="BR31" s="34" t="str">
        <f t="shared" si="34"/>
        <v>DNP</v>
      </c>
      <c r="BS31" s="27" t="str">
        <f t="shared" si="35"/>
        <v>DNP</v>
      </c>
      <c r="BT31" s="40" t="str">
        <f>IF($D31=0,"DNP",SUMIFS(OPPS_GbG[KILLS],OPPS_GbG[[TM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BU31" s="34" t="str">
        <f t="shared" si="36"/>
        <v>DNP</v>
      </c>
      <c r="BV31" s="28" t="str">
        <f t="shared" si="37"/>
        <v>DNP</v>
      </c>
      <c r="BW31" s="18" t="str">
        <f>IF($D31=0,"DNP",SUMIFS(OPPS_GbG[ASTED_2FG],OPPS_GbG[[TM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BX31" s="18" t="str">
        <f>IF($D31=0,"DNP",SUMIFS(OPPS_GbG[ASTED_3FG],OPPS_GbG[[TM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BY31" s="18" t="str">
        <f>IF($D31=0,"DNP",SUMIFS(OPPS_GbG[ASTED_FT],OPPS_GbG[[TM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BZ31" s="18" t="str">
        <f>IF($D31=0,"DNP",SUMIFS(OPPS_GbG[ASTED_FT PTS],OPPS_GbG[[TM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A31" s="18" t="str">
        <f>IF($D31=0,"DNP",SUMIFS(OPPS_GbG[OR_RIM],OPPS_GbG[[TM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B31" s="18" t="str">
        <f>IF($D31=0,"DNP",SUMIFS(OPPS_GbG[TM OR_RIM],OPPS_GbG[[TM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C31" s="18" t="str">
        <f>IF($D31=0,"DNP",SUMIFS(OPPS_GbG[OR_PAINT],OPPS_GbG[[TM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D31" s="18" t="str">
        <f>IF($D31=0,"DNP",SUMIFS(OPPS_GbG[TM OR_PAINT],OPPS_GbG[[TM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E31" s="18" t="str">
        <f>IF($D31=0,"DNP",SUMIFS(OPPS_GbG[OR_NP2],OPPS_GbG[[TM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F31" s="18" t="str">
        <f>IF($D31=0,"DNP",SUMIFS(OPPS_GbG[TM OR_NP2],OPPS_GbG[[TM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G31" s="18" t="str">
        <f>IF($D31=0,"DNP",SUMIFS(OPPS_GbG[OR_3C],OPPS_GbG[[TM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H31" s="18" t="str">
        <f>IF($D31=0,"DNP",SUMIFS(OPPS_GbG[TM OR_3C],OPPS_GbG[[TM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I31" s="18" t="str">
        <f>IF($D31=0,"DNP",SUMIFS(OPPS_GbG[OR_3L],OPPS_GbG[[TM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J31" s="18" t="str">
        <f>IF($D31=0,"DNP",SUMIFS(OPPS_GbG[TM OR_3L],OPPS_GbG[[TM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K31" s="18" t="str">
        <f>IF($D31=0,"DNP",SUMIFS(OPPS_GbG[OR_FT],OPPS_GbG[[TM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L31" s="18" t="str">
        <f>IF($D31=0,"DNP",SUMIFS(OPPS_GbG[TM OR_FT],OPPS_GbG[[TM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M31" s="18" t="str">
        <f>IF($D31=0,"DNP",SUMIFS(OPPS_GbG[DR_RIM],OPPS_GbG[[TM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N31" s="18" t="str">
        <f>IF($D31=0,"DNP",SUMIFS(OPPS_GbG[TM DR_RIM],OPPS_GbG[[TM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O31" s="18" t="str">
        <f>IF($D31=0,"DNP",SUMIFS(OPPS_GbG[DR_PAINT],OPPS_GbG[[TM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P31" s="18" t="str">
        <f>IF($D31=0,"DNP",SUMIFS(OPPS_GbG[TM DR_PAINT],OPPS_GbG[[TM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Q31" s="18" t="str">
        <f>IF($D31=0,"DNP",SUMIFS(OPPS_GbG[DR_NP2],OPPS_GbG[[TM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R31" s="18" t="str">
        <f>IF($D31=0,"DNP",SUMIFS(OPPS_GbG[TM DR_NP2],OPPS_GbG[[TM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S31" s="18" t="str">
        <f>IF($D31=0,"DNP",SUMIFS(OPPS_GbG[DR_3C],OPPS_GbG[[TM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T31" s="18" t="str">
        <f>IF($D31=0,"DNP",SUMIFS(OPPS_GbG[TM DR_3C],OPPS_GbG[[TM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U31" s="18" t="str">
        <f>IF($D31=0,"DNP",SUMIFS(OPPS_GbG[DR_3L],OPPS_GbG[[TM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V31" s="18" t="str">
        <f>IF($D31=0,"DNP",SUMIFS(OPPS_GbG[TM DR_3L],OPPS_GbG[[TM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W31" s="18" t="str">
        <f>IF($D31=0,"DNP",SUMIFS(OPPS_GbG[DR_FT],OPPS_GbG[[TM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X31" s="18" t="str">
        <f>IF($D31=0,"DNP",SUMIFS(OPPS_GbG[TM DR_FT],OPPS_GbG[[TM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Y31" s="18" t="str">
        <f>IF($D31=0,"DNP",SUMIFS(OPPS_GbG[FTM_T],OPPS_GbG[[TM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CZ31" s="18" t="str">
        <f>IF($D31=0,"DNP",SUMIFS(OPPS_GbG[FTA_T],OPPS_GbG[[TM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A31" s="18" t="str">
        <f>IF($D31=0,"DNP",SUMIFS(OPPS_GbG[FTM_1],OPPS_GbG[[TM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B31" s="18" t="str">
        <f>IF($D31=0,"DNP",SUMIFS(OPPS_GbG[FTA_1],OPPS_GbG[[TM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C31" s="18" t="str">
        <f>IF($D31=0,"DNP",SUMIFS(OPPS_GbG[FTM_2],OPPS_GbG[[TM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D31" s="18" t="str">
        <f>IF($D31=0,"DNP",SUMIFS(OPPS_GbG[FTA_2],OPPS_GbG[[TM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E31" s="18" t="str">
        <f>IF($D31=0,"DNP",SUMIFS(OPPS_GbG[FT 0/2],OPPS_GbG[[TM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F31" s="18" t="str">
        <f>IF($D31=0,"DNP",SUMIFS(OPPS_GbG[FTM_3],OPPS_GbG[[TM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G31" s="18" t="str">
        <f>IF($D31=0,"DNP",SUMIFS(OPPS_GbG[FTA_3],OPPS_GbG[[TM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H31" s="18" t="str">
        <f>IF($D31=0,"DNP",SUMIFS(OPPS_GbG[FT 0/3],OPPS_GbG[[TM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I31" s="18" t="str">
        <f>IF($D31=0,"DNP",SUMIFS(OPPS_GbG[RIM_M],OPPS_GbG[[TM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J31" s="18" t="str">
        <f>IF($D31=0,"DNP",SUMIFS(OPPS_GbG[RIM_A],OPPS_GbG[[TM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K31" s="18" t="str">
        <f>IF($D31=0,"DNP",SUMIFS(OPPS_GbG[PAINT_M],OPPS_GbG[[TM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L31" s="18" t="str">
        <f>IF($D31=0,"DNP",SUMIFS(OPPS_GbG[PAINT_A],OPPS_GbG[[TM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M31" s="18" t="str">
        <f>IF($D31=0,"DNP",SUMIFS(OPPS_GbG[MID_M],OPPS_GbG[[TM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N31" s="18" t="str">
        <f>IF($D31=0,"DNP",SUMIFS(OPPS_GbG[MID_A],OPPS_GbG[[TM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O31" s="18" t="str">
        <f>IF($D31=0,"DNP",SUMIFS(OPPS_GbG[3C_M],OPPS_GbG[[TM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P31" s="18" t="str">
        <f>IF($D31=0,"DNP",SUMIFS(OPPS_GbG[3C_A],OPPS_GbG[[TM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Q31" s="18" t="str">
        <f>IF($D31=0,"DNP",SUMIFS(OPPS_GbG[3L_M],OPPS_GbG[[TM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R31" s="18" t="str">
        <f>IF($D31=0,"DNP",SUMIFS(OPPS_GbG[3L_A],OPPS_GbG[[TM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S31" s="18" t="str">
        <f>IF($D31=0,"DNP",SUMIFS(OPPS_GbG[3H_M],OPPS_GbG[[TM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T31" s="18" t="str">
        <f>IF($D31=0,"DNP",SUMIFS(OPPS_GbG[3H_A],OPPS_GbG[[TM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U31" s="18" t="str">
        <f>IF($D31=0,"DNP",SUMIFS(OPPS_GbG[OPP PTS],OPPS_GbG[[TM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V31" s="18" t="str">
        <f>IF($D31=0,"DNP",SUMIFS(OPPS_GbG[OPP 2PTM],OPPS_GbG[[TM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W31" s="18" t="str">
        <f>IF($D31=0,"DNP",SUMIFS(OPPS_GbG[OPP 2PTA],OPPS_GbG[[TM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X31" s="16" t="str">
        <f t="shared" si="61"/>
        <v>DNP</v>
      </c>
      <c r="DY31" s="18" t="str">
        <f>IF($D31=0,"DNP",SUMIFS(OPPS_GbG[OPP 3PTM],OPPS_GbG[[TM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DZ31" s="18" t="str">
        <f>IF($D31=0,"DNP",SUMIFS(OPPS_GbG[OPP 3PTA],OPPS_GbG[[TM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A31" s="16" t="str">
        <f t="shared" si="62"/>
        <v>DNP</v>
      </c>
      <c r="EB31" s="18" t="str">
        <f>IF($D31=0,"DNP",SUMIFS(OPPS_GbG[OPP FGM],OPPS_GbG[[TM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C31" s="18" t="str">
        <f>IF($D31=0,"DNP",SUMIFS(OPPS_GbG[OPP FGA],OPPS_GbG[[TM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D31" s="16" t="str">
        <f t="shared" si="63"/>
        <v>DNP</v>
      </c>
      <c r="EE31" s="18" t="str">
        <f>IF($D31=0,"DNP",SUMIFS(OPPS_GbG[OPP FTM],OPPS_GbG[[TM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F31" s="18" t="str">
        <f>IF($D31=0,"DNP",SUMIFS(OPPS_GbG[OPP FTA],OPPS_GbG[[TM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G31" s="16" t="str">
        <f t="shared" si="64"/>
        <v>DNP</v>
      </c>
      <c r="EH31" s="18" t="str">
        <f>IF($D31=0,"DNP",SUMIFS(OPPS_GbG[OPP OR],OPPS_GbG[[TM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I31" s="18" t="str">
        <f>IF($D31=0,"DNP",SUMIFS(OPPS_GbG[OPP DR],OPPS_GbG[[TM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J31" s="18" t="str">
        <f>IF($D31=0,"DNP",SUMIFS(OPPS_GbG[OPP TR],OPPS_GbG[[TM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K31" s="18" t="str">
        <f>IF($D31=0,"DNP",SUMIFS(OPPS_GbG[OPP AST],OPPS_GbG[[TM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L31" s="18" t="str">
        <f>IF($D31=0,"DNP",SUMIFS(OPPS_GbG[OPP PF],OPPS_GbG[[TM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M31" s="18" t="str">
        <f>IF($D31=0,"DNP",SUMIFS(OPPS_GbG[OPP DF],OPPS_GbG[[TM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N31" s="18" t="str">
        <f>IF($D31=0,"DNP",SUMIFS(OPPS_GbG[OPP ST],OPPS_GbG[[TM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O31" s="18" t="str">
        <f>IF($D31=0,"DNP",SUMIFS(OPPS_GbG[OPP TO],OPPS_GbG[[TM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P31" s="18" t="str">
        <f>IF($D31=0,"DNP",SUMIFS(OPPS_GbG[OPP BLK],OPPS_GbG[[TM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Q31" s="18" t="str">
        <f>IF($D31=0,"DNP",SUMIFS(OPPS_GbG[OPP BLKA],OPPS_GbG[[TM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R31" s="18" t="str">
        <f>IF($D31=0,"DNP",SUMIFS(OPPS_GbG[OPP VAL],OPPS_GbG[[TM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S31" s="18" t="str">
        <f>IF($D31=0,"DNP",SUMIFS(OPPS_GbG[OPP + / -],OPPS_GbG[[TM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T31" s="18" t="str">
        <f>IF($D31=0,"DNP",SUMIFS(OPPS_GbG[OPP POSS],OPPS_GbG[[TM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U31" s="18" t="str">
        <f>IF($D31=0,"DNP",SUMIFS(OPPS_GbG[OPP SHOOTING CHANCES],OPPS_GbG[[TM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V31" s="18" t="str">
        <f>IF($D31=0,"DNP",SUMIFS(OPPS_GbG[OPP KILLS],OPPS_GbG[[TM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W31" s="18" t="str">
        <f>IF($D31=0,"DNP",SUMIFS(OPPS_GbG[OPP ASTED_2FG],OPPS_GbG[[TM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X31" s="18" t="str">
        <f>IF($D31=0,"DNP",SUMIFS(OPPS_GbG[OPP ASTED_3FG],OPPS_GbG[[TM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Y31" s="18" t="str">
        <f>IF($D31=0,"DNP",SUMIFS(OPPS_GbG[OPP ASTED_FT],OPPS_GbG[[TM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EZ31" s="18" t="str">
        <f>IF($D31=0,"DNP",SUMIFS(OPPS_GbG[OPP ASTED_FT PTS],OPPS_GbG[[TM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A31" s="18" t="str">
        <f>IF($D31=0,"DNP",SUMIFS(OPPS_GbG[OPP OR_RIM],OPPS_GbG[[TM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B31" s="18" t="str">
        <f>IF($D31=0,"DNP",SUMIFS(OPPS_GbG[OPP TM OR_RIM],OPPS_GbG[[TM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C31" s="18" t="str">
        <f>IF($D31=0,"DNP",SUMIFS(OPPS_GbG[OPP OR_PAINT],OPPS_GbG[[TM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D31" s="18" t="str">
        <f>IF($D31=0,"DNP",SUMIFS(OPPS_GbG[OPP TM OR_PAINT],OPPS_GbG[[TM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E31" s="18" t="str">
        <f>IF($D31=0,"DNP",SUMIFS(OPPS_GbG[OPP OR_NP2],OPPS_GbG[[TM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F31" s="18" t="str">
        <f>IF($D31=0,"DNP",SUMIFS(OPPS_GbG[OPP TM OR_NP2],OPPS_GbG[[TM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G31" s="18" t="str">
        <f>IF($D31=0,"DNP",SUMIFS(OPPS_GbG[OPP OR_3C],OPPS_GbG[[TM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H31" s="18" t="str">
        <f>IF($D31=0,"DNP",SUMIFS(OPPS_GbG[OPP TM OR_3C],OPPS_GbG[[TM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I31" s="18" t="str">
        <f>IF($D31=0,"DNP",SUMIFS(OPPS_GbG[OPP OR_3L],OPPS_GbG[[TM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J31" s="18" t="str">
        <f>IF($D31=0,"DNP",SUMIFS(OPPS_GbG[OPP TM OR_3L],OPPS_GbG[[TM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K31" s="18" t="str">
        <f>IF($D31=0,"DNP",SUMIFS(OPPS_GbG[OPP OR_FT],OPPS_GbG[[TM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L31" s="18" t="str">
        <f>IF($D31=0,"DNP",SUMIFS(OPPS_GbG[OPP TM OR_FT],OPPS_GbG[[TM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M31" s="18" t="str">
        <f>IF($D31=0,"DNP",SUMIFS(OPPS_GbG[OPP DR_RIM],OPPS_GbG[[TM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N31" s="18" t="str">
        <f>IF($D31=0,"DNP",SUMIFS(OPPS_GbG[OPP TM DR_RIM],OPPS_GbG[[TM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O31" s="18" t="str">
        <f>IF($D31=0,"DNP",SUMIFS(OPPS_GbG[OPP DR_PAINT],OPPS_GbG[[TM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P31" s="18" t="str">
        <f>IF($D31=0,"DNP",SUMIFS(OPPS_GbG[OPP TM DR_PAINT],OPPS_GbG[[TM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Q31" s="18" t="str">
        <f>IF($D31=0,"DNP",SUMIFS(OPPS_GbG[OPP DR_NP2],OPPS_GbG[[TM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R31" s="18" t="str">
        <f>IF($D31=0,"DNP",SUMIFS(OPPS_GbG[OPP TM DR_NP2],OPPS_GbG[[TM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S31" s="18" t="str">
        <f>IF($D31=0,"DNP",SUMIFS(OPPS_GbG[OPP DR_3C],OPPS_GbG[[TM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T31" s="18" t="str">
        <f>IF($D31=0,"DNP",SUMIFS(OPPS_GbG[OPP TM DR_3C],OPPS_GbG[[TM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U31" s="18" t="str">
        <f>IF($D31=0,"DNP",SUMIFS(OPPS_GbG[OPP DR_3L],OPPS_GbG[[TM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V31" s="18" t="str">
        <f>IF($D31=0,"DNP",SUMIFS(OPPS_GbG[OPP TM DR_3L],OPPS_GbG[[TM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W31" s="18" t="str">
        <f>IF($D31=0,"DNP",SUMIFS(OPPS_GbG[OPP DR_FT],OPPS_GbG[[TM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X31" s="18" t="str">
        <f>IF($D31=0,"DNP",SUMIFS(OPPS_GbG[OPP TM DR_FT],OPPS_GbG[[TM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Y31" s="18" t="str">
        <f>IF($D31=0,"DNP",SUMIFS(OPPS_GbG[OPP FTM_T],OPPS_GbG[[TM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FZ31" s="18" t="str">
        <f>IF($D31=0,"DNP",SUMIFS(OPPS_GbG[OPP FTA_T],OPPS_GbG[[TM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A31" s="18" t="str">
        <f>IF($D31=0,"DNP",SUMIFS(OPPS_GbG[OPP FTM_1],OPPS_GbG[[TM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B31" s="18" t="str">
        <f>IF($D31=0,"DNP",SUMIFS(OPPS_GbG[OPP FTA_1],OPPS_GbG[[TM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C31" s="18" t="str">
        <f>IF($D31=0,"DNP",SUMIFS(OPPS_GbG[OPP FTM_2],OPPS_GbG[[TM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D31" s="18" t="str">
        <f>IF($D31=0,"DNP",SUMIFS(OPPS_GbG[OPP FTA_2],OPPS_GbG[[TM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E31" s="18" t="str">
        <f>IF($D31=0,"DNP",SUMIFS(OPPS_GbG[OPP FT 0/2],OPPS_GbG[[TM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F31" s="18" t="str">
        <f>IF($D31=0,"DNP",SUMIFS(OPPS_GbG[OPP FTM_3],OPPS_GbG[[TM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G31" s="18" t="str">
        <f>IF($D31=0,"DNP",SUMIFS(OPPS_GbG[OPP FTA_3],OPPS_GbG[[TM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H31" s="18" t="str">
        <f>IF($D31=0,"DNP",SUMIFS(OPPS_GbG[OPP FT 0/3],OPPS_GbG[[TM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I31" s="18" t="str">
        <f>IF($D31=0,"DNP",SUMIFS(OPPS_GbG[OPP RIM_M],OPPS_GbG[[TM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J31" s="18" t="str">
        <f>IF($D31=0,"DNP",SUMIFS(OPPS_GbG[OPP RIM_A],OPPS_GbG[[TM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K31" s="18" t="str">
        <f>IF($D31=0,"DNP",SUMIFS(OPPS_GbG[OPP PAINT_M],OPPS_GbG[[TM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L31" s="18" t="str">
        <f>IF($D31=0,"DNP",SUMIFS(OPPS_GbG[OPP PAINT_A],OPPS_GbG[[TM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M31" s="18" t="str">
        <f>IF($D31=0,"DNP",SUMIFS(OPPS_GbG[OPP MID_M],OPPS_GbG[[TM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N31" s="18" t="str">
        <f>IF($D31=0,"DNP",SUMIFS(OPPS_GbG[OPP MID_A],OPPS_GbG[[TM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O31" s="18" t="str">
        <f>IF($D31=0,"DNP",SUMIFS(OPPS_GbG[OPP 3C_M],OPPS_GbG[[TM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P31" s="18" t="str">
        <f>IF($D31=0,"DNP",SUMIFS(OPPS_GbG[OPP 3C_A],OPPS_GbG[[TM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Q31" s="18" t="str">
        <f>IF($D31=0,"DNP",SUMIFS(OPPS_GbG[OPP 3L_M],OPPS_GbG[[TM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R31" s="18" t="str">
        <f>IF($D31=0,"DNP",SUMIFS(OPPS_GbG[OPP 3L_A],OPPS_GbG[[TM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S31" s="18" t="str">
        <f>IF($D31=0,"DNP",SUMIFS(OPPS_GbG[OPP 3H_M],OPPS_GbG[[TM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  <c r="GT31" s="18" t="str">
        <f>IF($D31=0,"DNP",SUMIFS(OPPS_GbG[OPP 3H_A],OPPS_GbG[[TM NAME]:[TM NAME]],$C31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GAMES","&lt;1000",IF($F$3=BASIS_INFO!$T$3,"&lt;"&amp;BASIS_INFO!$B$11,IF($F$3=BASIS_INFO!$T$4,"&lt;"&amp;BASIS_INFO!$B$12,IF($F$3=BASIS_INFO!$T$5,"&lt;"&amp;BASIS_INFO!$B$13,IF($F$3=BASIS_INFO!$T$6,"&lt;"&amp;BASIS_INFO!$B$14))))))/IF($D$3="TOTAL",1,$D31))</f>
        <v>DNP</v>
      </c>
    </row>
    <row r="32" spans="2:202" ht="15" hidden="1" customHeight="1" x14ac:dyDescent="0.25">
      <c r="B32" s="12">
        <f>_xlfn.AGGREGATE(3,5,$C$7:C31)</f>
        <v>19</v>
      </c>
      <c r="C32" s="14" t="str">
        <f>BASIS_INFO!F27</f>
        <v/>
      </c>
      <c r="D32" s="20">
        <f>COUNTIFS(OPPS_GbG[[TM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2" s="20">
        <f>COUNTIFS(OPPS_GbG[[TM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2" s="20">
        <f>COUNTIFS(OPPS_GbG[[TM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2" s="18" t="str">
        <f>IF($D32=0,"DNP",SUMIFS(OPPS_GbG[MIN],OPPS_GbG[[TM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H32" s="18" t="str">
        <f>IF($D32=0,"DNP",SUMIFS(OPPS_GbG[PTS],OPPS_GbG[[TM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I32" s="18" t="str">
        <f>IF($D32=0,"DNP",SUMIFS(OPPS_GbG[2PTM],OPPS_GbG[[TM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J32" s="18" t="str">
        <f>IF($D32=0,"DNP",SUMIFS(OPPS_GbG[2PTA],OPPS_GbG[[TM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K32" s="16" t="str">
        <f t="shared" si="56"/>
        <v>DNP</v>
      </c>
      <c r="L32" s="18" t="str">
        <f>IF($D32=0,"DNP",SUMIFS(OPPS_GbG[3PTM],OPPS_GbG[[TM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M32" s="18" t="str">
        <f>IF($D32=0,"DNP",SUMIFS(OPPS_GbG[3PTA],OPPS_GbG[[TM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N32" s="16" t="str">
        <f t="shared" si="57"/>
        <v>DNP</v>
      </c>
      <c r="O32" s="18" t="str">
        <f>IF($D32=0,"DNP",SUMIFS(OPPS_GbG[FGM],OPPS_GbG[[TM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P32" s="18" t="str">
        <f>IF($D32=0,"DNP",SUMIFS(OPPS_GbG[FGA],OPPS_GbG[[TM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Q32" s="16" t="str">
        <f t="shared" si="58"/>
        <v>DNP</v>
      </c>
      <c r="R32" s="18" t="str">
        <f>IF($D32=0,"DNP",SUMIFS(OPPS_GbG[FTM],OPPS_GbG[[TM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S32" s="18" t="str">
        <f>IF($D32=0,"DNP",SUMIFS(OPPS_GbG[FTA],OPPS_GbG[[TM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T32" s="16" t="str">
        <f t="shared" si="59"/>
        <v>DNP</v>
      </c>
      <c r="U32" s="18" t="str">
        <f>IF($D32=0,"DNP",SUMIFS(OPPS_GbG[OR],OPPS_GbG[[TM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V32" s="18" t="str">
        <f>IF($D32=0,"DNP",SUMIFS(OPPS_GbG[DR],OPPS_GbG[[TM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W32" s="18" t="str">
        <f>IF($D32=0,"DNP",SUMIFS(OPPS_GbG[TR],OPPS_GbG[[TM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X32" s="18" t="str">
        <f>IF($D32=0,"DNP",SUMIFS(OPPS_GbG[AST],OPPS_GbG[[TM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Y32" s="18" t="str">
        <f>IF($D32=0,"DNP",SUMIFS(OPPS_GbG[TO],OPPS_GbG[[TM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Z32" s="18" t="str">
        <f>IF($D32=0,"DNP",SUMIFS(OPPS_GbG[ST],OPPS_GbG[[TM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A32" s="18" t="str">
        <f>IF($D32=0,"DNP",SUMIFS(OPPS_GbG[BLK],OPPS_GbG[[TM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B32" s="18" t="str">
        <f>IF($D32=0,"DNP",SUMIFS(OPPS_GbG[BLKA],OPPS_GbG[[TM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C32" s="18" t="str">
        <f>IF($D32=0,"DNP",SUMIFS(OPPS_GbG[PF],OPPS_GbG[[TM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D32" s="18" t="str">
        <f>IF($D32=0,"DNP",SUMIFS(OPPS_GbG[DF],OPPS_GbG[[TM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E32" s="18" t="str">
        <f>IF($D32=0,"DNP",SUMIFS(OPPS_GbG[VAL],OPPS_GbG[[TM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F32" s="18" t="str">
        <f>IF($D32=0,"DNP",SUMIFS(OPPS_GbG[+ / -],OPPS_GbG[[TM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G32" s="26" t="str">
        <f t="shared" si="0"/>
        <v>DNP</v>
      </c>
      <c r="AH32" s="18" t="str">
        <f>IF($D32=0,"DNP",SUMIFS(OPPS_GbG[POSS],OPPS_GbG[[TM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I32" s="18" t="str">
        <f>IF($D32=0,"DNP",SUMIFS(OPPS_GbG[SHOOTING CHANCES],OPPS_GbG[[TM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AJ32" s="19" t="str">
        <f t="shared" si="1"/>
        <v>DNP</v>
      </c>
      <c r="AK32" s="19" t="str">
        <f t="shared" si="2"/>
        <v>DNP</v>
      </c>
      <c r="AL32" s="18" t="str">
        <f t="shared" si="3"/>
        <v>DNP</v>
      </c>
      <c r="AM32" s="18" t="str">
        <f t="shared" si="4"/>
        <v>DNP</v>
      </c>
      <c r="AN32" s="18" t="str">
        <f t="shared" si="60"/>
        <v>DNP</v>
      </c>
      <c r="AO32" s="27" t="str">
        <f t="shared" si="5"/>
        <v>DNP</v>
      </c>
      <c r="AP32" s="28" t="str">
        <f t="shared" si="6"/>
        <v>DNP</v>
      </c>
      <c r="AQ32" s="34" t="str">
        <f t="shared" si="7"/>
        <v>DNP</v>
      </c>
      <c r="AR32" s="19" t="str">
        <f t="shared" si="8"/>
        <v>DNP</v>
      </c>
      <c r="AS32" s="16" t="str">
        <f t="shared" si="9"/>
        <v>DNP</v>
      </c>
      <c r="AT32" s="18" t="str">
        <f t="shared" si="10"/>
        <v>DNP</v>
      </c>
      <c r="AU32" s="16" t="str">
        <f t="shared" si="11"/>
        <v>DNP</v>
      </c>
      <c r="AV32" s="18" t="str">
        <f t="shared" si="12"/>
        <v>DNP</v>
      </c>
      <c r="AW32" s="16" t="str">
        <f t="shared" si="13"/>
        <v>DNP</v>
      </c>
      <c r="AX32" s="19" t="str">
        <f t="shared" si="14"/>
        <v>DNP</v>
      </c>
      <c r="AY32" s="27" t="str">
        <f t="shared" si="15"/>
        <v>DNP</v>
      </c>
      <c r="AZ32" s="38" t="str">
        <f t="shared" si="16"/>
        <v>DNP</v>
      </c>
      <c r="BA32" s="28" t="str">
        <f t="shared" si="17"/>
        <v>DNP</v>
      </c>
      <c r="BB32" s="34" t="str">
        <f t="shared" si="18"/>
        <v>DNP</v>
      </c>
      <c r="BC32" s="27" t="str">
        <f t="shared" si="19"/>
        <v>DNP</v>
      </c>
      <c r="BD32" s="27" t="str">
        <f t="shared" si="20"/>
        <v>DNP</v>
      </c>
      <c r="BE32" s="27" t="str">
        <f t="shared" si="21"/>
        <v>DNP</v>
      </c>
      <c r="BF32" s="27" t="str">
        <f t="shared" si="22"/>
        <v>DNP</v>
      </c>
      <c r="BG32" s="27" t="str">
        <f t="shared" si="23"/>
        <v>DNP</v>
      </c>
      <c r="BH32" s="35" t="str">
        <f t="shared" si="24"/>
        <v>DNP</v>
      </c>
      <c r="BI32" s="34" t="str">
        <f t="shared" si="25"/>
        <v>DNP</v>
      </c>
      <c r="BJ32" s="27" t="str">
        <f t="shared" si="26"/>
        <v>DNP</v>
      </c>
      <c r="BK32" s="27" t="str">
        <f t="shared" si="27"/>
        <v>DNP</v>
      </c>
      <c r="BL32" s="27" t="str">
        <f t="shared" si="28"/>
        <v>DNP</v>
      </c>
      <c r="BM32" s="27" t="str">
        <f t="shared" si="29"/>
        <v>DNP</v>
      </c>
      <c r="BN32" s="27" t="str">
        <f t="shared" si="30"/>
        <v>DNP</v>
      </c>
      <c r="BO32" s="27" t="str">
        <f t="shared" si="31"/>
        <v>DNP</v>
      </c>
      <c r="BP32" s="27" t="str">
        <f t="shared" si="32"/>
        <v>DNP</v>
      </c>
      <c r="BQ32" s="28" t="str">
        <f t="shared" si="33"/>
        <v>DNP</v>
      </c>
      <c r="BR32" s="34" t="str">
        <f t="shared" si="34"/>
        <v>DNP</v>
      </c>
      <c r="BS32" s="27" t="str">
        <f t="shared" si="35"/>
        <v>DNP</v>
      </c>
      <c r="BT32" s="40" t="str">
        <f>IF($D32=0,"DNP",SUMIFS(OPPS_GbG[KILLS],OPPS_GbG[[TM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BU32" s="34" t="str">
        <f t="shared" si="36"/>
        <v>DNP</v>
      </c>
      <c r="BV32" s="28" t="str">
        <f t="shared" si="37"/>
        <v>DNP</v>
      </c>
      <c r="BW32" s="18" t="str">
        <f>IF($D32=0,"DNP",SUMIFS(OPPS_GbG[ASTED_2FG],OPPS_GbG[[TM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BX32" s="18" t="str">
        <f>IF($D32=0,"DNP",SUMIFS(OPPS_GbG[ASTED_3FG],OPPS_GbG[[TM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BY32" s="18" t="str">
        <f>IF($D32=0,"DNP",SUMIFS(OPPS_GbG[ASTED_FT],OPPS_GbG[[TM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BZ32" s="18" t="str">
        <f>IF($D32=0,"DNP",SUMIFS(OPPS_GbG[ASTED_FT PTS],OPPS_GbG[[TM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A32" s="18" t="str">
        <f>IF($D32=0,"DNP",SUMIFS(OPPS_GbG[OR_RIM],OPPS_GbG[[TM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B32" s="18" t="str">
        <f>IF($D32=0,"DNP",SUMIFS(OPPS_GbG[TM OR_RIM],OPPS_GbG[[TM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C32" s="18" t="str">
        <f>IF($D32=0,"DNP",SUMIFS(OPPS_GbG[OR_PAINT],OPPS_GbG[[TM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D32" s="18" t="str">
        <f>IF($D32=0,"DNP",SUMIFS(OPPS_GbG[TM OR_PAINT],OPPS_GbG[[TM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E32" s="18" t="str">
        <f>IF($D32=0,"DNP",SUMIFS(OPPS_GbG[OR_NP2],OPPS_GbG[[TM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F32" s="18" t="str">
        <f>IF($D32=0,"DNP",SUMIFS(OPPS_GbG[TM OR_NP2],OPPS_GbG[[TM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G32" s="18" t="str">
        <f>IF($D32=0,"DNP",SUMIFS(OPPS_GbG[OR_3C],OPPS_GbG[[TM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H32" s="18" t="str">
        <f>IF($D32=0,"DNP",SUMIFS(OPPS_GbG[TM OR_3C],OPPS_GbG[[TM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I32" s="18" t="str">
        <f>IF($D32=0,"DNP",SUMIFS(OPPS_GbG[OR_3L],OPPS_GbG[[TM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J32" s="18" t="str">
        <f>IF($D32=0,"DNP",SUMIFS(OPPS_GbG[TM OR_3L],OPPS_GbG[[TM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K32" s="18" t="str">
        <f>IF($D32=0,"DNP",SUMIFS(OPPS_GbG[OR_FT],OPPS_GbG[[TM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L32" s="18" t="str">
        <f>IF($D32=0,"DNP",SUMIFS(OPPS_GbG[TM OR_FT],OPPS_GbG[[TM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M32" s="18" t="str">
        <f>IF($D32=0,"DNP",SUMIFS(OPPS_GbG[DR_RIM],OPPS_GbG[[TM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N32" s="18" t="str">
        <f>IF($D32=0,"DNP",SUMIFS(OPPS_GbG[TM DR_RIM],OPPS_GbG[[TM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O32" s="18" t="str">
        <f>IF($D32=0,"DNP",SUMIFS(OPPS_GbG[DR_PAINT],OPPS_GbG[[TM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P32" s="18" t="str">
        <f>IF($D32=0,"DNP",SUMIFS(OPPS_GbG[TM DR_PAINT],OPPS_GbG[[TM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Q32" s="18" t="str">
        <f>IF($D32=0,"DNP",SUMIFS(OPPS_GbG[DR_NP2],OPPS_GbG[[TM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R32" s="18" t="str">
        <f>IF($D32=0,"DNP",SUMIFS(OPPS_GbG[TM DR_NP2],OPPS_GbG[[TM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S32" s="18" t="str">
        <f>IF($D32=0,"DNP",SUMIFS(OPPS_GbG[DR_3C],OPPS_GbG[[TM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T32" s="18" t="str">
        <f>IF($D32=0,"DNP",SUMIFS(OPPS_GbG[TM DR_3C],OPPS_GbG[[TM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U32" s="18" t="str">
        <f>IF($D32=0,"DNP",SUMIFS(OPPS_GbG[DR_3L],OPPS_GbG[[TM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V32" s="18" t="str">
        <f>IF($D32=0,"DNP",SUMIFS(OPPS_GbG[TM DR_3L],OPPS_GbG[[TM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W32" s="18" t="str">
        <f>IF($D32=0,"DNP",SUMIFS(OPPS_GbG[DR_FT],OPPS_GbG[[TM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X32" s="18" t="str">
        <f>IF($D32=0,"DNP",SUMIFS(OPPS_GbG[TM DR_FT],OPPS_GbG[[TM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Y32" s="18" t="str">
        <f>IF($D32=0,"DNP",SUMIFS(OPPS_GbG[FTM_T],OPPS_GbG[[TM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CZ32" s="18" t="str">
        <f>IF($D32=0,"DNP",SUMIFS(OPPS_GbG[FTA_T],OPPS_GbG[[TM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A32" s="18" t="str">
        <f>IF($D32=0,"DNP",SUMIFS(OPPS_GbG[FTM_1],OPPS_GbG[[TM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B32" s="18" t="str">
        <f>IF($D32=0,"DNP",SUMIFS(OPPS_GbG[FTA_1],OPPS_GbG[[TM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C32" s="18" t="str">
        <f>IF($D32=0,"DNP",SUMIFS(OPPS_GbG[FTM_2],OPPS_GbG[[TM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D32" s="18" t="str">
        <f>IF($D32=0,"DNP",SUMIFS(OPPS_GbG[FTA_2],OPPS_GbG[[TM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E32" s="18" t="str">
        <f>IF($D32=0,"DNP",SUMIFS(OPPS_GbG[FT 0/2],OPPS_GbG[[TM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F32" s="18" t="str">
        <f>IF($D32=0,"DNP",SUMIFS(OPPS_GbG[FTM_3],OPPS_GbG[[TM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G32" s="18" t="str">
        <f>IF($D32=0,"DNP",SUMIFS(OPPS_GbG[FTA_3],OPPS_GbG[[TM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H32" s="18" t="str">
        <f>IF($D32=0,"DNP",SUMIFS(OPPS_GbG[FT 0/3],OPPS_GbG[[TM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I32" s="18" t="str">
        <f>IF($D32=0,"DNP",SUMIFS(OPPS_GbG[RIM_M],OPPS_GbG[[TM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J32" s="18" t="str">
        <f>IF($D32=0,"DNP",SUMIFS(OPPS_GbG[RIM_A],OPPS_GbG[[TM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K32" s="18" t="str">
        <f>IF($D32=0,"DNP",SUMIFS(OPPS_GbG[PAINT_M],OPPS_GbG[[TM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L32" s="18" t="str">
        <f>IF($D32=0,"DNP",SUMIFS(OPPS_GbG[PAINT_A],OPPS_GbG[[TM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M32" s="18" t="str">
        <f>IF($D32=0,"DNP",SUMIFS(OPPS_GbG[MID_M],OPPS_GbG[[TM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N32" s="18" t="str">
        <f>IF($D32=0,"DNP",SUMIFS(OPPS_GbG[MID_A],OPPS_GbG[[TM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O32" s="18" t="str">
        <f>IF($D32=0,"DNP",SUMIFS(OPPS_GbG[3C_M],OPPS_GbG[[TM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P32" s="18" t="str">
        <f>IF($D32=0,"DNP",SUMIFS(OPPS_GbG[3C_A],OPPS_GbG[[TM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Q32" s="18" t="str">
        <f>IF($D32=0,"DNP",SUMIFS(OPPS_GbG[3L_M],OPPS_GbG[[TM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R32" s="18" t="str">
        <f>IF($D32=0,"DNP",SUMIFS(OPPS_GbG[3L_A],OPPS_GbG[[TM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S32" s="18" t="str">
        <f>IF($D32=0,"DNP",SUMIFS(OPPS_GbG[3H_M],OPPS_GbG[[TM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T32" s="18" t="str">
        <f>IF($D32=0,"DNP",SUMIFS(OPPS_GbG[3H_A],OPPS_GbG[[TM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U32" s="18" t="str">
        <f>IF($D32=0,"DNP",SUMIFS(OPPS_GbG[OPP PTS],OPPS_GbG[[TM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V32" s="18" t="str">
        <f>IF($D32=0,"DNP",SUMIFS(OPPS_GbG[OPP 2PTM],OPPS_GbG[[TM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W32" s="18" t="str">
        <f>IF($D32=0,"DNP",SUMIFS(OPPS_GbG[OPP 2PTA],OPPS_GbG[[TM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X32" s="16" t="str">
        <f t="shared" si="61"/>
        <v>DNP</v>
      </c>
      <c r="DY32" s="18" t="str">
        <f>IF($D32=0,"DNP",SUMIFS(OPPS_GbG[OPP 3PTM],OPPS_GbG[[TM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DZ32" s="18" t="str">
        <f>IF($D32=0,"DNP",SUMIFS(OPPS_GbG[OPP 3PTA],OPPS_GbG[[TM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A32" s="16" t="str">
        <f t="shared" si="62"/>
        <v>DNP</v>
      </c>
      <c r="EB32" s="18" t="str">
        <f>IF($D32=0,"DNP",SUMIFS(OPPS_GbG[OPP FGM],OPPS_GbG[[TM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C32" s="18" t="str">
        <f>IF($D32=0,"DNP",SUMIFS(OPPS_GbG[OPP FGA],OPPS_GbG[[TM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D32" s="16" t="str">
        <f t="shared" si="63"/>
        <v>DNP</v>
      </c>
      <c r="EE32" s="18" t="str">
        <f>IF($D32=0,"DNP",SUMIFS(OPPS_GbG[OPP FTM],OPPS_GbG[[TM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F32" s="18" t="str">
        <f>IF($D32=0,"DNP",SUMIFS(OPPS_GbG[OPP FTA],OPPS_GbG[[TM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G32" s="16" t="str">
        <f t="shared" si="64"/>
        <v>DNP</v>
      </c>
      <c r="EH32" s="18" t="str">
        <f>IF($D32=0,"DNP",SUMIFS(OPPS_GbG[OPP OR],OPPS_GbG[[TM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I32" s="18" t="str">
        <f>IF($D32=0,"DNP",SUMIFS(OPPS_GbG[OPP DR],OPPS_GbG[[TM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J32" s="18" t="str">
        <f>IF($D32=0,"DNP",SUMIFS(OPPS_GbG[OPP TR],OPPS_GbG[[TM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K32" s="18" t="str">
        <f>IF($D32=0,"DNP",SUMIFS(OPPS_GbG[OPP AST],OPPS_GbG[[TM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L32" s="18" t="str">
        <f>IF($D32=0,"DNP",SUMIFS(OPPS_GbG[OPP PF],OPPS_GbG[[TM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M32" s="18" t="str">
        <f>IF($D32=0,"DNP",SUMIFS(OPPS_GbG[OPP DF],OPPS_GbG[[TM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N32" s="18" t="str">
        <f>IF($D32=0,"DNP",SUMIFS(OPPS_GbG[OPP ST],OPPS_GbG[[TM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O32" s="18" t="str">
        <f>IF($D32=0,"DNP",SUMIFS(OPPS_GbG[OPP TO],OPPS_GbG[[TM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P32" s="18" t="str">
        <f>IF($D32=0,"DNP",SUMIFS(OPPS_GbG[OPP BLK],OPPS_GbG[[TM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Q32" s="18" t="str">
        <f>IF($D32=0,"DNP",SUMIFS(OPPS_GbG[OPP BLKA],OPPS_GbG[[TM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R32" s="18" t="str">
        <f>IF($D32=0,"DNP",SUMIFS(OPPS_GbG[OPP VAL],OPPS_GbG[[TM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S32" s="18" t="str">
        <f>IF($D32=0,"DNP",SUMIFS(OPPS_GbG[OPP + / -],OPPS_GbG[[TM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T32" s="18" t="str">
        <f>IF($D32=0,"DNP",SUMIFS(OPPS_GbG[OPP POSS],OPPS_GbG[[TM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U32" s="18" t="str">
        <f>IF($D32=0,"DNP",SUMIFS(OPPS_GbG[OPP SHOOTING CHANCES],OPPS_GbG[[TM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V32" s="18" t="str">
        <f>IF($D32=0,"DNP",SUMIFS(OPPS_GbG[OPP KILLS],OPPS_GbG[[TM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W32" s="18" t="str">
        <f>IF($D32=0,"DNP",SUMIFS(OPPS_GbG[OPP ASTED_2FG],OPPS_GbG[[TM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X32" s="18" t="str">
        <f>IF($D32=0,"DNP",SUMIFS(OPPS_GbG[OPP ASTED_3FG],OPPS_GbG[[TM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Y32" s="18" t="str">
        <f>IF($D32=0,"DNP",SUMIFS(OPPS_GbG[OPP ASTED_FT],OPPS_GbG[[TM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EZ32" s="18" t="str">
        <f>IF($D32=0,"DNP",SUMIFS(OPPS_GbG[OPP ASTED_FT PTS],OPPS_GbG[[TM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A32" s="18" t="str">
        <f>IF($D32=0,"DNP",SUMIFS(OPPS_GbG[OPP OR_RIM],OPPS_GbG[[TM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B32" s="18" t="str">
        <f>IF($D32=0,"DNP",SUMIFS(OPPS_GbG[OPP TM OR_RIM],OPPS_GbG[[TM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C32" s="18" t="str">
        <f>IF($D32=0,"DNP",SUMIFS(OPPS_GbG[OPP OR_PAINT],OPPS_GbG[[TM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D32" s="18" t="str">
        <f>IF($D32=0,"DNP",SUMIFS(OPPS_GbG[OPP TM OR_PAINT],OPPS_GbG[[TM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E32" s="18" t="str">
        <f>IF($D32=0,"DNP",SUMIFS(OPPS_GbG[OPP OR_NP2],OPPS_GbG[[TM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F32" s="18" t="str">
        <f>IF($D32=0,"DNP",SUMIFS(OPPS_GbG[OPP TM OR_NP2],OPPS_GbG[[TM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G32" s="18" t="str">
        <f>IF($D32=0,"DNP",SUMIFS(OPPS_GbG[OPP OR_3C],OPPS_GbG[[TM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H32" s="18" t="str">
        <f>IF($D32=0,"DNP",SUMIFS(OPPS_GbG[OPP TM OR_3C],OPPS_GbG[[TM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I32" s="18" t="str">
        <f>IF($D32=0,"DNP",SUMIFS(OPPS_GbG[OPP OR_3L],OPPS_GbG[[TM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J32" s="18" t="str">
        <f>IF($D32=0,"DNP",SUMIFS(OPPS_GbG[OPP TM OR_3L],OPPS_GbG[[TM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K32" s="18" t="str">
        <f>IF($D32=0,"DNP",SUMIFS(OPPS_GbG[OPP OR_FT],OPPS_GbG[[TM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L32" s="18" t="str">
        <f>IF($D32=0,"DNP",SUMIFS(OPPS_GbG[OPP TM OR_FT],OPPS_GbG[[TM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M32" s="18" t="str">
        <f>IF($D32=0,"DNP",SUMIFS(OPPS_GbG[OPP DR_RIM],OPPS_GbG[[TM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N32" s="18" t="str">
        <f>IF($D32=0,"DNP",SUMIFS(OPPS_GbG[OPP TM DR_RIM],OPPS_GbG[[TM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O32" s="18" t="str">
        <f>IF($D32=0,"DNP",SUMIFS(OPPS_GbG[OPP DR_PAINT],OPPS_GbG[[TM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P32" s="18" t="str">
        <f>IF($D32=0,"DNP",SUMIFS(OPPS_GbG[OPP TM DR_PAINT],OPPS_GbG[[TM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Q32" s="18" t="str">
        <f>IF($D32=0,"DNP",SUMIFS(OPPS_GbG[OPP DR_NP2],OPPS_GbG[[TM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R32" s="18" t="str">
        <f>IF($D32=0,"DNP",SUMIFS(OPPS_GbG[OPP TM DR_NP2],OPPS_GbG[[TM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S32" s="18" t="str">
        <f>IF($D32=0,"DNP",SUMIFS(OPPS_GbG[OPP DR_3C],OPPS_GbG[[TM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T32" s="18" t="str">
        <f>IF($D32=0,"DNP",SUMIFS(OPPS_GbG[OPP TM DR_3C],OPPS_GbG[[TM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U32" s="18" t="str">
        <f>IF($D32=0,"DNP",SUMIFS(OPPS_GbG[OPP DR_3L],OPPS_GbG[[TM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V32" s="18" t="str">
        <f>IF($D32=0,"DNP",SUMIFS(OPPS_GbG[OPP TM DR_3L],OPPS_GbG[[TM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W32" s="18" t="str">
        <f>IF($D32=0,"DNP",SUMIFS(OPPS_GbG[OPP DR_FT],OPPS_GbG[[TM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X32" s="18" t="str">
        <f>IF($D32=0,"DNP",SUMIFS(OPPS_GbG[OPP TM DR_FT],OPPS_GbG[[TM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Y32" s="18" t="str">
        <f>IF($D32=0,"DNP",SUMIFS(OPPS_GbG[OPP FTM_T],OPPS_GbG[[TM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FZ32" s="18" t="str">
        <f>IF($D32=0,"DNP",SUMIFS(OPPS_GbG[OPP FTA_T],OPPS_GbG[[TM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A32" s="18" t="str">
        <f>IF($D32=0,"DNP",SUMIFS(OPPS_GbG[OPP FTM_1],OPPS_GbG[[TM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B32" s="18" t="str">
        <f>IF($D32=0,"DNP",SUMIFS(OPPS_GbG[OPP FTA_1],OPPS_GbG[[TM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C32" s="18" t="str">
        <f>IF($D32=0,"DNP",SUMIFS(OPPS_GbG[OPP FTM_2],OPPS_GbG[[TM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D32" s="18" t="str">
        <f>IF($D32=0,"DNP",SUMIFS(OPPS_GbG[OPP FTA_2],OPPS_GbG[[TM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E32" s="18" t="str">
        <f>IF($D32=0,"DNP",SUMIFS(OPPS_GbG[OPP FT 0/2],OPPS_GbG[[TM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F32" s="18" t="str">
        <f>IF($D32=0,"DNP",SUMIFS(OPPS_GbG[OPP FTM_3],OPPS_GbG[[TM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G32" s="18" t="str">
        <f>IF($D32=0,"DNP",SUMIFS(OPPS_GbG[OPP FTA_3],OPPS_GbG[[TM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H32" s="18" t="str">
        <f>IF($D32=0,"DNP",SUMIFS(OPPS_GbG[OPP FT 0/3],OPPS_GbG[[TM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I32" s="18" t="str">
        <f>IF($D32=0,"DNP",SUMIFS(OPPS_GbG[OPP RIM_M],OPPS_GbG[[TM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J32" s="18" t="str">
        <f>IF($D32=0,"DNP",SUMIFS(OPPS_GbG[OPP RIM_A],OPPS_GbG[[TM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K32" s="18" t="str">
        <f>IF($D32=0,"DNP",SUMIFS(OPPS_GbG[OPP PAINT_M],OPPS_GbG[[TM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L32" s="18" t="str">
        <f>IF($D32=0,"DNP",SUMIFS(OPPS_GbG[OPP PAINT_A],OPPS_GbG[[TM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M32" s="18" t="str">
        <f>IF($D32=0,"DNP",SUMIFS(OPPS_GbG[OPP MID_M],OPPS_GbG[[TM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N32" s="18" t="str">
        <f>IF($D32=0,"DNP",SUMIFS(OPPS_GbG[OPP MID_A],OPPS_GbG[[TM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O32" s="18" t="str">
        <f>IF($D32=0,"DNP",SUMIFS(OPPS_GbG[OPP 3C_M],OPPS_GbG[[TM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P32" s="18" t="str">
        <f>IF($D32=0,"DNP",SUMIFS(OPPS_GbG[OPP 3C_A],OPPS_GbG[[TM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Q32" s="18" t="str">
        <f>IF($D32=0,"DNP",SUMIFS(OPPS_GbG[OPP 3L_M],OPPS_GbG[[TM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R32" s="18" t="str">
        <f>IF($D32=0,"DNP",SUMIFS(OPPS_GbG[OPP 3L_A],OPPS_GbG[[TM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S32" s="18" t="str">
        <f>IF($D32=0,"DNP",SUMIFS(OPPS_GbG[OPP 3H_M],OPPS_GbG[[TM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  <c r="GT32" s="18" t="str">
        <f>IF($D32=0,"DNP",SUMIFS(OPPS_GbG[OPP 3H_A],OPPS_GbG[[TM NAME]:[TM NAME]],$C32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GAMES","&lt;1000",IF($F$3=BASIS_INFO!$T$3,"&lt;"&amp;BASIS_INFO!$B$11,IF($F$3=BASIS_INFO!$T$4,"&lt;"&amp;BASIS_INFO!$B$12,IF($F$3=BASIS_INFO!$T$5,"&lt;"&amp;BASIS_INFO!$B$13,IF($F$3=BASIS_INFO!$T$6,"&lt;"&amp;BASIS_INFO!$B$14))))))/IF($D$3="TOTAL",1,$D32))</f>
        <v>DNP</v>
      </c>
    </row>
    <row r="33" spans="2:202" ht="15" hidden="1" customHeight="1" x14ac:dyDescent="0.25">
      <c r="B33" s="12">
        <f>_xlfn.AGGREGATE(3,5,$C$7:C32)</f>
        <v>19</v>
      </c>
      <c r="C33" s="14" t="str">
        <f>BASIS_INFO!F28</f>
        <v/>
      </c>
      <c r="D33" s="20">
        <f>COUNTIFS(OPPS_GbG[[TM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3" s="20">
        <f>COUNTIFS(OPPS_GbG[[TM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3" s="20">
        <f>COUNTIFS(OPPS_GbG[[TM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3" s="18" t="str">
        <f>IF($D33=0,"DNP",SUMIFS(OPPS_GbG[MIN],OPPS_GbG[[TM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H33" s="18" t="str">
        <f>IF($D33=0,"DNP",SUMIFS(OPPS_GbG[PTS],OPPS_GbG[[TM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I33" s="18" t="str">
        <f>IF($D33=0,"DNP",SUMIFS(OPPS_GbG[2PTM],OPPS_GbG[[TM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J33" s="18" t="str">
        <f>IF($D33=0,"DNP",SUMIFS(OPPS_GbG[2PTA],OPPS_GbG[[TM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K33" s="16" t="str">
        <f t="shared" si="56"/>
        <v>DNP</v>
      </c>
      <c r="L33" s="18" t="str">
        <f>IF($D33=0,"DNP",SUMIFS(OPPS_GbG[3PTM],OPPS_GbG[[TM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M33" s="18" t="str">
        <f>IF($D33=0,"DNP",SUMIFS(OPPS_GbG[3PTA],OPPS_GbG[[TM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N33" s="16" t="str">
        <f t="shared" si="57"/>
        <v>DNP</v>
      </c>
      <c r="O33" s="18" t="str">
        <f>IF($D33=0,"DNP",SUMIFS(OPPS_GbG[FGM],OPPS_GbG[[TM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P33" s="18" t="str">
        <f>IF($D33=0,"DNP",SUMIFS(OPPS_GbG[FGA],OPPS_GbG[[TM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Q33" s="16" t="str">
        <f t="shared" si="58"/>
        <v>DNP</v>
      </c>
      <c r="R33" s="18" t="str">
        <f>IF($D33=0,"DNP",SUMIFS(OPPS_GbG[FTM],OPPS_GbG[[TM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S33" s="18" t="str">
        <f>IF($D33=0,"DNP",SUMIFS(OPPS_GbG[FTA],OPPS_GbG[[TM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T33" s="16" t="str">
        <f t="shared" si="59"/>
        <v>DNP</v>
      </c>
      <c r="U33" s="18" t="str">
        <f>IF($D33=0,"DNP",SUMIFS(OPPS_GbG[OR],OPPS_GbG[[TM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V33" s="18" t="str">
        <f>IF($D33=0,"DNP",SUMIFS(OPPS_GbG[DR],OPPS_GbG[[TM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W33" s="18" t="str">
        <f>IF($D33=0,"DNP",SUMIFS(OPPS_GbG[TR],OPPS_GbG[[TM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X33" s="18" t="str">
        <f>IF($D33=0,"DNP",SUMIFS(OPPS_GbG[AST],OPPS_GbG[[TM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Y33" s="18" t="str">
        <f>IF($D33=0,"DNP",SUMIFS(OPPS_GbG[TO],OPPS_GbG[[TM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Z33" s="18" t="str">
        <f>IF($D33=0,"DNP",SUMIFS(OPPS_GbG[ST],OPPS_GbG[[TM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A33" s="18" t="str">
        <f>IF($D33=0,"DNP",SUMIFS(OPPS_GbG[BLK],OPPS_GbG[[TM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B33" s="18" t="str">
        <f>IF($D33=0,"DNP",SUMIFS(OPPS_GbG[BLKA],OPPS_GbG[[TM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C33" s="18" t="str">
        <f>IF($D33=0,"DNP",SUMIFS(OPPS_GbG[PF],OPPS_GbG[[TM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D33" s="18" t="str">
        <f>IF($D33=0,"DNP",SUMIFS(OPPS_GbG[DF],OPPS_GbG[[TM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E33" s="18" t="str">
        <f>IF($D33=0,"DNP",SUMIFS(OPPS_GbG[VAL],OPPS_GbG[[TM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F33" s="18" t="str">
        <f>IF($D33=0,"DNP",SUMIFS(OPPS_GbG[+ / -],OPPS_GbG[[TM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G33" s="26" t="str">
        <f t="shared" si="0"/>
        <v>DNP</v>
      </c>
      <c r="AH33" s="18" t="str">
        <f>IF($D33=0,"DNP",SUMIFS(OPPS_GbG[POSS],OPPS_GbG[[TM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I33" s="18" t="str">
        <f>IF($D33=0,"DNP",SUMIFS(OPPS_GbG[SHOOTING CHANCES],OPPS_GbG[[TM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AJ33" s="19" t="str">
        <f t="shared" si="1"/>
        <v>DNP</v>
      </c>
      <c r="AK33" s="19" t="str">
        <f t="shared" si="2"/>
        <v>DNP</v>
      </c>
      <c r="AL33" s="18" t="str">
        <f t="shared" si="3"/>
        <v>DNP</v>
      </c>
      <c r="AM33" s="18" t="str">
        <f t="shared" si="4"/>
        <v>DNP</v>
      </c>
      <c r="AN33" s="18" t="str">
        <f t="shared" si="60"/>
        <v>DNP</v>
      </c>
      <c r="AO33" s="27" t="str">
        <f t="shared" si="5"/>
        <v>DNP</v>
      </c>
      <c r="AP33" s="28" t="str">
        <f t="shared" si="6"/>
        <v>DNP</v>
      </c>
      <c r="AQ33" s="34" t="str">
        <f t="shared" si="7"/>
        <v>DNP</v>
      </c>
      <c r="AR33" s="19" t="str">
        <f t="shared" si="8"/>
        <v>DNP</v>
      </c>
      <c r="AS33" s="16" t="str">
        <f t="shared" si="9"/>
        <v>DNP</v>
      </c>
      <c r="AT33" s="18" t="str">
        <f t="shared" si="10"/>
        <v>DNP</v>
      </c>
      <c r="AU33" s="16" t="str">
        <f t="shared" si="11"/>
        <v>DNP</v>
      </c>
      <c r="AV33" s="18" t="str">
        <f t="shared" si="12"/>
        <v>DNP</v>
      </c>
      <c r="AW33" s="16" t="str">
        <f t="shared" si="13"/>
        <v>DNP</v>
      </c>
      <c r="AX33" s="19" t="str">
        <f t="shared" si="14"/>
        <v>DNP</v>
      </c>
      <c r="AY33" s="27" t="str">
        <f t="shared" si="15"/>
        <v>DNP</v>
      </c>
      <c r="AZ33" s="38" t="str">
        <f t="shared" si="16"/>
        <v>DNP</v>
      </c>
      <c r="BA33" s="28" t="str">
        <f t="shared" si="17"/>
        <v>DNP</v>
      </c>
      <c r="BB33" s="34" t="str">
        <f t="shared" si="18"/>
        <v>DNP</v>
      </c>
      <c r="BC33" s="27" t="str">
        <f t="shared" si="19"/>
        <v>DNP</v>
      </c>
      <c r="BD33" s="27" t="str">
        <f t="shared" si="20"/>
        <v>DNP</v>
      </c>
      <c r="BE33" s="27" t="str">
        <f t="shared" si="21"/>
        <v>DNP</v>
      </c>
      <c r="BF33" s="27" t="str">
        <f t="shared" si="22"/>
        <v>DNP</v>
      </c>
      <c r="BG33" s="27" t="str">
        <f t="shared" si="23"/>
        <v>DNP</v>
      </c>
      <c r="BH33" s="35" t="str">
        <f t="shared" si="24"/>
        <v>DNP</v>
      </c>
      <c r="BI33" s="34" t="str">
        <f t="shared" si="25"/>
        <v>DNP</v>
      </c>
      <c r="BJ33" s="27" t="str">
        <f t="shared" si="26"/>
        <v>DNP</v>
      </c>
      <c r="BK33" s="27" t="str">
        <f t="shared" si="27"/>
        <v>DNP</v>
      </c>
      <c r="BL33" s="27" t="str">
        <f t="shared" si="28"/>
        <v>DNP</v>
      </c>
      <c r="BM33" s="27" t="str">
        <f t="shared" si="29"/>
        <v>DNP</v>
      </c>
      <c r="BN33" s="27" t="str">
        <f t="shared" si="30"/>
        <v>DNP</v>
      </c>
      <c r="BO33" s="27" t="str">
        <f t="shared" si="31"/>
        <v>DNP</v>
      </c>
      <c r="BP33" s="27" t="str">
        <f t="shared" si="32"/>
        <v>DNP</v>
      </c>
      <c r="BQ33" s="28" t="str">
        <f t="shared" si="33"/>
        <v>DNP</v>
      </c>
      <c r="BR33" s="34" t="str">
        <f t="shared" si="34"/>
        <v>DNP</v>
      </c>
      <c r="BS33" s="27" t="str">
        <f t="shared" si="35"/>
        <v>DNP</v>
      </c>
      <c r="BT33" s="40" t="str">
        <f>IF($D33=0,"DNP",SUMIFS(OPPS_GbG[KILLS],OPPS_GbG[[TM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BU33" s="34" t="str">
        <f t="shared" si="36"/>
        <v>DNP</v>
      </c>
      <c r="BV33" s="28" t="str">
        <f t="shared" si="37"/>
        <v>DNP</v>
      </c>
      <c r="BW33" s="18" t="str">
        <f>IF($D33=0,"DNP",SUMIFS(OPPS_GbG[ASTED_2FG],OPPS_GbG[[TM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BX33" s="18" t="str">
        <f>IF($D33=0,"DNP",SUMIFS(OPPS_GbG[ASTED_3FG],OPPS_GbG[[TM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BY33" s="18" t="str">
        <f>IF($D33=0,"DNP",SUMIFS(OPPS_GbG[ASTED_FT],OPPS_GbG[[TM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BZ33" s="18" t="str">
        <f>IF($D33=0,"DNP",SUMIFS(OPPS_GbG[ASTED_FT PTS],OPPS_GbG[[TM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A33" s="18" t="str">
        <f>IF($D33=0,"DNP",SUMIFS(OPPS_GbG[OR_RIM],OPPS_GbG[[TM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B33" s="18" t="str">
        <f>IF($D33=0,"DNP",SUMIFS(OPPS_GbG[TM OR_RIM],OPPS_GbG[[TM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C33" s="18" t="str">
        <f>IF($D33=0,"DNP",SUMIFS(OPPS_GbG[OR_PAINT],OPPS_GbG[[TM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D33" s="18" t="str">
        <f>IF($D33=0,"DNP",SUMIFS(OPPS_GbG[TM OR_PAINT],OPPS_GbG[[TM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E33" s="18" t="str">
        <f>IF($D33=0,"DNP",SUMIFS(OPPS_GbG[OR_NP2],OPPS_GbG[[TM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F33" s="18" t="str">
        <f>IF($D33=0,"DNP",SUMIFS(OPPS_GbG[TM OR_NP2],OPPS_GbG[[TM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G33" s="18" t="str">
        <f>IF($D33=0,"DNP",SUMIFS(OPPS_GbG[OR_3C],OPPS_GbG[[TM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H33" s="18" t="str">
        <f>IF($D33=0,"DNP",SUMIFS(OPPS_GbG[TM OR_3C],OPPS_GbG[[TM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I33" s="18" t="str">
        <f>IF($D33=0,"DNP",SUMIFS(OPPS_GbG[OR_3L],OPPS_GbG[[TM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J33" s="18" t="str">
        <f>IF($D33=0,"DNP",SUMIFS(OPPS_GbG[TM OR_3L],OPPS_GbG[[TM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K33" s="18" t="str">
        <f>IF($D33=0,"DNP",SUMIFS(OPPS_GbG[OR_FT],OPPS_GbG[[TM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L33" s="18" t="str">
        <f>IF($D33=0,"DNP",SUMIFS(OPPS_GbG[TM OR_FT],OPPS_GbG[[TM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M33" s="18" t="str">
        <f>IF($D33=0,"DNP",SUMIFS(OPPS_GbG[DR_RIM],OPPS_GbG[[TM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N33" s="18" t="str">
        <f>IF($D33=0,"DNP",SUMIFS(OPPS_GbG[TM DR_RIM],OPPS_GbG[[TM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O33" s="18" t="str">
        <f>IF($D33=0,"DNP",SUMIFS(OPPS_GbG[DR_PAINT],OPPS_GbG[[TM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P33" s="18" t="str">
        <f>IF($D33=0,"DNP",SUMIFS(OPPS_GbG[TM DR_PAINT],OPPS_GbG[[TM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Q33" s="18" t="str">
        <f>IF($D33=0,"DNP",SUMIFS(OPPS_GbG[DR_NP2],OPPS_GbG[[TM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R33" s="18" t="str">
        <f>IF($D33=0,"DNP",SUMIFS(OPPS_GbG[TM DR_NP2],OPPS_GbG[[TM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S33" s="18" t="str">
        <f>IF($D33=0,"DNP",SUMIFS(OPPS_GbG[DR_3C],OPPS_GbG[[TM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T33" s="18" t="str">
        <f>IF($D33=0,"DNP",SUMIFS(OPPS_GbG[TM DR_3C],OPPS_GbG[[TM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U33" s="18" t="str">
        <f>IF($D33=0,"DNP",SUMIFS(OPPS_GbG[DR_3L],OPPS_GbG[[TM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V33" s="18" t="str">
        <f>IF($D33=0,"DNP",SUMIFS(OPPS_GbG[TM DR_3L],OPPS_GbG[[TM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W33" s="18" t="str">
        <f>IF($D33=0,"DNP",SUMIFS(OPPS_GbG[DR_FT],OPPS_GbG[[TM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X33" s="18" t="str">
        <f>IF($D33=0,"DNP",SUMIFS(OPPS_GbG[TM DR_FT],OPPS_GbG[[TM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Y33" s="18" t="str">
        <f>IF($D33=0,"DNP",SUMIFS(OPPS_GbG[FTM_T],OPPS_GbG[[TM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CZ33" s="18" t="str">
        <f>IF($D33=0,"DNP",SUMIFS(OPPS_GbG[FTA_T],OPPS_GbG[[TM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A33" s="18" t="str">
        <f>IF($D33=0,"DNP",SUMIFS(OPPS_GbG[FTM_1],OPPS_GbG[[TM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B33" s="18" t="str">
        <f>IF($D33=0,"DNP",SUMIFS(OPPS_GbG[FTA_1],OPPS_GbG[[TM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C33" s="18" t="str">
        <f>IF($D33=0,"DNP",SUMIFS(OPPS_GbG[FTM_2],OPPS_GbG[[TM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D33" s="18" t="str">
        <f>IF($D33=0,"DNP",SUMIFS(OPPS_GbG[FTA_2],OPPS_GbG[[TM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E33" s="18" t="str">
        <f>IF($D33=0,"DNP",SUMIFS(OPPS_GbG[FT 0/2],OPPS_GbG[[TM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F33" s="18" t="str">
        <f>IF($D33=0,"DNP",SUMIFS(OPPS_GbG[FTM_3],OPPS_GbG[[TM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G33" s="18" t="str">
        <f>IF($D33=0,"DNP",SUMIFS(OPPS_GbG[FTA_3],OPPS_GbG[[TM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H33" s="18" t="str">
        <f>IF($D33=0,"DNP",SUMIFS(OPPS_GbG[FT 0/3],OPPS_GbG[[TM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I33" s="18" t="str">
        <f>IF($D33=0,"DNP",SUMIFS(OPPS_GbG[RIM_M],OPPS_GbG[[TM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J33" s="18" t="str">
        <f>IF($D33=0,"DNP",SUMIFS(OPPS_GbG[RIM_A],OPPS_GbG[[TM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K33" s="18" t="str">
        <f>IF($D33=0,"DNP",SUMIFS(OPPS_GbG[PAINT_M],OPPS_GbG[[TM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L33" s="18" t="str">
        <f>IF($D33=0,"DNP",SUMIFS(OPPS_GbG[PAINT_A],OPPS_GbG[[TM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M33" s="18" t="str">
        <f>IF($D33=0,"DNP",SUMIFS(OPPS_GbG[MID_M],OPPS_GbG[[TM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N33" s="18" t="str">
        <f>IF($D33=0,"DNP",SUMIFS(OPPS_GbG[MID_A],OPPS_GbG[[TM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O33" s="18" t="str">
        <f>IF($D33=0,"DNP",SUMIFS(OPPS_GbG[3C_M],OPPS_GbG[[TM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P33" s="18" t="str">
        <f>IF($D33=0,"DNP",SUMIFS(OPPS_GbG[3C_A],OPPS_GbG[[TM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Q33" s="18" t="str">
        <f>IF($D33=0,"DNP",SUMIFS(OPPS_GbG[3L_M],OPPS_GbG[[TM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R33" s="18" t="str">
        <f>IF($D33=0,"DNP",SUMIFS(OPPS_GbG[3L_A],OPPS_GbG[[TM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S33" s="18" t="str">
        <f>IF($D33=0,"DNP",SUMIFS(OPPS_GbG[3H_M],OPPS_GbG[[TM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T33" s="18" t="str">
        <f>IF($D33=0,"DNP",SUMIFS(OPPS_GbG[3H_A],OPPS_GbG[[TM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U33" s="18" t="str">
        <f>IF($D33=0,"DNP",SUMIFS(OPPS_GbG[OPP PTS],OPPS_GbG[[TM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V33" s="18" t="str">
        <f>IF($D33=0,"DNP",SUMIFS(OPPS_GbG[OPP 2PTM],OPPS_GbG[[TM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W33" s="18" t="str">
        <f>IF($D33=0,"DNP",SUMIFS(OPPS_GbG[OPP 2PTA],OPPS_GbG[[TM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X33" s="16" t="str">
        <f t="shared" si="61"/>
        <v>DNP</v>
      </c>
      <c r="DY33" s="18" t="str">
        <f>IF($D33=0,"DNP",SUMIFS(OPPS_GbG[OPP 3PTM],OPPS_GbG[[TM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DZ33" s="18" t="str">
        <f>IF($D33=0,"DNP",SUMIFS(OPPS_GbG[OPP 3PTA],OPPS_GbG[[TM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A33" s="16" t="str">
        <f t="shared" si="62"/>
        <v>DNP</v>
      </c>
      <c r="EB33" s="18" t="str">
        <f>IF($D33=0,"DNP",SUMIFS(OPPS_GbG[OPP FGM],OPPS_GbG[[TM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C33" s="18" t="str">
        <f>IF($D33=0,"DNP",SUMIFS(OPPS_GbG[OPP FGA],OPPS_GbG[[TM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D33" s="16" t="str">
        <f t="shared" si="63"/>
        <v>DNP</v>
      </c>
      <c r="EE33" s="18" t="str">
        <f>IF($D33=0,"DNP",SUMIFS(OPPS_GbG[OPP FTM],OPPS_GbG[[TM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F33" s="18" t="str">
        <f>IF($D33=0,"DNP",SUMIFS(OPPS_GbG[OPP FTA],OPPS_GbG[[TM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G33" s="16" t="str">
        <f t="shared" si="64"/>
        <v>DNP</v>
      </c>
      <c r="EH33" s="18" t="str">
        <f>IF($D33=0,"DNP",SUMIFS(OPPS_GbG[OPP OR],OPPS_GbG[[TM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I33" s="18" t="str">
        <f>IF($D33=0,"DNP",SUMIFS(OPPS_GbG[OPP DR],OPPS_GbG[[TM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J33" s="18" t="str">
        <f>IF($D33=0,"DNP",SUMIFS(OPPS_GbG[OPP TR],OPPS_GbG[[TM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K33" s="18" t="str">
        <f>IF($D33=0,"DNP",SUMIFS(OPPS_GbG[OPP AST],OPPS_GbG[[TM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L33" s="18" t="str">
        <f>IF($D33=0,"DNP",SUMIFS(OPPS_GbG[OPP PF],OPPS_GbG[[TM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M33" s="18" t="str">
        <f>IF($D33=0,"DNP",SUMIFS(OPPS_GbG[OPP DF],OPPS_GbG[[TM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N33" s="18" t="str">
        <f>IF($D33=0,"DNP",SUMIFS(OPPS_GbG[OPP ST],OPPS_GbG[[TM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O33" s="18" t="str">
        <f>IF($D33=0,"DNP",SUMIFS(OPPS_GbG[OPP TO],OPPS_GbG[[TM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P33" s="18" t="str">
        <f>IF($D33=0,"DNP",SUMIFS(OPPS_GbG[OPP BLK],OPPS_GbG[[TM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Q33" s="18" t="str">
        <f>IF($D33=0,"DNP",SUMIFS(OPPS_GbG[OPP BLKA],OPPS_GbG[[TM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R33" s="18" t="str">
        <f>IF($D33=0,"DNP",SUMIFS(OPPS_GbG[OPP VAL],OPPS_GbG[[TM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S33" s="18" t="str">
        <f>IF($D33=0,"DNP",SUMIFS(OPPS_GbG[OPP + / -],OPPS_GbG[[TM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T33" s="18" t="str">
        <f>IF($D33=0,"DNP",SUMIFS(OPPS_GbG[OPP POSS],OPPS_GbG[[TM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U33" s="18" t="str">
        <f>IF($D33=0,"DNP",SUMIFS(OPPS_GbG[OPP SHOOTING CHANCES],OPPS_GbG[[TM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V33" s="18" t="str">
        <f>IF($D33=0,"DNP",SUMIFS(OPPS_GbG[OPP KILLS],OPPS_GbG[[TM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W33" s="18" t="str">
        <f>IF($D33=0,"DNP",SUMIFS(OPPS_GbG[OPP ASTED_2FG],OPPS_GbG[[TM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X33" s="18" t="str">
        <f>IF($D33=0,"DNP",SUMIFS(OPPS_GbG[OPP ASTED_3FG],OPPS_GbG[[TM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Y33" s="18" t="str">
        <f>IF($D33=0,"DNP",SUMIFS(OPPS_GbG[OPP ASTED_FT],OPPS_GbG[[TM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EZ33" s="18" t="str">
        <f>IF($D33=0,"DNP",SUMIFS(OPPS_GbG[OPP ASTED_FT PTS],OPPS_GbG[[TM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A33" s="18" t="str">
        <f>IF($D33=0,"DNP",SUMIFS(OPPS_GbG[OPP OR_RIM],OPPS_GbG[[TM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B33" s="18" t="str">
        <f>IF($D33=0,"DNP",SUMIFS(OPPS_GbG[OPP TM OR_RIM],OPPS_GbG[[TM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C33" s="18" t="str">
        <f>IF($D33=0,"DNP",SUMIFS(OPPS_GbG[OPP OR_PAINT],OPPS_GbG[[TM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D33" s="18" t="str">
        <f>IF($D33=0,"DNP",SUMIFS(OPPS_GbG[OPP TM OR_PAINT],OPPS_GbG[[TM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E33" s="18" t="str">
        <f>IF($D33=0,"DNP",SUMIFS(OPPS_GbG[OPP OR_NP2],OPPS_GbG[[TM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F33" s="18" t="str">
        <f>IF($D33=0,"DNP",SUMIFS(OPPS_GbG[OPP TM OR_NP2],OPPS_GbG[[TM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G33" s="18" t="str">
        <f>IF($D33=0,"DNP",SUMIFS(OPPS_GbG[OPP OR_3C],OPPS_GbG[[TM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H33" s="18" t="str">
        <f>IF($D33=0,"DNP",SUMIFS(OPPS_GbG[OPP TM OR_3C],OPPS_GbG[[TM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I33" s="18" t="str">
        <f>IF($D33=0,"DNP",SUMIFS(OPPS_GbG[OPP OR_3L],OPPS_GbG[[TM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J33" s="18" t="str">
        <f>IF($D33=0,"DNP",SUMIFS(OPPS_GbG[OPP TM OR_3L],OPPS_GbG[[TM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K33" s="18" t="str">
        <f>IF($D33=0,"DNP",SUMIFS(OPPS_GbG[OPP OR_FT],OPPS_GbG[[TM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L33" s="18" t="str">
        <f>IF($D33=0,"DNP",SUMIFS(OPPS_GbG[OPP TM OR_FT],OPPS_GbG[[TM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M33" s="18" t="str">
        <f>IF($D33=0,"DNP",SUMIFS(OPPS_GbG[OPP DR_RIM],OPPS_GbG[[TM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N33" s="18" t="str">
        <f>IF($D33=0,"DNP",SUMIFS(OPPS_GbG[OPP TM DR_RIM],OPPS_GbG[[TM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O33" s="18" t="str">
        <f>IF($D33=0,"DNP",SUMIFS(OPPS_GbG[OPP DR_PAINT],OPPS_GbG[[TM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P33" s="18" t="str">
        <f>IF($D33=0,"DNP",SUMIFS(OPPS_GbG[OPP TM DR_PAINT],OPPS_GbG[[TM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Q33" s="18" t="str">
        <f>IF($D33=0,"DNP",SUMIFS(OPPS_GbG[OPP DR_NP2],OPPS_GbG[[TM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R33" s="18" t="str">
        <f>IF($D33=0,"DNP",SUMIFS(OPPS_GbG[OPP TM DR_NP2],OPPS_GbG[[TM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S33" s="18" t="str">
        <f>IF($D33=0,"DNP",SUMIFS(OPPS_GbG[OPP DR_3C],OPPS_GbG[[TM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T33" s="18" t="str">
        <f>IF($D33=0,"DNP",SUMIFS(OPPS_GbG[OPP TM DR_3C],OPPS_GbG[[TM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U33" s="18" t="str">
        <f>IF($D33=0,"DNP",SUMIFS(OPPS_GbG[OPP DR_3L],OPPS_GbG[[TM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V33" s="18" t="str">
        <f>IF($D33=0,"DNP",SUMIFS(OPPS_GbG[OPP TM DR_3L],OPPS_GbG[[TM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W33" s="18" t="str">
        <f>IF($D33=0,"DNP",SUMIFS(OPPS_GbG[OPP DR_FT],OPPS_GbG[[TM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X33" s="18" t="str">
        <f>IF($D33=0,"DNP",SUMIFS(OPPS_GbG[OPP TM DR_FT],OPPS_GbG[[TM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Y33" s="18" t="str">
        <f>IF($D33=0,"DNP",SUMIFS(OPPS_GbG[OPP FTM_T],OPPS_GbG[[TM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FZ33" s="18" t="str">
        <f>IF($D33=0,"DNP",SUMIFS(OPPS_GbG[OPP FTA_T],OPPS_GbG[[TM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A33" s="18" t="str">
        <f>IF($D33=0,"DNP",SUMIFS(OPPS_GbG[OPP FTM_1],OPPS_GbG[[TM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B33" s="18" t="str">
        <f>IF($D33=0,"DNP",SUMIFS(OPPS_GbG[OPP FTA_1],OPPS_GbG[[TM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C33" s="18" t="str">
        <f>IF($D33=0,"DNP",SUMIFS(OPPS_GbG[OPP FTM_2],OPPS_GbG[[TM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D33" s="18" t="str">
        <f>IF($D33=0,"DNP",SUMIFS(OPPS_GbG[OPP FTA_2],OPPS_GbG[[TM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E33" s="18" t="str">
        <f>IF($D33=0,"DNP",SUMIFS(OPPS_GbG[OPP FT 0/2],OPPS_GbG[[TM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F33" s="18" t="str">
        <f>IF($D33=0,"DNP",SUMIFS(OPPS_GbG[OPP FTM_3],OPPS_GbG[[TM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G33" s="18" t="str">
        <f>IF($D33=0,"DNP",SUMIFS(OPPS_GbG[OPP FTA_3],OPPS_GbG[[TM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H33" s="18" t="str">
        <f>IF($D33=0,"DNP",SUMIFS(OPPS_GbG[OPP FT 0/3],OPPS_GbG[[TM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I33" s="18" t="str">
        <f>IF($D33=0,"DNP",SUMIFS(OPPS_GbG[OPP RIM_M],OPPS_GbG[[TM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J33" s="18" t="str">
        <f>IF($D33=0,"DNP",SUMIFS(OPPS_GbG[OPP RIM_A],OPPS_GbG[[TM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K33" s="18" t="str">
        <f>IF($D33=0,"DNP",SUMIFS(OPPS_GbG[OPP PAINT_M],OPPS_GbG[[TM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L33" s="18" t="str">
        <f>IF($D33=0,"DNP",SUMIFS(OPPS_GbG[OPP PAINT_A],OPPS_GbG[[TM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M33" s="18" t="str">
        <f>IF($D33=0,"DNP",SUMIFS(OPPS_GbG[OPP MID_M],OPPS_GbG[[TM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N33" s="18" t="str">
        <f>IF($D33=0,"DNP",SUMIFS(OPPS_GbG[OPP MID_A],OPPS_GbG[[TM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O33" s="18" t="str">
        <f>IF($D33=0,"DNP",SUMIFS(OPPS_GbG[OPP 3C_M],OPPS_GbG[[TM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P33" s="18" t="str">
        <f>IF($D33=0,"DNP",SUMIFS(OPPS_GbG[OPP 3C_A],OPPS_GbG[[TM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Q33" s="18" t="str">
        <f>IF($D33=0,"DNP",SUMIFS(OPPS_GbG[OPP 3L_M],OPPS_GbG[[TM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R33" s="18" t="str">
        <f>IF($D33=0,"DNP",SUMIFS(OPPS_GbG[OPP 3L_A],OPPS_GbG[[TM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S33" s="18" t="str">
        <f>IF($D33=0,"DNP",SUMIFS(OPPS_GbG[OPP 3H_M],OPPS_GbG[[TM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  <c r="GT33" s="18" t="str">
        <f>IF($D33=0,"DNP",SUMIFS(OPPS_GbG[OPP 3H_A],OPPS_GbG[[TM NAME]:[TM NAME]],$C33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GAMES","&lt;1000",IF($F$3=BASIS_INFO!$T$3,"&lt;"&amp;BASIS_INFO!$B$11,IF($F$3=BASIS_INFO!$T$4,"&lt;"&amp;BASIS_INFO!$B$12,IF($F$3=BASIS_INFO!$T$5,"&lt;"&amp;BASIS_INFO!$B$13,IF($F$3=BASIS_INFO!$T$6,"&lt;"&amp;BASIS_INFO!$B$14))))))/IF($D$3="TOTAL",1,$D33))</f>
        <v>DNP</v>
      </c>
    </row>
    <row r="34" spans="2:202" ht="15" hidden="1" customHeight="1" x14ac:dyDescent="0.25">
      <c r="B34" s="12">
        <f>_xlfn.AGGREGATE(3,5,$C$7:C33)</f>
        <v>19</v>
      </c>
      <c r="C34" s="14" t="str">
        <f>BASIS_INFO!F29</f>
        <v/>
      </c>
      <c r="D34" s="20">
        <f>COUNTIFS(OPPS_GbG[[TM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4" s="20">
        <f>COUNTIFS(OPPS_GbG[[TM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4" s="20">
        <f>COUNTIFS(OPPS_GbG[[TM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4" s="18" t="str">
        <f>IF($D34=0,"DNP",SUMIFS(OPPS_GbG[MIN],OPPS_GbG[[TM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H34" s="18" t="str">
        <f>IF($D34=0,"DNP",SUMIFS(OPPS_GbG[PTS],OPPS_GbG[[TM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I34" s="18" t="str">
        <f>IF($D34=0,"DNP",SUMIFS(OPPS_GbG[2PTM],OPPS_GbG[[TM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J34" s="18" t="str">
        <f>IF($D34=0,"DNP",SUMIFS(OPPS_GbG[2PTA],OPPS_GbG[[TM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K34" s="16" t="str">
        <f t="shared" si="56"/>
        <v>DNP</v>
      </c>
      <c r="L34" s="18" t="str">
        <f>IF($D34=0,"DNP",SUMIFS(OPPS_GbG[3PTM],OPPS_GbG[[TM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M34" s="18" t="str">
        <f>IF($D34=0,"DNP",SUMIFS(OPPS_GbG[3PTA],OPPS_GbG[[TM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N34" s="16" t="str">
        <f t="shared" si="57"/>
        <v>DNP</v>
      </c>
      <c r="O34" s="18" t="str">
        <f>IF($D34=0,"DNP",SUMIFS(OPPS_GbG[FGM],OPPS_GbG[[TM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P34" s="18" t="str">
        <f>IF($D34=0,"DNP",SUMIFS(OPPS_GbG[FGA],OPPS_GbG[[TM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Q34" s="16" t="str">
        <f t="shared" si="58"/>
        <v>DNP</v>
      </c>
      <c r="R34" s="18" t="str">
        <f>IF($D34=0,"DNP",SUMIFS(OPPS_GbG[FTM],OPPS_GbG[[TM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S34" s="18" t="str">
        <f>IF($D34=0,"DNP",SUMIFS(OPPS_GbG[FTA],OPPS_GbG[[TM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T34" s="16" t="str">
        <f t="shared" si="59"/>
        <v>DNP</v>
      </c>
      <c r="U34" s="18" t="str">
        <f>IF($D34=0,"DNP",SUMIFS(OPPS_GbG[OR],OPPS_GbG[[TM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V34" s="18" t="str">
        <f>IF($D34=0,"DNP",SUMIFS(OPPS_GbG[DR],OPPS_GbG[[TM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W34" s="18" t="str">
        <f>IF($D34=0,"DNP",SUMIFS(OPPS_GbG[TR],OPPS_GbG[[TM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X34" s="18" t="str">
        <f>IF($D34=0,"DNP",SUMIFS(OPPS_GbG[AST],OPPS_GbG[[TM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Y34" s="18" t="str">
        <f>IF($D34=0,"DNP",SUMIFS(OPPS_GbG[TO],OPPS_GbG[[TM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Z34" s="18" t="str">
        <f>IF($D34=0,"DNP",SUMIFS(OPPS_GbG[ST],OPPS_GbG[[TM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A34" s="18" t="str">
        <f>IF($D34=0,"DNP",SUMIFS(OPPS_GbG[BLK],OPPS_GbG[[TM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B34" s="18" t="str">
        <f>IF($D34=0,"DNP",SUMIFS(OPPS_GbG[BLKA],OPPS_GbG[[TM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C34" s="18" t="str">
        <f>IF($D34=0,"DNP",SUMIFS(OPPS_GbG[PF],OPPS_GbG[[TM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D34" s="18" t="str">
        <f>IF($D34=0,"DNP",SUMIFS(OPPS_GbG[DF],OPPS_GbG[[TM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E34" s="18" t="str">
        <f>IF($D34=0,"DNP",SUMIFS(OPPS_GbG[VAL],OPPS_GbG[[TM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F34" s="18" t="str">
        <f>IF($D34=0,"DNP",SUMIFS(OPPS_GbG[+ / -],OPPS_GbG[[TM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G34" s="26" t="str">
        <f t="shared" si="0"/>
        <v>DNP</v>
      </c>
      <c r="AH34" s="18" t="str">
        <f>IF($D34=0,"DNP",SUMIFS(OPPS_GbG[POSS],OPPS_GbG[[TM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I34" s="18" t="str">
        <f>IF($D34=0,"DNP",SUMIFS(OPPS_GbG[SHOOTING CHANCES],OPPS_GbG[[TM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AJ34" s="19" t="str">
        <f t="shared" si="1"/>
        <v>DNP</v>
      </c>
      <c r="AK34" s="19" t="str">
        <f t="shared" si="2"/>
        <v>DNP</v>
      </c>
      <c r="AL34" s="18" t="str">
        <f t="shared" si="3"/>
        <v>DNP</v>
      </c>
      <c r="AM34" s="18" t="str">
        <f t="shared" si="4"/>
        <v>DNP</v>
      </c>
      <c r="AN34" s="18" t="str">
        <f t="shared" si="60"/>
        <v>DNP</v>
      </c>
      <c r="AO34" s="27" t="str">
        <f t="shared" si="5"/>
        <v>DNP</v>
      </c>
      <c r="AP34" s="28" t="str">
        <f t="shared" si="6"/>
        <v>DNP</v>
      </c>
      <c r="AQ34" s="34" t="str">
        <f t="shared" si="7"/>
        <v>DNP</v>
      </c>
      <c r="AR34" s="19" t="str">
        <f t="shared" si="8"/>
        <v>DNP</v>
      </c>
      <c r="AS34" s="16" t="str">
        <f t="shared" si="9"/>
        <v>DNP</v>
      </c>
      <c r="AT34" s="18" t="str">
        <f t="shared" si="10"/>
        <v>DNP</v>
      </c>
      <c r="AU34" s="16" t="str">
        <f t="shared" si="11"/>
        <v>DNP</v>
      </c>
      <c r="AV34" s="18" t="str">
        <f t="shared" si="12"/>
        <v>DNP</v>
      </c>
      <c r="AW34" s="16" t="str">
        <f t="shared" si="13"/>
        <v>DNP</v>
      </c>
      <c r="AX34" s="19" t="str">
        <f t="shared" si="14"/>
        <v>DNP</v>
      </c>
      <c r="AY34" s="27" t="str">
        <f t="shared" si="15"/>
        <v>DNP</v>
      </c>
      <c r="AZ34" s="38" t="str">
        <f t="shared" si="16"/>
        <v>DNP</v>
      </c>
      <c r="BA34" s="28" t="str">
        <f t="shared" si="17"/>
        <v>DNP</v>
      </c>
      <c r="BB34" s="34" t="str">
        <f t="shared" si="18"/>
        <v>DNP</v>
      </c>
      <c r="BC34" s="27" t="str">
        <f t="shared" si="19"/>
        <v>DNP</v>
      </c>
      <c r="BD34" s="27" t="str">
        <f t="shared" si="20"/>
        <v>DNP</v>
      </c>
      <c r="BE34" s="27" t="str">
        <f t="shared" si="21"/>
        <v>DNP</v>
      </c>
      <c r="BF34" s="27" t="str">
        <f t="shared" si="22"/>
        <v>DNP</v>
      </c>
      <c r="BG34" s="27" t="str">
        <f t="shared" si="23"/>
        <v>DNP</v>
      </c>
      <c r="BH34" s="35" t="str">
        <f t="shared" si="24"/>
        <v>DNP</v>
      </c>
      <c r="BI34" s="34" t="str">
        <f t="shared" si="25"/>
        <v>DNP</v>
      </c>
      <c r="BJ34" s="27" t="str">
        <f t="shared" si="26"/>
        <v>DNP</v>
      </c>
      <c r="BK34" s="27" t="str">
        <f t="shared" si="27"/>
        <v>DNP</v>
      </c>
      <c r="BL34" s="27" t="str">
        <f t="shared" si="28"/>
        <v>DNP</v>
      </c>
      <c r="BM34" s="27" t="str">
        <f t="shared" si="29"/>
        <v>DNP</v>
      </c>
      <c r="BN34" s="27" t="str">
        <f t="shared" si="30"/>
        <v>DNP</v>
      </c>
      <c r="BO34" s="27" t="str">
        <f t="shared" si="31"/>
        <v>DNP</v>
      </c>
      <c r="BP34" s="27" t="str">
        <f t="shared" si="32"/>
        <v>DNP</v>
      </c>
      <c r="BQ34" s="28" t="str">
        <f t="shared" si="33"/>
        <v>DNP</v>
      </c>
      <c r="BR34" s="34" t="str">
        <f t="shared" si="34"/>
        <v>DNP</v>
      </c>
      <c r="BS34" s="27" t="str">
        <f t="shared" si="35"/>
        <v>DNP</v>
      </c>
      <c r="BT34" s="40" t="str">
        <f>IF($D34=0,"DNP",SUMIFS(OPPS_GbG[KILLS],OPPS_GbG[[TM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BU34" s="34" t="str">
        <f t="shared" si="36"/>
        <v>DNP</v>
      </c>
      <c r="BV34" s="28" t="str">
        <f t="shared" si="37"/>
        <v>DNP</v>
      </c>
      <c r="BW34" s="18" t="str">
        <f>IF($D34=0,"DNP",SUMIFS(OPPS_GbG[ASTED_2FG],OPPS_GbG[[TM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BX34" s="18" t="str">
        <f>IF($D34=0,"DNP",SUMIFS(OPPS_GbG[ASTED_3FG],OPPS_GbG[[TM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BY34" s="18" t="str">
        <f>IF($D34=0,"DNP",SUMIFS(OPPS_GbG[ASTED_FT],OPPS_GbG[[TM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BZ34" s="18" t="str">
        <f>IF($D34=0,"DNP",SUMIFS(OPPS_GbG[ASTED_FT PTS],OPPS_GbG[[TM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A34" s="18" t="str">
        <f>IF($D34=0,"DNP",SUMIFS(OPPS_GbG[OR_RIM],OPPS_GbG[[TM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B34" s="18" t="str">
        <f>IF($D34=0,"DNP",SUMIFS(OPPS_GbG[TM OR_RIM],OPPS_GbG[[TM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C34" s="18" t="str">
        <f>IF($D34=0,"DNP",SUMIFS(OPPS_GbG[OR_PAINT],OPPS_GbG[[TM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D34" s="18" t="str">
        <f>IF($D34=0,"DNP",SUMIFS(OPPS_GbG[TM OR_PAINT],OPPS_GbG[[TM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E34" s="18" t="str">
        <f>IF($D34=0,"DNP",SUMIFS(OPPS_GbG[OR_NP2],OPPS_GbG[[TM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F34" s="18" t="str">
        <f>IF($D34=0,"DNP",SUMIFS(OPPS_GbG[TM OR_NP2],OPPS_GbG[[TM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G34" s="18" t="str">
        <f>IF($D34=0,"DNP",SUMIFS(OPPS_GbG[OR_3C],OPPS_GbG[[TM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H34" s="18" t="str">
        <f>IF($D34=0,"DNP",SUMIFS(OPPS_GbG[TM OR_3C],OPPS_GbG[[TM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I34" s="18" t="str">
        <f>IF($D34=0,"DNP",SUMIFS(OPPS_GbG[OR_3L],OPPS_GbG[[TM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J34" s="18" t="str">
        <f>IF($D34=0,"DNP",SUMIFS(OPPS_GbG[TM OR_3L],OPPS_GbG[[TM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K34" s="18" t="str">
        <f>IF($D34=0,"DNP",SUMIFS(OPPS_GbG[OR_FT],OPPS_GbG[[TM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L34" s="18" t="str">
        <f>IF($D34=0,"DNP",SUMIFS(OPPS_GbG[TM OR_FT],OPPS_GbG[[TM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M34" s="18" t="str">
        <f>IF($D34=0,"DNP",SUMIFS(OPPS_GbG[DR_RIM],OPPS_GbG[[TM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N34" s="18" t="str">
        <f>IF($D34=0,"DNP",SUMIFS(OPPS_GbG[TM DR_RIM],OPPS_GbG[[TM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O34" s="18" t="str">
        <f>IF($D34=0,"DNP",SUMIFS(OPPS_GbG[DR_PAINT],OPPS_GbG[[TM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P34" s="18" t="str">
        <f>IF($D34=0,"DNP",SUMIFS(OPPS_GbG[TM DR_PAINT],OPPS_GbG[[TM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Q34" s="18" t="str">
        <f>IF($D34=0,"DNP",SUMIFS(OPPS_GbG[DR_NP2],OPPS_GbG[[TM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R34" s="18" t="str">
        <f>IF($D34=0,"DNP",SUMIFS(OPPS_GbG[TM DR_NP2],OPPS_GbG[[TM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S34" s="18" t="str">
        <f>IF($D34=0,"DNP",SUMIFS(OPPS_GbG[DR_3C],OPPS_GbG[[TM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T34" s="18" t="str">
        <f>IF($D34=0,"DNP",SUMIFS(OPPS_GbG[TM DR_3C],OPPS_GbG[[TM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U34" s="18" t="str">
        <f>IF($D34=0,"DNP",SUMIFS(OPPS_GbG[DR_3L],OPPS_GbG[[TM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V34" s="18" t="str">
        <f>IF($D34=0,"DNP",SUMIFS(OPPS_GbG[TM DR_3L],OPPS_GbG[[TM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W34" s="18" t="str">
        <f>IF($D34=0,"DNP",SUMIFS(OPPS_GbG[DR_FT],OPPS_GbG[[TM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X34" s="18" t="str">
        <f>IF($D34=0,"DNP",SUMIFS(OPPS_GbG[TM DR_FT],OPPS_GbG[[TM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Y34" s="18" t="str">
        <f>IF($D34=0,"DNP",SUMIFS(OPPS_GbG[FTM_T],OPPS_GbG[[TM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CZ34" s="18" t="str">
        <f>IF($D34=0,"DNP",SUMIFS(OPPS_GbG[FTA_T],OPPS_GbG[[TM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A34" s="18" t="str">
        <f>IF($D34=0,"DNP",SUMIFS(OPPS_GbG[FTM_1],OPPS_GbG[[TM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B34" s="18" t="str">
        <f>IF($D34=0,"DNP",SUMIFS(OPPS_GbG[FTA_1],OPPS_GbG[[TM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C34" s="18" t="str">
        <f>IF($D34=0,"DNP",SUMIFS(OPPS_GbG[FTM_2],OPPS_GbG[[TM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D34" s="18" t="str">
        <f>IF($D34=0,"DNP",SUMIFS(OPPS_GbG[FTA_2],OPPS_GbG[[TM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E34" s="18" t="str">
        <f>IF($D34=0,"DNP",SUMIFS(OPPS_GbG[FT 0/2],OPPS_GbG[[TM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F34" s="18" t="str">
        <f>IF($D34=0,"DNP",SUMIFS(OPPS_GbG[FTM_3],OPPS_GbG[[TM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G34" s="18" t="str">
        <f>IF($D34=0,"DNP",SUMIFS(OPPS_GbG[FTA_3],OPPS_GbG[[TM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H34" s="18" t="str">
        <f>IF($D34=0,"DNP",SUMIFS(OPPS_GbG[FT 0/3],OPPS_GbG[[TM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I34" s="18" t="str">
        <f>IF($D34=0,"DNP",SUMIFS(OPPS_GbG[RIM_M],OPPS_GbG[[TM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J34" s="18" t="str">
        <f>IF($D34=0,"DNP",SUMIFS(OPPS_GbG[RIM_A],OPPS_GbG[[TM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K34" s="18" t="str">
        <f>IF($D34=0,"DNP",SUMIFS(OPPS_GbG[PAINT_M],OPPS_GbG[[TM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L34" s="18" t="str">
        <f>IF($D34=0,"DNP",SUMIFS(OPPS_GbG[PAINT_A],OPPS_GbG[[TM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M34" s="18" t="str">
        <f>IF($D34=0,"DNP",SUMIFS(OPPS_GbG[MID_M],OPPS_GbG[[TM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N34" s="18" t="str">
        <f>IF($D34=0,"DNP",SUMIFS(OPPS_GbG[MID_A],OPPS_GbG[[TM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O34" s="18" t="str">
        <f>IF($D34=0,"DNP",SUMIFS(OPPS_GbG[3C_M],OPPS_GbG[[TM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P34" s="18" t="str">
        <f>IF($D34=0,"DNP",SUMIFS(OPPS_GbG[3C_A],OPPS_GbG[[TM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Q34" s="18" t="str">
        <f>IF($D34=0,"DNP",SUMIFS(OPPS_GbG[3L_M],OPPS_GbG[[TM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R34" s="18" t="str">
        <f>IF($D34=0,"DNP",SUMIFS(OPPS_GbG[3L_A],OPPS_GbG[[TM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S34" s="18" t="str">
        <f>IF($D34=0,"DNP",SUMIFS(OPPS_GbG[3H_M],OPPS_GbG[[TM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T34" s="18" t="str">
        <f>IF($D34=0,"DNP",SUMIFS(OPPS_GbG[3H_A],OPPS_GbG[[TM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U34" s="18" t="str">
        <f>IF($D34=0,"DNP",SUMIFS(OPPS_GbG[OPP PTS],OPPS_GbG[[TM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V34" s="18" t="str">
        <f>IF($D34=0,"DNP",SUMIFS(OPPS_GbG[OPP 2PTM],OPPS_GbG[[TM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W34" s="18" t="str">
        <f>IF($D34=0,"DNP",SUMIFS(OPPS_GbG[OPP 2PTA],OPPS_GbG[[TM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X34" s="16" t="str">
        <f t="shared" si="61"/>
        <v>DNP</v>
      </c>
      <c r="DY34" s="18" t="str">
        <f>IF($D34=0,"DNP",SUMIFS(OPPS_GbG[OPP 3PTM],OPPS_GbG[[TM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DZ34" s="18" t="str">
        <f>IF($D34=0,"DNP",SUMIFS(OPPS_GbG[OPP 3PTA],OPPS_GbG[[TM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A34" s="16" t="str">
        <f t="shared" si="62"/>
        <v>DNP</v>
      </c>
      <c r="EB34" s="18" t="str">
        <f>IF($D34=0,"DNP",SUMIFS(OPPS_GbG[OPP FGM],OPPS_GbG[[TM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C34" s="18" t="str">
        <f>IF($D34=0,"DNP",SUMIFS(OPPS_GbG[OPP FGA],OPPS_GbG[[TM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D34" s="16" t="str">
        <f t="shared" si="63"/>
        <v>DNP</v>
      </c>
      <c r="EE34" s="18" t="str">
        <f>IF($D34=0,"DNP",SUMIFS(OPPS_GbG[OPP FTM],OPPS_GbG[[TM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F34" s="18" t="str">
        <f>IF($D34=0,"DNP",SUMIFS(OPPS_GbG[OPP FTA],OPPS_GbG[[TM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G34" s="16" t="str">
        <f t="shared" si="64"/>
        <v>DNP</v>
      </c>
      <c r="EH34" s="18" t="str">
        <f>IF($D34=0,"DNP",SUMIFS(OPPS_GbG[OPP OR],OPPS_GbG[[TM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I34" s="18" t="str">
        <f>IF($D34=0,"DNP",SUMIFS(OPPS_GbG[OPP DR],OPPS_GbG[[TM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J34" s="18" t="str">
        <f>IF($D34=0,"DNP",SUMIFS(OPPS_GbG[OPP TR],OPPS_GbG[[TM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K34" s="18" t="str">
        <f>IF($D34=0,"DNP",SUMIFS(OPPS_GbG[OPP AST],OPPS_GbG[[TM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L34" s="18" t="str">
        <f>IF($D34=0,"DNP",SUMIFS(OPPS_GbG[OPP PF],OPPS_GbG[[TM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M34" s="18" t="str">
        <f>IF($D34=0,"DNP",SUMIFS(OPPS_GbG[OPP DF],OPPS_GbG[[TM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N34" s="18" t="str">
        <f>IF($D34=0,"DNP",SUMIFS(OPPS_GbG[OPP ST],OPPS_GbG[[TM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O34" s="18" t="str">
        <f>IF($D34=0,"DNP",SUMIFS(OPPS_GbG[OPP TO],OPPS_GbG[[TM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P34" s="18" t="str">
        <f>IF($D34=0,"DNP",SUMIFS(OPPS_GbG[OPP BLK],OPPS_GbG[[TM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Q34" s="18" t="str">
        <f>IF($D34=0,"DNP",SUMIFS(OPPS_GbG[OPP BLKA],OPPS_GbG[[TM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R34" s="18" t="str">
        <f>IF($D34=0,"DNP",SUMIFS(OPPS_GbG[OPP VAL],OPPS_GbG[[TM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S34" s="18" t="str">
        <f>IF($D34=0,"DNP",SUMIFS(OPPS_GbG[OPP + / -],OPPS_GbG[[TM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T34" s="18" t="str">
        <f>IF($D34=0,"DNP",SUMIFS(OPPS_GbG[OPP POSS],OPPS_GbG[[TM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U34" s="18" t="str">
        <f>IF($D34=0,"DNP",SUMIFS(OPPS_GbG[OPP SHOOTING CHANCES],OPPS_GbG[[TM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V34" s="18" t="str">
        <f>IF($D34=0,"DNP",SUMIFS(OPPS_GbG[OPP KILLS],OPPS_GbG[[TM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W34" s="18" t="str">
        <f>IF($D34=0,"DNP",SUMIFS(OPPS_GbG[OPP ASTED_2FG],OPPS_GbG[[TM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X34" s="18" t="str">
        <f>IF($D34=0,"DNP",SUMIFS(OPPS_GbG[OPP ASTED_3FG],OPPS_GbG[[TM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Y34" s="18" t="str">
        <f>IF($D34=0,"DNP",SUMIFS(OPPS_GbG[OPP ASTED_FT],OPPS_GbG[[TM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EZ34" s="18" t="str">
        <f>IF($D34=0,"DNP",SUMIFS(OPPS_GbG[OPP ASTED_FT PTS],OPPS_GbG[[TM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A34" s="18" t="str">
        <f>IF($D34=0,"DNP",SUMIFS(OPPS_GbG[OPP OR_RIM],OPPS_GbG[[TM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B34" s="18" t="str">
        <f>IF($D34=0,"DNP",SUMIFS(OPPS_GbG[OPP TM OR_RIM],OPPS_GbG[[TM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C34" s="18" t="str">
        <f>IF($D34=0,"DNP",SUMIFS(OPPS_GbG[OPP OR_PAINT],OPPS_GbG[[TM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D34" s="18" t="str">
        <f>IF($D34=0,"DNP",SUMIFS(OPPS_GbG[OPP TM OR_PAINT],OPPS_GbG[[TM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E34" s="18" t="str">
        <f>IF($D34=0,"DNP",SUMIFS(OPPS_GbG[OPP OR_NP2],OPPS_GbG[[TM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F34" s="18" t="str">
        <f>IF($D34=0,"DNP",SUMIFS(OPPS_GbG[OPP TM OR_NP2],OPPS_GbG[[TM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G34" s="18" t="str">
        <f>IF($D34=0,"DNP",SUMIFS(OPPS_GbG[OPP OR_3C],OPPS_GbG[[TM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H34" s="18" t="str">
        <f>IF($D34=0,"DNP",SUMIFS(OPPS_GbG[OPP TM OR_3C],OPPS_GbG[[TM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I34" s="18" t="str">
        <f>IF($D34=0,"DNP",SUMIFS(OPPS_GbG[OPP OR_3L],OPPS_GbG[[TM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J34" s="18" t="str">
        <f>IF($D34=0,"DNP",SUMIFS(OPPS_GbG[OPP TM OR_3L],OPPS_GbG[[TM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K34" s="18" t="str">
        <f>IF($D34=0,"DNP",SUMIFS(OPPS_GbG[OPP OR_FT],OPPS_GbG[[TM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L34" s="18" t="str">
        <f>IF($D34=0,"DNP",SUMIFS(OPPS_GbG[OPP TM OR_FT],OPPS_GbG[[TM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M34" s="18" t="str">
        <f>IF($D34=0,"DNP",SUMIFS(OPPS_GbG[OPP DR_RIM],OPPS_GbG[[TM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N34" s="18" t="str">
        <f>IF($D34=0,"DNP",SUMIFS(OPPS_GbG[OPP TM DR_RIM],OPPS_GbG[[TM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O34" s="18" t="str">
        <f>IF($D34=0,"DNP",SUMIFS(OPPS_GbG[OPP DR_PAINT],OPPS_GbG[[TM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P34" s="18" t="str">
        <f>IF($D34=0,"DNP",SUMIFS(OPPS_GbG[OPP TM DR_PAINT],OPPS_GbG[[TM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Q34" s="18" t="str">
        <f>IF($D34=0,"DNP",SUMIFS(OPPS_GbG[OPP DR_NP2],OPPS_GbG[[TM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R34" s="18" t="str">
        <f>IF($D34=0,"DNP",SUMIFS(OPPS_GbG[OPP TM DR_NP2],OPPS_GbG[[TM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S34" s="18" t="str">
        <f>IF($D34=0,"DNP",SUMIFS(OPPS_GbG[OPP DR_3C],OPPS_GbG[[TM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T34" s="18" t="str">
        <f>IF($D34=0,"DNP",SUMIFS(OPPS_GbG[OPP TM DR_3C],OPPS_GbG[[TM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U34" s="18" t="str">
        <f>IF($D34=0,"DNP",SUMIFS(OPPS_GbG[OPP DR_3L],OPPS_GbG[[TM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V34" s="18" t="str">
        <f>IF($D34=0,"DNP",SUMIFS(OPPS_GbG[OPP TM DR_3L],OPPS_GbG[[TM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W34" s="18" t="str">
        <f>IF($D34=0,"DNP",SUMIFS(OPPS_GbG[OPP DR_FT],OPPS_GbG[[TM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X34" s="18" t="str">
        <f>IF($D34=0,"DNP",SUMIFS(OPPS_GbG[OPP TM DR_FT],OPPS_GbG[[TM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Y34" s="18" t="str">
        <f>IF($D34=0,"DNP",SUMIFS(OPPS_GbG[OPP FTM_T],OPPS_GbG[[TM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FZ34" s="18" t="str">
        <f>IF($D34=0,"DNP",SUMIFS(OPPS_GbG[OPP FTA_T],OPPS_GbG[[TM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A34" s="18" t="str">
        <f>IF($D34=0,"DNP",SUMIFS(OPPS_GbG[OPP FTM_1],OPPS_GbG[[TM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B34" s="18" t="str">
        <f>IF($D34=0,"DNP",SUMIFS(OPPS_GbG[OPP FTA_1],OPPS_GbG[[TM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C34" s="18" t="str">
        <f>IF($D34=0,"DNP",SUMIFS(OPPS_GbG[OPP FTM_2],OPPS_GbG[[TM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D34" s="18" t="str">
        <f>IF($D34=0,"DNP",SUMIFS(OPPS_GbG[OPP FTA_2],OPPS_GbG[[TM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E34" s="18" t="str">
        <f>IF($D34=0,"DNP",SUMIFS(OPPS_GbG[OPP FT 0/2],OPPS_GbG[[TM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F34" s="18" t="str">
        <f>IF($D34=0,"DNP",SUMIFS(OPPS_GbG[OPP FTM_3],OPPS_GbG[[TM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G34" s="18" t="str">
        <f>IF($D34=0,"DNP",SUMIFS(OPPS_GbG[OPP FTA_3],OPPS_GbG[[TM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H34" s="18" t="str">
        <f>IF($D34=0,"DNP",SUMIFS(OPPS_GbG[OPP FT 0/3],OPPS_GbG[[TM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I34" s="18" t="str">
        <f>IF($D34=0,"DNP",SUMIFS(OPPS_GbG[OPP RIM_M],OPPS_GbG[[TM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J34" s="18" t="str">
        <f>IF($D34=0,"DNP",SUMIFS(OPPS_GbG[OPP RIM_A],OPPS_GbG[[TM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K34" s="18" t="str">
        <f>IF($D34=0,"DNP",SUMIFS(OPPS_GbG[OPP PAINT_M],OPPS_GbG[[TM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L34" s="18" t="str">
        <f>IF($D34=0,"DNP",SUMIFS(OPPS_GbG[OPP PAINT_A],OPPS_GbG[[TM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M34" s="18" t="str">
        <f>IF($D34=0,"DNP",SUMIFS(OPPS_GbG[OPP MID_M],OPPS_GbG[[TM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N34" s="18" t="str">
        <f>IF($D34=0,"DNP",SUMIFS(OPPS_GbG[OPP MID_A],OPPS_GbG[[TM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O34" s="18" t="str">
        <f>IF($D34=0,"DNP",SUMIFS(OPPS_GbG[OPP 3C_M],OPPS_GbG[[TM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P34" s="18" t="str">
        <f>IF($D34=0,"DNP",SUMIFS(OPPS_GbG[OPP 3C_A],OPPS_GbG[[TM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Q34" s="18" t="str">
        <f>IF($D34=0,"DNP",SUMIFS(OPPS_GbG[OPP 3L_M],OPPS_GbG[[TM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R34" s="18" t="str">
        <f>IF($D34=0,"DNP",SUMIFS(OPPS_GbG[OPP 3L_A],OPPS_GbG[[TM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S34" s="18" t="str">
        <f>IF($D34=0,"DNP",SUMIFS(OPPS_GbG[OPP 3H_M],OPPS_GbG[[TM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  <c r="GT34" s="18" t="str">
        <f>IF($D34=0,"DNP",SUMIFS(OPPS_GbG[OPP 3H_A],OPPS_GbG[[TM NAME]:[TM NAME]],$C34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GAMES","&lt;1000",IF($F$3=BASIS_INFO!$T$3,"&lt;"&amp;BASIS_INFO!$B$11,IF($F$3=BASIS_INFO!$T$4,"&lt;"&amp;BASIS_INFO!$B$12,IF($F$3=BASIS_INFO!$T$5,"&lt;"&amp;BASIS_INFO!$B$13,IF($F$3=BASIS_INFO!$T$6,"&lt;"&amp;BASIS_INFO!$B$14))))))/IF($D$3="TOTAL",1,$D34))</f>
        <v>DNP</v>
      </c>
    </row>
    <row r="35" spans="2:202" ht="15" hidden="1" customHeight="1" x14ac:dyDescent="0.25">
      <c r="B35" s="12">
        <f>_xlfn.AGGREGATE(3,5,$C$7:C34)</f>
        <v>19</v>
      </c>
      <c r="C35" s="14" t="str">
        <f>BASIS_INFO!F30</f>
        <v/>
      </c>
      <c r="D35" s="20">
        <f>COUNTIFS(OPPS_GbG[[TM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5" s="20">
        <f>COUNTIFS(OPPS_GbG[[TM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5" s="20">
        <f>COUNTIFS(OPPS_GbG[[TM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5" s="18" t="str">
        <f>IF($D35=0,"DNP",SUMIFS(OPPS_GbG[MIN],OPPS_GbG[[TM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H35" s="18" t="str">
        <f>IF($D35=0,"DNP",SUMIFS(OPPS_GbG[PTS],OPPS_GbG[[TM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I35" s="18" t="str">
        <f>IF($D35=0,"DNP",SUMIFS(OPPS_GbG[2PTM],OPPS_GbG[[TM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J35" s="18" t="str">
        <f>IF($D35=0,"DNP",SUMIFS(OPPS_GbG[2PTA],OPPS_GbG[[TM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K35" s="16" t="str">
        <f t="shared" si="56"/>
        <v>DNP</v>
      </c>
      <c r="L35" s="18" t="str">
        <f>IF($D35=0,"DNP",SUMIFS(OPPS_GbG[3PTM],OPPS_GbG[[TM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M35" s="18" t="str">
        <f>IF($D35=0,"DNP",SUMIFS(OPPS_GbG[3PTA],OPPS_GbG[[TM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N35" s="16" t="str">
        <f t="shared" si="57"/>
        <v>DNP</v>
      </c>
      <c r="O35" s="18" t="str">
        <f>IF($D35=0,"DNP",SUMIFS(OPPS_GbG[FGM],OPPS_GbG[[TM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P35" s="18" t="str">
        <f>IF($D35=0,"DNP",SUMIFS(OPPS_GbG[FGA],OPPS_GbG[[TM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Q35" s="16" t="str">
        <f t="shared" si="58"/>
        <v>DNP</v>
      </c>
      <c r="R35" s="18" t="str">
        <f>IF($D35=0,"DNP",SUMIFS(OPPS_GbG[FTM],OPPS_GbG[[TM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S35" s="18" t="str">
        <f>IF($D35=0,"DNP",SUMIFS(OPPS_GbG[FTA],OPPS_GbG[[TM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T35" s="16" t="str">
        <f t="shared" si="59"/>
        <v>DNP</v>
      </c>
      <c r="U35" s="18" t="str">
        <f>IF($D35=0,"DNP",SUMIFS(OPPS_GbG[OR],OPPS_GbG[[TM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V35" s="18" t="str">
        <f>IF($D35=0,"DNP",SUMIFS(OPPS_GbG[DR],OPPS_GbG[[TM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W35" s="18" t="str">
        <f>IF($D35=0,"DNP",SUMIFS(OPPS_GbG[TR],OPPS_GbG[[TM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X35" s="18" t="str">
        <f>IF($D35=0,"DNP",SUMIFS(OPPS_GbG[AST],OPPS_GbG[[TM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Y35" s="18" t="str">
        <f>IF($D35=0,"DNP",SUMIFS(OPPS_GbG[TO],OPPS_GbG[[TM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Z35" s="18" t="str">
        <f>IF($D35=0,"DNP",SUMIFS(OPPS_GbG[ST],OPPS_GbG[[TM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A35" s="18" t="str">
        <f>IF($D35=0,"DNP",SUMIFS(OPPS_GbG[BLK],OPPS_GbG[[TM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B35" s="18" t="str">
        <f>IF($D35=0,"DNP",SUMIFS(OPPS_GbG[BLKA],OPPS_GbG[[TM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C35" s="18" t="str">
        <f>IF($D35=0,"DNP",SUMIFS(OPPS_GbG[PF],OPPS_GbG[[TM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D35" s="18" t="str">
        <f>IF($D35=0,"DNP",SUMIFS(OPPS_GbG[DF],OPPS_GbG[[TM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E35" s="18" t="str">
        <f>IF($D35=0,"DNP",SUMIFS(OPPS_GbG[VAL],OPPS_GbG[[TM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F35" s="18" t="str">
        <f>IF($D35=0,"DNP",SUMIFS(OPPS_GbG[+ / -],OPPS_GbG[[TM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G35" s="26" t="str">
        <f t="shared" si="0"/>
        <v>DNP</v>
      </c>
      <c r="AH35" s="18" t="str">
        <f>IF($D35=0,"DNP",SUMIFS(OPPS_GbG[POSS],OPPS_GbG[[TM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I35" s="18" t="str">
        <f>IF($D35=0,"DNP",SUMIFS(OPPS_GbG[SHOOTING CHANCES],OPPS_GbG[[TM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AJ35" s="19" t="str">
        <f t="shared" si="1"/>
        <v>DNP</v>
      </c>
      <c r="AK35" s="19" t="str">
        <f t="shared" si="2"/>
        <v>DNP</v>
      </c>
      <c r="AL35" s="18" t="str">
        <f t="shared" si="3"/>
        <v>DNP</v>
      </c>
      <c r="AM35" s="18" t="str">
        <f t="shared" si="4"/>
        <v>DNP</v>
      </c>
      <c r="AN35" s="18" t="str">
        <f t="shared" si="60"/>
        <v>DNP</v>
      </c>
      <c r="AO35" s="27" t="str">
        <f t="shared" si="5"/>
        <v>DNP</v>
      </c>
      <c r="AP35" s="28" t="str">
        <f t="shared" si="6"/>
        <v>DNP</v>
      </c>
      <c r="AQ35" s="34" t="str">
        <f t="shared" si="7"/>
        <v>DNP</v>
      </c>
      <c r="AR35" s="19" t="str">
        <f t="shared" si="8"/>
        <v>DNP</v>
      </c>
      <c r="AS35" s="16" t="str">
        <f t="shared" si="9"/>
        <v>DNP</v>
      </c>
      <c r="AT35" s="18" t="str">
        <f t="shared" si="10"/>
        <v>DNP</v>
      </c>
      <c r="AU35" s="16" t="str">
        <f t="shared" si="11"/>
        <v>DNP</v>
      </c>
      <c r="AV35" s="18" t="str">
        <f t="shared" si="12"/>
        <v>DNP</v>
      </c>
      <c r="AW35" s="16" t="str">
        <f t="shared" si="13"/>
        <v>DNP</v>
      </c>
      <c r="AX35" s="19" t="str">
        <f t="shared" si="14"/>
        <v>DNP</v>
      </c>
      <c r="AY35" s="27" t="str">
        <f t="shared" si="15"/>
        <v>DNP</v>
      </c>
      <c r="AZ35" s="38" t="str">
        <f t="shared" si="16"/>
        <v>DNP</v>
      </c>
      <c r="BA35" s="28" t="str">
        <f t="shared" si="17"/>
        <v>DNP</v>
      </c>
      <c r="BB35" s="34" t="str">
        <f t="shared" si="18"/>
        <v>DNP</v>
      </c>
      <c r="BC35" s="27" t="str">
        <f t="shared" si="19"/>
        <v>DNP</v>
      </c>
      <c r="BD35" s="27" t="str">
        <f t="shared" si="20"/>
        <v>DNP</v>
      </c>
      <c r="BE35" s="27" t="str">
        <f t="shared" si="21"/>
        <v>DNP</v>
      </c>
      <c r="BF35" s="27" t="str">
        <f t="shared" si="22"/>
        <v>DNP</v>
      </c>
      <c r="BG35" s="27" t="str">
        <f t="shared" si="23"/>
        <v>DNP</v>
      </c>
      <c r="BH35" s="35" t="str">
        <f t="shared" si="24"/>
        <v>DNP</v>
      </c>
      <c r="BI35" s="34" t="str">
        <f t="shared" si="25"/>
        <v>DNP</v>
      </c>
      <c r="BJ35" s="27" t="str">
        <f t="shared" si="26"/>
        <v>DNP</v>
      </c>
      <c r="BK35" s="27" t="str">
        <f t="shared" si="27"/>
        <v>DNP</v>
      </c>
      <c r="BL35" s="27" t="str">
        <f t="shared" si="28"/>
        <v>DNP</v>
      </c>
      <c r="BM35" s="27" t="str">
        <f t="shared" si="29"/>
        <v>DNP</v>
      </c>
      <c r="BN35" s="27" t="str">
        <f t="shared" si="30"/>
        <v>DNP</v>
      </c>
      <c r="BO35" s="27" t="str">
        <f t="shared" si="31"/>
        <v>DNP</v>
      </c>
      <c r="BP35" s="27" t="str">
        <f t="shared" si="32"/>
        <v>DNP</v>
      </c>
      <c r="BQ35" s="28" t="str">
        <f t="shared" si="33"/>
        <v>DNP</v>
      </c>
      <c r="BR35" s="34" t="str">
        <f t="shared" si="34"/>
        <v>DNP</v>
      </c>
      <c r="BS35" s="27" t="str">
        <f t="shared" si="35"/>
        <v>DNP</v>
      </c>
      <c r="BT35" s="40" t="str">
        <f>IF($D35=0,"DNP",SUMIFS(OPPS_GbG[KILLS],OPPS_GbG[[TM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BU35" s="34" t="str">
        <f t="shared" si="36"/>
        <v>DNP</v>
      </c>
      <c r="BV35" s="28" t="str">
        <f t="shared" si="37"/>
        <v>DNP</v>
      </c>
      <c r="BW35" s="18" t="str">
        <f>IF($D35=0,"DNP",SUMIFS(OPPS_GbG[ASTED_2FG],OPPS_GbG[[TM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BX35" s="18" t="str">
        <f>IF($D35=0,"DNP",SUMIFS(OPPS_GbG[ASTED_3FG],OPPS_GbG[[TM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BY35" s="18" t="str">
        <f>IF($D35=0,"DNP",SUMIFS(OPPS_GbG[ASTED_FT],OPPS_GbG[[TM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BZ35" s="18" t="str">
        <f>IF($D35=0,"DNP",SUMIFS(OPPS_GbG[ASTED_FT PTS],OPPS_GbG[[TM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A35" s="18" t="str">
        <f>IF($D35=0,"DNP",SUMIFS(OPPS_GbG[OR_RIM],OPPS_GbG[[TM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B35" s="18" t="str">
        <f>IF($D35=0,"DNP",SUMIFS(OPPS_GbG[TM OR_RIM],OPPS_GbG[[TM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C35" s="18" t="str">
        <f>IF($D35=0,"DNP",SUMIFS(OPPS_GbG[OR_PAINT],OPPS_GbG[[TM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D35" s="18" t="str">
        <f>IF($D35=0,"DNP",SUMIFS(OPPS_GbG[TM OR_PAINT],OPPS_GbG[[TM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E35" s="18" t="str">
        <f>IF($D35=0,"DNP",SUMIFS(OPPS_GbG[OR_NP2],OPPS_GbG[[TM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F35" s="18" t="str">
        <f>IF($D35=0,"DNP",SUMIFS(OPPS_GbG[TM OR_NP2],OPPS_GbG[[TM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G35" s="18" t="str">
        <f>IF($D35=0,"DNP",SUMIFS(OPPS_GbG[OR_3C],OPPS_GbG[[TM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H35" s="18" t="str">
        <f>IF($D35=0,"DNP",SUMIFS(OPPS_GbG[TM OR_3C],OPPS_GbG[[TM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I35" s="18" t="str">
        <f>IF($D35=0,"DNP",SUMIFS(OPPS_GbG[OR_3L],OPPS_GbG[[TM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J35" s="18" t="str">
        <f>IF($D35=0,"DNP",SUMIFS(OPPS_GbG[TM OR_3L],OPPS_GbG[[TM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K35" s="18" t="str">
        <f>IF($D35=0,"DNP",SUMIFS(OPPS_GbG[OR_FT],OPPS_GbG[[TM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L35" s="18" t="str">
        <f>IF($D35=0,"DNP",SUMIFS(OPPS_GbG[TM OR_FT],OPPS_GbG[[TM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M35" s="18" t="str">
        <f>IF($D35=0,"DNP",SUMIFS(OPPS_GbG[DR_RIM],OPPS_GbG[[TM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N35" s="18" t="str">
        <f>IF($D35=0,"DNP",SUMIFS(OPPS_GbG[TM DR_RIM],OPPS_GbG[[TM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O35" s="18" t="str">
        <f>IF($D35=0,"DNP",SUMIFS(OPPS_GbG[DR_PAINT],OPPS_GbG[[TM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P35" s="18" t="str">
        <f>IF($D35=0,"DNP",SUMIFS(OPPS_GbG[TM DR_PAINT],OPPS_GbG[[TM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Q35" s="18" t="str">
        <f>IF($D35=0,"DNP",SUMIFS(OPPS_GbG[DR_NP2],OPPS_GbG[[TM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R35" s="18" t="str">
        <f>IF($D35=0,"DNP",SUMIFS(OPPS_GbG[TM DR_NP2],OPPS_GbG[[TM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S35" s="18" t="str">
        <f>IF($D35=0,"DNP",SUMIFS(OPPS_GbG[DR_3C],OPPS_GbG[[TM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T35" s="18" t="str">
        <f>IF($D35=0,"DNP",SUMIFS(OPPS_GbG[TM DR_3C],OPPS_GbG[[TM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U35" s="18" t="str">
        <f>IF($D35=0,"DNP",SUMIFS(OPPS_GbG[DR_3L],OPPS_GbG[[TM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V35" s="18" t="str">
        <f>IF($D35=0,"DNP",SUMIFS(OPPS_GbG[TM DR_3L],OPPS_GbG[[TM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W35" s="18" t="str">
        <f>IF($D35=0,"DNP",SUMIFS(OPPS_GbG[DR_FT],OPPS_GbG[[TM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X35" s="18" t="str">
        <f>IF($D35=0,"DNP",SUMIFS(OPPS_GbG[TM DR_FT],OPPS_GbG[[TM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Y35" s="18" t="str">
        <f>IF($D35=0,"DNP",SUMIFS(OPPS_GbG[FTM_T],OPPS_GbG[[TM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CZ35" s="18" t="str">
        <f>IF($D35=0,"DNP",SUMIFS(OPPS_GbG[FTA_T],OPPS_GbG[[TM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A35" s="18" t="str">
        <f>IF($D35=0,"DNP",SUMIFS(OPPS_GbG[FTM_1],OPPS_GbG[[TM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B35" s="18" t="str">
        <f>IF($D35=0,"DNP",SUMIFS(OPPS_GbG[FTA_1],OPPS_GbG[[TM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C35" s="18" t="str">
        <f>IF($D35=0,"DNP",SUMIFS(OPPS_GbG[FTM_2],OPPS_GbG[[TM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D35" s="18" t="str">
        <f>IF($D35=0,"DNP",SUMIFS(OPPS_GbG[FTA_2],OPPS_GbG[[TM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E35" s="18" t="str">
        <f>IF($D35=0,"DNP",SUMIFS(OPPS_GbG[FT 0/2],OPPS_GbG[[TM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F35" s="18" t="str">
        <f>IF($D35=0,"DNP",SUMIFS(OPPS_GbG[FTM_3],OPPS_GbG[[TM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G35" s="18" t="str">
        <f>IF($D35=0,"DNP",SUMIFS(OPPS_GbG[FTA_3],OPPS_GbG[[TM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H35" s="18" t="str">
        <f>IF($D35=0,"DNP",SUMIFS(OPPS_GbG[FT 0/3],OPPS_GbG[[TM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I35" s="18" t="str">
        <f>IF($D35=0,"DNP",SUMIFS(OPPS_GbG[RIM_M],OPPS_GbG[[TM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J35" s="18" t="str">
        <f>IF($D35=0,"DNP",SUMIFS(OPPS_GbG[RIM_A],OPPS_GbG[[TM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K35" s="18" t="str">
        <f>IF($D35=0,"DNP",SUMIFS(OPPS_GbG[PAINT_M],OPPS_GbG[[TM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L35" s="18" t="str">
        <f>IF($D35=0,"DNP",SUMIFS(OPPS_GbG[PAINT_A],OPPS_GbG[[TM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M35" s="18" t="str">
        <f>IF($D35=0,"DNP",SUMIFS(OPPS_GbG[MID_M],OPPS_GbG[[TM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N35" s="18" t="str">
        <f>IF($D35=0,"DNP",SUMIFS(OPPS_GbG[MID_A],OPPS_GbG[[TM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O35" s="18" t="str">
        <f>IF($D35=0,"DNP",SUMIFS(OPPS_GbG[3C_M],OPPS_GbG[[TM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P35" s="18" t="str">
        <f>IF($D35=0,"DNP",SUMIFS(OPPS_GbG[3C_A],OPPS_GbG[[TM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Q35" s="18" t="str">
        <f>IF($D35=0,"DNP",SUMIFS(OPPS_GbG[3L_M],OPPS_GbG[[TM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R35" s="18" t="str">
        <f>IF($D35=0,"DNP",SUMIFS(OPPS_GbG[3L_A],OPPS_GbG[[TM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S35" s="18" t="str">
        <f>IF($D35=0,"DNP",SUMIFS(OPPS_GbG[3H_M],OPPS_GbG[[TM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T35" s="18" t="str">
        <f>IF($D35=0,"DNP",SUMIFS(OPPS_GbG[3H_A],OPPS_GbG[[TM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U35" s="18" t="str">
        <f>IF($D35=0,"DNP",SUMIFS(OPPS_GbG[OPP PTS],OPPS_GbG[[TM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V35" s="18" t="str">
        <f>IF($D35=0,"DNP",SUMIFS(OPPS_GbG[OPP 2PTM],OPPS_GbG[[TM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W35" s="18" t="str">
        <f>IF($D35=0,"DNP",SUMIFS(OPPS_GbG[OPP 2PTA],OPPS_GbG[[TM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X35" s="16" t="str">
        <f t="shared" si="61"/>
        <v>DNP</v>
      </c>
      <c r="DY35" s="18" t="str">
        <f>IF($D35=0,"DNP",SUMIFS(OPPS_GbG[OPP 3PTM],OPPS_GbG[[TM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DZ35" s="18" t="str">
        <f>IF($D35=0,"DNP",SUMIFS(OPPS_GbG[OPP 3PTA],OPPS_GbG[[TM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A35" s="16" t="str">
        <f t="shared" si="62"/>
        <v>DNP</v>
      </c>
      <c r="EB35" s="18" t="str">
        <f>IF($D35=0,"DNP",SUMIFS(OPPS_GbG[OPP FGM],OPPS_GbG[[TM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C35" s="18" t="str">
        <f>IF($D35=0,"DNP",SUMIFS(OPPS_GbG[OPP FGA],OPPS_GbG[[TM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D35" s="16" t="str">
        <f t="shared" si="63"/>
        <v>DNP</v>
      </c>
      <c r="EE35" s="18" t="str">
        <f>IF($D35=0,"DNP",SUMIFS(OPPS_GbG[OPP FTM],OPPS_GbG[[TM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F35" s="18" t="str">
        <f>IF($D35=0,"DNP",SUMIFS(OPPS_GbG[OPP FTA],OPPS_GbG[[TM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G35" s="16" t="str">
        <f t="shared" si="64"/>
        <v>DNP</v>
      </c>
      <c r="EH35" s="18" t="str">
        <f>IF($D35=0,"DNP",SUMIFS(OPPS_GbG[OPP OR],OPPS_GbG[[TM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I35" s="18" t="str">
        <f>IF($D35=0,"DNP",SUMIFS(OPPS_GbG[OPP DR],OPPS_GbG[[TM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J35" s="18" t="str">
        <f>IF($D35=0,"DNP",SUMIFS(OPPS_GbG[OPP TR],OPPS_GbG[[TM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K35" s="18" t="str">
        <f>IF($D35=0,"DNP",SUMIFS(OPPS_GbG[OPP AST],OPPS_GbG[[TM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L35" s="18" t="str">
        <f>IF($D35=0,"DNP",SUMIFS(OPPS_GbG[OPP PF],OPPS_GbG[[TM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M35" s="18" t="str">
        <f>IF($D35=0,"DNP",SUMIFS(OPPS_GbG[OPP DF],OPPS_GbG[[TM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N35" s="18" t="str">
        <f>IF($D35=0,"DNP",SUMIFS(OPPS_GbG[OPP ST],OPPS_GbG[[TM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O35" s="18" t="str">
        <f>IF($D35=0,"DNP",SUMIFS(OPPS_GbG[OPP TO],OPPS_GbG[[TM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P35" s="18" t="str">
        <f>IF($D35=0,"DNP",SUMIFS(OPPS_GbG[OPP BLK],OPPS_GbG[[TM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Q35" s="18" t="str">
        <f>IF($D35=0,"DNP",SUMIFS(OPPS_GbG[OPP BLKA],OPPS_GbG[[TM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R35" s="18" t="str">
        <f>IF($D35=0,"DNP",SUMIFS(OPPS_GbG[OPP VAL],OPPS_GbG[[TM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S35" s="18" t="str">
        <f>IF($D35=0,"DNP",SUMIFS(OPPS_GbG[OPP + / -],OPPS_GbG[[TM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T35" s="18" t="str">
        <f>IF($D35=0,"DNP",SUMIFS(OPPS_GbG[OPP POSS],OPPS_GbG[[TM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U35" s="18" t="str">
        <f>IF($D35=0,"DNP",SUMIFS(OPPS_GbG[OPP SHOOTING CHANCES],OPPS_GbG[[TM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V35" s="18" t="str">
        <f>IF($D35=0,"DNP",SUMIFS(OPPS_GbG[OPP KILLS],OPPS_GbG[[TM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W35" s="18" t="str">
        <f>IF($D35=0,"DNP",SUMIFS(OPPS_GbG[OPP ASTED_2FG],OPPS_GbG[[TM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X35" s="18" t="str">
        <f>IF($D35=0,"DNP",SUMIFS(OPPS_GbG[OPP ASTED_3FG],OPPS_GbG[[TM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Y35" s="18" t="str">
        <f>IF($D35=0,"DNP",SUMIFS(OPPS_GbG[OPP ASTED_FT],OPPS_GbG[[TM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EZ35" s="18" t="str">
        <f>IF($D35=0,"DNP",SUMIFS(OPPS_GbG[OPP ASTED_FT PTS],OPPS_GbG[[TM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A35" s="18" t="str">
        <f>IF($D35=0,"DNP",SUMIFS(OPPS_GbG[OPP OR_RIM],OPPS_GbG[[TM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B35" s="18" t="str">
        <f>IF($D35=0,"DNP",SUMIFS(OPPS_GbG[OPP TM OR_RIM],OPPS_GbG[[TM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C35" s="18" t="str">
        <f>IF($D35=0,"DNP",SUMIFS(OPPS_GbG[OPP OR_PAINT],OPPS_GbG[[TM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D35" s="18" t="str">
        <f>IF($D35=0,"DNP",SUMIFS(OPPS_GbG[OPP TM OR_PAINT],OPPS_GbG[[TM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E35" s="18" t="str">
        <f>IF($D35=0,"DNP",SUMIFS(OPPS_GbG[OPP OR_NP2],OPPS_GbG[[TM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F35" s="18" t="str">
        <f>IF($D35=0,"DNP",SUMIFS(OPPS_GbG[OPP TM OR_NP2],OPPS_GbG[[TM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G35" s="18" t="str">
        <f>IF($D35=0,"DNP",SUMIFS(OPPS_GbG[OPP OR_3C],OPPS_GbG[[TM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H35" s="18" t="str">
        <f>IF($D35=0,"DNP",SUMIFS(OPPS_GbG[OPP TM OR_3C],OPPS_GbG[[TM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I35" s="18" t="str">
        <f>IF($D35=0,"DNP",SUMIFS(OPPS_GbG[OPP OR_3L],OPPS_GbG[[TM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J35" s="18" t="str">
        <f>IF($D35=0,"DNP",SUMIFS(OPPS_GbG[OPP TM OR_3L],OPPS_GbG[[TM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K35" s="18" t="str">
        <f>IF($D35=0,"DNP",SUMIFS(OPPS_GbG[OPP OR_FT],OPPS_GbG[[TM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L35" s="18" t="str">
        <f>IF($D35=0,"DNP",SUMIFS(OPPS_GbG[OPP TM OR_FT],OPPS_GbG[[TM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M35" s="18" t="str">
        <f>IF($D35=0,"DNP",SUMIFS(OPPS_GbG[OPP DR_RIM],OPPS_GbG[[TM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N35" s="18" t="str">
        <f>IF($D35=0,"DNP",SUMIFS(OPPS_GbG[OPP TM DR_RIM],OPPS_GbG[[TM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O35" s="18" t="str">
        <f>IF($D35=0,"DNP",SUMIFS(OPPS_GbG[OPP DR_PAINT],OPPS_GbG[[TM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P35" s="18" t="str">
        <f>IF($D35=0,"DNP",SUMIFS(OPPS_GbG[OPP TM DR_PAINT],OPPS_GbG[[TM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Q35" s="18" t="str">
        <f>IF($D35=0,"DNP",SUMIFS(OPPS_GbG[OPP DR_NP2],OPPS_GbG[[TM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R35" s="18" t="str">
        <f>IF($D35=0,"DNP",SUMIFS(OPPS_GbG[OPP TM DR_NP2],OPPS_GbG[[TM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S35" s="18" t="str">
        <f>IF($D35=0,"DNP",SUMIFS(OPPS_GbG[OPP DR_3C],OPPS_GbG[[TM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T35" s="18" t="str">
        <f>IF($D35=0,"DNP",SUMIFS(OPPS_GbG[OPP TM DR_3C],OPPS_GbG[[TM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U35" s="18" t="str">
        <f>IF($D35=0,"DNP",SUMIFS(OPPS_GbG[OPP DR_3L],OPPS_GbG[[TM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V35" s="18" t="str">
        <f>IF($D35=0,"DNP",SUMIFS(OPPS_GbG[OPP TM DR_3L],OPPS_GbG[[TM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W35" s="18" t="str">
        <f>IF($D35=0,"DNP",SUMIFS(OPPS_GbG[OPP DR_FT],OPPS_GbG[[TM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X35" s="18" t="str">
        <f>IF($D35=0,"DNP",SUMIFS(OPPS_GbG[OPP TM DR_FT],OPPS_GbG[[TM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Y35" s="18" t="str">
        <f>IF($D35=0,"DNP",SUMIFS(OPPS_GbG[OPP FTM_T],OPPS_GbG[[TM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FZ35" s="18" t="str">
        <f>IF($D35=0,"DNP",SUMIFS(OPPS_GbG[OPP FTA_T],OPPS_GbG[[TM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A35" s="18" t="str">
        <f>IF($D35=0,"DNP",SUMIFS(OPPS_GbG[OPP FTM_1],OPPS_GbG[[TM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B35" s="18" t="str">
        <f>IF($D35=0,"DNP",SUMIFS(OPPS_GbG[OPP FTA_1],OPPS_GbG[[TM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C35" s="18" t="str">
        <f>IF($D35=0,"DNP",SUMIFS(OPPS_GbG[OPP FTM_2],OPPS_GbG[[TM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D35" s="18" t="str">
        <f>IF($D35=0,"DNP",SUMIFS(OPPS_GbG[OPP FTA_2],OPPS_GbG[[TM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E35" s="18" t="str">
        <f>IF($D35=0,"DNP",SUMIFS(OPPS_GbG[OPP FT 0/2],OPPS_GbG[[TM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F35" s="18" t="str">
        <f>IF($D35=0,"DNP",SUMIFS(OPPS_GbG[OPP FTM_3],OPPS_GbG[[TM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G35" s="18" t="str">
        <f>IF($D35=0,"DNP",SUMIFS(OPPS_GbG[OPP FTA_3],OPPS_GbG[[TM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H35" s="18" t="str">
        <f>IF($D35=0,"DNP",SUMIFS(OPPS_GbG[OPP FT 0/3],OPPS_GbG[[TM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I35" s="18" t="str">
        <f>IF($D35=0,"DNP",SUMIFS(OPPS_GbG[OPP RIM_M],OPPS_GbG[[TM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J35" s="18" t="str">
        <f>IF($D35=0,"DNP",SUMIFS(OPPS_GbG[OPP RIM_A],OPPS_GbG[[TM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K35" s="18" t="str">
        <f>IF($D35=0,"DNP",SUMIFS(OPPS_GbG[OPP PAINT_M],OPPS_GbG[[TM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L35" s="18" t="str">
        <f>IF($D35=0,"DNP",SUMIFS(OPPS_GbG[OPP PAINT_A],OPPS_GbG[[TM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M35" s="18" t="str">
        <f>IF($D35=0,"DNP",SUMIFS(OPPS_GbG[OPP MID_M],OPPS_GbG[[TM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N35" s="18" t="str">
        <f>IF($D35=0,"DNP",SUMIFS(OPPS_GbG[OPP MID_A],OPPS_GbG[[TM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O35" s="18" t="str">
        <f>IF($D35=0,"DNP",SUMIFS(OPPS_GbG[OPP 3C_M],OPPS_GbG[[TM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P35" s="18" t="str">
        <f>IF($D35=0,"DNP",SUMIFS(OPPS_GbG[OPP 3C_A],OPPS_GbG[[TM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Q35" s="18" t="str">
        <f>IF($D35=0,"DNP",SUMIFS(OPPS_GbG[OPP 3L_M],OPPS_GbG[[TM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R35" s="18" t="str">
        <f>IF($D35=0,"DNP",SUMIFS(OPPS_GbG[OPP 3L_A],OPPS_GbG[[TM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S35" s="18" t="str">
        <f>IF($D35=0,"DNP",SUMIFS(OPPS_GbG[OPP 3H_M],OPPS_GbG[[TM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  <c r="GT35" s="18" t="str">
        <f>IF($D35=0,"DNP",SUMIFS(OPPS_GbG[OPP 3H_A],OPPS_GbG[[TM NAME]:[TM NAME]],$C35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GAMES","&lt;1000",IF($F$3=BASIS_INFO!$T$3,"&lt;"&amp;BASIS_INFO!$B$11,IF($F$3=BASIS_INFO!$T$4,"&lt;"&amp;BASIS_INFO!$B$12,IF($F$3=BASIS_INFO!$T$5,"&lt;"&amp;BASIS_INFO!$B$13,IF($F$3=BASIS_INFO!$T$6,"&lt;"&amp;BASIS_INFO!$B$14))))))/IF($D$3="TOTAL",1,$D35))</f>
        <v>DNP</v>
      </c>
    </row>
    <row r="36" spans="2:202" ht="15" hidden="1" customHeight="1" x14ac:dyDescent="0.25">
      <c r="B36" s="12">
        <f>_xlfn.AGGREGATE(3,5,$C$7:C35)</f>
        <v>19</v>
      </c>
      <c r="C36" s="14" t="str">
        <f>BASIS_INFO!F31</f>
        <v/>
      </c>
      <c r="D36" s="20">
        <f>COUNTIFS(OPPS_GbG[[TM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6" s="20">
        <f>COUNTIFS(OPPS_GbG[[TM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6" s="20">
        <f>COUNTIFS(OPPS_GbG[[TM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6" s="18" t="str">
        <f>IF($D36=0,"DNP",SUMIFS(OPPS_GbG[MIN],OPPS_GbG[[TM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H36" s="18" t="str">
        <f>IF($D36=0,"DNP",SUMIFS(OPPS_GbG[PTS],OPPS_GbG[[TM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I36" s="18" t="str">
        <f>IF($D36=0,"DNP",SUMIFS(OPPS_GbG[2PTM],OPPS_GbG[[TM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J36" s="18" t="str">
        <f>IF($D36=0,"DNP",SUMIFS(OPPS_GbG[2PTA],OPPS_GbG[[TM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K36" s="16" t="str">
        <f t="shared" si="56"/>
        <v>DNP</v>
      </c>
      <c r="L36" s="18" t="str">
        <f>IF($D36=0,"DNP",SUMIFS(OPPS_GbG[3PTM],OPPS_GbG[[TM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M36" s="18" t="str">
        <f>IF($D36=0,"DNP",SUMIFS(OPPS_GbG[3PTA],OPPS_GbG[[TM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N36" s="16" t="str">
        <f t="shared" si="57"/>
        <v>DNP</v>
      </c>
      <c r="O36" s="18" t="str">
        <f>IF($D36=0,"DNP",SUMIFS(OPPS_GbG[FGM],OPPS_GbG[[TM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P36" s="18" t="str">
        <f>IF($D36=0,"DNP",SUMIFS(OPPS_GbG[FGA],OPPS_GbG[[TM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Q36" s="16" t="str">
        <f t="shared" si="58"/>
        <v>DNP</v>
      </c>
      <c r="R36" s="18" t="str">
        <f>IF($D36=0,"DNP",SUMIFS(OPPS_GbG[FTM],OPPS_GbG[[TM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S36" s="18" t="str">
        <f>IF($D36=0,"DNP",SUMIFS(OPPS_GbG[FTA],OPPS_GbG[[TM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T36" s="16" t="str">
        <f t="shared" si="59"/>
        <v>DNP</v>
      </c>
      <c r="U36" s="18" t="str">
        <f>IF($D36=0,"DNP",SUMIFS(OPPS_GbG[OR],OPPS_GbG[[TM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V36" s="18" t="str">
        <f>IF($D36=0,"DNP",SUMIFS(OPPS_GbG[DR],OPPS_GbG[[TM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W36" s="18" t="str">
        <f>IF($D36=0,"DNP",SUMIFS(OPPS_GbG[TR],OPPS_GbG[[TM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X36" s="18" t="str">
        <f>IF($D36=0,"DNP",SUMIFS(OPPS_GbG[AST],OPPS_GbG[[TM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Y36" s="18" t="str">
        <f>IF($D36=0,"DNP",SUMIFS(OPPS_GbG[TO],OPPS_GbG[[TM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Z36" s="18" t="str">
        <f>IF($D36=0,"DNP",SUMIFS(OPPS_GbG[ST],OPPS_GbG[[TM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A36" s="18" t="str">
        <f>IF($D36=0,"DNP",SUMIFS(OPPS_GbG[BLK],OPPS_GbG[[TM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B36" s="18" t="str">
        <f>IF($D36=0,"DNP",SUMIFS(OPPS_GbG[BLKA],OPPS_GbG[[TM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C36" s="18" t="str">
        <f>IF($D36=0,"DNP",SUMIFS(OPPS_GbG[PF],OPPS_GbG[[TM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D36" s="18" t="str">
        <f>IF($D36=0,"DNP",SUMIFS(OPPS_GbG[DF],OPPS_GbG[[TM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E36" s="18" t="str">
        <f>IF($D36=0,"DNP",SUMIFS(OPPS_GbG[VAL],OPPS_GbG[[TM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F36" s="18" t="str">
        <f>IF($D36=0,"DNP",SUMIFS(OPPS_GbG[+ / -],OPPS_GbG[[TM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G36" s="26" t="str">
        <f t="shared" si="0"/>
        <v>DNP</v>
      </c>
      <c r="AH36" s="18" t="str">
        <f>IF($D36=0,"DNP",SUMIFS(OPPS_GbG[POSS],OPPS_GbG[[TM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I36" s="18" t="str">
        <f>IF($D36=0,"DNP",SUMIFS(OPPS_GbG[SHOOTING CHANCES],OPPS_GbG[[TM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AJ36" s="19" t="str">
        <f t="shared" si="1"/>
        <v>DNP</v>
      </c>
      <c r="AK36" s="19" t="str">
        <f t="shared" si="2"/>
        <v>DNP</v>
      </c>
      <c r="AL36" s="18" t="str">
        <f t="shared" si="3"/>
        <v>DNP</v>
      </c>
      <c r="AM36" s="18" t="str">
        <f t="shared" si="4"/>
        <v>DNP</v>
      </c>
      <c r="AN36" s="18" t="str">
        <f t="shared" si="60"/>
        <v>DNP</v>
      </c>
      <c r="AO36" s="27" t="str">
        <f t="shared" si="5"/>
        <v>DNP</v>
      </c>
      <c r="AP36" s="28" t="str">
        <f t="shared" si="6"/>
        <v>DNP</v>
      </c>
      <c r="AQ36" s="34" t="str">
        <f t="shared" si="7"/>
        <v>DNP</v>
      </c>
      <c r="AR36" s="19" t="str">
        <f t="shared" si="8"/>
        <v>DNP</v>
      </c>
      <c r="AS36" s="16" t="str">
        <f t="shared" si="9"/>
        <v>DNP</v>
      </c>
      <c r="AT36" s="18" t="str">
        <f t="shared" si="10"/>
        <v>DNP</v>
      </c>
      <c r="AU36" s="16" t="str">
        <f t="shared" si="11"/>
        <v>DNP</v>
      </c>
      <c r="AV36" s="18" t="str">
        <f t="shared" si="12"/>
        <v>DNP</v>
      </c>
      <c r="AW36" s="16" t="str">
        <f t="shared" si="13"/>
        <v>DNP</v>
      </c>
      <c r="AX36" s="19" t="str">
        <f t="shared" si="14"/>
        <v>DNP</v>
      </c>
      <c r="AY36" s="27" t="str">
        <f t="shared" si="15"/>
        <v>DNP</v>
      </c>
      <c r="AZ36" s="38" t="str">
        <f t="shared" si="16"/>
        <v>DNP</v>
      </c>
      <c r="BA36" s="28" t="str">
        <f t="shared" si="17"/>
        <v>DNP</v>
      </c>
      <c r="BB36" s="34" t="str">
        <f t="shared" si="18"/>
        <v>DNP</v>
      </c>
      <c r="BC36" s="27" t="str">
        <f t="shared" si="19"/>
        <v>DNP</v>
      </c>
      <c r="BD36" s="27" t="str">
        <f t="shared" si="20"/>
        <v>DNP</v>
      </c>
      <c r="BE36" s="27" t="str">
        <f t="shared" si="21"/>
        <v>DNP</v>
      </c>
      <c r="BF36" s="27" t="str">
        <f t="shared" si="22"/>
        <v>DNP</v>
      </c>
      <c r="BG36" s="27" t="str">
        <f t="shared" si="23"/>
        <v>DNP</v>
      </c>
      <c r="BH36" s="35" t="str">
        <f t="shared" si="24"/>
        <v>DNP</v>
      </c>
      <c r="BI36" s="34" t="str">
        <f t="shared" si="25"/>
        <v>DNP</v>
      </c>
      <c r="BJ36" s="27" t="str">
        <f t="shared" si="26"/>
        <v>DNP</v>
      </c>
      <c r="BK36" s="27" t="str">
        <f t="shared" si="27"/>
        <v>DNP</v>
      </c>
      <c r="BL36" s="27" t="str">
        <f t="shared" si="28"/>
        <v>DNP</v>
      </c>
      <c r="BM36" s="27" t="str">
        <f t="shared" si="29"/>
        <v>DNP</v>
      </c>
      <c r="BN36" s="27" t="str">
        <f t="shared" si="30"/>
        <v>DNP</v>
      </c>
      <c r="BO36" s="27" t="str">
        <f t="shared" si="31"/>
        <v>DNP</v>
      </c>
      <c r="BP36" s="27" t="str">
        <f t="shared" si="32"/>
        <v>DNP</v>
      </c>
      <c r="BQ36" s="28" t="str">
        <f t="shared" si="33"/>
        <v>DNP</v>
      </c>
      <c r="BR36" s="34" t="str">
        <f t="shared" si="34"/>
        <v>DNP</v>
      </c>
      <c r="BS36" s="27" t="str">
        <f t="shared" si="35"/>
        <v>DNP</v>
      </c>
      <c r="BT36" s="40" t="str">
        <f>IF($D36=0,"DNP",SUMIFS(OPPS_GbG[KILLS],OPPS_GbG[[TM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BU36" s="34" t="str">
        <f t="shared" si="36"/>
        <v>DNP</v>
      </c>
      <c r="BV36" s="28" t="str">
        <f t="shared" si="37"/>
        <v>DNP</v>
      </c>
      <c r="BW36" s="18" t="str">
        <f>IF($D36=0,"DNP",SUMIFS(OPPS_GbG[ASTED_2FG],OPPS_GbG[[TM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BX36" s="18" t="str">
        <f>IF($D36=0,"DNP",SUMIFS(OPPS_GbG[ASTED_3FG],OPPS_GbG[[TM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BY36" s="18" t="str">
        <f>IF($D36=0,"DNP",SUMIFS(OPPS_GbG[ASTED_FT],OPPS_GbG[[TM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BZ36" s="18" t="str">
        <f>IF($D36=0,"DNP",SUMIFS(OPPS_GbG[ASTED_FT PTS],OPPS_GbG[[TM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A36" s="18" t="str">
        <f>IF($D36=0,"DNP",SUMIFS(OPPS_GbG[OR_RIM],OPPS_GbG[[TM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B36" s="18" t="str">
        <f>IF($D36=0,"DNP",SUMIFS(OPPS_GbG[TM OR_RIM],OPPS_GbG[[TM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C36" s="18" t="str">
        <f>IF($D36=0,"DNP",SUMIFS(OPPS_GbG[OR_PAINT],OPPS_GbG[[TM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D36" s="18" t="str">
        <f>IF($D36=0,"DNP",SUMIFS(OPPS_GbG[TM OR_PAINT],OPPS_GbG[[TM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E36" s="18" t="str">
        <f>IF($D36=0,"DNP",SUMIFS(OPPS_GbG[OR_NP2],OPPS_GbG[[TM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F36" s="18" t="str">
        <f>IF($D36=0,"DNP",SUMIFS(OPPS_GbG[TM OR_NP2],OPPS_GbG[[TM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G36" s="18" t="str">
        <f>IF($D36=0,"DNP",SUMIFS(OPPS_GbG[OR_3C],OPPS_GbG[[TM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H36" s="18" t="str">
        <f>IF($D36=0,"DNP",SUMIFS(OPPS_GbG[TM OR_3C],OPPS_GbG[[TM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I36" s="18" t="str">
        <f>IF($D36=0,"DNP",SUMIFS(OPPS_GbG[OR_3L],OPPS_GbG[[TM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J36" s="18" t="str">
        <f>IF($D36=0,"DNP",SUMIFS(OPPS_GbG[TM OR_3L],OPPS_GbG[[TM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K36" s="18" t="str">
        <f>IF($D36=0,"DNP",SUMIFS(OPPS_GbG[OR_FT],OPPS_GbG[[TM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L36" s="18" t="str">
        <f>IF($D36=0,"DNP",SUMIFS(OPPS_GbG[TM OR_FT],OPPS_GbG[[TM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M36" s="18" t="str">
        <f>IF($D36=0,"DNP",SUMIFS(OPPS_GbG[DR_RIM],OPPS_GbG[[TM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N36" s="18" t="str">
        <f>IF($D36=0,"DNP",SUMIFS(OPPS_GbG[TM DR_RIM],OPPS_GbG[[TM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O36" s="18" t="str">
        <f>IF($D36=0,"DNP",SUMIFS(OPPS_GbG[DR_PAINT],OPPS_GbG[[TM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P36" s="18" t="str">
        <f>IF($D36=0,"DNP",SUMIFS(OPPS_GbG[TM DR_PAINT],OPPS_GbG[[TM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Q36" s="18" t="str">
        <f>IF($D36=0,"DNP",SUMIFS(OPPS_GbG[DR_NP2],OPPS_GbG[[TM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R36" s="18" t="str">
        <f>IF($D36=0,"DNP",SUMIFS(OPPS_GbG[TM DR_NP2],OPPS_GbG[[TM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S36" s="18" t="str">
        <f>IF($D36=0,"DNP",SUMIFS(OPPS_GbG[DR_3C],OPPS_GbG[[TM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T36" s="18" t="str">
        <f>IF($D36=0,"DNP",SUMIFS(OPPS_GbG[TM DR_3C],OPPS_GbG[[TM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U36" s="18" t="str">
        <f>IF($D36=0,"DNP",SUMIFS(OPPS_GbG[DR_3L],OPPS_GbG[[TM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V36" s="18" t="str">
        <f>IF($D36=0,"DNP",SUMIFS(OPPS_GbG[TM DR_3L],OPPS_GbG[[TM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W36" s="18" t="str">
        <f>IF($D36=0,"DNP",SUMIFS(OPPS_GbG[DR_FT],OPPS_GbG[[TM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X36" s="18" t="str">
        <f>IF($D36=0,"DNP",SUMIFS(OPPS_GbG[TM DR_FT],OPPS_GbG[[TM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Y36" s="18" t="str">
        <f>IF($D36=0,"DNP",SUMIFS(OPPS_GbG[FTM_T],OPPS_GbG[[TM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CZ36" s="18" t="str">
        <f>IF($D36=0,"DNP",SUMIFS(OPPS_GbG[FTA_T],OPPS_GbG[[TM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A36" s="18" t="str">
        <f>IF($D36=0,"DNP",SUMIFS(OPPS_GbG[FTM_1],OPPS_GbG[[TM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B36" s="18" t="str">
        <f>IF($D36=0,"DNP",SUMIFS(OPPS_GbG[FTA_1],OPPS_GbG[[TM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C36" s="18" t="str">
        <f>IF($D36=0,"DNP",SUMIFS(OPPS_GbG[FTM_2],OPPS_GbG[[TM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D36" s="18" t="str">
        <f>IF($D36=0,"DNP",SUMIFS(OPPS_GbG[FTA_2],OPPS_GbG[[TM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E36" s="18" t="str">
        <f>IF($D36=0,"DNP",SUMIFS(OPPS_GbG[FT 0/2],OPPS_GbG[[TM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F36" s="18" t="str">
        <f>IF($D36=0,"DNP",SUMIFS(OPPS_GbG[FTM_3],OPPS_GbG[[TM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G36" s="18" t="str">
        <f>IF($D36=0,"DNP",SUMIFS(OPPS_GbG[FTA_3],OPPS_GbG[[TM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H36" s="18" t="str">
        <f>IF($D36=0,"DNP",SUMIFS(OPPS_GbG[FT 0/3],OPPS_GbG[[TM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I36" s="18" t="str">
        <f>IF($D36=0,"DNP",SUMIFS(OPPS_GbG[RIM_M],OPPS_GbG[[TM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J36" s="18" t="str">
        <f>IF($D36=0,"DNP",SUMIFS(OPPS_GbG[RIM_A],OPPS_GbG[[TM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K36" s="18" t="str">
        <f>IF($D36=0,"DNP",SUMIFS(OPPS_GbG[PAINT_M],OPPS_GbG[[TM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L36" s="18" t="str">
        <f>IF($D36=0,"DNP",SUMIFS(OPPS_GbG[PAINT_A],OPPS_GbG[[TM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M36" s="18" t="str">
        <f>IF($D36=0,"DNP",SUMIFS(OPPS_GbG[MID_M],OPPS_GbG[[TM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N36" s="18" t="str">
        <f>IF($D36=0,"DNP",SUMIFS(OPPS_GbG[MID_A],OPPS_GbG[[TM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O36" s="18" t="str">
        <f>IF($D36=0,"DNP",SUMIFS(OPPS_GbG[3C_M],OPPS_GbG[[TM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P36" s="18" t="str">
        <f>IF($D36=0,"DNP",SUMIFS(OPPS_GbG[3C_A],OPPS_GbG[[TM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Q36" s="18" t="str">
        <f>IF($D36=0,"DNP",SUMIFS(OPPS_GbG[3L_M],OPPS_GbG[[TM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R36" s="18" t="str">
        <f>IF($D36=0,"DNP",SUMIFS(OPPS_GbG[3L_A],OPPS_GbG[[TM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S36" s="18" t="str">
        <f>IF($D36=0,"DNP",SUMIFS(OPPS_GbG[3H_M],OPPS_GbG[[TM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T36" s="18" t="str">
        <f>IF($D36=0,"DNP",SUMIFS(OPPS_GbG[3H_A],OPPS_GbG[[TM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U36" s="18" t="str">
        <f>IF($D36=0,"DNP",SUMIFS(OPPS_GbG[OPP PTS],OPPS_GbG[[TM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V36" s="18" t="str">
        <f>IF($D36=0,"DNP",SUMIFS(OPPS_GbG[OPP 2PTM],OPPS_GbG[[TM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W36" s="18" t="str">
        <f>IF($D36=0,"DNP",SUMIFS(OPPS_GbG[OPP 2PTA],OPPS_GbG[[TM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X36" s="16" t="str">
        <f t="shared" si="61"/>
        <v>DNP</v>
      </c>
      <c r="DY36" s="18" t="str">
        <f>IF($D36=0,"DNP",SUMIFS(OPPS_GbG[OPP 3PTM],OPPS_GbG[[TM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DZ36" s="18" t="str">
        <f>IF($D36=0,"DNP",SUMIFS(OPPS_GbG[OPP 3PTA],OPPS_GbG[[TM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A36" s="16" t="str">
        <f t="shared" si="62"/>
        <v>DNP</v>
      </c>
      <c r="EB36" s="18" t="str">
        <f>IF($D36=0,"DNP",SUMIFS(OPPS_GbG[OPP FGM],OPPS_GbG[[TM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C36" s="18" t="str">
        <f>IF($D36=0,"DNP",SUMIFS(OPPS_GbG[OPP FGA],OPPS_GbG[[TM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D36" s="16" t="str">
        <f t="shared" si="63"/>
        <v>DNP</v>
      </c>
      <c r="EE36" s="18" t="str">
        <f>IF($D36=0,"DNP",SUMIFS(OPPS_GbG[OPP FTM],OPPS_GbG[[TM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F36" s="18" t="str">
        <f>IF($D36=0,"DNP",SUMIFS(OPPS_GbG[OPP FTA],OPPS_GbG[[TM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G36" s="16" t="str">
        <f t="shared" si="64"/>
        <v>DNP</v>
      </c>
      <c r="EH36" s="18" t="str">
        <f>IF($D36=0,"DNP",SUMIFS(OPPS_GbG[OPP OR],OPPS_GbG[[TM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I36" s="18" t="str">
        <f>IF($D36=0,"DNP",SUMIFS(OPPS_GbG[OPP DR],OPPS_GbG[[TM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J36" s="18" t="str">
        <f>IF($D36=0,"DNP",SUMIFS(OPPS_GbG[OPP TR],OPPS_GbG[[TM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K36" s="18" t="str">
        <f>IF($D36=0,"DNP",SUMIFS(OPPS_GbG[OPP AST],OPPS_GbG[[TM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L36" s="18" t="str">
        <f>IF($D36=0,"DNP",SUMIFS(OPPS_GbG[OPP PF],OPPS_GbG[[TM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M36" s="18" t="str">
        <f>IF($D36=0,"DNP",SUMIFS(OPPS_GbG[OPP DF],OPPS_GbG[[TM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N36" s="18" t="str">
        <f>IF($D36=0,"DNP",SUMIFS(OPPS_GbG[OPP ST],OPPS_GbG[[TM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O36" s="18" t="str">
        <f>IF($D36=0,"DNP",SUMIFS(OPPS_GbG[OPP TO],OPPS_GbG[[TM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P36" s="18" t="str">
        <f>IF($D36=0,"DNP",SUMIFS(OPPS_GbG[OPP BLK],OPPS_GbG[[TM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Q36" s="18" t="str">
        <f>IF($D36=0,"DNP",SUMIFS(OPPS_GbG[OPP BLKA],OPPS_GbG[[TM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R36" s="18" t="str">
        <f>IF($D36=0,"DNP",SUMIFS(OPPS_GbG[OPP VAL],OPPS_GbG[[TM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S36" s="18" t="str">
        <f>IF($D36=0,"DNP",SUMIFS(OPPS_GbG[OPP + / -],OPPS_GbG[[TM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T36" s="18" t="str">
        <f>IF($D36=0,"DNP",SUMIFS(OPPS_GbG[OPP POSS],OPPS_GbG[[TM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U36" s="18" t="str">
        <f>IF($D36=0,"DNP",SUMIFS(OPPS_GbG[OPP SHOOTING CHANCES],OPPS_GbG[[TM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V36" s="18" t="str">
        <f>IF($D36=0,"DNP",SUMIFS(OPPS_GbG[OPP KILLS],OPPS_GbG[[TM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W36" s="18" t="str">
        <f>IF($D36=0,"DNP",SUMIFS(OPPS_GbG[OPP ASTED_2FG],OPPS_GbG[[TM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X36" s="18" t="str">
        <f>IF($D36=0,"DNP",SUMIFS(OPPS_GbG[OPP ASTED_3FG],OPPS_GbG[[TM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Y36" s="18" t="str">
        <f>IF($D36=0,"DNP",SUMIFS(OPPS_GbG[OPP ASTED_FT],OPPS_GbG[[TM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EZ36" s="18" t="str">
        <f>IF($D36=0,"DNP",SUMIFS(OPPS_GbG[OPP ASTED_FT PTS],OPPS_GbG[[TM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A36" s="18" t="str">
        <f>IF($D36=0,"DNP",SUMIFS(OPPS_GbG[OPP OR_RIM],OPPS_GbG[[TM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B36" s="18" t="str">
        <f>IF($D36=0,"DNP",SUMIFS(OPPS_GbG[OPP TM OR_RIM],OPPS_GbG[[TM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C36" s="18" t="str">
        <f>IF($D36=0,"DNP",SUMIFS(OPPS_GbG[OPP OR_PAINT],OPPS_GbG[[TM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D36" s="18" t="str">
        <f>IF($D36=0,"DNP",SUMIFS(OPPS_GbG[OPP TM OR_PAINT],OPPS_GbG[[TM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E36" s="18" t="str">
        <f>IF($D36=0,"DNP",SUMIFS(OPPS_GbG[OPP OR_NP2],OPPS_GbG[[TM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F36" s="18" t="str">
        <f>IF($D36=0,"DNP",SUMIFS(OPPS_GbG[OPP TM OR_NP2],OPPS_GbG[[TM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G36" s="18" t="str">
        <f>IF($D36=0,"DNP",SUMIFS(OPPS_GbG[OPP OR_3C],OPPS_GbG[[TM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H36" s="18" t="str">
        <f>IF($D36=0,"DNP",SUMIFS(OPPS_GbG[OPP TM OR_3C],OPPS_GbG[[TM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I36" s="18" t="str">
        <f>IF($D36=0,"DNP",SUMIFS(OPPS_GbG[OPP OR_3L],OPPS_GbG[[TM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J36" s="18" t="str">
        <f>IF($D36=0,"DNP",SUMIFS(OPPS_GbG[OPP TM OR_3L],OPPS_GbG[[TM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K36" s="18" t="str">
        <f>IF($D36=0,"DNP",SUMIFS(OPPS_GbG[OPP OR_FT],OPPS_GbG[[TM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L36" s="18" t="str">
        <f>IF($D36=0,"DNP",SUMIFS(OPPS_GbG[OPP TM OR_FT],OPPS_GbG[[TM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M36" s="18" t="str">
        <f>IF($D36=0,"DNP",SUMIFS(OPPS_GbG[OPP DR_RIM],OPPS_GbG[[TM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N36" s="18" t="str">
        <f>IF($D36=0,"DNP",SUMIFS(OPPS_GbG[OPP TM DR_RIM],OPPS_GbG[[TM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O36" s="18" t="str">
        <f>IF($D36=0,"DNP",SUMIFS(OPPS_GbG[OPP DR_PAINT],OPPS_GbG[[TM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P36" s="18" t="str">
        <f>IF($D36=0,"DNP",SUMIFS(OPPS_GbG[OPP TM DR_PAINT],OPPS_GbG[[TM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Q36" s="18" t="str">
        <f>IF($D36=0,"DNP",SUMIFS(OPPS_GbG[OPP DR_NP2],OPPS_GbG[[TM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R36" s="18" t="str">
        <f>IF($D36=0,"DNP",SUMIFS(OPPS_GbG[OPP TM DR_NP2],OPPS_GbG[[TM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S36" s="18" t="str">
        <f>IF($D36=0,"DNP",SUMIFS(OPPS_GbG[OPP DR_3C],OPPS_GbG[[TM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T36" s="18" t="str">
        <f>IF($D36=0,"DNP",SUMIFS(OPPS_GbG[OPP TM DR_3C],OPPS_GbG[[TM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U36" s="18" t="str">
        <f>IF($D36=0,"DNP",SUMIFS(OPPS_GbG[OPP DR_3L],OPPS_GbG[[TM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V36" s="18" t="str">
        <f>IF($D36=0,"DNP",SUMIFS(OPPS_GbG[OPP TM DR_3L],OPPS_GbG[[TM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W36" s="18" t="str">
        <f>IF($D36=0,"DNP",SUMIFS(OPPS_GbG[OPP DR_FT],OPPS_GbG[[TM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X36" s="18" t="str">
        <f>IF($D36=0,"DNP",SUMIFS(OPPS_GbG[OPP TM DR_FT],OPPS_GbG[[TM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Y36" s="18" t="str">
        <f>IF($D36=0,"DNP",SUMIFS(OPPS_GbG[OPP FTM_T],OPPS_GbG[[TM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FZ36" s="18" t="str">
        <f>IF($D36=0,"DNP",SUMIFS(OPPS_GbG[OPP FTA_T],OPPS_GbG[[TM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A36" s="18" t="str">
        <f>IF($D36=0,"DNP",SUMIFS(OPPS_GbG[OPP FTM_1],OPPS_GbG[[TM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B36" s="18" t="str">
        <f>IF($D36=0,"DNP",SUMIFS(OPPS_GbG[OPP FTA_1],OPPS_GbG[[TM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C36" s="18" t="str">
        <f>IF($D36=0,"DNP",SUMIFS(OPPS_GbG[OPP FTM_2],OPPS_GbG[[TM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D36" s="18" t="str">
        <f>IF($D36=0,"DNP",SUMIFS(OPPS_GbG[OPP FTA_2],OPPS_GbG[[TM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E36" s="18" t="str">
        <f>IF($D36=0,"DNP",SUMIFS(OPPS_GbG[OPP FT 0/2],OPPS_GbG[[TM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F36" s="18" t="str">
        <f>IF($D36=0,"DNP",SUMIFS(OPPS_GbG[OPP FTM_3],OPPS_GbG[[TM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G36" s="18" t="str">
        <f>IF($D36=0,"DNP",SUMIFS(OPPS_GbG[OPP FTA_3],OPPS_GbG[[TM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H36" s="18" t="str">
        <f>IF($D36=0,"DNP",SUMIFS(OPPS_GbG[OPP FT 0/3],OPPS_GbG[[TM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I36" s="18" t="str">
        <f>IF($D36=0,"DNP",SUMIFS(OPPS_GbG[OPP RIM_M],OPPS_GbG[[TM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J36" s="18" t="str">
        <f>IF($D36=0,"DNP",SUMIFS(OPPS_GbG[OPP RIM_A],OPPS_GbG[[TM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K36" s="18" t="str">
        <f>IF($D36=0,"DNP",SUMIFS(OPPS_GbG[OPP PAINT_M],OPPS_GbG[[TM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L36" s="18" t="str">
        <f>IF($D36=0,"DNP",SUMIFS(OPPS_GbG[OPP PAINT_A],OPPS_GbG[[TM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M36" s="18" t="str">
        <f>IF($D36=0,"DNP",SUMIFS(OPPS_GbG[OPP MID_M],OPPS_GbG[[TM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N36" s="18" t="str">
        <f>IF($D36=0,"DNP",SUMIFS(OPPS_GbG[OPP MID_A],OPPS_GbG[[TM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O36" s="18" t="str">
        <f>IF($D36=0,"DNP",SUMIFS(OPPS_GbG[OPP 3C_M],OPPS_GbG[[TM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P36" s="18" t="str">
        <f>IF($D36=0,"DNP",SUMIFS(OPPS_GbG[OPP 3C_A],OPPS_GbG[[TM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Q36" s="18" t="str">
        <f>IF($D36=0,"DNP",SUMIFS(OPPS_GbG[OPP 3L_M],OPPS_GbG[[TM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R36" s="18" t="str">
        <f>IF($D36=0,"DNP",SUMIFS(OPPS_GbG[OPP 3L_A],OPPS_GbG[[TM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S36" s="18" t="str">
        <f>IF($D36=0,"DNP",SUMIFS(OPPS_GbG[OPP 3H_M],OPPS_GbG[[TM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  <c r="GT36" s="18" t="str">
        <f>IF($D36=0,"DNP",SUMIFS(OPPS_GbG[OPP 3H_A],OPPS_GbG[[TM NAME]:[TM NAME]],$C36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GAMES","&lt;1000",IF($F$3=BASIS_INFO!$T$3,"&lt;"&amp;BASIS_INFO!$B$11,IF($F$3=BASIS_INFO!$T$4,"&lt;"&amp;BASIS_INFO!$B$12,IF($F$3=BASIS_INFO!$T$5,"&lt;"&amp;BASIS_INFO!$B$13,IF($F$3=BASIS_INFO!$T$6,"&lt;"&amp;BASIS_INFO!$B$14))))))/IF($D$3="TOTAL",1,$D36))</f>
        <v>DNP</v>
      </c>
    </row>
    <row r="37" spans="2:202" ht="15" hidden="1" customHeight="1" x14ac:dyDescent="0.25">
      <c r="B37" s="12">
        <f>_xlfn.AGGREGATE(3,5,$C$7:C36)</f>
        <v>19</v>
      </c>
      <c r="C37" s="14" t="str">
        <f>BASIS_INFO!F32</f>
        <v/>
      </c>
      <c r="D37" s="20">
        <f>COUNTIFS(OPPS_GbG[[TM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7" s="20">
        <f>COUNTIFS(OPPS_GbG[[TM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7" s="20">
        <f>COUNTIFS(OPPS_GbG[[TM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7" s="18" t="str">
        <f>IF($D37=0,"DNP",SUMIFS(OPPS_GbG[MIN],OPPS_GbG[[TM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H37" s="18" t="str">
        <f>IF($D37=0,"DNP",SUMIFS(OPPS_GbG[PTS],OPPS_GbG[[TM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I37" s="18" t="str">
        <f>IF($D37=0,"DNP",SUMIFS(OPPS_GbG[2PTM],OPPS_GbG[[TM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J37" s="18" t="str">
        <f>IF($D37=0,"DNP",SUMIFS(OPPS_GbG[2PTA],OPPS_GbG[[TM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K37" s="16" t="str">
        <f t="shared" si="56"/>
        <v>DNP</v>
      </c>
      <c r="L37" s="18" t="str">
        <f>IF($D37=0,"DNP",SUMIFS(OPPS_GbG[3PTM],OPPS_GbG[[TM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M37" s="18" t="str">
        <f>IF($D37=0,"DNP",SUMIFS(OPPS_GbG[3PTA],OPPS_GbG[[TM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N37" s="16" t="str">
        <f t="shared" si="57"/>
        <v>DNP</v>
      </c>
      <c r="O37" s="18" t="str">
        <f>IF($D37=0,"DNP",SUMIFS(OPPS_GbG[FGM],OPPS_GbG[[TM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P37" s="18" t="str">
        <f>IF($D37=0,"DNP",SUMIFS(OPPS_GbG[FGA],OPPS_GbG[[TM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Q37" s="16" t="str">
        <f t="shared" si="58"/>
        <v>DNP</v>
      </c>
      <c r="R37" s="18" t="str">
        <f>IF($D37=0,"DNP",SUMIFS(OPPS_GbG[FTM],OPPS_GbG[[TM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S37" s="18" t="str">
        <f>IF($D37=0,"DNP",SUMIFS(OPPS_GbG[FTA],OPPS_GbG[[TM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T37" s="16" t="str">
        <f t="shared" si="59"/>
        <v>DNP</v>
      </c>
      <c r="U37" s="18" t="str">
        <f>IF($D37=0,"DNP",SUMIFS(OPPS_GbG[OR],OPPS_GbG[[TM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V37" s="18" t="str">
        <f>IF($D37=0,"DNP",SUMIFS(OPPS_GbG[DR],OPPS_GbG[[TM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W37" s="18" t="str">
        <f>IF($D37=0,"DNP",SUMIFS(OPPS_GbG[TR],OPPS_GbG[[TM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X37" s="18" t="str">
        <f>IF($D37=0,"DNP",SUMIFS(OPPS_GbG[AST],OPPS_GbG[[TM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Y37" s="18" t="str">
        <f>IF($D37=0,"DNP",SUMIFS(OPPS_GbG[TO],OPPS_GbG[[TM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Z37" s="18" t="str">
        <f>IF($D37=0,"DNP",SUMIFS(OPPS_GbG[ST],OPPS_GbG[[TM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A37" s="18" t="str">
        <f>IF($D37=0,"DNP",SUMIFS(OPPS_GbG[BLK],OPPS_GbG[[TM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B37" s="18" t="str">
        <f>IF($D37=0,"DNP",SUMIFS(OPPS_GbG[BLKA],OPPS_GbG[[TM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C37" s="18" t="str">
        <f>IF($D37=0,"DNP",SUMIFS(OPPS_GbG[PF],OPPS_GbG[[TM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D37" s="18" t="str">
        <f>IF($D37=0,"DNP",SUMIFS(OPPS_GbG[DF],OPPS_GbG[[TM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E37" s="18" t="str">
        <f>IF($D37=0,"DNP",SUMIFS(OPPS_GbG[VAL],OPPS_GbG[[TM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F37" s="18" t="str">
        <f>IF($D37=0,"DNP",SUMIFS(OPPS_GbG[+ / -],OPPS_GbG[[TM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G37" s="26" t="str">
        <f t="shared" si="0"/>
        <v>DNP</v>
      </c>
      <c r="AH37" s="18" t="str">
        <f>IF($D37=0,"DNP",SUMIFS(OPPS_GbG[POSS],OPPS_GbG[[TM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I37" s="18" t="str">
        <f>IF($D37=0,"DNP",SUMIFS(OPPS_GbG[SHOOTING CHANCES],OPPS_GbG[[TM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AJ37" s="19" t="str">
        <f t="shared" si="1"/>
        <v>DNP</v>
      </c>
      <c r="AK37" s="19" t="str">
        <f t="shared" si="2"/>
        <v>DNP</v>
      </c>
      <c r="AL37" s="18" t="str">
        <f t="shared" si="3"/>
        <v>DNP</v>
      </c>
      <c r="AM37" s="18" t="str">
        <f t="shared" si="4"/>
        <v>DNP</v>
      </c>
      <c r="AN37" s="18" t="str">
        <f t="shared" si="60"/>
        <v>DNP</v>
      </c>
      <c r="AO37" s="27" t="str">
        <f t="shared" si="5"/>
        <v>DNP</v>
      </c>
      <c r="AP37" s="28" t="str">
        <f t="shared" si="6"/>
        <v>DNP</v>
      </c>
      <c r="AQ37" s="34" t="str">
        <f t="shared" si="7"/>
        <v>DNP</v>
      </c>
      <c r="AR37" s="19" t="str">
        <f t="shared" si="8"/>
        <v>DNP</v>
      </c>
      <c r="AS37" s="16" t="str">
        <f t="shared" si="9"/>
        <v>DNP</v>
      </c>
      <c r="AT37" s="18" t="str">
        <f t="shared" si="10"/>
        <v>DNP</v>
      </c>
      <c r="AU37" s="16" t="str">
        <f t="shared" si="11"/>
        <v>DNP</v>
      </c>
      <c r="AV37" s="18" t="str">
        <f t="shared" si="12"/>
        <v>DNP</v>
      </c>
      <c r="AW37" s="16" t="str">
        <f t="shared" si="13"/>
        <v>DNP</v>
      </c>
      <c r="AX37" s="19" t="str">
        <f t="shared" si="14"/>
        <v>DNP</v>
      </c>
      <c r="AY37" s="27" t="str">
        <f t="shared" si="15"/>
        <v>DNP</v>
      </c>
      <c r="AZ37" s="38" t="str">
        <f t="shared" si="16"/>
        <v>DNP</v>
      </c>
      <c r="BA37" s="28" t="str">
        <f t="shared" si="17"/>
        <v>DNP</v>
      </c>
      <c r="BB37" s="34" t="str">
        <f t="shared" si="18"/>
        <v>DNP</v>
      </c>
      <c r="BC37" s="27" t="str">
        <f t="shared" si="19"/>
        <v>DNP</v>
      </c>
      <c r="BD37" s="27" t="str">
        <f t="shared" si="20"/>
        <v>DNP</v>
      </c>
      <c r="BE37" s="27" t="str">
        <f t="shared" si="21"/>
        <v>DNP</v>
      </c>
      <c r="BF37" s="27" t="str">
        <f t="shared" si="22"/>
        <v>DNP</v>
      </c>
      <c r="BG37" s="27" t="str">
        <f t="shared" si="23"/>
        <v>DNP</v>
      </c>
      <c r="BH37" s="35" t="str">
        <f t="shared" si="24"/>
        <v>DNP</v>
      </c>
      <c r="BI37" s="34" t="str">
        <f t="shared" si="25"/>
        <v>DNP</v>
      </c>
      <c r="BJ37" s="27" t="str">
        <f t="shared" si="26"/>
        <v>DNP</v>
      </c>
      <c r="BK37" s="27" t="str">
        <f t="shared" si="27"/>
        <v>DNP</v>
      </c>
      <c r="BL37" s="27" t="str">
        <f t="shared" si="28"/>
        <v>DNP</v>
      </c>
      <c r="BM37" s="27" t="str">
        <f t="shared" si="29"/>
        <v>DNP</v>
      </c>
      <c r="BN37" s="27" t="str">
        <f t="shared" si="30"/>
        <v>DNP</v>
      </c>
      <c r="BO37" s="27" t="str">
        <f t="shared" si="31"/>
        <v>DNP</v>
      </c>
      <c r="BP37" s="27" t="str">
        <f t="shared" si="32"/>
        <v>DNP</v>
      </c>
      <c r="BQ37" s="28" t="str">
        <f t="shared" si="33"/>
        <v>DNP</v>
      </c>
      <c r="BR37" s="34" t="str">
        <f t="shared" si="34"/>
        <v>DNP</v>
      </c>
      <c r="BS37" s="27" t="str">
        <f t="shared" si="35"/>
        <v>DNP</v>
      </c>
      <c r="BT37" s="40" t="str">
        <f>IF($D37=0,"DNP",SUMIFS(OPPS_GbG[KILLS],OPPS_GbG[[TM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BU37" s="34" t="str">
        <f t="shared" si="36"/>
        <v>DNP</v>
      </c>
      <c r="BV37" s="28" t="str">
        <f t="shared" si="37"/>
        <v>DNP</v>
      </c>
      <c r="BW37" s="18" t="str">
        <f>IF($D37=0,"DNP",SUMIFS(OPPS_GbG[ASTED_2FG],OPPS_GbG[[TM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BX37" s="18" t="str">
        <f>IF($D37=0,"DNP",SUMIFS(OPPS_GbG[ASTED_3FG],OPPS_GbG[[TM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BY37" s="18" t="str">
        <f>IF($D37=0,"DNP",SUMIFS(OPPS_GbG[ASTED_FT],OPPS_GbG[[TM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BZ37" s="18" t="str">
        <f>IF($D37=0,"DNP",SUMIFS(OPPS_GbG[ASTED_FT PTS],OPPS_GbG[[TM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A37" s="18" t="str">
        <f>IF($D37=0,"DNP",SUMIFS(OPPS_GbG[OR_RIM],OPPS_GbG[[TM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B37" s="18" t="str">
        <f>IF($D37=0,"DNP",SUMIFS(OPPS_GbG[TM OR_RIM],OPPS_GbG[[TM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C37" s="18" t="str">
        <f>IF($D37=0,"DNP",SUMIFS(OPPS_GbG[OR_PAINT],OPPS_GbG[[TM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D37" s="18" t="str">
        <f>IF($D37=0,"DNP",SUMIFS(OPPS_GbG[TM OR_PAINT],OPPS_GbG[[TM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E37" s="18" t="str">
        <f>IF($D37=0,"DNP",SUMIFS(OPPS_GbG[OR_NP2],OPPS_GbG[[TM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F37" s="18" t="str">
        <f>IF($D37=0,"DNP",SUMIFS(OPPS_GbG[TM OR_NP2],OPPS_GbG[[TM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G37" s="18" t="str">
        <f>IF($D37=0,"DNP",SUMIFS(OPPS_GbG[OR_3C],OPPS_GbG[[TM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H37" s="18" t="str">
        <f>IF($D37=0,"DNP",SUMIFS(OPPS_GbG[TM OR_3C],OPPS_GbG[[TM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I37" s="18" t="str">
        <f>IF($D37=0,"DNP",SUMIFS(OPPS_GbG[OR_3L],OPPS_GbG[[TM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J37" s="18" t="str">
        <f>IF($D37=0,"DNP",SUMIFS(OPPS_GbG[TM OR_3L],OPPS_GbG[[TM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K37" s="18" t="str">
        <f>IF($D37=0,"DNP",SUMIFS(OPPS_GbG[OR_FT],OPPS_GbG[[TM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L37" s="18" t="str">
        <f>IF($D37=0,"DNP",SUMIFS(OPPS_GbG[TM OR_FT],OPPS_GbG[[TM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M37" s="18" t="str">
        <f>IF($D37=0,"DNP",SUMIFS(OPPS_GbG[DR_RIM],OPPS_GbG[[TM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N37" s="18" t="str">
        <f>IF($D37=0,"DNP",SUMIFS(OPPS_GbG[TM DR_RIM],OPPS_GbG[[TM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O37" s="18" t="str">
        <f>IF($D37=0,"DNP",SUMIFS(OPPS_GbG[DR_PAINT],OPPS_GbG[[TM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P37" s="18" t="str">
        <f>IF($D37=0,"DNP",SUMIFS(OPPS_GbG[TM DR_PAINT],OPPS_GbG[[TM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Q37" s="18" t="str">
        <f>IF($D37=0,"DNP",SUMIFS(OPPS_GbG[DR_NP2],OPPS_GbG[[TM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R37" s="18" t="str">
        <f>IF($D37=0,"DNP",SUMIFS(OPPS_GbG[TM DR_NP2],OPPS_GbG[[TM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S37" s="18" t="str">
        <f>IF($D37=0,"DNP",SUMIFS(OPPS_GbG[DR_3C],OPPS_GbG[[TM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T37" s="18" t="str">
        <f>IF($D37=0,"DNP",SUMIFS(OPPS_GbG[TM DR_3C],OPPS_GbG[[TM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U37" s="18" t="str">
        <f>IF($D37=0,"DNP",SUMIFS(OPPS_GbG[DR_3L],OPPS_GbG[[TM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V37" s="18" t="str">
        <f>IF($D37=0,"DNP",SUMIFS(OPPS_GbG[TM DR_3L],OPPS_GbG[[TM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W37" s="18" t="str">
        <f>IF($D37=0,"DNP",SUMIFS(OPPS_GbG[DR_FT],OPPS_GbG[[TM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X37" s="18" t="str">
        <f>IF($D37=0,"DNP",SUMIFS(OPPS_GbG[TM DR_FT],OPPS_GbG[[TM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Y37" s="18" t="str">
        <f>IF($D37=0,"DNP",SUMIFS(OPPS_GbG[FTM_T],OPPS_GbG[[TM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CZ37" s="18" t="str">
        <f>IF($D37=0,"DNP",SUMIFS(OPPS_GbG[FTA_T],OPPS_GbG[[TM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A37" s="18" t="str">
        <f>IF($D37=0,"DNP",SUMIFS(OPPS_GbG[FTM_1],OPPS_GbG[[TM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B37" s="18" t="str">
        <f>IF($D37=0,"DNP",SUMIFS(OPPS_GbG[FTA_1],OPPS_GbG[[TM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C37" s="18" t="str">
        <f>IF($D37=0,"DNP",SUMIFS(OPPS_GbG[FTM_2],OPPS_GbG[[TM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D37" s="18" t="str">
        <f>IF($D37=0,"DNP",SUMIFS(OPPS_GbG[FTA_2],OPPS_GbG[[TM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E37" s="18" t="str">
        <f>IF($D37=0,"DNP",SUMIFS(OPPS_GbG[FT 0/2],OPPS_GbG[[TM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F37" s="18" t="str">
        <f>IF($D37=0,"DNP",SUMIFS(OPPS_GbG[FTM_3],OPPS_GbG[[TM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G37" s="18" t="str">
        <f>IF($D37=0,"DNP",SUMIFS(OPPS_GbG[FTA_3],OPPS_GbG[[TM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H37" s="18" t="str">
        <f>IF($D37=0,"DNP",SUMIFS(OPPS_GbG[FT 0/3],OPPS_GbG[[TM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I37" s="18" t="str">
        <f>IF($D37=0,"DNP",SUMIFS(OPPS_GbG[RIM_M],OPPS_GbG[[TM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J37" s="18" t="str">
        <f>IF($D37=0,"DNP",SUMIFS(OPPS_GbG[RIM_A],OPPS_GbG[[TM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K37" s="18" t="str">
        <f>IF($D37=0,"DNP",SUMIFS(OPPS_GbG[PAINT_M],OPPS_GbG[[TM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L37" s="18" t="str">
        <f>IF($D37=0,"DNP",SUMIFS(OPPS_GbG[PAINT_A],OPPS_GbG[[TM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M37" s="18" t="str">
        <f>IF($D37=0,"DNP",SUMIFS(OPPS_GbG[MID_M],OPPS_GbG[[TM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N37" s="18" t="str">
        <f>IF($D37=0,"DNP",SUMIFS(OPPS_GbG[MID_A],OPPS_GbG[[TM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O37" s="18" t="str">
        <f>IF($D37=0,"DNP",SUMIFS(OPPS_GbG[3C_M],OPPS_GbG[[TM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P37" s="18" t="str">
        <f>IF($D37=0,"DNP",SUMIFS(OPPS_GbG[3C_A],OPPS_GbG[[TM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Q37" s="18" t="str">
        <f>IF($D37=0,"DNP",SUMIFS(OPPS_GbG[3L_M],OPPS_GbG[[TM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R37" s="18" t="str">
        <f>IF($D37=0,"DNP",SUMIFS(OPPS_GbG[3L_A],OPPS_GbG[[TM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S37" s="18" t="str">
        <f>IF($D37=0,"DNP",SUMIFS(OPPS_GbG[3H_M],OPPS_GbG[[TM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T37" s="18" t="str">
        <f>IF($D37=0,"DNP",SUMIFS(OPPS_GbG[3H_A],OPPS_GbG[[TM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U37" s="18" t="str">
        <f>IF($D37=0,"DNP",SUMIFS(OPPS_GbG[OPP PTS],OPPS_GbG[[TM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V37" s="18" t="str">
        <f>IF($D37=0,"DNP",SUMIFS(OPPS_GbG[OPP 2PTM],OPPS_GbG[[TM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W37" s="18" t="str">
        <f>IF($D37=0,"DNP",SUMIFS(OPPS_GbG[OPP 2PTA],OPPS_GbG[[TM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X37" s="16" t="str">
        <f t="shared" si="61"/>
        <v>DNP</v>
      </c>
      <c r="DY37" s="18" t="str">
        <f>IF($D37=0,"DNP",SUMIFS(OPPS_GbG[OPP 3PTM],OPPS_GbG[[TM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DZ37" s="18" t="str">
        <f>IF($D37=0,"DNP",SUMIFS(OPPS_GbG[OPP 3PTA],OPPS_GbG[[TM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A37" s="16" t="str">
        <f t="shared" si="62"/>
        <v>DNP</v>
      </c>
      <c r="EB37" s="18" t="str">
        <f>IF($D37=0,"DNP",SUMIFS(OPPS_GbG[OPP FGM],OPPS_GbG[[TM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C37" s="18" t="str">
        <f>IF($D37=0,"DNP",SUMIFS(OPPS_GbG[OPP FGA],OPPS_GbG[[TM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D37" s="16" t="str">
        <f t="shared" si="63"/>
        <v>DNP</v>
      </c>
      <c r="EE37" s="18" t="str">
        <f>IF($D37=0,"DNP",SUMIFS(OPPS_GbG[OPP FTM],OPPS_GbG[[TM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F37" s="18" t="str">
        <f>IF($D37=0,"DNP",SUMIFS(OPPS_GbG[OPP FTA],OPPS_GbG[[TM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G37" s="16" t="str">
        <f t="shared" si="64"/>
        <v>DNP</v>
      </c>
      <c r="EH37" s="18" t="str">
        <f>IF($D37=0,"DNP",SUMIFS(OPPS_GbG[OPP OR],OPPS_GbG[[TM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I37" s="18" t="str">
        <f>IF($D37=0,"DNP",SUMIFS(OPPS_GbG[OPP DR],OPPS_GbG[[TM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J37" s="18" t="str">
        <f>IF($D37=0,"DNP",SUMIFS(OPPS_GbG[OPP TR],OPPS_GbG[[TM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K37" s="18" t="str">
        <f>IF($D37=0,"DNP",SUMIFS(OPPS_GbG[OPP AST],OPPS_GbG[[TM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L37" s="18" t="str">
        <f>IF($D37=0,"DNP",SUMIFS(OPPS_GbG[OPP PF],OPPS_GbG[[TM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M37" s="18" t="str">
        <f>IF($D37=0,"DNP",SUMIFS(OPPS_GbG[OPP DF],OPPS_GbG[[TM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N37" s="18" t="str">
        <f>IF($D37=0,"DNP",SUMIFS(OPPS_GbG[OPP ST],OPPS_GbG[[TM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O37" s="18" t="str">
        <f>IF($D37=0,"DNP",SUMIFS(OPPS_GbG[OPP TO],OPPS_GbG[[TM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P37" s="18" t="str">
        <f>IF($D37=0,"DNP",SUMIFS(OPPS_GbG[OPP BLK],OPPS_GbG[[TM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Q37" s="18" t="str">
        <f>IF($D37=0,"DNP",SUMIFS(OPPS_GbG[OPP BLKA],OPPS_GbG[[TM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R37" s="18" t="str">
        <f>IF($D37=0,"DNP",SUMIFS(OPPS_GbG[OPP VAL],OPPS_GbG[[TM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S37" s="18" t="str">
        <f>IF($D37=0,"DNP",SUMIFS(OPPS_GbG[OPP + / -],OPPS_GbG[[TM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T37" s="18" t="str">
        <f>IF($D37=0,"DNP",SUMIFS(OPPS_GbG[OPP POSS],OPPS_GbG[[TM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U37" s="18" t="str">
        <f>IF($D37=0,"DNP",SUMIFS(OPPS_GbG[OPP SHOOTING CHANCES],OPPS_GbG[[TM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V37" s="18" t="str">
        <f>IF($D37=0,"DNP",SUMIFS(OPPS_GbG[OPP KILLS],OPPS_GbG[[TM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W37" s="18" t="str">
        <f>IF($D37=0,"DNP",SUMIFS(OPPS_GbG[OPP ASTED_2FG],OPPS_GbG[[TM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X37" s="18" t="str">
        <f>IF($D37=0,"DNP",SUMIFS(OPPS_GbG[OPP ASTED_3FG],OPPS_GbG[[TM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Y37" s="18" t="str">
        <f>IF($D37=0,"DNP",SUMIFS(OPPS_GbG[OPP ASTED_FT],OPPS_GbG[[TM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EZ37" s="18" t="str">
        <f>IF($D37=0,"DNP",SUMIFS(OPPS_GbG[OPP ASTED_FT PTS],OPPS_GbG[[TM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A37" s="18" t="str">
        <f>IF($D37=0,"DNP",SUMIFS(OPPS_GbG[OPP OR_RIM],OPPS_GbG[[TM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B37" s="18" t="str">
        <f>IF($D37=0,"DNP",SUMIFS(OPPS_GbG[OPP TM OR_RIM],OPPS_GbG[[TM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C37" s="18" t="str">
        <f>IF($D37=0,"DNP",SUMIFS(OPPS_GbG[OPP OR_PAINT],OPPS_GbG[[TM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D37" s="18" t="str">
        <f>IF($D37=0,"DNP",SUMIFS(OPPS_GbG[OPP TM OR_PAINT],OPPS_GbG[[TM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E37" s="18" t="str">
        <f>IF($D37=0,"DNP",SUMIFS(OPPS_GbG[OPP OR_NP2],OPPS_GbG[[TM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F37" s="18" t="str">
        <f>IF($D37=0,"DNP",SUMIFS(OPPS_GbG[OPP TM OR_NP2],OPPS_GbG[[TM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G37" s="18" t="str">
        <f>IF($D37=0,"DNP",SUMIFS(OPPS_GbG[OPP OR_3C],OPPS_GbG[[TM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H37" s="18" t="str">
        <f>IF($D37=0,"DNP",SUMIFS(OPPS_GbG[OPP TM OR_3C],OPPS_GbG[[TM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I37" s="18" t="str">
        <f>IF($D37=0,"DNP",SUMIFS(OPPS_GbG[OPP OR_3L],OPPS_GbG[[TM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J37" s="18" t="str">
        <f>IF($D37=0,"DNP",SUMIFS(OPPS_GbG[OPP TM OR_3L],OPPS_GbG[[TM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K37" s="18" t="str">
        <f>IF($D37=0,"DNP",SUMIFS(OPPS_GbG[OPP OR_FT],OPPS_GbG[[TM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L37" s="18" t="str">
        <f>IF($D37=0,"DNP",SUMIFS(OPPS_GbG[OPP TM OR_FT],OPPS_GbG[[TM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M37" s="18" t="str">
        <f>IF($D37=0,"DNP",SUMIFS(OPPS_GbG[OPP DR_RIM],OPPS_GbG[[TM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N37" s="18" t="str">
        <f>IF($D37=0,"DNP",SUMIFS(OPPS_GbG[OPP TM DR_RIM],OPPS_GbG[[TM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O37" s="18" t="str">
        <f>IF($D37=0,"DNP",SUMIFS(OPPS_GbG[OPP DR_PAINT],OPPS_GbG[[TM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P37" s="18" t="str">
        <f>IF($D37=0,"DNP",SUMIFS(OPPS_GbG[OPP TM DR_PAINT],OPPS_GbG[[TM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Q37" s="18" t="str">
        <f>IF($D37=0,"DNP",SUMIFS(OPPS_GbG[OPP DR_NP2],OPPS_GbG[[TM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R37" s="18" t="str">
        <f>IF($D37=0,"DNP",SUMIFS(OPPS_GbG[OPP TM DR_NP2],OPPS_GbG[[TM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S37" s="18" t="str">
        <f>IF($D37=0,"DNP",SUMIFS(OPPS_GbG[OPP DR_3C],OPPS_GbG[[TM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T37" s="18" t="str">
        <f>IF($D37=0,"DNP",SUMIFS(OPPS_GbG[OPP TM DR_3C],OPPS_GbG[[TM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U37" s="18" t="str">
        <f>IF($D37=0,"DNP",SUMIFS(OPPS_GbG[OPP DR_3L],OPPS_GbG[[TM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V37" s="18" t="str">
        <f>IF($D37=0,"DNP",SUMIFS(OPPS_GbG[OPP TM DR_3L],OPPS_GbG[[TM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W37" s="18" t="str">
        <f>IF($D37=0,"DNP",SUMIFS(OPPS_GbG[OPP DR_FT],OPPS_GbG[[TM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X37" s="18" t="str">
        <f>IF($D37=0,"DNP",SUMIFS(OPPS_GbG[OPP TM DR_FT],OPPS_GbG[[TM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Y37" s="18" t="str">
        <f>IF($D37=0,"DNP",SUMIFS(OPPS_GbG[OPP FTM_T],OPPS_GbG[[TM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FZ37" s="18" t="str">
        <f>IF($D37=0,"DNP",SUMIFS(OPPS_GbG[OPP FTA_T],OPPS_GbG[[TM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A37" s="18" t="str">
        <f>IF($D37=0,"DNP",SUMIFS(OPPS_GbG[OPP FTM_1],OPPS_GbG[[TM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B37" s="18" t="str">
        <f>IF($D37=0,"DNP",SUMIFS(OPPS_GbG[OPP FTA_1],OPPS_GbG[[TM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C37" s="18" t="str">
        <f>IF($D37=0,"DNP",SUMIFS(OPPS_GbG[OPP FTM_2],OPPS_GbG[[TM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D37" s="18" t="str">
        <f>IF($D37=0,"DNP",SUMIFS(OPPS_GbG[OPP FTA_2],OPPS_GbG[[TM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E37" s="18" t="str">
        <f>IF($D37=0,"DNP",SUMIFS(OPPS_GbG[OPP FT 0/2],OPPS_GbG[[TM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F37" s="18" t="str">
        <f>IF($D37=0,"DNP",SUMIFS(OPPS_GbG[OPP FTM_3],OPPS_GbG[[TM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G37" s="18" t="str">
        <f>IF($D37=0,"DNP",SUMIFS(OPPS_GbG[OPP FTA_3],OPPS_GbG[[TM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H37" s="18" t="str">
        <f>IF($D37=0,"DNP",SUMIFS(OPPS_GbG[OPP FT 0/3],OPPS_GbG[[TM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I37" s="18" t="str">
        <f>IF($D37=0,"DNP",SUMIFS(OPPS_GbG[OPP RIM_M],OPPS_GbG[[TM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J37" s="18" t="str">
        <f>IF($D37=0,"DNP",SUMIFS(OPPS_GbG[OPP RIM_A],OPPS_GbG[[TM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K37" s="18" t="str">
        <f>IF($D37=0,"DNP",SUMIFS(OPPS_GbG[OPP PAINT_M],OPPS_GbG[[TM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L37" s="18" t="str">
        <f>IF($D37=0,"DNP",SUMIFS(OPPS_GbG[OPP PAINT_A],OPPS_GbG[[TM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M37" s="18" t="str">
        <f>IF($D37=0,"DNP",SUMIFS(OPPS_GbG[OPP MID_M],OPPS_GbG[[TM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N37" s="18" t="str">
        <f>IF($D37=0,"DNP",SUMIFS(OPPS_GbG[OPP MID_A],OPPS_GbG[[TM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O37" s="18" t="str">
        <f>IF($D37=0,"DNP",SUMIFS(OPPS_GbG[OPP 3C_M],OPPS_GbG[[TM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P37" s="18" t="str">
        <f>IF($D37=0,"DNP",SUMIFS(OPPS_GbG[OPP 3C_A],OPPS_GbG[[TM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Q37" s="18" t="str">
        <f>IF($D37=0,"DNP",SUMIFS(OPPS_GbG[OPP 3L_M],OPPS_GbG[[TM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R37" s="18" t="str">
        <f>IF($D37=0,"DNP",SUMIFS(OPPS_GbG[OPP 3L_A],OPPS_GbG[[TM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S37" s="18" t="str">
        <f>IF($D37=0,"DNP",SUMIFS(OPPS_GbG[OPP 3H_M],OPPS_GbG[[TM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  <c r="GT37" s="18" t="str">
        <f>IF($D37=0,"DNP",SUMIFS(OPPS_GbG[OPP 3H_A],OPPS_GbG[[TM NAME]:[TM NAME]],$C37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GAMES","&lt;1000",IF($F$3=BASIS_INFO!$T$3,"&lt;"&amp;BASIS_INFO!$B$11,IF($F$3=BASIS_INFO!$T$4,"&lt;"&amp;BASIS_INFO!$B$12,IF($F$3=BASIS_INFO!$T$5,"&lt;"&amp;BASIS_INFO!$B$13,IF($F$3=BASIS_INFO!$T$6,"&lt;"&amp;BASIS_INFO!$B$14))))))/IF($D$3="TOTAL",1,$D37))</f>
        <v>DNP</v>
      </c>
    </row>
    <row r="38" spans="2:202" ht="15" hidden="1" customHeight="1" x14ac:dyDescent="0.25">
      <c r="B38" s="12">
        <f>_xlfn.AGGREGATE(3,5,$C$7:C37)</f>
        <v>19</v>
      </c>
      <c r="C38" s="14" t="str">
        <f>BASIS_INFO!F33</f>
        <v/>
      </c>
      <c r="D38" s="20">
        <f>COUNTIFS(OPPS_GbG[[TM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8" s="20">
        <f>COUNTIFS(OPPS_GbG[[TM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8" s="20">
        <f>COUNTIFS(OPPS_GbG[[TM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8" s="18" t="str">
        <f>IF($D38=0,"DNP",SUMIFS(OPPS_GbG[MIN],OPPS_GbG[[TM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H38" s="18" t="str">
        <f>IF($D38=0,"DNP",SUMIFS(OPPS_GbG[PTS],OPPS_GbG[[TM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I38" s="18" t="str">
        <f>IF($D38=0,"DNP",SUMIFS(OPPS_GbG[2PTM],OPPS_GbG[[TM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J38" s="18" t="str">
        <f>IF($D38=0,"DNP",SUMIFS(OPPS_GbG[2PTA],OPPS_GbG[[TM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K38" s="16" t="str">
        <f t="shared" si="56"/>
        <v>DNP</v>
      </c>
      <c r="L38" s="18" t="str">
        <f>IF($D38=0,"DNP",SUMIFS(OPPS_GbG[3PTM],OPPS_GbG[[TM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M38" s="18" t="str">
        <f>IF($D38=0,"DNP",SUMIFS(OPPS_GbG[3PTA],OPPS_GbG[[TM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N38" s="16" t="str">
        <f t="shared" si="57"/>
        <v>DNP</v>
      </c>
      <c r="O38" s="18" t="str">
        <f>IF($D38=0,"DNP",SUMIFS(OPPS_GbG[FGM],OPPS_GbG[[TM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P38" s="18" t="str">
        <f>IF($D38=0,"DNP",SUMIFS(OPPS_GbG[FGA],OPPS_GbG[[TM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Q38" s="16" t="str">
        <f t="shared" si="58"/>
        <v>DNP</v>
      </c>
      <c r="R38" s="18" t="str">
        <f>IF($D38=0,"DNP",SUMIFS(OPPS_GbG[FTM],OPPS_GbG[[TM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S38" s="18" t="str">
        <f>IF($D38=0,"DNP",SUMIFS(OPPS_GbG[FTA],OPPS_GbG[[TM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T38" s="16" t="str">
        <f t="shared" si="59"/>
        <v>DNP</v>
      </c>
      <c r="U38" s="18" t="str">
        <f>IF($D38=0,"DNP",SUMIFS(OPPS_GbG[OR],OPPS_GbG[[TM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V38" s="18" t="str">
        <f>IF($D38=0,"DNP",SUMIFS(OPPS_GbG[DR],OPPS_GbG[[TM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W38" s="18" t="str">
        <f>IF($D38=0,"DNP",SUMIFS(OPPS_GbG[TR],OPPS_GbG[[TM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X38" s="18" t="str">
        <f>IF($D38=0,"DNP",SUMIFS(OPPS_GbG[AST],OPPS_GbG[[TM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Y38" s="18" t="str">
        <f>IF($D38=0,"DNP",SUMIFS(OPPS_GbG[TO],OPPS_GbG[[TM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Z38" s="18" t="str">
        <f>IF($D38=0,"DNP",SUMIFS(OPPS_GbG[ST],OPPS_GbG[[TM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A38" s="18" t="str">
        <f>IF($D38=0,"DNP",SUMIFS(OPPS_GbG[BLK],OPPS_GbG[[TM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B38" s="18" t="str">
        <f>IF($D38=0,"DNP",SUMIFS(OPPS_GbG[BLKA],OPPS_GbG[[TM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C38" s="18" t="str">
        <f>IF($D38=0,"DNP",SUMIFS(OPPS_GbG[PF],OPPS_GbG[[TM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D38" s="18" t="str">
        <f>IF($D38=0,"DNP",SUMIFS(OPPS_GbG[DF],OPPS_GbG[[TM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E38" s="18" t="str">
        <f>IF($D38=0,"DNP",SUMIFS(OPPS_GbG[VAL],OPPS_GbG[[TM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F38" s="18" t="str">
        <f>IF($D38=0,"DNP",SUMIFS(OPPS_GbG[+ / -],OPPS_GbG[[TM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G38" s="26" t="str">
        <f t="shared" si="0"/>
        <v>DNP</v>
      </c>
      <c r="AH38" s="18" t="str">
        <f>IF($D38=0,"DNP",SUMIFS(OPPS_GbG[POSS],OPPS_GbG[[TM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I38" s="18" t="str">
        <f>IF($D38=0,"DNP",SUMIFS(OPPS_GbG[SHOOTING CHANCES],OPPS_GbG[[TM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AJ38" s="19" t="str">
        <f t="shared" si="1"/>
        <v>DNP</v>
      </c>
      <c r="AK38" s="19" t="str">
        <f t="shared" si="2"/>
        <v>DNP</v>
      </c>
      <c r="AL38" s="18" t="str">
        <f t="shared" si="3"/>
        <v>DNP</v>
      </c>
      <c r="AM38" s="18" t="str">
        <f t="shared" si="4"/>
        <v>DNP</v>
      </c>
      <c r="AN38" s="18" t="str">
        <f t="shared" si="60"/>
        <v>DNP</v>
      </c>
      <c r="AO38" s="27" t="str">
        <f t="shared" si="5"/>
        <v>DNP</v>
      </c>
      <c r="AP38" s="28" t="str">
        <f t="shared" si="6"/>
        <v>DNP</v>
      </c>
      <c r="AQ38" s="34" t="str">
        <f t="shared" si="7"/>
        <v>DNP</v>
      </c>
      <c r="AR38" s="19" t="str">
        <f t="shared" si="8"/>
        <v>DNP</v>
      </c>
      <c r="AS38" s="16" t="str">
        <f t="shared" si="9"/>
        <v>DNP</v>
      </c>
      <c r="AT38" s="18" t="str">
        <f t="shared" si="10"/>
        <v>DNP</v>
      </c>
      <c r="AU38" s="16" t="str">
        <f t="shared" si="11"/>
        <v>DNP</v>
      </c>
      <c r="AV38" s="18" t="str">
        <f t="shared" si="12"/>
        <v>DNP</v>
      </c>
      <c r="AW38" s="16" t="str">
        <f t="shared" si="13"/>
        <v>DNP</v>
      </c>
      <c r="AX38" s="19" t="str">
        <f t="shared" si="14"/>
        <v>DNP</v>
      </c>
      <c r="AY38" s="27" t="str">
        <f t="shared" si="15"/>
        <v>DNP</v>
      </c>
      <c r="AZ38" s="38" t="str">
        <f t="shared" si="16"/>
        <v>DNP</v>
      </c>
      <c r="BA38" s="28" t="str">
        <f t="shared" si="17"/>
        <v>DNP</v>
      </c>
      <c r="BB38" s="34" t="str">
        <f t="shared" si="18"/>
        <v>DNP</v>
      </c>
      <c r="BC38" s="27" t="str">
        <f t="shared" si="19"/>
        <v>DNP</v>
      </c>
      <c r="BD38" s="27" t="str">
        <f t="shared" si="20"/>
        <v>DNP</v>
      </c>
      <c r="BE38" s="27" t="str">
        <f t="shared" si="21"/>
        <v>DNP</v>
      </c>
      <c r="BF38" s="27" t="str">
        <f t="shared" si="22"/>
        <v>DNP</v>
      </c>
      <c r="BG38" s="27" t="str">
        <f t="shared" si="23"/>
        <v>DNP</v>
      </c>
      <c r="BH38" s="35" t="str">
        <f t="shared" si="24"/>
        <v>DNP</v>
      </c>
      <c r="BI38" s="34" t="str">
        <f t="shared" si="25"/>
        <v>DNP</v>
      </c>
      <c r="BJ38" s="27" t="str">
        <f t="shared" si="26"/>
        <v>DNP</v>
      </c>
      <c r="BK38" s="27" t="str">
        <f t="shared" si="27"/>
        <v>DNP</v>
      </c>
      <c r="BL38" s="27" t="str">
        <f t="shared" si="28"/>
        <v>DNP</v>
      </c>
      <c r="BM38" s="27" t="str">
        <f t="shared" si="29"/>
        <v>DNP</v>
      </c>
      <c r="BN38" s="27" t="str">
        <f t="shared" si="30"/>
        <v>DNP</v>
      </c>
      <c r="BO38" s="27" t="str">
        <f t="shared" si="31"/>
        <v>DNP</v>
      </c>
      <c r="BP38" s="27" t="str">
        <f t="shared" si="32"/>
        <v>DNP</v>
      </c>
      <c r="BQ38" s="28" t="str">
        <f t="shared" si="33"/>
        <v>DNP</v>
      </c>
      <c r="BR38" s="34" t="str">
        <f t="shared" si="34"/>
        <v>DNP</v>
      </c>
      <c r="BS38" s="27" t="str">
        <f t="shared" si="35"/>
        <v>DNP</v>
      </c>
      <c r="BT38" s="40" t="str">
        <f>IF($D38=0,"DNP",SUMIFS(OPPS_GbG[KILLS],OPPS_GbG[[TM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BU38" s="34" t="str">
        <f t="shared" si="36"/>
        <v>DNP</v>
      </c>
      <c r="BV38" s="28" t="str">
        <f t="shared" si="37"/>
        <v>DNP</v>
      </c>
      <c r="BW38" s="18" t="str">
        <f>IF($D38=0,"DNP",SUMIFS(OPPS_GbG[ASTED_2FG],OPPS_GbG[[TM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BX38" s="18" t="str">
        <f>IF($D38=0,"DNP",SUMIFS(OPPS_GbG[ASTED_3FG],OPPS_GbG[[TM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BY38" s="18" t="str">
        <f>IF($D38=0,"DNP",SUMIFS(OPPS_GbG[ASTED_FT],OPPS_GbG[[TM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BZ38" s="18" t="str">
        <f>IF($D38=0,"DNP",SUMIFS(OPPS_GbG[ASTED_FT PTS],OPPS_GbG[[TM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A38" s="18" t="str">
        <f>IF($D38=0,"DNP",SUMIFS(OPPS_GbG[OR_RIM],OPPS_GbG[[TM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B38" s="18" t="str">
        <f>IF($D38=0,"DNP",SUMIFS(OPPS_GbG[TM OR_RIM],OPPS_GbG[[TM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C38" s="18" t="str">
        <f>IF($D38=0,"DNP",SUMIFS(OPPS_GbG[OR_PAINT],OPPS_GbG[[TM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D38" s="18" t="str">
        <f>IF($D38=0,"DNP",SUMIFS(OPPS_GbG[TM OR_PAINT],OPPS_GbG[[TM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E38" s="18" t="str">
        <f>IF($D38=0,"DNP",SUMIFS(OPPS_GbG[OR_NP2],OPPS_GbG[[TM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F38" s="18" t="str">
        <f>IF($D38=0,"DNP",SUMIFS(OPPS_GbG[TM OR_NP2],OPPS_GbG[[TM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G38" s="18" t="str">
        <f>IF($D38=0,"DNP",SUMIFS(OPPS_GbG[OR_3C],OPPS_GbG[[TM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H38" s="18" t="str">
        <f>IF($D38=0,"DNP",SUMIFS(OPPS_GbG[TM OR_3C],OPPS_GbG[[TM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I38" s="18" t="str">
        <f>IF($D38=0,"DNP",SUMIFS(OPPS_GbG[OR_3L],OPPS_GbG[[TM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J38" s="18" t="str">
        <f>IF($D38=0,"DNP",SUMIFS(OPPS_GbG[TM OR_3L],OPPS_GbG[[TM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K38" s="18" t="str">
        <f>IF($D38=0,"DNP",SUMIFS(OPPS_GbG[OR_FT],OPPS_GbG[[TM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L38" s="18" t="str">
        <f>IF($D38=0,"DNP",SUMIFS(OPPS_GbG[TM OR_FT],OPPS_GbG[[TM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M38" s="18" t="str">
        <f>IF($D38=0,"DNP",SUMIFS(OPPS_GbG[DR_RIM],OPPS_GbG[[TM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N38" s="18" t="str">
        <f>IF($D38=0,"DNP",SUMIFS(OPPS_GbG[TM DR_RIM],OPPS_GbG[[TM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O38" s="18" t="str">
        <f>IF($D38=0,"DNP",SUMIFS(OPPS_GbG[DR_PAINT],OPPS_GbG[[TM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P38" s="18" t="str">
        <f>IF($D38=0,"DNP",SUMIFS(OPPS_GbG[TM DR_PAINT],OPPS_GbG[[TM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Q38" s="18" t="str">
        <f>IF($D38=0,"DNP",SUMIFS(OPPS_GbG[DR_NP2],OPPS_GbG[[TM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R38" s="18" t="str">
        <f>IF($D38=0,"DNP",SUMIFS(OPPS_GbG[TM DR_NP2],OPPS_GbG[[TM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S38" s="18" t="str">
        <f>IF($D38=0,"DNP",SUMIFS(OPPS_GbG[DR_3C],OPPS_GbG[[TM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T38" s="18" t="str">
        <f>IF($D38=0,"DNP",SUMIFS(OPPS_GbG[TM DR_3C],OPPS_GbG[[TM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U38" s="18" t="str">
        <f>IF($D38=0,"DNP",SUMIFS(OPPS_GbG[DR_3L],OPPS_GbG[[TM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V38" s="18" t="str">
        <f>IF($D38=0,"DNP",SUMIFS(OPPS_GbG[TM DR_3L],OPPS_GbG[[TM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W38" s="18" t="str">
        <f>IF($D38=0,"DNP",SUMIFS(OPPS_GbG[DR_FT],OPPS_GbG[[TM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X38" s="18" t="str">
        <f>IF($D38=0,"DNP",SUMIFS(OPPS_GbG[TM DR_FT],OPPS_GbG[[TM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Y38" s="18" t="str">
        <f>IF($D38=0,"DNP",SUMIFS(OPPS_GbG[FTM_T],OPPS_GbG[[TM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CZ38" s="18" t="str">
        <f>IF($D38=0,"DNP",SUMIFS(OPPS_GbG[FTA_T],OPPS_GbG[[TM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A38" s="18" t="str">
        <f>IF($D38=0,"DNP",SUMIFS(OPPS_GbG[FTM_1],OPPS_GbG[[TM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B38" s="18" t="str">
        <f>IF($D38=0,"DNP",SUMIFS(OPPS_GbG[FTA_1],OPPS_GbG[[TM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C38" s="18" t="str">
        <f>IF($D38=0,"DNP",SUMIFS(OPPS_GbG[FTM_2],OPPS_GbG[[TM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D38" s="18" t="str">
        <f>IF($D38=0,"DNP",SUMIFS(OPPS_GbG[FTA_2],OPPS_GbG[[TM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E38" s="18" t="str">
        <f>IF($D38=0,"DNP",SUMIFS(OPPS_GbG[FT 0/2],OPPS_GbG[[TM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F38" s="18" t="str">
        <f>IF($D38=0,"DNP",SUMIFS(OPPS_GbG[FTM_3],OPPS_GbG[[TM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G38" s="18" t="str">
        <f>IF($D38=0,"DNP",SUMIFS(OPPS_GbG[FTA_3],OPPS_GbG[[TM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H38" s="18" t="str">
        <f>IF($D38=0,"DNP",SUMIFS(OPPS_GbG[FT 0/3],OPPS_GbG[[TM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I38" s="18" t="str">
        <f>IF($D38=0,"DNP",SUMIFS(OPPS_GbG[RIM_M],OPPS_GbG[[TM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J38" s="18" t="str">
        <f>IF($D38=0,"DNP",SUMIFS(OPPS_GbG[RIM_A],OPPS_GbG[[TM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K38" s="18" t="str">
        <f>IF($D38=0,"DNP",SUMIFS(OPPS_GbG[PAINT_M],OPPS_GbG[[TM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L38" s="18" t="str">
        <f>IF($D38=0,"DNP",SUMIFS(OPPS_GbG[PAINT_A],OPPS_GbG[[TM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M38" s="18" t="str">
        <f>IF($D38=0,"DNP",SUMIFS(OPPS_GbG[MID_M],OPPS_GbG[[TM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N38" s="18" t="str">
        <f>IF($D38=0,"DNP",SUMIFS(OPPS_GbG[MID_A],OPPS_GbG[[TM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O38" s="18" t="str">
        <f>IF($D38=0,"DNP",SUMIFS(OPPS_GbG[3C_M],OPPS_GbG[[TM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P38" s="18" t="str">
        <f>IF($D38=0,"DNP",SUMIFS(OPPS_GbG[3C_A],OPPS_GbG[[TM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Q38" s="18" t="str">
        <f>IF($D38=0,"DNP",SUMIFS(OPPS_GbG[3L_M],OPPS_GbG[[TM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R38" s="18" t="str">
        <f>IF($D38=0,"DNP",SUMIFS(OPPS_GbG[3L_A],OPPS_GbG[[TM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S38" s="18" t="str">
        <f>IF($D38=0,"DNP",SUMIFS(OPPS_GbG[3H_M],OPPS_GbG[[TM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T38" s="18" t="str">
        <f>IF($D38=0,"DNP",SUMIFS(OPPS_GbG[3H_A],OPPS_GbG[[TM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U38" s="18" t="str">
        <f>IF($D38=0,"DNP",SUMIFS(OPPS_GbG[OPP PTS],OPPS_GbG[[TM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V38" s="18" t="str">
        <f>IF($D38=0,"DNP",SUMIFS(OPPS_GbG[OPP 2PTM],OPPS_GbG[[TM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W38" s="18" t="str">
        <f>IF($D38=0,"DNP",SUMIFS(OPPS_GbG[OPP 2PTA],OPPS_GbG[[TM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X38" s="16" t="str">
        <f t="shared" si="61"/>
        <v>DNP</v>
      </c>
      <c r="DY38" s="18" t="str">
        <f>IF($D38=0,"DNP",SUMIFS(OPPS_GbG[OPP 3PTM],OPPS_GbG[[TM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DZ38" s="18" t="str">
        <f>IF($D38=0,"DNP",SUMIFS(OPPS_GbG[OPP 3PTA],OPPS_GbG[[TM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A38" s="16" t="str">
        <f t="shared" si="62"/>
        <v>DNP</v>
      </c>
      <c r="EB38" s="18" t="str">
        <f>IF($D38=0,"DNP",SUMIFS(OPPS_GbG[OPP FGM],OPPS_GbG[[TM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C38" s="18" t="str">
        <f>IF($D38=0,"DNP",SUMIFS(OPPS_GbG[OPP FGA],OPPS_GbG[[TM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D38" s="16" t="str">
        <f t="shared" si="63"/>
        <v>DNP</v>
      </c>
      <c r="EE38" s="18" t="str">
        <f>IF($D38=0,"DNP",SUMIFS(OPPS_GbG[OPP FTM],OPPS_GbG[[TM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F38" s="18" t="str">
        <f>IF($D38=0,"DNP",SUMIFS(OPPS_GbG[OPP FTA],OPPS_GbG[[TM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G38" s="16" t="str">
        <f t="shared" si="64"/>
        <v>DNP</v>
      </c>
      <c r="EH38" s="18" t="str">
        <f>IF($D38=0,"DNP",SUMIFS(OPPS_GbG[OPP OR],OPPS_GbG[[TM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I38" s="18" t="str">
        <f>IF($D38=0,"DNP",SUMIFS(OPPS_GbG[OPP DR],OPPS_GbG[[TM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J38" s="18" t="str">
        <f>IF($D38=0,"DNP",SUMIFS(OPPS_GbG[OPP TR],OPPS_GbG[[TM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K38" s="18" t="str">
        <f>IF($D38=0,"DNP",SUMIFS(OPPS_GbG[OPP AST],OPPS_GbG[[TM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L38" s="18" t="str">
        <f>IF($D38=0,"DNP",SUMIFS(OPPS_GbG[OPP PF],OPPS_GbG[[TM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M38" s="18" t="str">
        <f>IF($D38=0,"DNP",SUMIFS(OPPS_GbG[OPP DF],OPPS_GbG[[TM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N38" s="18" t="str">
        <f>IF($D38=0,"DNP",SUMIFS(OPPS_GbG[OPP ST],OPPS_GbG[[TM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O38" s="18" t="str">
        <f>IF($D38=0,"DNP",SUMIFS(OPPS_GbG[OPP TO],OPPS_GbG[[TM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P38" s="18" t="str">
        <f>IF($D38=0,"DNP",SUMIFS(OPPS_GbG[OPP BLK],OPPS_GbG[[TM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Q38" s="18" t="str">
        <f>IF($D38=0,"DNP",SUMIFS(OPPS_GbG[OPP BLKA],OPPS_GbG[[TM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R38" s="18" t="str">
        <f>IF($D38=0,"DNP",SUMIFS(OPPS_GbG[OPP VAL],OPPS_GbG[[TM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S38" s="18" t="str">
        <f>IF($D38=0,"DNP",SUMIFS(OPPS_GbG[OPP + / -],OPPS_GbG[[TM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T38" s="18" t="str">
        <f>IF($D38=0,"DNP",SUMIFS(OPPS_GbG[OPP POSS],OPPS_GbG[[TM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U38" s="18" t="str">
        <f>IF($D38=0,"DNP",SUMIFS(OPPS_GbG[OPP SHOOTING CHANCES],OPPS_GbG[[TM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V38" s="18" t="str">
        <f>IF($D38=0,"DNP",SUMIFS(OPPS_GbG[OPP KILLS],OPPS_GbG[[TM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W38" s="18" t="str">
        <f>IF($D38=0,"DNP",SUMIFS(OPPS_GbG[OPP ASTED_2FG],OPPS_GbG[[TM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X38" s="18" t="str">
        <f>IF($D38=0,"DNP",SUMIFS(OPPS_GbG[OPP ASTED_3FG],OPPS_GbG[[TM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Y38" s="18" t="str">
        <f>IF($D38=0,"DNP",SUMIFS(OPPS_GbG[OPP ASTED_FT],OPPS_GbG[[TM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EZ38" s="18" t="str">
        <f>IF($D38=0,"DNP",SUMIFS(OPPS_GbG[OPP ASTED_FT PTS],OPPS_GbG[[TM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A38" s="18" t="str">
        <f>IF($D38=0,"DNP",SUMIFS(OPPS_GbG[OPP OR_RIM],OPPS_GbG[[TM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B38" s="18" t="str">
        <f>IF($D38=0,"DNP",SUMIFS(OPPS_GbG[OPP TM OR_RIM],OPPS_GbG[[TM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C38" s="18" t="str">
        <f>IF($D38=0,"DNP",SUMIFS(OPPS_GbG[OPP OR_PAINT],OPPS_GbG[[TM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D38" s="18" t="str">
        <f>IF($D38=0,"DNP",SUMIFS(OPPS_GbG[OPP TM OR_PAINT],OPPS_GbG[[TM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E38" s="18" t="str">
        <f>IF($D38=0,"DNP",SUMIFS(OPPS_GbG[OPP OR_NP2],OPPS_GbG[[TM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F38" s="18" t="str">
        <f>IF($D38=0,"DNP",SUMIFS(OPPS_GbG[OPP TM OR_NP2],OPPS_GbG[[TM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G38" s="18" t="str">
        <f>IF($D38=0,"DNP",SUMIFS(OPPS_GbG[OPP OR_3C],OPPS_GbG[[TM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H38" s="18" t="str">
        <f>IF($D38=0,"DNP",SUMIFS(OPPS_GbG[OPP TM OR_3C],OPPS_GbG[[TM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I38" s="18" t="str">
        <f>IF($D38=0,"DNP",SUMIFS(OPPS_GbG[OPP OR_3L],OPPS_GbG[[TM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J38" s="18" t="str">
        <f>IF($D38=0,"DNP",SUMIFS(OPPS_GbG[OPP TM OR_3L],OPPS_GbG[[TM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K38" s="18" t="str">
        <f>IF($D38=0,"DNP",SUMIFS(OPPS_GbG[OPP OR_FT],OPPS_GbG[[TM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L38" s="18" t="str">
        <f>IF($D38=0,"DNP",SUMIFS(OPPS_GbG[OPP TM OR_FT],OPPS_GbG[[TM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M38" s="18" t="str">
        <f>IF($D38=0,"DNP",SUMIFS(OPPS_GbG[OPP DR_RIM],OPPS_GbG[[TM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N38" s="18" t="str">
        <f>IF($D38=0,"DNP",SUMIFS(OPPS_GbG[OPP TM DR_RIM],OPPS_GbG[[TM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O38" s="18" t="str">
        <f>IF($D38=0,"DNP",SUMIFS(OPPS_GbG[OPP DR_PAINT],OPPS_GbG[[TM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P38" s="18" t="str">
        <f>IF($D38=0,"DNP",SUMIFS(OPPS_GbG[OPP TM DR_PAINT],OPPS_GbG[[TM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Q38" s="18" t="str">
        <f>IF($D38=0,"DNP",SUMIFS(OPPS_GbG[OPP DR_NP2],OPPS_GbG[[TM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R38" s="18" t="str">
        <f>IF($D38=0,"DNP",SUMIFS(OPPS_GbG[OPP TM DR_NP2],OPPS_GbG[[TM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S38" s="18" t="str">
        <f>IF($D38=0,"DNP",SUMIFS(OPPS_GbG[OPP DR_3C],OPPS_GbG[[TM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T38" s="18" t="str">
        <f>IF($D38=0,"DNP",SUMIFS(OPPS_GbG[OPP TM DR_3C],OPPS_GbG[[TM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U38" s="18" t="str">
        <f>IF($D38=0,"DNP",SUMIFS(OPPS_GbG[OPP DR_3L],OPPS_GbG[[TM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V38" s="18" t="str">
        <f>IF($D38=0,"DNP",SUMIFS(OPPS_GbG[OPP TM DR_3L],OPPS_GbG[[TM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W38" s="18" t="str">
        <f>IF($D38=0,"DNP",SUMIFS(OPPS_GbG[OPP DR_FT],OPPS_GbG[[TM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X38" s="18" t="str">
        <f>IF($D38=0,"DNP",SUMIFS(OPPS_GbG[OPP TM DR_FT],OPPS_GbG[[TM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Y38" s="18" t="str">
        <f>IF($D38=0,"DNP",SUMIFS(OPPS_GbG[OPP FTM_T],OPPS_GbG[[TM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FZ38" s="18" t="str">
        <f>IF($D38=0,"DNP",SUMIFS(OPPS_GbG[OPP FTA_T],OPPS_GbG[[TM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A38" s="18" t="str">
        <f>IF($D38=0,"DNP",SUMIFS(OPPS_GbG[OPP FTM_1],OPPS_GbG[[TM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B38" s="18" t="str">
        <f>IF($D38=0,"DNP",SUMIFS(OPPS_GbG[OPP FTA_1],OPPS_GbG[[TM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C38" s="18" t="str">
        <f>IF($D38=0,"DNP",SUMIFS(OPPS_GbG[OPP FTM_2],OPPS_GbG[[TM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D38" s="18" t="str">
        <f>IF($D38=0,"DNP",SUMIFS(OPPS_GbG[OPP FTA_2],OPPS_GbG[[TM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E38" s="18" t="str">
        <f>IF($D38=0,"DNP",SUMIFS(OPPS_GbG[OPP FT 0/2],OPPS_GbG[[TM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F38" s="18" t="str">
        <f>IF($D38=0,"DNP",SUMIFS(OPPS_GbG[OPP FTM_3],OPPS_GbG[[TM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G38" s="18" t="str">
        <f>IF($D38=0,"DNP",SUMIFS(OPPS_GbG[OPP FTA_3],OPPS_GbG[[TM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H38" s="18" t="str">
        <f>IF($D38=0,"DNP",SUMIFS(OPPS_GbG[OPP FT 0/3],OPPS_GbG[[TM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I38" s="18" t="str">
        <f>IF($D38=0,"DNP",SUMIFS(OPPS_GbG[OPP RIM_M],OPPS_GbG[[TM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J38" s="18" t="str">
        <f>IF($D38=0,"DNP",SUMIFS(OPPS_GbG[OPP RIM_A],OPPS_GbG[[TM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K38" s="18" t="str">
        <f>IF($D38=0,"DNP",SUMIFS(OPPS_GbG[OPP PAINT_M],OPPS_GbG[[TM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L38" s="18" t="str">
        <f>IF($D38=0,"DNP",SUMIFS(OPPS_GbG[OPP PAINT_A],OPPS_GbG[[TM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M38" s="18" t="str">
        <f>IF($D38=0,"DNP",SUMIFS(OPPS_GbG[OPP MID_M],OPPS_GbG[[TM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N38" s="18" t="str">
        <f>IF($D38=0,"DNP",SUMIFS(OPPS_GbG[OPP MID_A],OPPS_GbG[[TM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O38" s="18" t="str">
        <f>IF($D38=0,"DNP",SUMIFS(OPPS_GbG[OPP 3C_M],OPPS_GbG[[TM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P38" s="18" t="str">
        <f>IF($D38=0,"DNP",SUMIFS(OPPS_GbG[OPP 3C_A],OPPS_GbG[[TM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Q38" s="18" t="str">
        <f>IF($D38=0,"DNP",SUMIFS(OPPS_GbG[OPP 3L_M],OPPS_GbG[[TM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R38" s="18" t="str">
        <f>IF($D38=0,"DNP",SUMIFS(OPPS_GbG[OPP 3L_A],OPPS_GbG[[TM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S38" s="18" t="str">
        <f>IF($D38=0,"DNP",SUMIFS(OPPS_GbG[OPP 3H_M],OPPS_GbG[[TM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  <c r="GT38" s="18" t="str">
        <f>IF($D38=0,"DNP",SUMIFS(OPPS_GbG[OPP 3H_A],OPPS_GbG[[TM NAME]:[TM NAME]],$C38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GAMES","&lt;1000",IF($F$3=BASIS_INFO!$T$3,"&lt;"&amp;BASIS_INFO!$B$11,IF($F$3=BASIS_INFO!$T$4,"&lt;"&amp;BASIS_INFO!$B$12,IF($F$3=BASIS_INFO!$T$5,"&lt;"&amp;BASIS_INFO!$B$13,IF($F$3=BASIS_INFO!$T$6,"&lt;"&amp;BASIS_INFO!$B$14))))))/IF($D$3="TOTAL",1,$D38))</f>
        <v>DNP</v>
      </c>
    </row>
    <row r="39" spans="2:202" ht="15" hidden="1" customHeight="1" x14ac:dyDescent="0.25">
      <c r="B39" s="12">
        <f>_xlfn.AGGREGATE(3,5,$C$7:C38)</f>
        <v>19</v>
      </c>
      <c r="C39" s="14" t="str">
        <f>BASIS_INFO!F34</f>
        <v/>
      </c>
      <c r="D39" s="20">
        <f>COUNTIFS(OPPS_GbG[[TM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</f>
        <v>0</v>
      </c>
      <c r="E39" s="20">
        <f>COUNTIFS(OPPS_GbG[[TM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GAMES","&lt;1000",IF($F$3=BASIS_INFO!$T$3,"&lt;"&amp;BASIS_INFO!$B$11,IF($F$3=BASIS_INFO!$T$4,"&lt;"&amp;BASIS_INFO!$B$12,IF($F$3=BASIS_INFO!$T$5,"&lt;"&amp;BASIS_INFO!$B$13,IF($F$3=BASIS_INFO!$T$6,"&lt;"&amp;BASIS_INFO!$B$14))))),OPPS_GbG[[W/L]:[W/L]],"W")</f>
        <v>0</v>
      </c>
      <c r="F39" s="20">
        <f>COUNTIFS(OPPS_GbG[[TM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GAMES","&lt;1000",IF($F$3=BASIS_INFO!$T$3,"&lt;"&amp;BASIS_INFO!$B$11,IF($F$3=BASIS_INFO!$T$4,"&lt;"&amp;BASIS_INFO!$B$12,IF($F$3=BASIS_INFO!$T$5,"&lt;"&amp;BASIS_INFO!$B$13,IF($F$3=BASIS_INFO!$T$6,"&lt;"&amp;BASIS_INFO!$B$14))))),OPPS_GbG[[W/L]:[W/L]],"L")</f>
        <v>0</v>
      </c>
      <c r="G39" s="18" t="str">
        <f>IF($D39=0,"DNP",SUMIFS(OPPS_GbG[MIN],OPPS_GbG[[TM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H39" s="18" t="str">
        <f>IF($D39=0,"DNP",SUMIFS(OPPS_GbG[PTS],OPPS_GbG[[TM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I39" s="18" t="str">
        <f>IF($D39=0,"DNP",SUMIFS(OPPS_GbG[2PTM],OPPS_GbG[[TM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J39" s="18" t="str">
        <f>IF($D39=0,"DNP",SUMIFS(OPPS_GbG[2PTA],OPPS_GbG[[TM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K39" s="16" t="str">
        <f t="shared" si="56"/>
        <v>DNP</v>
      </c>
      <c r="L39" s="18" t="str">
        <f>IF($D39=0,"DNP",SUMIFS(OPPS_GbG[3PTM],OPPS_GbG[[TM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M39" s="18" t="str">
        <f>IF($D39=0,"DNP",SUMIFS(OPPS_GbG[3PTA],OPPS_GbG[[TM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N39" s="16" t="str">
        <f t="shared" si="57"/>
        <v>DNP</v>
      </c>
      <c r="O39" s="18" t="str">
        <f>IF($D39=0,"DNP",SUMIFS(OPPS_GbG[FGM],OPPS_GbG[[TM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P39" s="18" t="str">
        <f>IF($D39=0,"DNP",SUMIFS(OPPS_GbG[FGA],OPPS_GbG[[TM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Q39" s="16" t="str">
        <f t="shared" si="58"/>
        <v>DNP</v>
      </c>
      <c r="R39" s="18" t="str">
        <f>IF($D39=0,"DNP",SUMIFS(OPPS_GbG[FTM],OPPS_GbG[[TM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S39" s="18" t="str">
        <f>IF($D39=0,"DNP",SUMIFS(OPPS_GbG[FTA],OPPS_GbG[[TM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T39" s="16" t="str">
        <f t="shared" si="59"/>
        <v>DNP</v>
      </c>
      <c r="U39" s="18" t="str">
        <f>IF($D39=0,"DNP",SUMIFS(OPPS_GbG[OR],OPPS_GbG[[TM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V39" s="18" t="str">
        <f>IF($D39=0,"DNP",SUMIFS(OPPS_GbG[DR],OPPS_GbG[[TM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W39" s="18" t="str">
        <f>IF($D39=0,"DNP",SUMIFS(OPPS_GbG[TR],OPPS_GbG[[TM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X39" s="18" t="str">
        <f>IF($D39=0,"DNP",SUMIFS(OPPS_GbG[AST],OPPS_GbG[[TM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Y39" s="18" t="str">
        <f>IF($D39=0,"DNP",SUMIFS(OPPS_GbG[TO],OPPS_GbG[[TM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Z39" s="18" t="str">
        <f>IF($D39=0,"DNP",SUMIFS(OPPS_GbG[ST],OPPS_GbG[[TM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A39" s="18" t="str">
        <f>IF($D39=0,"DNP",SUMIFS(OPPS_GbG[BLK],OPPS_GbG[[TM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B39" s="18" t="str">
        <f>IF($D39=0,"DNP",SUMIFS(OPPS_GbG[BLKA],OPPS_GbG[[TM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C39" s="18" t="str">
        <f>IF($D39=0,"DNP",SUMIFS(OPPS_GbG[PF],OPPS_GbG[[TM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D39" s="18" t="str">
        <f>IF($D39=0,"DNP",SUMIFS(OPPS_GbG[DF],OPPS_GbG[[TM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E39" s="18" t="str">
        <f>IF($D39=0,"DNP",SUMIFS(OPPS_GbG[VAL],OPPS_GbG[[TM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F39" s="18" t="str">
        <f>IF($D39=0,"DNP",SUMIFS(OPPS_GbG[+ / -],OPPS_GbG[[TM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G39" s="26" t="str">
        <f t="shared" si="0"/>
        <v>DNP</v>
      </c>
      <c r="AH39" s="18" t="str">
        <f>IF($D39=0,"DNP",SUMIFS(OPPS_GbG[POSS],OPPS_GbG[[TM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I39" s="18" t="str">
        <f>IF($D39=0,"DNP",SUMIFS(OPPS_GbG[SHOOTING CHANCES],OPPS_GbG[[TM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AJ39" s="19" t="str">
        <f t="shared" si="1"/>
        <v>DNP</v>
      </c>
      <c r="AK39" s="19" t="str">
        <f t="shared" si="2"/>
        <v>DNP</v>
      </c>
      <c r="AL39" s="18" t="str">
        <f t="shared" si="3"/>
        <v>DNP</v>
      </c>
      <c r="AM39" s="18" t="str">
        <f t="shared" si="4"/>
        <v>DNP</v>
      </c>
      <c r="AN39" s="18" t="str">
        <f t="shared" si="60"/>
        <v>DNP</v>
      </c>
      <c r="AO39" s="27" t="str">
        <f t="shared" si="5"/>
        <v>DNP</v>
      </c>
      <c r="AP39" s="28" t="str">
        <f t="shared" si="6"/>
        <v>DNP</v>
      </c>
      <c r="AQ39" s="34" t="str">
        <f t="shared" si="7"/>
        <v>DNP</v>
      </c>
      <c r="AR39" s="19" t="str">
        <f t="shared" si="8"/>
        <v>DNP</v>
      </c>
      <c r="AS39" s="16" t="str">
        <f t="shared" si="9"/>
        <v>DNP</v>
      </c>
      <c r="AT39" s="18" t="str">
        <f t="shared" si="10"/>
        <v>DNP</v>
      </c>
      <c r="AU39" s="16" t="str">
        <f t="shared" si="11"/>
        <v>DNP</v>
      </c>
      <c r="AV39" s="18" t="str">
        <f t="shared" si="12"/>
        <v>DNP</v>
      </c>
      <c r="AW39" s="16" t="str">
        <f t="shared" si="13"/>
        <v>DNP</v>
      </c>
      <c r="AX39" s="19" t="str">
        <f t="shared" si="14"/>
        <v>DNP</v>
      </c>
      <c r="AY39" s="27" t="str">
        <f t="shared" si="15"/>
        <v>DNP</v>
      </c>
      <c r="AZ39" s="38" t="str">
        <f t="shared" si="16"/>
        <v>DNP</v>
      </c>
      <c r="BA39" s="28" t="str">
        <f t="shared" si="17"/>
        <v>DNP</v>
      </c>
      <c r="BB39" s="34" t="str">
        <f t="shared" si="18"/>
        <v>DNP</v>
      </c>
      <c r="BC39" s="27" t="str">
        <f t="shared" si="19"/>
        <v>DNP</v>
      </c>
      <c r="BD39" s="27" t="str">
        <f t="shared" si="20"/>
        <v>DNP</v>
      </c>
      <c r="BE39" s="27" t="str">
        <f t="shared" si="21"/>
        <v>DNP</v>
      </c>
      <c r="BF39" s="27" t="str">
        <f t="shared" si="22"/>
        <v>DNP</v>
      </c>
      <c r="BG39" s="27" t="str">
        <f t="shared" si="23"/>
        <v>DNP</v>
      </c>
      <c r="BH39" s="35" t="str">
        <f t="shared" si="24"/>
        <v>DNP</v>
      </c>
      <c r="BI39" s="34" t="str">
        <f t="shared" si="25"/>
        <v>DNP</v>
      </c>
      <c r="BJ39" s="27" t="str">
        <f t="shared" si="26"/>
        <v>DNP</v>
      </c>
      <c r="BK39" s="27" t="str">
        <f t="shared" si="27"/>
        <v>DNP</v>
      </c>
      <c r="BL39" s="27" t="str">
        <f t="shared" si="28"/>
        <v>DNP</v>
      </c>
      <c r="BM39" s="27" t="str">
        <f t="shared" si="29"/>
        <v>DNP</v>
      </c>
      <c r="BN39" s="27" t="str">
        <f t="shared" si="30"/>
        <v>DNP</v>
      </c>
      <c r="BO39" s="27" t="str">
        <f t="shared" si="31"/>
        <v>DNP</v>
      </c>
      <c r="BP39" s="27" t="str">
        <f t="shared" si="32"/>
        <v>DNP</v>
      </c>
      <c r="BQ39" s="28" t="str">
        <f t="shared" si="33"/>
        <v>DNP</v>
      </c>
      <c r="BR39" s="34" t="str">
        <f t="shared" si="34"/>
        <v>DNP</v>
      </c>
      <c r="BS39" s="27" t="str">
        <f t="shared" si="35"/>
        <v>DNP</v>
      </c>
      <c r="BT39" s="40" t="str">
        <f>IF($D39=0,"DNP",SUMIFS(OPPS_GbG[KILLS],OPPS_GbG[[TM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BU39" s="34" t="str">
        <f t="shared" si="36"/>
        <v>DNP</v>
      </c>
      <c r="BV39" s="28" t="str">
        <f t="shared" si="37"/>
        <v>DNP</v>
      </c>
      <c r="BW39" s="18" t="str">
        <f>IF($D39=0,"DNP",SUMIFS(OPPS_GbG[ASTED_2FG],OPPS_GbG[[TM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BX39" s="18" t="str">
        <f>IF($D39=0,"DNP",SUMIFS(OPPS_GbG[ASTED_3FG],OPPS_GbG[[TM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BY39" s="18" t="str">
        <f>IF($D39=0,"DNP",SUMIFS(OPPS_GbG[ASTED_FT],OPPS_GbG[[TM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BZ39" s="18" t="str">
        <f>IF($D39=0,"DNP",SUMIFS(OPPS_GbG[ASTED_FT PTS],OPPS_GbG[[TM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A39" s="18" t="str">
        <f>IF($D39=0,"DNP",SUMIFS(OPPS_GbG[OR_RIM],OPPS_GbG[[TM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B39" s="18" t="str">
        <f>IF($D39=0,"DNP",SUMIFS(OPPS_GbG[TM OR_RIM],OPPS_GbG[[TM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C39" s="18" t="str">
        <f>IF($D39=0,"DNP",SUMIFS(OPPS_GbG[OR_PAINT],OPPS_GbG[[TM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D39" s="18" t="str">
        <f>IF($D39=0,"DNP",SUMIFS(OPPS_GbG[TM OR_PAINT],OPPS_GbG[[TM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E39" s="18" t="str">
        <f>IF($D39=0,"DNP",SUMIFS(OPPS_GbG[OR_NP2],OPPS_GbG[[TM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F39" s="18" t="str">
        <f>IF($D39=0,"DNP",SUMIFS(OPPS_GbG[TM OR_NP2],OPPS_GbG[[TM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G39" s="18" t="str">
        <f>IF($D39=0,"DNP",SUMIFS(OPPS_GbG[OR_3C],OPPS_GbG[[TM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H39" s="18" t="str">
        <f>IF($D39=0,"DNP",SUMIFS(OPPS_GbG[TM OR_3C],OPPS_GbG[[TM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I39" s="18" t="str">
        <f>IF($D39=0,"DNP",SUMIFS(OPPS_GbG[OR_3L],OPPS_GbG[[TM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J39" s="18" t="str">
        <f>IF($D39=0,"DNP",SUMIFS(OPPS_GbG[TM OR_3L],OPPS_GbG[[TM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K39" s="18" t="str">
        <f>IF($D39=0,"DNP",SUMIFS(OPPS_GbG[OR_FT],OPPS_GbG[[TM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L39" s="18" t="str">
        <f>IF($D39=0,"DNP",SUMIFS(OPPS_GbG[TM OR_FT],OPPS_GbG[[TM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M39" s="18" t="str">
        <f>IF($D39=0,"DNP",SUMIFS(OPPS_GbG[DR_RIM],OPPS_GbG[[TM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N39" s="18" t="str">
        <f>IF($D39=0,"DNP",SUMIFS(OPPS_GbG[TM DR_RIM],OPPS_GbG[[TM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O39" s="18" t="str">
        <f>IF($D39=0,"DNP",SUMIFS(OPPS_GbG[DR_PAINT],OPPS_GbG[[TM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P39" s="18" t="str">
        <f>IF($D39=0,"DNP",SUMIFS(OPPS_GbG[TM DR_PAINT],OPPS_GbG[[TM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Q39" s="18" t="str">
        <f>IF($D39=0,"DNP",SUMIFS(OPPS_GbG[DR_NP2],OPPS_GbG[[TM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R39" s="18" t="str">
        <f>IF($D39=0,"DNP",SUMIFS(OPPS_GbG[TM DR_NP2],OPPS_GbG[[TM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S39" s="18" t="str">
        <f>IF($D39=0,"DNP",SUMIFS(OPPS_GbG[DR_3C],OPPS_GbG[[TM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T39" s="18" t="str">
        <f>IF($D39=0,"DNP",SUMIFS(OPPS_GbG[TM DR_3C],OPPS_GbG[[TM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U39" s="18" t="str">
        <f>IF($D39=0,"DNP",SUMIFS(OPPS_GbG[DR_3L],OPPS_GbG[[TM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V39" s="18" t="str">
        <f>IF($D39=0,"DNP",SUMIFS(OPPS_GbG[TM DR_3L],OPPS_GbG[[TM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W39" s="18" t="str">
        <f>IF($D39=0,"DNP",SUMIFS(OPPS_GbG[DR_FT],OPPS_GbG[[TM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X39" s="18" t="str">
        <f>IF($D39=0,"DNP",SUMIFS(OPPS_GbG[TM DR_FT],OPPS_GbG[[TM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Y39" s="18" t="str">
        <f>IF($D39=0,"DNP",SUMIFS(OPPS_GbG[FTM_T],OPPS_GbG[[TM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CZ39" s="18" t="str">
        <f>IF($D39=0,"DNP",SUMIFS(OPPS_GbG[FTA_T],OPPS_GbG[[TM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A39" s="18" t="str">
        <f>IF($D39=0,"DNP",SUMIFS(OPPS_GbG[FTM_1],OPPS_GbG[[TM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B39" s="18" t="str">
        <f>IF($D39=0,"DNP",SUMIFS(OPPS_GbG[FTA_1],OPPS_GbG[[TM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C39" s="18" t="str">
        <f>IF($D39=0,"DNP",SUMIFS(OPPS_GbG[FTM_2],OPPS_GbG[[TM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D39" s="18" t="str">
        <f>IF($D39=0,"DNP",SUMIFS(OPPS_GbG[FTA_2],OPPS_GbG[[TM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E39" s="18" t="str">
        <f>IF($D39=0,"DNP",SUMIFS(OPPS_GbG[FT 0/2],OPPS_GbG[[TM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F39" s="18" t="str">
        <f>IF($D39=0,"DNP",SUMIFS(OPPS_GbG[FTM_3],OPPS_GbG[[TM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G39" s="18" t="str">
        <f>IF($D39=0,"DNP",SUMIFS(OPPS_GbG[FTA_3],OPPS_GbG[[TM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H39" s="18" t="str">
        <f>IF($D39=0,"DNP",SUMIFS(OPPS_GbG[FT 0/3],OPPS_GbG[[TM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I39" s="18" t="str">
        <f>IF($D39=0,"DNP",SUMIFS(OPPS_GbG[RIM_M],OPPS_GbG[[TM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J39" s="18" t="str">
        <f>IF($D39=0,"DNP",SUMIFS(OPPS_GbG[RIM_A],OPPS_GbG[[TM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K39" s="18" t="str">
        <f>IF($D39=0,"DNP",SUMIFS(OPPS_GbG[PAINT_M],OPPS_GbG[[TM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L39" s="18" t="str">
        <f>IF($D39=0,"DNP",SUMIFS(OPPS_GbG[PAINT_A],OPPS_GbG[[TM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M39" s="18" t="str">
        <f>IF($D39=0,"DNP",SUMIFS(OPPS_GbG[MID_M],OPPS_GbG[[TM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N39" s="18" t="str">
        <f>IF($D39=0,"DNP",SUMIFS(OPPS_GbG[MID_A],OPPS_GbG[[TM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O39" s="18" t="str">
        <f>IF($D39=0,"DNP",SUMIFS(OPPS_GbG[3C_M],OPPS_GbG[[TM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P39" s="18" t="str">
        <f>IF($D39=0,"DNP",SUMIFS(OPPS_GbG[3C_A],OPPS_GbG[[TM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Q39" s="18" t="str">
        <f>IF($D39=0,"DNP",SUMIFS(OPPS_GbG[3L_M],OPPS_GbG[[TM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R39" s="18" t="str">
        <f>IF($D39=0,"DNP",SUMIFS(OPPS_GbG[3L_A],OPPS_GbG[[TM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S39" s="18" t="str">
        <f>IF($D39=0,"DNP",SUMIFS(OPPS_GbG[3H_M],OPPS_GbG[[TM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T39" s="18" t="str">
        <f>IF($D39=0,"DNP",SUMIFS(OPPS_GbG[3H_A],OPPS_GbG[[TM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U39" s="18" t="str">
        <f>IF($D39=0,"DNP",SUMIFS(OPPS_GbG[OPP PTS],OPPS_GbG[[TM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V39" s="18" t="str">
        <f>IF($D39=0,"DNP",SUMIFS(OPPS_GbG[OPP 2PTM],OPPS_GbG[[TM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W39" s="18" t="str">
        <f>IF($D39=0,"DNP",SUMIFS(OPPS_GbG[OPP 2PTA],OPPS_GbG[[TM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X39" s="16" t="str">
        <f t="shared" si="61"/>
        <v>DNP</v>
      </c>
      <c r="DY39" s="18" t="str">
        <f>IF($D39=0,"DNP",SUMIFS(OPPS_GbG[OPP 3PTM],OPPS_GbG[[TM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DZ39" s="18" t="str">
        <f>IF($D39=0,"DNP",SUMIFS(OPPS_GbG[OPP 3PTA],OPPS_GbG[[TM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A39" s="16" t="str">
        <f t="shared" si="62"/>
        <v>DNP</v>
      </c>
      <c r="EB39" s="18" t="str">
        <f>IF($D39=0,"DNP",SUMIFS(OPPS_GbG[OPP FGM],OPPS_GbG[[TM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C39" s="18" t="str">
        <f>IF($D39=0,"DNP",SUMIFS(OPPS_GbG[OPP FGA],OPPS_GbG[[TM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D39" s="16" t="str">
        <f t="shared" si="63"/>
        <v>DNP</v>
      </c>
      <c r="EE39" s="18" t="str">
        <f>IF($D39=0,"DNP",SUMIFS(OPPS_GbG[OPP FTM],OPPS_GbG[[TM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F39" s="18" t="str">
        <f>IF($D39=0,"DNP",SUMIFS(OPPS_GbG[OPP FTA],OPPS_GbG[[TM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G39" s="16" t="str">
        <f t="shared" si="64"/>
        <v>DNP</v>
      </c>
      <c r="EH39" s="18" t="str">
        <f>IF($D39=0,"DNP",SUMIFS(OPPS_GbG[OPP OR],OPPS_GbG[[TM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I39" s="18" t="str">
        <f>IF($D39=0,"DNP",SUMIFS(OPPS_GbG[OPP DR],OPPS_GbG[[TM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J39" s="18" t="str">
        <f>IF($D39=0,"DNP",SUMIFS(OPPS_GbG[OPP TR],OPPS_GbG[[TM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K39" s="18" t="str">
        <f>IF($D39=0,"DNP",SUMIFS(OPPS_GbG[OPP AST],OPPS_GbG[[TM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L39" s="18" t="str">
        <f>IF($D39=0,"DNP",SUMIFS(OPPS_GbG[OPP PF],OPPS_GbG[[TM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M39" s="18" t="str">
        <f>IF($D39=0,"DNP",SUMIFS(OPPS_GbG[OPP DF],OPPS_GbG[[TM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N39" s="18" t="str">
        <f>IF($D39=0,"DNP",SUMIFS(OPPS_GbG[OPP ST],OPPS_GbG[[TM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O39" s="18" t="str">
        <f>IF($D39=0,"DNP",SUMIFS(OPPS_GbG[OPP TO],OPPS_GbG[[TM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P39" s="18" t="str">
        <f>IF($D39=0,"DNP",SUMIFS(OPPS_GbG[OPP BLK],OPPS_GbG[[TM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Q39" s="18" t="str">
        <f>IF($D39=0,"DNP",SUMIFS(OPPS_GbG[OPP BLKA],OPPS_GbG[[TM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R39" s="18" t="str">
        <f>IF($D39=0,"DNP",SUMIFS(OPPS_GbG[OPP VAL],OPPS_GbG[[TM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S39" s="18" t="str">
        <f>IF($D39=0,"DNP",SUMIFS(OPPS_GbG[OPP + / -],OPPS_GbG[[TM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T39" s="18" t="str">
        <f>IF($D39=0,"DNP",SUMIFS(OPPS_GbG[OPP POSS],OPPS_GbG[[TM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U39" s="18" t="str">
        <f>IF($D39=0,"DNP",SUMIFS(OPPS_GbG[OPP SHOOTING CHANCES],OPPS_GbG[[TM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V39" s="18" t="str">
        <f>IF($D39=0,"DNP",SUMIFS(OPPS_GbG[OPP KILLS],OPPS_GbG[[TM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W39" s="18" t="str">
        <f>IF($D39=0,"DNP",SUMIFS(OPPS_GbG[OPP ASTED_2FG],OPPS_GbG[[TM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X39" s="18" t="str">
        <f>IF($D39=0,"DNP",SUMIFS(OPPS_GbG[OPP ASTED_3FG],OPPS_GbG[[TM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Y39" s="18" t="str">
        <f>IF($D39=0,"DNP",SUMIFS(OPPS_GbG[OPP ASTED_FT],OPPS_GbG[[TM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EZ39" s="18" t="str">
        <f>IF($D39=0,"DNP",SUMIFS(OPPS_GbG[OPP ASTED_FT PTS],OPPS_GbG[[TM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A39" s="18" t="str">
        <f>IF($D39=0,"DNP",SUMIFS(OPPS_GbG[OPP OR_RIM],OPPS_GbG[[TM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B39" s="18" t="str">
        <f>IF($D39=0,"DNP",SUMIFS(OPPS_GbG[OPP TM OR_RIM],OPPS_GbG[[TM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C39" s="18" t="str">
        <f>IF($D39=0,"DNP",SUMIFS(OPPS_GbG[OPP OR_PAINT],OPPS_GbG[[TM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D39" s="18" t="str">
        <f>IF($D39=0,"DNP",SUMIFS(OPPS_GbG[OPP TM OR_PAINT],OPPS_GbG[[TM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E39" s="18" t="str">
        <f>IF($D39=0,"DNP",SUMIFS(OPPS_GbG[OPP OR_NP2],OPPS_GbG[[TM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F39" s="18" t="str">
        <f>IF($D39=0,"DNP",SUMIFS(OPPS_GbG[OPP TM OR_NP2],OPPS_GbG[[TM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G39" s="18" t="str">
        <f>IF($D39=0,"DNP",SUMIFS(OPPS_GbG[OPP OR_3C],OPPS_GbG[[TM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H39" s="18" t="str">
        <f>IF($D39=0,"DNP",SUMIFS(OPPS_GbG[OPP TM OR_3C],OPPS_GbG[[TM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I39" s="18" t="str">
        <f>IF($D39=0,"DNP",SUMIFS(OPPS_GbG[OPP OR_3L],OPPS_GbG[[TM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J39" s="18" t="str">
        <f>IF($D39=0,"DNP",SUMIFS(OPPS_GbG[OPP TM OR_3L],OPPS_GbG[[TM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K39" s="18" t="str">
        <f>IF($D39=0,"DNP",SUMIFS(OPPS_GbG[OPP OR_FT],OPPS_GbG[[TM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L39" s="18" t="str">
        <f>IF($D39=0,"DNP",SUMIFS(OPPS_GbG[OPP TM OR_FT],OPPS_GbG[[TM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M39" s="18" t="str">
        <f>IF($D39=0,"DNP",SUMIFS(OPPS_GbG[OPP DR_RIM],OPPS_GbG[[TM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N39" s="18" t="str">
        <f>IF($D39=0,"DNP",SUMIFS(OPPS_GbG[OPP TM DR_RIM],OPPS_GbG[[TM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O39" s="18" t="str">
        <f>IF($D39=0,"DNP",SUMIFS(OPPS_GbG[OPP DR_PAINT],OPPS_GbG[[TM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P39" s="18" t="str">
        <f>IF($D39=0,"DNP",SUMIFS(OPPS_GbG[OPP TM DR_PAINT],OPPS_GbG[[TM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Q39" s="18" t="str">
        <f>IF($D39=0,"DNP",SUMIFS(OPPS_GbG[OPP DR_NP2],OPPS_GbG[[TM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R39" s="18" t="str">
        <f>IF($D39=0,"DNP",SUMIFS(OPPS_GbG[OPP TM DR_NP2],OPPS_GbG[[TM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S39" s="18" t="str">
        <f>IF($D39=0,"DNP",SUMIFS(OPPS_GbG[OPP DR_3C],OPPS_GbG[[TM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T39" s="18" t="str">
        <f>IF($D39=0,"DNP",SUMIFS(OPPS_GbG[OPP TM DR_3C],OPPS_GbG[[TM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U39" s="18" t="str">
        <f>IF($D39=0,"DNP",SUMIFS(OPPS_GbG[OPP DR_3L],OPPS_GbG[[TM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V39" s="18" t="str">
        <f>IF($D39=0,"DNP",SUMIFS(OPPS_GbG[OPP TM DR_3L],OPPS_GbG[[TM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W39" s="18" t="str">
        <f>IF($D39=0,"DNP",SUMIFS(OPPS_GbG[OPP DR_FT],OPPS_GbG[[TM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X39" s="18" t="str">
        <f>IF($D39=0,"DNP",SUMIFS(OPPS_GbG[OPP TM DR_FT],OPPS_GbG[[TM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Y39" s="18" t="str">
        <f>IF($D39=0,"DNP",SUMIFS(OPPS_GbG[OPP FTM_T],OPPS_GbG[[TM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FZ39" s="18" t="str">
        <f>IF($D39=0,"DNP",SUMIFS(OPPS_GbG[OPP FTA_T],OPPS_GbG[[TM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A39" s="18" t="str">
        <f>IF($D39=0,"DNP",SUMIFS(OPPS_GbG[OPP FTM_1],OPPS_GbG[[TM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B39" s="18" t="str">
        <f>IF($D39=0,"DNP",SUMIFS(OPPS_GbG[OPP FTA_1],OPPS_GbG[[TM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C39" s="18" t="str">
        <f>IF($D39=0,"DNP",SUMIFS(OPPS_GbG[OPP FTM_2],OPPS_GbG[[TM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D39" s="18" t="str">
        <f>IF($D39=0,"DNP",SUMIFS(OPPS_GbG[OPP FTA_2],OPPS_GbG[[TM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E39" s="18" t="str">
        <f>IF($D39=0,"DNP",SUMIFS(OPPS_GbG[OPP FT 0/2],OPPS_GbG[[TM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F39" s="18" t="str">
        <f>IF($D39=0,"DNP",SUMIFS(OPPS_GbG[OPP FTM_3],OPPS_GbG[[TM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G39" s="18" t="str">
        <f>IF($D39=0,"DNP",SUMIFS(OPPS_GbG[OPP FTA_3],OPPS_GbG[[TM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H39" s="18" t="str">
        <f>IF($D39=0,"DNP",SUMIFS(OPPS_GbG[OPP FT 0/3],OPPS_GbG[[TM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I39" s="18" t="str">
        <f>IF($D39=0,"DNP",SUMIFS(OPPS_GbG[OPP RIM_M],OPPS_GbG[[TM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J39" s="18" t="str">
        <f>IF($D39=0,"DNP",SUMIFS(OPPS_GbG[OPP RIM_A],OPPS_GbG[[TM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K39" s="18" t="str">
        <f>IF($D39=0,"DNP",SUMIFS(OPPS_GbG[OPP PAINT_M],OPPS_GbG[[TM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L39" s="18" t="str">
        <f>IF($D39=0,"DNP",SUMIFS(OPPS_GbG[OPP PAINT_A],OPPS_GbG[[TM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M39" s="18" t="str">
        <f>IF($D39=0,"DNP",SUMIFS(OPPS_GbG[OPP MID_M],OPPS_GbG[[TM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N39" s="18" t="str">
        <f>IF($D39=0,"DNP",SUMIFS(OPPS_GbG[OPP MID_A],OPPS_GbG[[TM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O39" s="18" t="str">
        <f>IF($D39=0,"DNP",SUMIFS(OPPS_GbG[OPP 3C_M],OPPS_GbG[[TM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P39" s="18" t="str">
        <f>IF($D39=0,"DNP",SUMIFS(OPPS_GbG[OPP 3C_A],OPPS_GbG[[TM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Q39" s="18" t="str">
        <f>IF($D39=0,"DNP",SUMIFS(OPPS_GbG[OPP 3L_M],OPPS_GbG[[TM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R39" s="18" t="str">
        <f>IF($D39=0,"DNP",SUMIFS(OPPS_GbG[OPP 3L_A],OPPS_GbG[[TM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S39" s="18" t="str">
        <f>IF($D39=0,"DNP",SUMIFS(OPPS_GbG[OPP 3H_M],OPPS_GbG[[TM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  <c r="GT39" s="18" t="str">
        <f>IF($D39=0,"DNP",SUMIFS(OPPS_GbG[OPP 3H_A],OPPS_GbG[[TM NAME]:[TM NAME]],$C39,OPPS_GbG[[ROUND]:[ROUND]],IF($D$5="","&gt;0","&gt;="&amp;$D$5),OPPS_GbG[[ROUND]:[ROUND]],IF($F$5="","&lt;1000","&lt;="&amp;$F$5),OPPS_GbG[[DATE]:[DATE]],IF($H$5="","&gt;0","&gt;="&amp;$H$5),OPPS_GbG[[DATE]:[DATE]],IF($J$5="","&lt;100000000000","&lt;="&amp;$J$5),OPPS_GbG[[H/A]:[H/A]],IF($J$3="ALL LOCATIONS","&lt;&gt;X",IF($J$3="HOME","H","A")),OPPS_GbG[[W/L]:[W/L]],IF($H$3="ALL OUTCOMES","&lt;&gt;X",IF($H$3="WINS","W","L")),OPPS_GbG[[ROUND]:[ROUND]],IF($F$3="ALL GAMES","&gt;0",IF($F$3=BASIS_INFO!$T$3,"&gt;="&amp;BASIS_INFO!$B$10,IF($F$3=BASIS_INFO!$T$4,"&gt;="&amp;BASIS_INFO!$B$11,IF($F$3=BASIS_INFO!$T$5,"&gt;="&amp;BASIS_INFO!$B$12,IF($F$3=BASIS_INFO!$T$6,"&gt;="&amp;BASIS_INFO!$B$13))))),OPPS_GbG[[ROUND]:[ROUND]],IF($F$3="ALL GAMES","&lt;1000",IF($F$3=BASIS_INFO!$T$3,"&lt;"&amp;BASIS_INFO!$B$11,IF($F$3=BASIS_INFO!$T$4,"&lt;"&amp;BASIS_INFO!$B$12,IF($F$3=BASIS_INFO!$T$5,"&lt;"&amp;BASIS_INFO!$B$13,IF($F$3=BASIS_INFO!$T$6,"&lt;"&amp;BASIS_INFO!$B$14))))))/IF($D$3="TOTAL",1,$D39))</f>
        <v>DNP</v>
      </c>
    </row>
    <row r="40" spans="2:202" ht="15" customHeight="1" x14ac:dyDescent="0.25">
      <c r="B40" s="12"/>
      <c r="D40" s="12"/>
      <c r="E40" s="12"/>
      <c r="F40" s="12"/>
      <c r="G40" s="18">
        <f>SUBTOTAL(101,OPPS_STATS[MIN])</f>
        <v>201.56250000000003</v>
      </c>
      <c r="H40" s="18">
        <f>SUBTOTAL(101,OPPS_STATS[PTS])</f>
        <v>80.119598765432102</v>
      </c>
      <c r="I40" s="18">
        <f>SUBTOTAL(101,OPPS_STATS[2PTM])</f>
        <v>19.800154320987655</v>
      </c>
      <c r="J40" s="18">
        <f>SUBTOTAL(101,OPPS_STATS[2PTA])</f>
        <v>36.503858024691361</v>
      </c>
      <c r="K40" s="23">
        <f>SUBTOTAL(101,OPPS_STATS[2PT%])</f>
        <v>0.543490654281365</v>
      </c>
      <c r="L40" s="18">
        <f>SUBTOTAL(101,OPPS_STATS[3PTM])</f>
        <v>9.1828703703703685</v>
      </c>
      <c r="M40" s="18">
        <f>SUBTOTAL(101,OPPS_STATS[3PTA])</f>
        <v>25.730709876543202</v>
      </c>
      <c r="N40" s="23">
        <f>SUBTOTAL(101,OPPS_STATS[3PT%])</f>
        <v>0.35670407940856064</v>
      </c>
      <c r="O40" s="18">
        <f>SUBTOTAL(101,OPPS_STATS[FGM])</f>
        <v>28.983024691358032</v>
      </c>
      <c r="P40" s="18">
        <f>SUBTOTAL(101,OPPS_STATS[FGA])</f>
        <v>62.234567901234563</v>
      </c>
      <c r="Q40" s="23">
        <f>SUBTOTAL(101,OPPS_STATS[FG%])</f>
        <v>0.46600972943431668</v>
      </c>
      <c r="R40" s="18">
        <f>SUBTOTAL(101,OPPS_STATS[FTM])</f>
        <v>12.970679012345679</v>
      </c>
      <c r="S40" s="18">
        <f>SUBTOTAL(101,OPPS_STATS[FTA])</f>
        <v>16.787037037037038</v>
      </c>
      <c r="T40" s="23">
        <f>SUBTOTAL(101,OPPS_STATS[FT%])</f>
        <v>0.77200060699781781</v>
      </c>
      <c r="U40" s="18">
        <f>SUBTOTAL(101,OPPS_STATS[OR])</f>
        <v>10.632716049382715</v>
      </c>
      <c r="V40" s="18">
        <f>SUBTOTAL(101,OPPS_STATS[DR])</f>
        <v>23.351080246913579</v>
      </c>
      <c r="W40" s="18">
        <f>SUBTOTAL(101,OPPS_STATS[TR])</f>
        <v>33.983796296296305</v>
      </c>
      <c r="X40" s="18">
        <f>SUBTOTAL(101,OPPS_STATS[AST])</f>
        <v>17.483024691358029</v>
      </c>
      <c r="Y40" s="18">
        <f>SUBTOTAL(101,OPPS_STATS[TO])</f>
        <v>12.580246913580249</v>
      </c>
      <c r="Z40" s="18">
        <f>SUBTOTAL(101,OPPS_STATS[ST])</f>
        <v>6.3850308641975317</v>
      </c>
      <c r="AA40" s="18">
        <f>SUBTOTAL(101,OPPS_STATS[BLK])</f>
        <v>2.3757716049382709</v>
      </c>
      <c r="AB40" s="18">
        <f>SUBTOTAL(101,OPPS_STATS[BLKA])</f>
        <v>2.3942901234567904</v>
      </c>
      <c r="AC40" s="18">
        <f>SUBTOTAL(101,OPPS_STATS[PF])</f>
        <v>19.544753086419757</v>
      </c>
      <c r="AD40" s="18">
        <f>SUBTOTAL(101,OPPS_STATS[DF])</f>
        <v>19.338734567901234</v>
      </c>
      <c r="AE40" s="18">
        <f>SUBTOTAL(101,OPPS_STATS[VAL])</f>
        <v>88.098765432098773</v>
      </c>
      <c r="AF40" s="18">
        <f>SUBTOTAL(101,OPPS_STATS[+ / -])</f>
        <v>-7.5617283950617203E-2</v>
      </c>
      <c r="AG40" s="29">
        <f>SUBTOTAL(101,OPPS_STATS[PACE])</f>
        <v>70.596376957392934</v>
      </c>
      <c r="AH40" s="30">
        <f>SUBTOTAL(101,OPPS_STATS[POSS])</f>
        <v>71.141975308641975</v>
      </c>
      <c r="AI40" s="30">
        <f>SUBTOTAL(101,OPPS_STATS[SHOOTING CHANCES])</f>
        <v>81.934156378600832</v>
      </c>
      <c r="AJ40" s="31">
        <f>SUBTOTAL(101,OPPS_STATS[OFF PPP])</f>
        <v>0.97813948175360088</v>
      </c>
      <c r="AK40" s="31">
        <f>SUBTOTAL(101,OPPS_STATS[DEF PPP])</f>
        <v>0.97950718447036855</v>
      </c>
      <c r="AL40" s="30">
        <f>SUBTOTAL(101,OPPS_STATS[OFF RTG])</f>
        <v>112.61352059731622</v>
      </c>
      <c r="AM40" s="30">
        <f>SUBTOTAL(101,OPPS_STATS[DEF RTG])</f>
        <v>112.72109720784292</v>
      </c>
      <c r="AN40" s="30">
        <f>SUBTOTAL(101,OPPS_STATS[NET RTG])</f>
        <v>-0.10757661052673484</v>
      </c>
      <c r="AO40" s="32">
        <f>SUBTOTAL(101,OPPS_STATS[eFG%])</f>
        <v>0.53995343886157798</v>
      </c>
      <c r="AP40" s="33">
        <f>SUBTOTAL(101,OPPS_STATS[TS%])</f>
        <v>0.57779931497793091</v>
      </c>
      <c r="AQ40" s="36">
        <f>SUBTOTAL(101,OPPS_STATS[RIM FREQ])</f>
        <v>0.13813367171712193</v>
      </c>
      <c r="AR40" s="31">
        <f>SUBTOTAL(101,OPPS_STATS[RIM PPS])</f>
        <v>1.5496798113486978</v>
      </c>
      <c r="AS40" s="44">
        <f>SUBTOTAL(101,OPPS_STATS[PAINT FREQ])</f>
        <v>0.22392140197125268</v>
      </c>
      <c r="AT40" s="31">
        <f>SUBTOTAL(101,OPPS_STATS[PAINT PPS])</f>
        <v>0.91449522905613478</v>
      </c>
      <c r="AU40" s="44">
        <f>SUBTOTAL(101,OPPS_STATS[MID FREQ])</f>
        <v>8.3210855762430647E-2</v>
      </c>
      <c r="AV40" s="31">
        <f>SUBTOTAL(101,OPPS_STATS[MID PPS])</f>
        <v>0.76871367128867829</v>
      </c>
      <c r="AW40" s="44">
        <f>SUBTOTAL(101,OPPS_STATS[C3 FREQ])</f>
        <v>3.6834884433776784E-2</v>
      </c>
      <c r="AX40" s="31">
        <f>SUBTOTAL(101,OPPS_STATS[C3 PPS])</f>
        <v>1.3875724462417893</v>
      </c>
      <c r="AY40" s="32">
        <f>SUBTOTAL(101,OPPS_STATS[L3 FREQ])</f>
        <v>0.27460769779812766</v>
      </c>
      <c r="AZ40" s="31">
        <f>SUBTOTAL(101,OPPS_STATS[L3 PPS])</f>
        <v>1.0424422531212181</v>
      </c>
      <c r="BA40" s="33">
        <f>SUBTOTAL(101,OPPS_STATS[FT Ratio])</f>
        <v>8.690987596134718E-2</v>
      </c>
      <c r="BB40" s="36">
        <f>SUBTOTAL(101,OPPS_STATS[TO%])</f>
        <v>0.15379069312896432</v>
      </c>
      <c r="BC40" s="32">
        <f>SUBTOTAL(101,OPPS_STATS[AST%])</f>
        <v>0.48862042413937207</v>
      </c>
      <c r="BD40" s="32">
        <f>SUBTOTAL(101,OPPS_STATS[AST% (2P)])</f>
        <v>0.45046903473277933</v>
      </c>
      <c r="BE40" s="32">
        <f>SUBTOTAL(101,OPPS_STATS[AST% (3P)])</f>
        <v>0.75152765499361618</v>
      </c>
      <c r="BF40" s="32">
        <f>SUBTOTAL(101,OPPS_STATS[AST% (FT)])</f>
        <v>0.23714286947001983</v>
      </c>
      <c r="BG40" s="32">
        <f>SUBTOTAL(101,OPPS_STATS[AST Ratio])</f>
        <v>0.2139021669111244</v>
      </c>
      <c r="BH40" s="37">
        <f>SUBTOTAL(101,OPPS_STATS[AST/TO])</f>
        <v>1.4039704989407618</v>
      </c>
      <c r="BI40" s="36">
        <f>SUBTOTAL(101,OPPS_STATS[OR%])</f>
        <v>0.31247617765236807</v>
      </c>
      <c r="BJ40" s="32">
        <f>SUBTOTAL(101,OPPS_STATS[OR% (after 2P)])</f>
        <v>0.34372023601643326</v>
      </c>
      <c r="BK40" s="32">
        <f>SUBTOTAL(101,OPPS_STATS[OR% (after 3P)])</f>
        <v>0.32626770944647571</v>
      </c>
      <c r="BL40" s="32">
        <f>SUBTOTAL(101,OPPS_STATS[OR% (after FT)])</f>
        <v>0.21429230087584736</v>
      </c>
      <c r="BM40" s="32">
        <f>SUBTOTAL(101,OPPS_STATS[DR%])</f>
        <v>0.68902058240898512</v>
      </c>
      <c r="BN40" s="32">
        <f>SUBTOTAL(101,OPPS_STATS[DR% (after 2P)])</f>
        <v>0.65630201632219487</v>
      </c>
      <c r="BO40" s="32">
        <f>SUBTOTAL(101,OPPS_STATS[DR% (after 3P)])</f>
        <v>0.67458529655949317</v>
      </c>
      <c r="BP40" s="32">
        <f>SUBTOTAL(101,OPPS_STATS[DR% (after FT)])</f>
        <v>0.76093595828035876</v>
      </c>
      <c r="BQ40" s="33">
        <f>SUBTOTAL(101,OPPS_STATS[TR%])</f>
        <v>0.50029187288570109</v>
      </c>
      <c r="BR40" s="36">
        <f>SUBTOTAL(101,OPPS_STATS[ST%])</f>
        <v>8.9734258851326437E-2</v>
      </c>
      <c r="BS40" s="32">
        <f>SUBTOTAL(101,OPPS_STATS[BLK%])</f>
        <v>3.8092354497806583E-2</v>
      </c>
      <c r="BT40" s="41">
        <f>SUBTOTAL(101,OPPS_STATS[KILLS])</f>
        <v>4.6597222222222232</v>
      </c>
      <c r="BU40" s="36">
        <f>SUBTOTAL(101,OPPS_STATS[PSF FREQ])</f>
        <v>0.45108559444849294</v>
      </c>
      <c r="BV40" s="33">
        <f>SUBTOTAL(101,OPPS_STATS[DSF FREQ])</f>
        <v>0.45931445090227702</v>
      </c>
      <c r="BW40" s="18">
        <f>SUBTOTAL(101,OPPS_STATS[ASTED_2FG])</f>
        <v>8.9158950617283956</v>
      </c>
      <c r="BX40" s="18">
        <f>SUBTOTAL(101,OPPS_STATS[ASTED_3FG])</f>
        <v>6.9197530864197541</v>
      </c>
      <c r="BY40" s="18">
        <f>SUBTOTAL(101,OPPS_STATS[ASTED_FT])</f>
        <v>1.6103395061728394</v>
      </c>
      <c r="BZ40" s="18">
        <f>SUBTOTAL(101,OPPS_STATS[ASTED_FT PTS])</f>
        <v>2.9074074074074079</v>
      </c>
      <c r="CA40" s="18">
        <f>SUBTOTAL(101,OPPS_STATS[OR_RIM])</f>
        <v>1.0200617283950617</v>
      </c>
      <c r="CB40" s="18">
        <f>SUBTOTAL(101,OPPS_STATS[TM OR_RIM])</f>
        <v>0.24305555555555555</v>
      </c>
      <c r="CC40" s="18">
        <f>SUBTOTAL(101,OPPS_STATS[OR_PAINT])</f>
        <v>3.1983024691358022</v>
      </c>
      <c r="CD40" s="18">
        <f>SUBTOTAL(101,OPPS_STATS[TM OR_PAINT])</f>
        <v>0.52777777777777768</v>
      </c>
      <c r="CE40" s="18">
        <f>SUBTOTAL(101,OPPS_STATS[OR_NP2])</f>
        <v>1.0478395061728394</v>
      </c>
      <c r="CF40" s="18">
        <f>SUBTOTAL(101,OPPS_STATS[TM OR_NP2])</f>
        <v>0.14969135802469138</v>
      </c>
      <c r="CG40" s="18">
        <f>SUBTOTAL(101,OPPS_STATS[OR_3C])</f>
        <v>0.45987654320987659</v>
      </c>
      <c r="CH40" s="18">
        <f>SUBTOTAL(101,OPPS_STATS[TM OR_3C])</f>
        <v>9.336419753086421E-2</v>
      </c>
      <c r="CI40" s="18">
        <f>SUBTOTAL(101,OPPS_STATS[OR_3L])</f>
        <v>4.4868827160493829</v>
      </c>
      <c r="CJ40" s="18">
        <f>SUBTOTAL(101,OPPS_STATS[TM OR_3L])</f>
        <v>0.67438271604938271</v>
      </c>
      <c r="CK40" s="18">
        <f>SUBTOTAL(101,OPPS_STATS[OR_FT])</f>
        <v>0.33873456790123463</v>
      </c>
      <c r="CL40" s="18">
        <f>SUBTOTAL(101,OPPS_STATS[TM OR_FT])</f>
        <v>9.9537037037037035E-2</v>
      </c>
      <c r="CM40" s="18">
        <f>SUBTOTAL(101,OPPS_STATS[DR_RIM])</f>
        <v>1.4745370370370372</v>
      </c>
      <c r="CN40" s="18">
        <f>SUBTOTAL(101,OPPS_STATS[TM DR_RIM])</f>
        <v>0.1080246913580247</v>
      </c>
      <c r="CO40" s="18">
        <f>SUBTOTAL(101,OPPS_STATS[DR_PAINT])</f>
        <v>6.5841049382716044</v>
      </c>
      <c r="CP40" s="18">
        <f>SUBTOTAL(101,OPPS_STATS[TM DR_PAINT])</f>
        <v>0.39660493827160492</v>
      </c>
      <c r="CQ40" s="18">
        <f>SUBTOTAL(101,OPPS_STATS[DR_NP2])</f>
        <v>2.9645061728395063</v>
      </c>
      <c r="CR40" s="18">
        <f>SUBTOTAL(101,OPPS_STATS[TM DR_NP2])</f>
        <v>0.19212962962962965</v>
      </c>
      <c r="CS40" s="18">
        <f>SUBTOTAL(101,OPPS_STATS[DR_3C])</f>
        <v>1.1736111111111112</v>
      </c>
      <c r="CT40" s="18">
        <f>SUBTOTAL(101,OPPS_STATS[TM DR_3C])</f>
        <v>0.11805555555555558</v>
      </c>
      <c r="CU40" s="18">
        <f>SUBTOTAL(101,OPPS_STATS[DR_3L])</f>
        <v>9.6311728395061706</v>
      </c>
      <c r="CV40" s="18">
        <f>SUBTOTAL(101,OPPS_STATS[TM DR_3L])</f>
        <v>0.8695987654320988</v>
      </c>
      <c r="CW40" s="18">
        <f>SUBTOTAL(101,OPPS_STATS[DR_FT])</f>
        <v>1.3796296296296298</v>
      </c>
      <c r="CX40" s="18">
        <f>SUBTOTAL(101,OPPS_STATS[TM DR_FT])</f>
        <v>6.8672839506172839E-2</v>
      </c>
      <c r="CY40" s="18">
        <f>SUBTOTAL(101,OPPS_STATS[FTM_T])</f>
        <v>0.30787037037037035</v>
      </c>
      <c r="CZ40" s="18">
        <f>SUBTOTAL(101,OPPS_STATS[FTA_T])</f>
        <v>0.390432098765432</v>
      </c>
      <c r="DA40" s="18">
        <f>SUBTOTAL(101,OPPS_STATS[FTM_1])</f>
        <v>1.2854938271604939</v>
      </c>
      <c r="DB40" s="18">
        <f>SUBTOTAL(101,OPPS_STATS[FTA_1])</f>
        <v>1.7746913580246915</v>
      </c>
      <c r="DC40" s="18">
        <f>SUBTOTAL(101,OPPS_STATS[FTM_2])</f>
        <v>10.44753086419753</v>
      </c>
      <c r="DD40" s="18">
        <f>SUBTOTAL(101,OPPS_STATS[FTA_2])</f>
        <v>13.472222222222221</v>
      </c>
      <c r="DE40" s="18">
        <f>SUBTOTAL(101,OPPS_STATS[FT 0/2])</f>
        <v>0.38657407407407407</v>
      </c>
      <c r="DF40" s="18">
        <f>SUBTOTAL(101,OPPS_STATS[FTM_3])</f>
        <v>0.92978395061728392</v>
      </c>
      <c r="DG40" s="18">
        <f>SUBTOTAL(101,OPPS_STATS[FTA_3])</f>
        <v>1.1496913580246912</v>
      </c>
      <c r="DH40" s="18">
        <f>SUBTOTAL(101,OPPS_STATS[FT 0/3])</f>
        <v>0</v>
      </c>
      <c r="DI40" s="18">
        <f>SUBTOTAL(101,OPPS_STATS[RIM_M])</f>
        <v>8.7746913580246897</v>
      </c>
      <c r="DJ40" s="18">
        <f>SUBTOTAL(101,OPPS_STATS[RIM_A])</f>
        <v>11.334104938271604</v>
      </c>
      <c r="DK40" s="18">
        <f>SUBTOTAL(101,OPPS_STATS[PAINT_M])</f>
        <v>8.3865740740740744</v>
      </c>
      <c r="DL40" s="18">
        <f>SUBTOTAL(101,OPPS_STATS[PAINT_A])</f>
        <v>18.363425925925924</v>
      </c>
      <c r="DM40" s="18">
        <f>SUBTOTAL(101,OPPS_STATS[MID_M])</f>
        <v>2.6388888888888888</v>
      </c>
      <c r="DN40" s="18">
        <f>SUBTOTAL(101,OPPS_STATS[MID_A])</f>
        <v>6.8063271604938267</v>
      </c>
      <c r="DO40" s="18">
        <f>SUBTOTAL(101,OPPS_STATS[3C_M])</f>
        <v>1.3572530864197527</v>
      </c>
      <c r="DP40" s="18">
        <f>SUBTOTAL(101,OPPS_STATS[3C_A])</f>
        <v>3.0146604938271602</v>
      </c>
      <c r="DQ40" s="18">
        <f>SUBTOTAL(101,OPPS_STATS[3L_M])</f>
        <v>7.8194444444444446</v>
      </c>
      <c r="DR40" s="18">
        <f>SUBTOTAL(101,OPPS_STATS[3L_A])</f>
        <v>22.479166666666668</v>
      </c>
      <c r="DS40" s="18">
        <f>SUBTOTAL(101,OPPS_STATS[3H_M])</f>
        <v>0</v>
      </c>
      <c r="DT40" s="18">
        <f>SUBTOTAL(101,OPPS_STATS[3H_A])</f>
        <v>0.21219135802469138</v>
      </c>
      <c r="DU40" s="18">
        <f>SUBTOTAL(101,OPPS_STATS[OPP PTS])</f>
        <v>80.195216049382736</v>
      </c>
      <c r="DV40" s="18">
        <f>SUBTOTAL(101,OPPS_STATS[OPP 2PTM])</f>
        <v>19.787808641975307</v>
      </c>
      <c r="DW40" s="18">
        <f>SUBTOTAL(101,OPPS_STATS[OPP 2PTA])</f>
        <v>36.443672839506171</v>
      </c>
      <c r="DX40" s="23">
        <f>SUBTOTAL(101,OPPS_STATS[OPP 2PT%])</f>
        <v>0.54386941811181599</v>
      </c>
      <c r="DY40" s="18">
        <f>SUBTOTAL(101,OPPS_STATS[OPP 3PTM])</f>
        <v>9.1990740740740726</v>
      </c>
      <c r="DZ40" s="18">
        <f>SUBTOTAL(101,OPPS_STATS[OPP 3PTA])</f>
        <v>25.783179012345684</v>
      </c>
      <c r="EA40" s="23">
        <f>SUBTOTAL(101,OPPS_STATS[OPP 3PT%])</f>
        <v>0.35753816383276332</v>
      </c>
      <c r="EB40" s="18">
        <f>SUBTOTAL(101,OPPS_STATS[OPP FGM])</f>
        <v>28.986882716049383</v>
      </c>
      <c r="EC40" s="18">
        <f>SUBTOTAL(101,OPPS_STATS[OPP FGA])</f>
        <v>62.226851851851862</v>
      </c>
      <c r="ED40" s="23">
        <f>SUBTOTAL(101,OPPS_STATS[OPP FG%])</f>
        <v>0.4663996443143904</v>
      </c>
      <c r="EE40" s="18">
        <f>SUBTOTAL(101,OPPS_STATS[OPP FTM])</f>
        <v>13.022376543209877</v>
      </c>
      <c r="EF40" s="18">
        <f>SUBTOTAL(101,OPPS_STATS[OPP FTA])</f>
        <v>16.833333333333336</v>
      </c>
      <c r="EG40" s="23">
        <f>SUBTOTAL(101,OPPS_STATS[OPP FT%])</f>
        <v>0.77179034367749344</v>
      </c>
      <c r="EH40" s="18">
        <f>SUBTOTAL(101,OPPS_STATS[OPP OR])</f>
        <v>10.631172839506172</v>
      </c>
      <c r="EI40" s="18">
        <f>SUBTOTAL(101,OPPS_STATS[OPP DR])</f>
        <v>23.369598765432102</v>
      </c>
      <c r="EJ40" s="18">
        <f>SUBTOTAL(101,OPPS_STATS[OPP TR])</f>
        <v>34.000771604938272</v>
      </c>
      <c r="EK40" s="18">
        <f>SUBTOTAL(101,OPPS_STATS[OPP AST])</f>
        <v>17.531635802469136</v>
      </c>
      <c r="EL40" s="18">
        <f>SUBTOTAL(101,OPPS_STATS[OPP PF])</f>
        <v>19.768518518518515</v>
      </c>
      <c r="EM40" s="18">
        <f>SUBTOTAL(101,OPPS_STATS[OPP DF])</f>
        <v>19.337191358024693</v>
      </c>
      <c r="EN40" s="18">
        <f>SUBTOTAL(101,OPPS_STATS[OPP ST])</f>
        <v>6.3927469135802486</v>
      </c>
      <c r="EO40" s="18">
        <f>SUBTOTAL(101,OPPS_STATS[OPP TO])</f>
        <v>12.559413580246915</v>
      </c>
      <c r="EP40" s="18">
        <f>SUBTOTAL(101,OPPS_STATS[OPP BLK])</f>
        <v>2.3942901234567904</v>
      </c>
      <c r="EQ40" s="18">
        <f>SUBTOTAL(101,OPPS_STATS[OPP BLKA])</f>
        <v>2.3757716049382709</v>
      </c>
      <c r="ER40" s="18">
        <f>SUBTOTAL(101,OPPS_STATS[OPP VAL])</f>
        <v>88.097222222222229</v>
      </c>
      <c r="ES40" s="18">
        <f>SUBTOTAL(101,OPPS_STATS[OPP + / -])</f>
        <v>7.5617283950617203E-2</v>
      </c>
      <c r="ET40" s="18">
        <f>SUBTOTAL(101,OPPS_STATS[OPP POSS])</f>
        <v>71.14274691358024</v>
      </c>
      <c r="EU40" s="18">
        <f>SUBTOTAL(101,OPPS_STATS[OPP SHOOTING CHANCES])</f>
        <v>81.930298353909464</v>
      </c>
      <c r="EV40" s="18">
        <f>SUBTOTAL(101,OPPS_STATS[OPP KILLS])</f>
        <v>4.6643518518518521</v>
      </c>
      <c r="EW40" s="18">
        <f>SUBTOTAL(101,OPPS_STATS[OPP ASTED_2FG])</f>
        <v>8.9398148148148167</v>
      </c>
      <c r="EX40" s="18">
        <f>SUBTOTAL(101,OPPS_STATS[OPP ASTED_3FG])</f>
        <v>6.9290123456790127</v>
      </c>
      <c r="EY40" s="18">
        <f>SUBTOTAL(101,OPPS_STATS[OPP ASTED_FT])</f>
        <v>1.624228395061728</v>
      </c>
      <c r="EZ40" s="18">
        <f>SUBTOTAL(101,OPPS_STATS[OPP ASTED_FT PTS])</f>
        <v>2.9274691358024691</v>
      </c>
      <c r="FA40" s="18">
        <f>SUBTOTAL(101,OPPS_STATS[OPP OR_RIM])</f>
        <v>1.0162037037037037</v>
      </c>
      <c r="FB40" s="18">
        <f>SUBTOTAL(101,OPPS_STATS[OPP TM OR_RIM])</f>
        <v>0.24382716049382719</v>
      </c>
      <c r="FC40" s="18">
        <f>SUBTOTAL(101,OPPS_STATS[OPP OR_PAINT])</f>
        <v>3.1975308641975304</v>
      </c>
      <c r="FD40" s="18">
        <f>SUBTOTAL(101,OPPS_STATS[OPP TM OR_PAINT])</f>
        <v>0.53163580246913578</v>
      </c>
      <c r="FE40" s="18">
        <f>SUBTOTAL(101,OPPS_STATS[OPP OR_NP2])</f>
        <v>1.0455246913580247</v>
      </c>
      <c r="FF40" s="18">
        <f>SUBTOTAL(101,OPPS_STATS[OPP TM OR_NP2])</f>
        <v>0.15200617283950621</v>
      </c>
      <c r="FG40" s="18">
        <f>SUBTOTAL(101,OPPS_STATS[OPP OR_3C])</f>
        <v>0.46296296296296302</v>
      </c>
      <c r="FH40" s="18">
        <f>SUBTOTAL(101,OPPS_STATS[OPP TM OR_3C])</f>
        <v>9.336419753086421E-2</v>
      </c>
      <c r="FI40" s="18">
        <f>SUBTOTAL(101,OPPS_STATS[OPP OR_3L])</f>
        <v>4.4907407407407405</v>
      </c>
      <c r="FJ40" s="18">
        <f>SUBTOTAL(101,OPPS_STATS[OPP TM OR_3L])</f>
        <v>0.67592592592592582</v>
      </c>
      <c r="FK40" s="18">
        <f>SUBTOTAL(101,OPPS_STATS[OPP OR_FT])</f>
        <v>0.33796296296296302</v>
      </c>
      <c r="FL40" s="18">
        <f>SUBTOTAL(101,OPPS_STATS[OPP TM OR_FT])</f>
        <v>9.8765432098765454E-2</v>
      </c>
      <c r="FM40" s="18">
        <f>SUBTOTAL(101,OPPS_STATS[OPP DR_RIM])</f>
        <v>1.4760802469135799</v>
      </c>
      <c r="FN40" s="18">
        <f>SUBTOTAL(101,OPPS_STATS[OPP TM DR_RIM])</f>
        <v>0.10493827160493829</v>
      </c>
      <c r="FO40" s="18">
        <f>SUBTOTAL(101,OPPS_STATS[OPP DR_PAINT])</f>
        <v>6.5987654320987659</v>
      </c>
      <c r="FP40" s="18">
        <f>SUBTOTAL(101,OPPS_STATS[OPP TM DR_PAINT])</f>
        <v>0.39969135802469136</v>
      </c>
      <c r="FQ40" s="18">
        <f>SUBTOTAL(101,OPPS_STATS[OPP DR_NP2])</f>
        <v>2.9876543209876543</v>
      </c>
      <c r="FR40" s="18">
        <f>SUBTOTAL(101,OPPS_STATS[OPP TM DR_NP2])</f>
        <v>0.19290123456790126</v>
      </c>
      <c r="FS40" s="18">
        <f>SUBTOTAL(101,OPPS_STATS[OPP DR_3C])</f>
        <v>1.1658950617283947</v>
      </c>
      <c r="FT40" s="18">
        <f>SUBTOTAL(101,OPPS_STATS[OPP TM DR_3C])</f>
        <v>0.11805555555555558</v>
      </c>
      <c r="FU40" s="18">
        <f>SUBTOTAL(101,OPPS_STATS[OPP DR_3L])</f>
        <v>9.6126543209876552</v>
      </c>
      <c r="FV40" s="18">
        <f>SUBTOTAL(101,OPPS_STATS[OPP TM DR_3L])</f>
        <v>0.86574074074074092</v>
      </c>
      <c r="FW40" s="18">
        <f>SUBTOTAL(101,OPPS_STATS[OPP DR_FT])</f>
        <v>1.3834876543209877</v>
      </c>
      <c r="FX40" s="18">
        <f>SUBTOTAL(101,OPPS_STATS[OPP TM DR_FT])</f>
        <v>7.0216049382716056E-2</v>
      </c>
      <c r="FY40" s="18">
        <f>SUBTOTAL(101,OPPS_STATS[OPP FTM_T])</f>
        <v>0.30941358024691362</v>
      </c>
      <c r="FZ40" s="18">
        <f>SUBTOTAL(101,OPPS_STATS[OPP FTA_T])</f>
        <v>0.39197530864197533</v>
      </c>
      <c r="GA40" s="18">
        <f>SUBTOTAL(101,OPPS_STATS[OPP FTM_1])</f>
        <v>1.2407407407407407</v>
      </c>
      <c r="GB40" s="18">
        <f>SUBTOTAL(101,OPPS_STATS[OPP FTA_1])</f>
        <v>1.7021604938271606</v>
      </c>
      <c r="GC40" s="18">
        <f>SUBTOTAL(101,OPPS_STATS[OPP FTM_2])</f>
        <v>10.503086419753085</v>
      </c>
      <c r="GD40" s="18">
        <f>SUBTOTAL(101,OPPS_STATS[OPP FTA_2])</f>
        <v>13.526234567901234</v>
      </c>
      <c r="GE40" s="18">
        <f>SUBTOTAL(101,OPPS_STATS[OPP FT 0/2])</f>
        <v>0.38580246913580241</v>
      </c>
      <c r="GF40" s="18">
        <f>SUBTOTAL(101,OPPS_STATS[OPP FTM_3])</f>
        <v>0.92438271604938271</v>
      </c>
      <c r="GG40" s="18">
        <f>SUBTOTAL(101,OPPS_STATS[OPP FTA_3])</f>
        <v>1.1427469135802468</v>
      </c>
      <c r="GH40" s="18">
        <f>SUBTOTAL(101,OPPS_STATS[OPP FT 0/3])</f>
        <v>0</v>
      </c>
      <c r="GI40" s="18">
        <f>SUBTOTAL(101,OPPS_STATS[OPP RIM_M])</f>
        <v>8.7685185185185208</v>
      </c>
      <c r="GJ40" s="18">
        <f>SUBTOTAL(101,OPPS_STATS[OPP RIM_A])</f>
        <v>11.320216049382717</v>
      </c>
      <c r="GK40" s="18">
        <f>SUBTOTAL(101,OPPS_STATS[OPP PAINT_M])</f>
        <v>8.3881172839506171</v>
      </c>
      <c r="GL40" s="18">
        <f>SUBTOTAL(101,OPPS_STATS[OPP PAINT_A])</f>
        <v>18.351080246913583</v>
      </c>
      <c r="GM40" s="18">
        <f>SUBTOTAL(101,OPPS_STATS[OPP MID_M])</f>
        <v>2.6311728395061724</v>
      </c>
      <c r="GN40" s="18">
        <f>SUBTOTAL(101,OPPS_STATS[OPP MID_A])</f>
        <v>6.7723765432098757</v>
      </c>
      <c r="GO40" s="18">
        <f>SUBTOTAL(101,OPPS_STATS[OPP 3C_M])</f>
        <v>1.367283950617284</v>
      </c>
      <c r="GP40" s="18">
        <f>SUBTOTAL(101,OPPS_STATS[OPP 3C_A])</f>
        <v>3.0347222222222223</v>
      </c>
      <c r="GQ40" s="18">
        <f>SUBTOTAL(101,OPPS_STATS[OPP 3L_M])</f>
        <v>7.8256172839506171</v>
      </c>
      <c r="GR40" s="18">
        <f>SUBTOTAL(101,OPPS_STATS[OPP 3L_A])</f>
        <v>22.508487654320991</v>
      </c>
      <c r="GS40" s="18">
        <f>SUBTOTAL(101,OPPS_STATS[OPP 3H_M])</f>
        <v>0</v>
      </c>
      <c r="GT40" s="18">
        <f>SUBTOTAL(101,OPPS_STATS[OPP 3H_A])</f>
        <v>0.21450617283950618</v>
      </c>
    </row>
  </sheetData>
  <mergeCells count="22">
    <mergeCell ref="BU6:BV6"/>
    <mergeCell ref="AG6:AP6"/>
    <mergeCell ref="AQ6:BA6"/>
    <mergeCell ref="BB6:BH6"/>
    <mergeCell ref="BI6:BQ6"/>
    <mergeCell ref="BR6:BT6"/>
    <mergeCell ref="D4:E4"/>
    <mergeCell ref="F4:G4"/>
    <mergeCell ref="H4:I4"/>
    <mergeCell ref="J4:K4"/>
    <mergeCell ref="D5:E5"/>
    <mergeCell ref="F5:G5"/>
    <mergeCell ref="H5:I5"/>
    <mergeCell ref="J5:K5"/>
    <mergeCell ref="D2:E2"/>
    <mergeCell ref="F2:G2"/>
    <mergeCell ref="H2:I2"/>
    <mergeCell ref="J2:K2"/>
    <mergeCell ref="D3:E3"/>
    <mergeCell ref="F3:G3"/>
    <mergeCell ref="H3:I3"/>
    <mergeCell ref="J3:K3"/>
  </mergeCells>
  <phoneticPr fontId="5" type="noConversion"/>
  <conditionalFormatting sqref="B8:X39 Y8:GT40 G40:X40">
    <cfRule type="containsErrors" dxfId="404" priority="2">
      <formula>ISERROR(B8)</formula>
    </cfRule>
  </conditionalFormatting>
  <dataValidations count="4">
    <dataValidation type="list" allowBlank="1" showInputMessage="1" showErrorMessage="1" sqref="J3:K3" xr:uid="{84948023-A9D3-4AC6-9D0C-46A50542ADFD}">
      <formula1>LOCATION</formula1>
    </dataValidation>
    <dataValidation type="list" allowBlank="1" showInputMessage="1" showErrorMessage="1" sqref="H3:I3" xr:uid="{A18CE67E-DAB2-4CD4-97F9-41676BB0FF8C}">
      <formula1>OUTCOME</formula1>
    </dataValidation>
    <dataValidation type="list" allowBlank="1" showInputMessage="1" showErrorMessage="1" sqref="F3:G3" xr:uid="{73DC13AB-F3E0-4349-B405-0E6CFB12EC89}">
      <formula1>GAME_SEGMENT</formula1>
    </dataValidation>
    <dataValidation type="list" allowBlank="1" showInputMessage="1" showErrorMessage="1" sqref="D3:E3" xr:uid="{A1FCFB5B-A805-4503-B026-2A830FB42D30}">
      <formula1>MODE</formula1>
    </dataValidation>
  </dataValidation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B864CB-17A1-4478-9FCA-B6B4AB9781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BASIS_INFO</vt:lpstr>
      <vt:lpstr>ROSTERS</vt:lpstr>
      <vt:lpstr>SCHEDULE</vt:lpstr>
      <vt:lpstr>SoS</vt:lpstr>
      <vt:lpstr>TEAMS_GbG</vt:lpstr>
      <vt:lpstr>OPPS_GbG</vt:lpstr>
      <vt:lpstr>TEAMS_STATS</vt:lpstr>
      <vt:lpstr>OPPS_STATS</vt:lpstr>
      <vt:lpstr>GAME_SEGMENT</vt:lpstr>
      <vt:lpstr>LOCATION</vt:lpstr>
      <vt:lpstr>MODE</vt:lpstr>
      <vt:lpstr>OUTCOME</vt:lpstr>
      <vt:lpstr>Teams_number</vt:lpstr>
      <vt:lpstr>TM_TAG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Luca Cappelletti</dc:creator>
  <cp:keywords/>
  <dc:description/>
  <cp:lastModifiedBy>Modestas Vievesis | Agacad</cp:lastModifiedBy>
  <cp:revision/>
  <dcterms:created xsi:type="dcterms:W3CDTF">2021-01-19T20:45:57Z</dcterms:created>
  <dcterms:modified xsi:type="dcterms:W3CDTF">2023-11-23T20:33:17Z</dcterms:modified>
  <cp:category/>
  <cp:contentStatus/>
</cp:coreProperties>
</file>